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eth.castaneda\Documents\Documents\CUATRENIO 2018-2022\LEGISLATURA 2018 -2019\PROPOSICIONES 2018-2019\PROPOSICION No. 16 DEL 18 DE SEPTIEMBRE DE 2018\"/>
    </mc:Choice>
  </mc:AlternateContent>
  <bookViews>
    <workbookView xWindow="0" yWindow="0" windowWidth="21600" windowHeight="9735" tabRatio="599"/>
  </bookViews>
  <sheets>
    <sheet name="Indicadores" sheetId="2" r:id="rId1"/>
    <sheet name="Familias Potenciales" sheetId="6" r:id="rId2"/>
  </sheets>
  <definedNames>
    <definedName name="_________GME2">#REF!</definedName>
    <definedName name="________GME2">#REF!</definedName>
    <definedName name="_______GME2">#REF!</definedName>
    <definedName name="______GME2">#REF!</definedName>
    <definedName name="_____GME2">#REF!</definedName>
    <definedName name="____GME2">#REF!</definedName>
    <definedName name="___GME2">#REF!</definedName>
    <definedName name="__GME2">#REF!</definedName>
    <definedName name="_GME2">#REF!</definedName>
    <definedName name="AMAZONAS">#REF!</definedName>
    <definedName name="ANTIOQUIA">#REF!</definedName>
    <definedName name="ARAUCA">#REF!</definedName>
    <definedName name="BOLIVAR">#REF!</definedName>
    <definedName name="BOYACA">#REF!</definedName>
    <definedName name="CALDAS">#REF!</definedName>
    <definedName name="CAQUETA">#REF!</definedName>
    <definedName name="CASANARE">#REF!</definedName>
    <definedName name="CAUCA">#REF!</definedName>
    <definedName name="CESAR">#REF!</definedName>
    <definedName name="CHOCO">#REF!</definedName>
    <definedName name="ciudad">#REF!</definedName>
    <definedName name="Ciudades">#REF!</definedName>
    <definedName name="codigo">#REF!</definedName>
    <definedName name="cordoba">#REF!</definedName>
    <definedName name="CUNDINAMARCA">#REF!</definedName>
    <definedName name="DEPARTAMENTO">#REF!</definedName>
    <definedName name="departamentos">#REF!</definedName>
    <definedName name="departemento">#REF!</definedName>
    <definedName name="ESTR">#REF!</definedName>
    <definedName name="ESTRATEGIAS">#REF!</definedName>
    <definedName name="Excel_BuiltIn__FilterDatabase_1">#REF!</definedName>
    <definedName name="FASE">#REF!</definedName>
    <definedName name="GENERO">#REF!</definedName>
    <definedName name="gm">#REF!</definedName>
    <definedName name="GRUPO">#REF!</definedName>
    <definedName name="GUAINIA">#REF!</definedName>
    <definedName name="GUAJIRA">#REF!</definedName>
    <definedName name="GUAVIARE">#REF!</definedName>
    <definedName name="LLL">#REF!</definedName>
    <definedName name="MAGDALENA">#REF!</definedName>
    <definedName name="MATRIZ_COMPLETA2">#REF!</definedName>
    <definedName name="META">#REF!</definedName>
    <definedName name="MOVILES">#REF!</definedName>
    <definedName name="MUNICIPIO">#REF!</definedName>
    <definedName name="NARIÑO">#REF!</definedName>
    <definedName name="NORTE_SANTANDER">#REF!</definedName>
    <definedName name="pv_descripcion">#REF!</definedName>
    <definedName name="QUINDIO">#REF!</definedName>
    <definedName name="RANGO">#REF!</definedName>
    <definedName name="RANGO1">#REF!</definedName>
    <definedName name="RANGO2">#REF!</definedName>
    <definedName name="RANGO3">#REF!</definedName>
    <definedName name="RANGO4">#REF!</definedName>
    <definedName name="REGION">#REF!</definedName>
    <definedName name="RISARALDA">#REF!</definedName>
    <definedName name="RRRRR">#REF!</definedName>
    <definedName name="rter">#REF!</definedName>
    <definedName name="SANTANDER">#REF!</definedName>
    <definedName name="sexo">#REF!</definedName>
    <definedName name="SUCRE">#REF!</definedName>
    <definedName name="tabla">#REF!</definedName>
    <definedName name="tabla_resumen_exp_edades_tab">#REF!</definedName>
    <definedName name="tabla_resumen_exp_sexo_edad_tab">#REF!</definedName>
    <definedName name="tabla_resumen_exp_tab">#REF!</definedName>
    <definedName name="tabla_resumen_rec_edades_tab">#REF!</definedName>
    <definedName name="tabla_resumen_rec_sexo_edad_tab">#REF!</definedName>
    <definedName name="tabla_resumen_rec_tab">#REF!</definedName>
    <definedName name="tabla2">#REF!</definedName>
    <definedName name="tipo_identificacion">#REF!</definedName>
    <definedName name="_xlnm.Print_Titles">#N/A</definedName>
    <definedName name="TOLIMA">#REF!</definedName>
    <definedName name="TRM">#REF!</definedName>
    <definedName name="VALLE">#REF!</definedName>
    <definedName name="VAUPES">#REF!</definedName>
    <definedName name="VICHADA">#REF!</definedName>
    <definedName name="VICTIM">#REF!</definedName>
    <definedName name="VICTIMAS">#REF!</definedName>
    <definedName name="VV">#REF!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8" i="6" l="1"/>
  <c r="F18" i="6" s="1"/>
  <c r="D18" i="6"/>
  <c r="H13" i="2" l="1"/>
  <c r="G13" i="2"/>
  <c r="F13" i="2"/>
  <c r="E13" i="2"/>
  <c r="D13" i="2"/>
  <c r="C13" i="2"/>
  <c r="H25" i="2"/>
  <c r="G25" i="2"/>
  <c r="F25" i="2"/>
  <c r="E25" i="2"/>
  <c r="D25" i="2"/>
  <c r="C25" i="2"/>
  <c r="H35" i="2"/>
  <c r="G35" i="2"/>
  <c r="F35" i="2"/>
  <c r="E35" i="2"/>
  <c r="D35" i="2"/>
  <c r="C35" i="2"/>
  <c r="H45" i="2"/>
  <c r="G45" i="2"/>
  <c r="F45" i="2"/>
  <c r="E45" i="2"/>
  <c r="D45" i="2"/>
  <c r="C45" i="2"/>
  <c r="H55" i="2"/>
  <c r="G55" i="2"/>
  <c r="F55" i="2"/>
  <c r="E55" i="2"/>
  <c r="D55" i="2"/>
  <c r="C55" i="2"/>
  <c r="H65" i="2"/>
  <c r="G65" i="2"/>
  <c r="F65" i="2"/>
  <c r="E65" i="2"/>
  <c r="D65" i="2"/>
  <c r="C65" i="2"/>
  <c r="H75" i="2"/>
  <c r="G75" i="2"/>
  <c r="F75" i="2"/>
  <c r="E75" i="2"/>
  <c r="D75" i="2"/>
  <c r="C75" i="2"/>
  <c r="H85" i="2"/>
  <c r="G85" i="2"/>
  <c r="F85" i="2"/>
  <c r="E85" i="2"/>
  <c r="D85" i="2"/>
  <c r="C85" i="2"/>
  <c r="H95" i="2"/>
  <c r="G95" i="2"/>
  <c r="F95" i="2"/>
  <c r="E95" i="2"/>
  <c r="D95" i="2"/>
  <c r="C95" i="2"/>
  <c r="H105" i="2"/>
  <c r="G105" i="2"/>
  <c r="F105" i="2"/>
  <c r="E105" i="2"/>
  <c r="D105" i="2"/>
  <c r="C105" i="2"/>
  <c r="H115" i="2"/>
  <c r="G115" i="2"/>
  <c r="F115" i="2"/>
  <c r="E115" i="2"/>
  <c r="D115" i="2"/>
  <c r="C115" i="2"/>
  <c r="AY115" i="2"/>
  <c r="AZ115" i="2"/>
  <c r="BA115" i="2"/>
  <c r="BB115" i="2"/>
  <c r="BC115" i="2"/>
  <c r="AX115" i="2"/>
  <c r="AQ115" i="2"/>
  <c r="AR115" i="2"/>
  <c r="AS115" i="2"/>
  <c r="AT115" i="2"/>
  <c r="AU115" i="2"/>
  <c r="AP115" i="2"/>
  <c r="AI115" i="2"/>
  <c r="AJ115" i="2"/>
  <c r="AK115" i="2"/>
  <c r="AL115" i="2"/>
  <c r="AM115" i="2"/>
  <c r="AH115" i="2"/>
  <c r="AA115" i="2"/>
  <c r="AB115" i="2"/>
  <c r="AC115" i="2"/>
  <c r="AD115" i="2"/>
  <c r="AE115" i="2"/>
  <c r="Z115" i="2"/>
  <c r="S115" i="2"/>
  <c r="T115" i="2"/>
  <c r="U115" i="2"/>
  <c r="V115" i="2"/>
  <c r="W115" i="2"/>
  <c r="R115" i="2"/>
  <c r="L115" i="2"/>
  <c r="M115" i="2"/>
  <c r="N115" i="2"/>
  <c r="O115" i="2"/>
  <c r="K115" i="2"/>
  <c r="AY105" i="2"/>
  <c r="AZ105" i="2"/>
  <c r="BA105" i="2"/>
  <c r="BB105" i="2"/>
  <c r="BC105" i="2"/>
  <c r="AX105" i="2"/>
  <c r="AQ105" i="2"/>
  <c r="AR105" i="2"/>
  <c r="AS105" i="2"/>
  <c r="AT105" i="2"/>
  <c r="AU105" i="2"/>
  <c r="AP105" i="2"/>
  <c r="AI105" i="2"/>
  <c r="AJ105" i="2"/>
  <c r="AK105" i="2"/>
  <c r="AL105" i="2"/>
  <c r="AM105" i="2"/>
  <c r="AH105" i="2"/>
  <c r="AA105" i="2"/>
  <c r="AB105" i="2"/>
  <c r="AC105" i="2"/>
  <c r="AD105" i="2"/>
  <c r="AE105" i="2"/>
  <c r="Z105" i="2"/>
  <c r="S105" i="2"/>
  <c r="T105" i="2"/>
  <c r="U105" i="2"/>
  <c r="V105" i="2"/>
  <c r="W105" i="2"/>
  <c r="R105" i="2"/>
  <c r="L105" i="2"/>
  <c r="M105" i="2"/>
  <c r="N105" i="2"/>
  <c r="O105" i="2"/>
  <c r="K105" i="2"/>
  <c r="AY95" i="2"/>
  <c r="AZ95" i="2"/>
  <c r="BA95" i="2"/>
  <c r="BB95" i="2"/>
  <c r="BC95" i="2"/>
  <c r="AX95" i="2"/>
  <c r="AQ95" i="2"/>
  <c r="AR95" i="2"/>
  <c r="AS95" i="2"/>
  <c r="AT95" i="2"/>
  <c r="AU95" i="2"/>
  <c r="AP95" i="2"/>
  <c r="AI95" i="2"/>
  <c r="AJ95" i="2"/>
  <c r="AK95" i="2"/>
  <c r="AL95" i="2"/>
  <c r="AM95" i="2"/>
  <c r="AH95" i="2"/>
  <c r="AA95" i="2"/>
  <c r="AB95" i="2"/>
  <c r="AC95" i="2"/>
  <c r="AD95" i="2"/>
  <c r="AE95" i="2"/>
  <c r="Z95" i="2"/>
  <c r="S95" i="2"/>
  <c r="T95" i="2"/>
  <c r="U95" i="2"/>
  <c r="V95" i="2"/>
  <c r="W95" i="2"/>
  <c r="R95" i="2"/>
  <c r="L95" i="2"/>
  <c r="M95" i="2"/>
  <c r="N95" i="2"/>
  <c r="O95" i="2"/>
  <c r="K95" i="2"/>
  <c r="AY85" i="2"/>
  <c r="AZ85" i="2"/>
  <c r="BA85" i="2"/>
  <c r="BB85" i="2"/>
  <c r="BC85" i="2"/>
  <c r="AX85" i="2"/>
  <c r="AQ85" i="2"/>
  <c r="AR85" i="2"/>
  <c r="AS85" i="2"/>
  <c r="AT85" i="2"/>
  <c r="AU85" i="2"/>
  <c r="AP85" i="2"/>
  <c r="AI85" i="2"/>
  <c r="AJ85" i="2"/>
  <c r="AK85" i="2"/>
  <c r="AL85" i="2"/>
  <c r="AM85" i="2"/>
  <c r="AH85" i="2"/>
  <c r="AA85" i="2"/>
  <c r="AB85" i="2"/>
  <c r="AC85" i="2"/>
  <c r="AD85" i="2"/>
  <c r="AE85" i="2"/>
  <c r="Z85" i="2"/>
  <c r="S85" i="2"/>
  <c r="T85" i="2"/>
  <c r="U85" i="2"/>
  <c r="V85" i="2"/>
  <c r="W85" i="2"/>
  <c r="R85" i="2"/>
  <c r="L85" i="2"/>
  <c r="M85" i="2"/>
  <c r="N85" i="2"/>
  <c r="O85" i="2"/>
  <c r="K85" i="2"/>
  <c r="AY75" i="2"/>
  <c r="AZ75" i="2"/>
  <c r="BA75" i="2"/>
  <c r="BB75" i="2"/>
  <c r="BC75" i="2"/>
  <c r="AX75" i="2"/>
  <c r="AQ75" i="2"/>
  <c r="AR75" i="2"/>
  <c r="AS75" i="2"/>
  <c r="AT75" i="2"/>
  <c r="AU75" i="2"/>
  <c r="AP75" i="2"/>
  <c r="AI75" i="2"/>
  <c r="AJ75" i="2"/>
  <c r="AK75" i="2"/>
  <c r="AL75" i="2"/>
  <c r="AM75" i="2"/>
  <c r="AH75" i="2"/>
  <c r="AA75" i="2"/>
  <c r="AB75" i="2"/>
  <c r="AC75" i="2"/>
  <c r="AD75" i="2"/>
  <c r="AE75" i="2"/>
  <c r="Z75" i="2"/>
  <c r="S75" i="2"/>
  <c r="T75" i="2"/>
  <c r="U75" i="2"/>
  <c r="V75" i="2"/>
  <c r="W75" i="2"/>
  <c r="R75" i="2"/>
  <c r="L75" i="2"/>
  <c r="M75" i="2"/>
  <c r="N75" i="2"/>
  <c r="O75" i="2"/>
  <c r="K75" i="2"/>
  <c r="AY65" i="2"/>
  <c r="AZ65" i="2"/>
  <c r="BA65" i="2"/>
  <c r="BB65" i="2"/>
  <c r="BC65" i="2"/>
  <c r="AX65" i="2"/>
  <c r="AQ65" i="2"/>
  <c r="AR65" i="2"/>
  <c r="AS65" i="2"/>
  <c r="AT65" i="2"/>
  <c r="AU65" i="2"/>
  <c r="AP65" i="2"/>
  <c r="AI65" i="2"/>
  <c r="AJ65" i="2"/>
  <c r="AK65" i="2"/>
  <c r="AL65" i="2"/>
  <c r="AM65" i="2"/>
  <c r="AH65" i="2"/>
  <c r="AA65" i="2"/>
  <c r="AB65" i="2"/>
  <c r="AC65" i="2"/>
  <c r="AD65" i="2"/>
  <c r="AE65" i="2"/>
  <c r="Z65" i="2"/>
  <c r="S65" i="2"/>
  <c r="T65" i="2"/>
  <c r="U65" i="2"/>
  <c r="V65" i="2"/>
  <c r="W65" i="2"/>
  <c r="R65" i="2"/>
  <c r="L65" i="2"/>
  <c r="M65" i="2"/>
  <c r="N65" i="2"/>
  <c r="O65" i="2"/>
  <c r="K65" i="2"/>
  <c r="AY55" i="2"/>
  <c r="AZ55" i="2"/>
  <c r="BA55" i="2"/>
  <c r="BB55" i="2"/>
  <c r="BC55" i="2"/>
  <c r="AX55" i="2"/>
  <c r="AQ55" i="2"/>
  <c r="AR55" i="2"/>
  <c r="AS55" i="2"/>
  <c r="AT55" i="2"/>
  <c r="AU55" i="2"/>
  <c r="AP55" i="2"/>
  <c r="AI55" i="2"/>
  <c r="AJ55" i="2"/>
  <c r="AK55" i="2"/>
  <c r="AL55" i="2"/>
  <c r="AM55" i="2"/>
  <c r="AH55" i="2"/>
  <c r="AA55" i="2"/>
  <c r="AB55" i="2"/>
  <c r="AC55" i="2"/>
  <c r="AD55" i="2"/>
  <c r="AE55" i="2"/>
  <c r="Z55" i="2"/>
  <c r="S55" i="2"/>
  <c r="T55" i="2"/>
  <c r="U55" i="2"/>
  <c r="V55" i="2"/>
  <c r="W55" i="2"/>
  <c r="R55" i="2"/>
  <c r="L55" i="2"/>
  <c r="M55" i="2"/>
  <c r="N55" i="2"/>
  <c r="O55" i="2"/>
  <c r="K55" i="2"/>
  <c r="AY45" i="2"/>
  <c r="AZ45" i="2"/>
  <c r="BA45" i="2"/>
  <c r="BB45" i="2"/>
  <c r="BC45" i="2"/>
  <c r="AX45" i="2"/>
  <c r="AQ45" i="2"/>
  <c r="AR45" i="2"/>
  <c r="AS45" i="2"/>
  <c r="AT45" i="2"/>
  <c r="AU45" i="2"/>
  <c r="AP45" i="2"/>
  <c r="AI45" i="2" l="1"/>
  <c r="AJ45" i="2"/>
  <c r="AK45" i="2"/>
  <c r="AL45" i="2"/>
  <c r="AM45" i="2"/>
  <c r="AH45" i="2"/>
  <c r="AA45" i="2"/>
  <c r="AB45" i="2"/>
  <c r="AC45" i="2"/>
  <c r="AD45" i="2"/>
  <c r="AE45" i="2"/>
  <c r="Z45" i="2"/>
  <c r="S45" i="2"/>
  <c r="T45" i="2"/>
  <c r="U45" i="2"/>
  <c r="V45" i="2"/>
  <c r="W45" i="2"/>
  <c r="R45" i="2"/>
  <c r="L45" i="2"/>
  <c r="M45" i="2"/>
  <c r="N45" i="2"/>
  <c r="O45" i="2"/>
  <c r="K45" i="2"/>
  <c r="AY35" i="2" l="1"/>
  <c r="AZ35" i="2"/>
  <c r="BA35" i="2"/>
  <c r="BB35" i="2"/>
  <c r="BC35" i="2"/>
  <c r="AX35" i="2"/>
  <c r="AQ35" i="2"/>
  <c r="AR35" i="2"/>
  <c r="AS35" i="2"/>
  <c r="AT35" i="2"/>
  <c r="AU35" i="2"/>
  <c r="AP35" i="2"/>
  <c r="AI35" i="2"/>
  <c r="AJ35" i="2"/>
  <c r="AK35" i="2"/>
  <c r="AL35" i="2"/>
  <c r="AM35" i="2"/>
  <c r="AH35" i="2"/>
  <c r="AA35" i="2"/>
  <c r="AB35" i="2"/>
  <c r="AC35" i="2"/>
  <c r="AD35" i="2"/>
  <c r="AE35" i="2"/>
  <c r="Z35" i="2"/>
  <c r="S35" i="2"/>
  <c r="T35" i="2"/>
  <c r="U35" i="2"/>
  <c r="V35" i="2"/>
  <c r="W35" i="2"/>
  <c r="R35" i="2"/>
  <c r="L35" i="2"/>
  <c r="M35" i="2"/>
  <c r="N35" i="2"/>
  <c r="O35" i="2"/>
  <c r="K35" i="2"/>
  <c r="AY25" i="2"/>
  <c r="AZ25" i="2"/>
  <c r="BA25" i="2"/>
  <c r="BB25" i="2"/>
  <c r="BC25" i="2"/>
  <c r="AX25" i="2"/>
  <c r="AQ25" i="2"/>
  <c r="AR25" i="2"/>
  <c r="AS25" i="2"/>
  <c r="AT25" i="2"/>
  <c r="AU25" i="2"/>
  <c r="AP25" i="2"/>
  <c r="AI25" i="2"/>
  <c r="AJ25" i="2"/>
  <c r="AK25" i="2"/>
  <c r="AL25" i="2"/>
  <c r="AM25" i="2"/>
  <c r="AH25" i="2"/>
  <c r="AA25" i="2"/>
  <c r="AB25" i="2"/>
  <c r="AC25" i="2"/>
  <c r="AD25" i="2"/>
  <c r="AE25" i="2"/>
  <c r="Z25" i="2"/>
  <c r="S25" i="2"/>
  <c r="T25" i="2"/>
  <c r="U25" i="2"/>
  <c r="V25" i="2"/>
  <c r="W25" i="2"/>
  <c r="R25" i="2"/>
  <c r="L25" i="2"/>
  <c r="M25" i="2"/>
  <c r="N25" i="2"/>
  <c r="O25" i="2"/>
  <c r="K25" i="2"/>
  <c r="AY13" i="2"/>
  <c r="AZ13" i="2"/>
  <c r="BA13" i="2"/>
  <c r="BB13" i="2"/>
  <c r="BC13" i="2"/>
  <c r="AX13" i="2"/>
  <c r="AQ13" i="2" l="1"/>
  <c r="AR13" i="2"/>
  <c r="AS13" i="2"/>
  <c r="AT13" i="2"/>
  <c r="AU13" i="2"/>
  <c r="AP13" i="2"/>
  <c r="AI13" i="2" l="1"/>
  <c r="AJ13" i="2"/>
  <c r="AK13" i="2"/>
  <c r="AL13" i="2"/>
  <c r="AM13" i="2"/>
  <c r="AH13" i="2"/>
  <c r="S13" i="2"/>
  <c r="T13" i="2"/>
  <c r="U13" i="2"/>
  <c r="V13" i="2"/>
  <c r="W13" i="2"/>
  <c r="R13" i="2"/>
  <c r="N13" i="2"/>
  <c r="M13" i="2"/>
  <c r="L13" i="2"/>
  <c r="K13" i="2"/>
  <c r="O13" i="2"/>
  <c r="H116" i="2" l="1"/>
  <c r="H106" i="2"/>
  <c r="H96" i="2"/>
  <c r="H86" i="2"/>
  <c r="H76" i="2"/>
  <c r="H66" i="2"/>
  <c r="H56" i="2"/>
  <c r="H46" i="2"/>
  <c r="H36" i="2"/>
  <c r="H26" i="2"/>
  <c r="H14" i="2"/>
</calcChain>
</file>

<file path=xl/sharedStrings.xml><?xml version="1.0" encoding="utf-8"?>
<sst xmlns="http://schemas.openxmlformats.org/spreadsheetml/2006/main" count="1135" uniqueCount="65">
  <si>
    <t>DEPARTAMENTO</t>
  </si>
  <si>
    <t>MUNICIPIO</t>
  </si>
  <si>
    <t>DESPLAZADOS</t>
  </si>
  <si>
    <t>INDÍGENAS</t>
  </si>
  <si>
    <t>SISBEN</t>
  </si>
  <si>
    <t>UNIDOS</t>
  </si>
  <si>
    <t>FAMILIAS</t>
  </si>
  <si>
    <t>TOTAL VALOR LIQUIDADO</t>
  </si>
  <si>
    <t>ABREGO</t>
  </si>
  <si>
    <t>CONVENCIÓN</t>
  </si>
  <si>
    <t>EL CARMEN</t>
  </si>
  <si>
    <t>EL TARRA</t>
  </si>
  <si>
    <t>HACARÍ</t>
  </si>
  <si>
    <t>LA PLAYA</t>
  </si>
  <si>
    <t>OCAÑA</t>
  </si>
  <si>
    <t>SAN CALIXTO</t>
  </si>
  <si>
    <t>SARDINATA</t>
  </si>
  <si>
    <t>TEORAMA</t>
  </si>
  <si>
    <t>TIBÚ</t>
  </si>
  <si>
    <t>TOTAL NNA</t>
  </si>
  <si>
    <t>NNA NUTRICION</t>
  </si>
  <si>
    <t xml:space="preserve">NNA EDUCACIÓN </t>
  </si>
  <si>
    <t>NN 0-5 AÑOS</t>
  </si>
  <si>
    <t>AÑO</t>
  </si>
  <si>
    <t>GRUPO POBLACIONAL</t>
  </si>
  <si>
    <t>AÑO 2013</t>
  </si>
  <si>
    <t>TOTALES</t>
  </si>
  <si>
    <t>AÑO 2014</t>
  </si>
  <si>
    <t>AÑO 2015</t>
  </si>
  <si>
    <t xml:space="preserve">3.532 </t>
  </si>
  <si>
    <t xml:space="preserve">6.616 </t>
  </si>
  <si>
    <t xml:space="preserve">2.401 </t>
  </si>
  <si>
    <t xml:space="preserve">4.215 </t>
  </si>
  <si>
    <t xml:space="preserve">1.975 </t>
  </si>
  <si>
    <t xml:space="preserve"> $ 2.893.012.500 </t>
  </si>
  <si>
    <t>AÑO 2016</t>
  </si>
  <si>
    <t>AÑO 2017</t>
  </si>
  <si>
    <t>AÑO 2018</t>
  </si>
  <si>
    <t>* Información con corte al 4 pago del año 2018</t>
  </si>
  <si>
    <t>TABLAS PROGRAMA FAMILIAS EN ACCION PERIODO 2013-2018</t>
  </si>
  <si>
    <t>DEPARTAMENTO NORTE DE SANTANDER</t>
  </si>
  <si>
    <t>*NN= Niños y Niñas</t>
  </si>
  <si>
    <t>**NNN=Niños, Niñas y Adolescentes</t>
  </si>
  <si>
    <t>RESULTADOS ANUALES</t>
  </si>
  <si>
    <t>RESULTADOS POR GRUPO POBLACIONAL</t>
  </si>
  <si>
    <t>Cód DANE</t>
  </si>
  <si>
    <t>Municipio</t>
  </si>
  <si>
    <t>Familias Potenciales</t>
  </si>
  <si>
    <t xml:space="preserve">Total Familias Inscritas </t>
  </si>
  <si>
    <t xml:space="preserve"> % Familias Inscritas</t>
  </si>
  <si>
    <t>Norte de Santander</t>
  </si>
  <si>
    <t>Abrego</t>
  </si>
  <si>
    <t>Convención</t>
  </si>
  <si>
    <t>El Carmen</t>
  </si>
  <si>
    <t>El Tarra</t>
  </si>
  <si>
    <t>Hacarí</t>
  </si>
  <si>
    <t>La Playa</t>
  </si>
  <si>
    <t>Ocaña</t>
  </si>
  <si>
    <t>San Calixto</t>
  </si>
  <si>
    <t>Sardinata</t>
  </si>
  <si>
    <t>Teorama</t>
  </si>
  <si>
    <t>Tibú</t>
  </si>
  <si>
    <t>TOTAL</t>
  </si>
  <si>
    <t xml:space="preserve">TABLA PROGRAMA FAMILIAS EN ACCION . FAMILIAS POTENCIALES Vs FAMILIAS INSCRITAS </t>
  </si>
  <si>
    <t>REGION DEL CATATUMBO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</si>
</sst>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$&quot;\ * #,##0_-;\-&quot;$&quot;\ * #,##0_-;_-&quot;$&quot;\ 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[$$-240A]\ #,##0"/>
    <numFmt numFmtId="167" formatCode="#,##0_ ;\-#,##0\ "/>
    <numFmt numFmtId="168" formatCode="&quot;$&quot;#,##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7"/>
      <name val="Verdana"/>
      <family val="2"/>
    </font>
    <font>
      <b/>
      <sz val="7"/>
      <color indexed="8"/>
      <name val="Verdana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sz val="7"/>
      <color theme="1"/>
      <name val="Arial"/>
      <family val="2"/>
    </font>
    <font>
      <sz val="8"/>
      <color theme="1"/>
      <name val="Verdana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Verdana"/>
      <family val="2"/>
    </font>
    <font>
      <b/>
      <sz val="9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0"/>
      <name val="Verdana"/>
      <family val="2"/>
    </font>
    <font>
      <b/>
      <sz val="7"/>
      <color theme="0"/>
      <name val="Verdana"/>
      <family val="2"/>
    </font>
    <font>
      <sz val="9"/>
      <color theme="1"/>
      <name val="Calibri"/>
      <family val="2"/>
      <scheme val="minor"/>
    </font>
    <font>
      <sz val="9"/>
      <name val="Verdana"/>
      <family val="2"/>
    </font>
    <font>
      <b/>
      <sz val="8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>
      <alignment wrapText="1"/>
    </xf>
    <xf numFmtId="0" fontId="3" fillId="0" borderId="0"/>
    <xf numFmtId="0" fontId="2" fillId="0" borderId="0">
      <alignment vertical="top"/>
    </xf>
    <xf numFmtId="164" fontId="1" fillId="0" borderId="0" applyFont="0" applyFill="0" applyBorder="0" applyAlignment="0" applyProtection="0"/>
    <xf numFmtId="0" fontId="2" fillId="0" borderId="0">
      <alignment wrapText="1"/>
    </xf>
    <xf numFmtId="0" fontId="1" fillId="0" borderId="0"/>
    <xf numFmtId="0" fontId="2" fillId="0" borderId="0">
      <alignment wrapText="1"/>
    </xf>
    <xf numFmtId="0" fontId="2" fillId="0" borderId="0">
      <alignment wrapText="1"/>
    </xf>
    <xf numFmtId="42" fontId="1" fillId="0" borderId="0" applyFont="0" applyFill="0" applyBorder="0" applyAlignment="0" applyProtection="0"/>
  </cellStyleXfs>
  <cellXfs count="111">
    <xf numFmtId="0" fontId="0" fillId="0" borderId="0" xfId="0"/>
    <xf numFmtId="167" fontId="10" fillId="0" borderId="1" xfId="1" applyNumberFormat="1" applyFont="1" applyBorder="1" applyAlignment="1">
      <alignment horizontal="center" vertical="center"/>
    </xf>
    <xf numFmtId="165" fontId="10" fillId="0" borderId="1" xfId="5" applyNumberFormat="1" applyFont="1" applyBorder="1" applyAlignment="1">
      <alignment horizontal="center" vertical="top"/>
    </xf>
    <xf numFmtId="167" fontId="11" fillId="0" borderId="1" xfId="1" applyNumberFormat="1" applyFont="1" applyBorder="1" applyAlignment="1">
      <alignment horizontal="center" vertical="center"/>
    </xf>
    <xf numFmtId="165" fontId="11" fillId="0" borderId="1" xfId="5" applyNumberFormat="1" applyFont="1" applyBorder="1" applyAlignment="1">
      <alignment horizontal="center" vertical="top"/>
    </xf>
    <xf numFmtId="0" fontId="0" fillId="0" borderId="1" xfId="0" applyBorder="1"/>
    <xf numFmtId="0" fontId="9" fillId="2" borderId="0" xfId="7" applyFont="1" applyFill="1" applyBorder="1" applyAlignment="1">
      <alignment horizontal="center" vertical="center" wrapText="1"/>
    </xf>
    <xf numFmtId="0" fontId="0" fillId="0" borderId="0" xfId="0" applyBorder="1"/>
    <xf numFmtId="167" fontId="11" fillId="0" borderId="0" xfId="1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/>
    </xf>
    <xf numFmtId="167" fontId="11" fillId="0" borderId="0" xfId="0" applyNumberFormat="1" applyFont="1" applyAlignment="1">
      <alignment horizontal="center" vertical="center"/>
    </xf>
    <xf numFmtId="167" fontId="11" fillId="0" borderId="0" xfId="0" applyNumberFormat="1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 vertical="top"/>
    </xf>
    <xf numFmtId="0" fontId="0" fillId="0" borderId="9" xfId="0" applyBorder="1"/>
    <xf numFmtId="0" fontId="15" fillId="0" borderId="9" xfId="0" applyFont="1" applyBorder="1" applyAlignment="1">
      <alignment horizontal="left"/>
    </xf>
    <xf numFmtId="167" fontId="11" fillId="0" borderId="9" xfId="1" applyNumberFormat="1" applyFont="1" applyBorder="1" applyAlignment="1">
      <alignment horizontal="center" vertical="center"/>
    </xf>
    <xf numFmtId="165" fontId="11" fillId="0" borderId="9" xfId="5" applyNumberFormat="1" applyFont="1" applyBorder="1" applyAlignment="1">
      <alignment horizontal="center" vertical="top"/>
    </xf>
    <xf numFmtId="165" fontId="0" fillId="0" borderId="0" xfId="0" applyNumberFormat="1"/>
    <xf numFmtId="167" fontId="10" fillId="0" borderId="3" xfId="1" applyNumberFormat="1" applyFont="1" applyBorder="1" applyAlignment="1">
      <alignment horizontal="center" vertical="center"/>
    </xf>
    <xf numFmtId="0" fontId="0" fillId="0" borderId="0" xfId="0" applyFill="1" applyBorder="1"/>
    <xf numFmtId="0" fontId="15" fillId="0" borderId="0" xfId="0" applyFont="1" applyFill="1" applyBorder="1" applyAlignment="1">
      <alignment horizontal="left"/>
    </xf>
    <xf numFmtId="165" fontId="8" fillId="0" borderId="0" xfId="5" applyNumberFormat="1" applyFont="1" applyFill="1" applyBorder="1" applyAlignment="1">
      <alignment horizontal="center" vertical="center" wrapText="1"/>
    </xf>
    <xf numFmtId="167" fontId="0" fillId="0" borderId="0" xfId="0" applyNumberFormat="1" applyFill="1" applyBorder="1"/>
    <xf numFmtId="0" fontId="15" fillId="4" borderId="7" xfId="0" applyFont="1" applyFill="1" applyBorder="1" applyAlignment="1">
      <alignment horizontal="left"/>
    </xf>
    <xf numFmtId="0" fontId="14" fillId="3" borderId="5" xfId="0" applyFont="1" applyFill="1" applyBorder="1"/>
    <xf numFmtId="165" fontId="10" fillId="0" borderId="10" xfId="5" applyNumberFormat="1" applyFont="1" applyBorder="1" applyAlignment="1">
      <alignment horizontal="center" vertical="top"/>
    </xf>
    <xf numFmtId="0" fontId="15" fillId="4" borderId="8" xfId="0" applyFont="1" applyFill="1" applyBorder="1" applyAlignment="1">
      <alignment horizontal="left"/>
    </xf>
    <xf numFmtId="165" fontId="10" fillId="0" borderId="4" xfId="5" applyNumberFormat="1" applyFont="1" applyBorder="1" applyAlignment="1">
      <alignment horizontal="center" vertical="top"/>
    </xf>
    <xf numFmtId="167" fontId="10" fillId="0" borderId="3" xfId="1" applyNumberFormat="1" applyFont="1" applyFill="1" applyBorder="1" applyAlignment="1">
      <alignment horizontal="center" vertical="center"/>
    </xf>
    <xf numFmtId="165" fontId="10" fillId="0" borderId="4" xfId="5" applyNumberFormat="1" applyFont="1" applyFill="1" applyBorder="1" applyAlignment="1">
      <alignment horizontal="center" vertical="top"/>
    </xf>
    <xf numFmtId="167" fontId="10" fillId="0" borderId="3" xfId="0" applyNumberFormat="1" applyFont="1" applyFill="1" applyBorder="1" applyAlignment="1">
      <alignment horizontal="center" vertical="center"/>
    </xf>
    <xf numFmtId="165" fontId="11" fillId="0" borderId="0" xfId="5" applyNumberFormat="1" applyFont="1" applyBorder="1" applyAlignment="1">
      <alignment horizontal="center" vertical="top"/>
    </xf>
    <xf numFmtId="3" fontId="5" fillId="0" borderId="0" xfId="3" applyNumberFormat="1" applyFont="1" applyFill="1" applyBorder="1" applyAlignment="1">
      <alignment horizontal="center" vertical="center" wrapText="1"/>
    </xf>
    <xf numFmtId="0" fontId="4" fillId="0" borderId="0" xfId="6" applyFont="1" applyFill="1" applyBorder="1" applyAlignment="1">
      <alignment horizontal="center" vertical="center" wrapText="1"/>
    </xf>
    <xf numFmtId="167" fontId="11" fillId="0" borderId="0" xfId="1" applyNumberFormat="1" applyFont="1" applyFill="1" applyBorder="1" applyAlignment="1">
      <alignment horizontal="center" vertical="center"/>
    </xf>
    <xf numFmtId="165" fontId="11" fillId="0" borderId="0" xfId="5" applyNumberFormat="1" applyFont="1" applyFill="1" applyBorder="1" applyAlignment="1">
      <alignment horizontal="center" vertical="top"/>
    </xf>
    <xf numFmtId="0" fontId="6" fillId="0" borderId="0" xfId="4" applyFont="1" applyFill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42" fontId="11" fillId="0" borderId="1" xfId="10" applyFont="1" applyBorder="1" applyAlignment="1">
      <alignment horizontal="center" vertical="top"/>
    </xf>
    <xf numFmtId="42" fontId="11" fillId="0" borderId="1" xfId="10" applyFont="1" applyBorder="1" applyAlignment="1">
      <alignment horizontal="right" vertical="top"/>
    </xf>
    <xf numFmtId="42" fontId="11" fillId="0" borderId="1" xfId="10" applyFont="1" applyBorder="1" applyAlignment="1">
      <alignment horizontal="center" vertical="center"/>
    </xf>
    <xf numFmtId="0" fontId="18" fillId="0" borderId="0" xfId="6" applyFont="1" applyFill="1" applyBorder="1" applyAlignment="1">
      <alignment horizontal="center" vertical="center" wrapText="1"/>
    </xf>
    <xf numFmtId="166" fontId="18" fillId="0" borderId="0" xfId="6" applyNumberFormat="1" applyFont="1" applyFill="1" applyBorder="1" applyAlignment="1">
      <alignment horizontal="center" vertical="center" wrapText="1"/>
    </xf>
    <xf numFmtId="168" fontId="12" fillId="0" borderId="0" xfId="0" applyNumberFormat="1" applyFont="1" applyFill="1" applyBorder="1" applyAlignment="1">
      <alignment horizontal="center" vertical="center"/>
    </xf>
    <xf numFmtId="0" fontId="19" fillId="0" borderId="0" xfId="0" applyFont="1"/>
    <xf numFmtId="0" fontId="6" fillId="0" borderId="0" xfId="4" applyFont="1" applyFill="1" applyBorder="1" applyAlignment="1">
      <alignment vertical="center"/>
    </xf>
    <xf numFmtId="167" fontId="11" fillId="0" borderId="7" xfId="1" applyNumberFormat="1" applyFont="1" applyBorder="1" applyAlignment="1">
      <alignment horizontal="center" vertical="center"/>
    </xf>
    <xf numFmtId="165" fontId="11" fillId="0" borderId="10" xfId="5" applyNumberFormat="1" applyFont="1" applyBorder="1" applyAlignment="1">
      <alignment horizontal="center" vertical="top"/>
    </xf>
    <xf numFmtId="167" fontId="11" fillId="0" borderId="2" xfId="1" applyNumberFormat="1" applyFont="1" applyBorder="1" applyAlignment="1">
      <alignment horizontal="center" vertical="center"/>
    </xf>
    <xf numFmtId="165" fontId="11" fillId="0" borderId="2" xfId="5" applyNumberFormat="1" applyFont="1" applyBorder="1" applyAlignment="1">
      <alignment horizontal="center" vertical="top"/>
    </xf>
    <xf numFmtId="0" fontId="7" fillId="0" borderId="0" xfId="2" applyFont="1" applyFill="1" applyBorder="1" applyAlignment="1">
      <alignment vertical="center" wrapText="1"/>
    </xf>
    <xf numFmtId="167" fontId="11" fillId="0" borderId="5" xfId="1" applyNumberFormat="1" applyFont="1" applyBorder="1" applyAlignment="1">
      <alignment horizontal="center" vertical="center"/>
    </xf>
    <xf numFmtId="165" fontId="11" fillId="0" borderId="6" xfId="5" applyNumberFormat="1" applyFont="1" applyBorder="1" applyAlignment="1">
      <alignment horizontal="center" vertical="top"/>
    </xf>
    <xf numFmtId="42" fontId="10" fillId="0" borderId="3" xfId="10" applyFont="1" applyFill="1" applyBorder="1" applyAlignment="1">
      <alignment horizontal="center" vertical="center"/>
    </xf>
    <xf numFmtId="42" fontId="10" fillId="0" borderId="3" xfId="0" applyNumberFormat="1" applyFont="1" applyFill="1" applyBorder="1" applyAlignment="1">
      <alignment horizontal="center" vertical="center"/>
    </xf>
    <xf numFmtId="167" fontId="11" fillId="0" borderId="3" xfId="0" applyNumberFormat="1" applyFont="1" applyBorder="1" applyAlignment="1">
      <alignment horizontal="center" vertical="center"/>
    </xf>
    <xf numFmtId="42" fontId="11" fillId="0" borderId="3" xfId="10" applyFont="1" applyBorder="1" applyAlignment="1">
      <alignment horizontal="center" vertical="center"/>
    </xf>
    <xf numFmtId="167" fontId="16" fillId="0" borderId="0" xfId="0" applyNumberFormat="1" applyFont="1" applyBorder="1" applyAlignment="1">
      <alignment horizontal="center" vertical="center"/>
    </xf>
    <xf numFmtId="165" fontId="16" fillId="0" borderId="0" xfId="5" applyNumberFormat="1" applyFont="1" applyBorder="1" applyAlignment="1">
      <alignment horizontal="center" vertical="top"/>
    </xf>
    <xf numFmtId="0" fontId="15" fillId="4" borderId="11" xfId="0" applyFont="1" applyFill="1" applyBorder="1" applyAlignment="1">
      <alignment horizontal="left"/>
    </xf>
    <xf numFmtId="0" fontId="15" fillId="4" borderId="12" xfId="0" applyFont="1" applyFill="1" applyBorder="1" applyAlignment="1">
      <alignment horizontal="left"/>
    </xf>
    <xf numFmtId="167" fontId="10" fillId="0" borderId="1" xfId="0" applyNumberFormat="1" applyFont="1" applyFill="1" applyBorder="1" applyAlignment="1">
      <alignment horizontal="center" vertical="center"/>
    </xf>
    <xf numFmtId="42" fontId="10" fillId="0" borderId="1" xfId="10" applyFont="1" applyFill="1" applyBorder="1" applyAlignment="1">
      <alignment horizontal="center" vertical="center"/>
    </xf>
    <xf numFmtId="42" fontId="10" fillId="0" borderId="1" xfId="0" applyNumberFormat="1" applyFont="1" applyFill="1" applyBorder="1" applyAlignment="1">
      <alignment horizontal="center" vertical="center"/>
    </xf>
    <xf numFmtId="42" fontId="10" fillId="0" borderId="1" xfId="10" applyFont="1" applyBorder="1" applyAlignment="1">
      <alignment horizontal="center" vertical="top"/>
    </xf>
    <xf numFmtId="42" fontId="20" fillId="2" borderId="1" xfId="1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19" fillId="0" borderId="0" xfId="0" applyFont="1" applyBorder="1"/>
    <xf numFmtId="3" fontId="22" fillId="2" borderId="1" xfId="7" applyNumberFormat="1" applyFont="1" applyFill="1" applyBorder="1" applyAlignment="1">
      <alignment horizontal="center" vertical="center"/>
    </xf>
    <xf numFmtId="42" fontId="22" fillId="2" borderId="1" xfId="10" applyFont="1" applyFill="1" applyBorder="1" applyAlignment="1">
      <alignment horizontal="right" vertical="center"/>
    </xf>
    <xf numFmtId="0" fontId="23" fillId="3" borderId="5" xfId="0" applyFont="1" applyFill="1" applyBorder="1"/>
    <xf numFmtId="3" fontId="20" fillId="2" borderId="1" xfId="7" applyNumberFormat="1" applyFont="1" applyFill="1" applyBorder="1" applyAlignment="1">
      <alignment horizontal="center" vertical="center"/>
    </xf>
    <xf numFmtId="0" fontId="22" fillId="2" borderId="0" xfId="7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vertical="center"/>
    </xf>
    <xf numFmtId="3" fontId="20" fillId="2" borderId="0" xfId="7" applyNumberFormat="1" applyFont="1" applyFill="1" applyBorder="1" applyAlignment="1">
      <alignment horizontal="center" vertical="center"/>
    </xf>
    <xf numFmtId="168" fontId="20" fillId="2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42" fontId="19" fillId="0" borderId="0" xfId="10" applyFont="1"/>
    <xf numFmtId="0" fontId="19" fillId="0" borderId="1" xfId="0" applyFont="1" applyBorder="1"/>
    <xf numFmtId="0" fontId="24" fillId="0" borderId="0" xfId="0" applyFont="1" applyBorder="1" applyAlignment="1">
      <alignment horizontal="left"/>
    </xf>
    <xf numFmtId="167" fontId="11" fillId="2" borderId="0" xfId="7" applyNumberFormat="1" applyFont="1" applyFill="1" applyAlignment="1">
      <alignment vertical="center"/>
    </xf>
    <xf numFmtId="165" fontId="11" fillId="2" borderId="0" xfId="7" applyNumberFormat="1" applyFont="1" applyFill="1" applyAlignment="1">
      <alignment vertical="center"/>
    </xf>
    <xf numFmtId="0" fontId="19" fillId="0" borderId="9" xfId="0" applyFont="1" applyBorder="1"/>
    <xf numFmtId="0" fontId="16" fillId="0" borderId="0" xfId="4" applyFont="1" applyFill="1" applyBorder="1" applyAlignment="1">
      <alignment horizontal="center" vertical="center" wrapText="1"/>
    </xf>
    <xf numFmtId="165" fontId="16" fillId="0" borderId="0" xfId="5" applyNumberFormat="1" applyFont="1" applyFill="1" applyBorder="1" applyAlignment="1">
      <alignment horizontal="center" vertical="center" wrapText="1"/>
    </xf>
    <xf numFmtId="0" fontId="25" fillId="0" borderId="0" xfId="0" applyFont="1"/>
    <xf numFmtId="167" fontId="19" fillId="0" borderId="0" xfId="0" applyNumberFormat="1" applyFont="1"/>
    <xf numFmtId="0" fontId="26" fillId="5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/>
    </xf>
    <xf numFmtId="0" fontId="23" fillId="3" borderId="11" xfId="0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7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16" fillId="0" borderId="0" xfId="4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11">
    <cellStyle name="_DESPLAZADOS-OPSR 2" xfId="4"/>
    <cellStyle name="Millares" xfId="1" builtinId="3"/>
    <cellStyle name="Moneda [0]" xfId="10" builtinId="7"/>
    <cellStyle name="Moneda 13" xfId="5"/>
    <cellStyle name="Normal" xfId="0" builtinId="0"/>
    <cellStyle name="Normal 12" xfId="9"/>
    <cellStyle name="Normal 7" xfId="7"/>
    <cellStyle name="Normal 8" xfId="8"/>
    <cellStyle name="Normal_FAMILIAS ACCION DESPLAZADOS_FA DESPLAZADOS" xfId="6"/>
    <cellStyle name="Normal_FAMILIAS EN ACCION SISBEN Y DESPLAZADOS_FA S-D-I" xfId="2"/>
    <cellStyle name="Normal_FAMILIAS EN ACCION-SISBEN1" xfId="3"/>
  </cellStyles>
  <dxfs count="14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  <border diagonalUp="0" diagonalDown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  <vertical style="thin">
          <color theme="5" tint="-0.499984740745262"/>
        </vertical>
        <horizontal style="thin">
          <color theme="5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  <border diagonalUp="0" diagonalDown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  <vertical style="thin">
          <color theme="5" tint="-0.499984740745262"/>
        </vertical>
        <horizontal style="thin">
          <color theme="5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  <border diagonalUp="0" diagonalDown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  <vertical style="thin">
          <color theme="5" tint="-0.499984740745262"/>
        </vertical>
        <horizontal style="thin">
          <color theme="5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</font>
      <alignment horizontal="left" vertical="bottom" textRotation="0" wrapText="0" indent="0" justifyLastLine="0" shrinkToFit="0" readingOrder="0"/>
      <border diagonalUp="0" diagonalDown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  <vertical style="thin">
          <color theme="5" tint="-0.499984740745262"/>
        </vertical>
        <horizontal style="thin">
          <color theme="5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</font>
      <alignment horizontal="left" vertical="bottom" textRotation="0" wrapText="0" indent="0" justifyLastLine="0" shrinkToFit="0" readingOrder="0"/>
      <border diagonalUp="0" diagonalDown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  <vertical style="thin">
          <color theme="5" tint="-0.499984740745262"/>
        </vertical>
        <horizontal style="thin">
          <color theme="5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5" tint="-0.499984740745262"/>
        </left>
        <right style="thin">
          <color theme="5" tint="-0.499984740745262"/>
        </right>
        <top/>
        <bottom/>
        <vertical style="thin">
          <color theme="5" tint="-0.499984740745262"/>
        </vertical>
        <horizontal style="thin">
          <color theme="5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  <border diagonalUp="0" diagonalDown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  <vertical style="thin">
          <color theme="5" tint="-0.499984740745262"/>
        </vertical>
        <horizontal style="thin">
          <color theme="5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5" tint="-0.499984740745262"/>
        </left>
        <right style="thin">
          <color theme="5" tint="-0.499984740745262"/>
        </right>
        <top/>
        <bottom/>
        <vertical style="thin">
          <color theme="5" tint="-0.499984740745262"/>
        </vertical>
        <horizontal style="thin">
          <color theme="5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  <border diagonalUp="0" diagonalDown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  <vertical style="thin">
          <color theme="5" tint="-0.499984740745262"/>
        </vertical>
        <horizontal style="thin">
          <color theme="5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5" tint="-0.499984740745262"/>
        </left>
        <right style="thin">
          <color theme="5" tint="-0.499984740745262"/>
        </right>
        <top/>
        <bottom/>
        <vertical style="thin">
          <color theme="5" tint="-0.499984740745262"/>
        </vertical>
        <horizontal style="thin">
          <color theme="5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  <border diagonalUp="0" diagonalDown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  <vertical style="thin">
          <color theme="5" tint="-0.499984740745262"/>
        </vertical>
        <horizontal style="thin">
          <color theme="5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5" tint="-0.499984740745262"/>
        </left>
        <right style="thin">
          <color theme="5" tint="-0.499984740745262"/>
        </right>
        <top/>
        <bottom/>
        <vertical style="thin">
          <color theme="5" tint="-0.499984740745262"/>
        </vertical>
        <horizontal style="thin">
          <color theme="5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_(&quot;$&quot;\ * #,##0_);_(&quot;$&quot;\ * \(#,##0\);_(&quot;$&quot;\ 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4" tint="0.59999389629810485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a3" displayName="Tabla3" ref="B7:H14" totalsRowCount="1" headerRowDxfId="1409" dataDxfId="1408" headerRowCellStyle="_DESPLAZADOS-OPSR 2" dataCellStyle="Millares">
  <autoFilter ref="B7:H13"/>
  <tableColumns count="7">
    <tableColumn id="1" name="AÑO" dataDxfId="1407" totalsRowDxfId="1406"/>
    <tableColumn id="2" name="FAMILIAS" dataDxfId="1405" totalsRowDxfId="1404" dataCellStyle="Millares"/>
    <tableColumn id="3" name="TOTAL NNA" dataDxfId="1403" totalsRowDxfId="1402" dataCellStyle="Millares"/>
    <tableColumn id="4" name="NNA NUTRICION" dataDxfId="1401" totalsRowDxfId="1400" dataCellStyle="Millares"/>
    <tableColumn id="5" name="NNA EDUCACIÓN " dataDxfId="1399" totalsRowDxfId="1398" dataCellStyle="Millares"/>
    <tableColumn id="6" name="NN 0-5 AÑOS" dataDxfId="1397" totalsRowDxfId="1396" dataCellStyle="Millares"/>
    <tableColumn id="7" name="TOTAL VALOR LIQUIDADO" totalsRowFunction="custom" dataDxfId="1395" totalsRowDxfId="1394" dataCellStyle="Moneda 13">
      <totalsRowFormula>SUM(H8:H13)</totalsRowFormula>
    </tableColumn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id="20" name="Tabla3514151617181921" displayName="Tabla3514151617181921" ref="B99:H106" totalsRowCount="1" headerRowDxfId="1263" dataDxfId="1262" headerRowCellStyle="_DESPLAZADOS-OPSR 2" dataCellStyle="Millares">
  <autoFilter ref="B99:H105"/>
  <tableColumns count="7">
    <tableColumn id="1" name="AÑO" dataDxfId="1261" totalsRowDxfId="1260"/>
    <tableColumn id="2" name="FAMILIAS" dataDxfId="1259" totalsRowDxfId="1258" dataCellStyle="Millares"/>
    <tableColumn id="3" name="TOTAL NNA" dataDxfId="1257" totalsRowDxfId="1256" dataCellStyle="Millares"/>
    <tableColumn id="4" name="NNA NUTRICION" dataDxfId="1255" totalsRowDxfId="1254" dataCellStyle="Millares"/>
    <tableColumn id="5" name="NNA EDUCACIÓN " dataDxfId="1253" totalsRowDxfId="1252" dataCellStyle="Millares"/>
    <tableColumn id="6" name="NN 0-5 AÑOS" dataDxfId="1251" totalsRowDxfId="1250" dataCellStyle="Millares"/>
    <tableColumn id="7" name="TOTAL VALOR LIQUIDADO" totalsRowFunction="custom" dataDxfId="1249" totalsRowDxfId="1248" dataCellStyle="Moneda 13">
      <totalsRowFormula>SUM(Tabla3514151617181921[TOTAL VALOR LIQUIDADO])</totalsRowFormula>
    </tableColumn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id="21" name="Tabla3514151617181922" displayName="Tabla3514151617181922" ref="B109:H116" totalsRowCount="1" headerRowDxfId="1247" dataDxfId="1246" headerRowCellStyle="_DESPLAZADOS-OPSR 2" dataCellStyle="Millares">
  <autoFilter ref="B109:H115"/>
  <tableColumns count="7">
    <tableColumn id="1" name="AÑO" dataDxfId="1245" totalsRowDxfId="1244"/>
    <tableColumn id="2" name="FAMILIAS" dataDxfId="1243" totalsRowDxfId="1242" dataCellStyle="Millares"/>
    <tableColumn id="3" name="TOTAL NNA" dataDxfId="1241" totalsRowDxfId="1240" dataCellStyle="Millares"/>
    <tableColumn id="4" name="NNA NUTRICION" dataDxfId="1239" totalsRowDxfId="1238" dataCellStyle="Millares"/>
    <tableColumn id="5" name="NNA EDUCACIÓN " dataDxfId="1237" totalsRowDxfId="1236" dataCellStyle="Millares"/>
    <tableColumn id="6" name="NN 0-5 AÑOS" dataDxfId="1235" totalsRowDxfId="1234" dataCellStyle="Millares"/>
    <tableColumn id="7" name="TOTAL VALOR LIQUIDADO" totalsRowFunction="custom" dataDxfId="1233" totalsRowDxfId="1232" dataCellStyle="Moneda 13">
      <totalsRowFormula>SUM(Tabla3514151617181922[TOTAL VALOR LIQUIDADO])</totalsRowFormula>
    </tableColumn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id="1" name="Tabla1" displayName="Tabla1" ref="J8:O13" totalsRowCount="1" headerRowDxfId="1231" dataDxfId="1229" headerRowBorderDxfId="1230" tableBorderDxfId="1228" totalsRowBorderDxfId="1227" headerRowCellStyle="_DESPLAZADOS-OPSR 2" dataCellStyle="Millares">
  <autoFilter ref="J8:O12"/>
  <tableColumns count="6">
    <tableColumn id="1" name="GRUPO POBLACIONAL" totalsRowLabel="TOTALES" dataDxfId="1226" totalsRowDxfId="1225"/>
    <tableColumn id="2" name="FAMILIAS" totalsRowFunction="custom" dataDxfId="1224" totalsRowDxfId="1223" dataCellStyle="Millares">
      <totalsRowFormula>SUM(K9:K12)</totalsRowFormula>
    </tableColumn>
    <tableColumn id="3" name="TOTAL NNA" totalsRowFunction="custom" dataDxfId="1222" totalsRowDxfId="1221" dataCellStyle="Millares">
      <totalsRowFormula>SUM(L9:L12)</totalsRowFormula>
    </tableColumn>
    <tableColumn id="4" name="NNA NUTRICION" totalsRowFunction="custom" dataDxfId="1220" totalsRowDxfId="1219" dataCellStyle="Millares">
      <totalsRowFormula>SUM(M9:M12)</totalsRowFormula>
    </tableColumn>
    <tableColumn id="5" name="NNA EDUCACIÓN " totalsRowFunction="custom" dataDxfId="1218" totalsRowDxfId="1217" dataCellStyle="Millares">
      <totalsRowFormula>SUM(N9:N12)</totalsRowFormula>
    </tableColumn>
    <tableColumn id="6" name="TOTAL VALOR LIQUIDADO" totalsRowFunction="custom" dataDxfId="1216" totalsRowDxfId="1215" dataCellStyle="Moneda 13">
      <totalsRowFormula>SUM(Tabla1[TOTAL VALOR LIQUIDADO])</totalsRowFormula>
    </tableColumn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id="2" name="Tabla13" displayName="Tabla13" ref="Q8:W13" totalsRowCount="1" headerRowDxfId="1214" dataDxfId="1212" headerRowBorderDxfId="1213" tableBorderDxfId="1211" totalsRowBorderDxfId="1210" headerRowCellStyle="_DESPLAZADOS-OPSR 2" dataCellStyle="Millares">
  <autoFilter ref="Q8:W12"/>
  <tableColumns count="7">
    <tableColumn id="1" name="GRUPO POBLACIONAL" totalsRowLabel="TOTALES" dataDxfId="1209" totalsRowDxfId="1208"/>
    <tableColumn id="2" name="FAMILIAS" totalsRowFunction="custom" dataDxfId="1207" totalsRowDxfId="1206" dataCellStyle="Millares">
      <totalsRowFormula>SUM(Tabla13[FAMILIAS])</totalsRowFormula>
    </tableColumn>
    <tableColumn id="3" name="TOTAL NNA" totalsRowFunction="custom" dataDxfId="1205" totalsRowDxfId="1204" dataCellStyle="Millares">
      <totalsRowFormula>SUM(Tabla13[TOTAL NNA])</totalsRowFormula>
    </tableColumn>
    <tableColumn id="4" name="NNA NUTRICION" totalsRowFunction="custom" dataDxfId="1203" totalsRowDxfId="1202" dataCellStyle="Millares">
      <totalsRowFormula>SUM(Tabla13[NNA NUTRICION])</totalsRowFormula>
    </tableColumn>
    <tableColumn id="5" name="NNA EDUCACIÓN " totalsRowFunction="custom" dataDxfId="1201" totalsRowDxfId="1200" dataCellStyle="Millares">
      <totalsRowFormula>SUM(Tabla13[[NNA EDUCACIÓN ]])</totalsRowFormula>
    </tableColumn>
    <tableColumn id="7" name="NN 0-5 AÑOS" totalsRowFunction="custom" dataDxfId="1199" totalsRowDxfId="1198" dataCellStyle="Millares">
      <totalsRowFormula>SUM(Tabla13[NN 0-5 AÑOS])</totalsRowFormula>
    </tableColumn>
    <tableColumn id="6" name="TOTAL VALOR LIQUIDADO" totalsRowFunction="custom" dataDxfId="1197" totalsRowDxfId="1196" dataCellStyle="Moneda 13">
      <totalsRowFormula>SUM(Tabla13[TOTAL VALOR LIQUIDADO])</totalsRowFormula>
    </tableColumn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id="5" name="Tabla136" displayName="Tabla136" ref="Y8:AE13" totalsRowCount="1" headerRowDxfId="1195" dataDxfId="1193" headerRowBorderDxfId="1194" tableBorderDxfId="1192" totalsRowBorderDxfId="1191" headerRowCellStyle="_DESPLAZADOS-OPSR 2" dataCellStyle="Millares">
  <autoFilter ref="Y8:AE12"/>
  <tableColumns count="7">
    <tableColumn id="1" name="GRUPO POBLACIONAL" totalsRowLabel="TOTALES" dataDxfId="1190" totalsRowDxfId="1189"/>
    <tableColumn id="2" name="FAMILIAS" totalsRowLabel="3.532 " dataDxfId="1188" totalsRowDxfId="1187" dataCellStyle="Millares"/>
    <tableColumn id="3" name="TOTAL NNA" totalsRowLabel="6.616 " dataDxfId="1186" totalsRowDxfId="1185" dataCellStyle="Millares"/>
    <tableColumn id="4" name="NNA NUTRICION" totalsRowLabel="2.401 " dataDxfId="1184" totalsRowDxfId="1183" dataCellStyle="Millares"/>
    <tableColumn id="5" name="NNA EDUCACIÓN " totalsRowLabel="4.215 " dataDxfId="1182" totalsRowDxfId="1181" dataCellStyle="Millares"/>
    <tableColumn id="7" name="NN 0-5 AÑOS" totalsRowLabel="1.975 " dataDxfId="1180" totalsRowDxfId="1179" dataCellStyle="Millares"/>
    <tableColumn id="6" name="TOTAL VALOR LIQUIDADO" totalsRowLabel=" $ 2.893.012.500 " dataDxfId="1178" totalsRowDxfId="1177" dataCellStyle="Moneda [0]"/>
  </tableColumns>
  <tableStyleInfo name="TableStyleMedium3" showFirstColumn="0" showLastColumn="0" showRowStripes="1" showColumnStripes="0"/>
</table>
</file>

<file path=xl/tables/table15.xml><?xml version="1.0" encoding="utf-8"?>
<table xmlns="http://schemas.openxmlformats.org/spreadsheetml/2006/main" id="6" name="Tabla1367" displayName="Tabla1367" ref="AG8:AM13" totalsRowCount="1" headerRowDxfId="1176" dataDxfId="1174" headerRowBorderDxfId="1175" tableBorderDxfId="1173" totalsRowBorderDxfId="1172" headerRowCellStyle="_DESPLAZADOS-OPSR 2" dataCellStyle="Millares">
  <autoFilter ref="AG8:AM12"/>
  <tableColumns count="7">
    <tableColumn id="1" name="GRUPO POBLACIONAL" totalsRowLabel="TOTALES" dataDxfId="1171" totalsRowDxfId="1170"/>
    <tableColumn id="2" name="FAMILIAS" totalsRowFunction="custom" dataDxfId="1169" totalsRowDxfId="1168" dataCellStyle="Millares">
      <totalsRowFormula>SUM(AH9:AH12)</totalsRowFormula>
    </tableColumn>
    <tableColumn id="3" name="TOTAL NNA" totalsRowFunction="custom" dataDxfId="1167" totalsRowDxfId="1166" dataCellStyle="Millares">
      <totalsRowFormula>SUM(AI9:AI12)</totalsRowFormula>
    </tableColumn>
    <tableColumn id="4" name="NNA NUTRICION" totalsRowFunction="custom" dataDxfId="1165" totalsRowDxfId="1164" dataCellStyle="Millares">
      <totalsRowFormula>SUM(AJ9:AJ12)</totalsRowFormula>
    </tableColumn>
    <tableColumn id="5" name="NNA EDUCACIÓN " totalsRowFunction="custom" dataDxfId="1163" totalsRowDxfId="1162" dataCellStyle="Millares">
      <totalsRowFormula>SUM(AK9:AK12)</totalsRowFormula>
    </tableColumn>
    <tableColumn id="7" name="NN 0-5 AÑOS" totalsRowFunction="custom" dataDxfId="1161" totalsRowDxfId="1160" dataCellStyle="Millares">
      <totalsRowFormula>SUM(AL9:AL12)</totalsRowFormula>
    </tableColumn>
    <tableColumn id="6" name="TOTAL VALOR LIQUIDADO" totalsRowFunction="custom" dataDxfId="1159" totalsRowDxfId="1158" dataCellStyle="Moneda [0]">
      <totalsRowFormula>SUM(AM9:AM12)</totalsRowFormula>
    </tableColumn>
  </tableColumns>
  <tableStyleInfo name="TableStyleMedium3" showFirstColumn="0" showLastColumn="0" showRowStripes="1" showColumnStripes="0"/>
</table>
</file>

<file path=xl/tables/table16.xml><?xml version="1.0" encoding="utf-8"?>
<table xmlns="http://schemas.openxmlformats.org/spreadsheetml/2006/main" id="7" name="Tabla13678" displayName="Tabla13678" ref="AO8:AU13" totalsRowCount="1" headerRowDxfId="1157" dataDxfId="1155" headerRowBorderDxfId="1156" tableBorderDxfId="1154" totalsRowBorderDxfId="1153" headerRowCellStyle="_DESPLAZADOS-OPSR 2" dataCellStyle="Millares">
  <autoFilter ref="AO8:AU12"/>
  <tableColumns count="7">
    <tableColumn id="1" name="GRUPO POBLACIONAL" totalsRowLabel="TOTALES" dataDxfId="1152" totalsRowDxfId="1151"/>
    <tableColumn id="2" name="FAMILIAS" totalsRowFunction="custom" dataDxfId="1150" totalsRowDxfId="1149" dataCellStyle="Millares">
      <totalsRowFormula>SUM(Tabla13678[FAMILIAS])</totalsRowFormula>
    </tableColumn>
    <tableColumn id="3" name="TOTAL NNA" totalsRowFunction="custom" dataDxfId="1148" totalsRowDxfId="1147" dataCellStyle="Millares">
      <totalsRowFormula>SUM(Tabla13678[TOTAL NNA])</totalsRowFormula>
    </tableColumn>
    <tableColumn id="4" name="NNA NUTRICION" totalsRowFunction="custom" dataDxfId="1146" totalsRowDxfId="1145" dataCellStyle="Millares">
      <totalsRowFormula>SUM(Tabla13678[NNA NUTRICION])</totalsRowFormula>
    </tableColumn>
    <tableColumn id="5" name="NNA EDUCACIÓN " totalsRowFunction="custom" dataDxfId="1144" totalsRowDxfId="1143" dataCellStyle="Millares">
      <totalsRowFormula>SUM(Tabla13678[[NNA EDUCACIÓN ]])</totalsRowFormula>
    </tableColumn>
    <tableColumn id="7" name="NN 0-5 AÑOS" totalsRowFunction="custom" dataDxfId="1142" totalsRowDxfId="1141" dataCellStyle="Millares">
      <totalsRowFormula>SUM(Tabla13678[NN 0-5 AÑOS])</totalsRowFormula>
    </tableColumn>
    <tableColumn id="6" name="TOTAL VALOR LIQUIDADO" totalsRowFunction="custom" dataDxfId="1140" totalsRowDxfId="1139" dataCellStyle="Moneda [0]">
      <totalsRowFormula>SUM(Tabla13678[TOTAL VALOR LIQUIDADO])</totalsRowFormula>
    </tableColumn>
  </tableColumns>
  <tableStyleInfo name="TableStyleMedium3" showFirstColumn="0" showLastColumn="0" showRowStripes="1" showColumnStripes="0"/>
</table>
</file>

<file path=xl/tables/table17.xml><?xml version="1.0" encoding="utf-8"?>
<table xmlns="http://schemas.openxmlformats.org/spreadsheetml/2006/main" id="8" name="Tabla136789" displayName="Tabla136789" ref="AW8:BC13" totalsRowCount="1" headerRowDxfId="1138" dataDxfId="1136" headerRowBorderDxfId="1137" tableBorderDxfId="1135" totalsRowBorderDxfId="1134" headerRowCellStyle="_DESPLAZADOS-OPSR 2" dataCellStyle="Millares">
  <autoFilter ref="AW8:BC12"/>
  <tableColumns count="7">
    <tableColumn id="1" name="GRUPO POBLACIONAL" totalsRowLabel="TOTALES" dataDxfId="1133" totalsRowDxfId="1132"/>
    <tableColumn id="2" name="FAMILIAS" totalsRowFunction="custom" dataDxfId="1131" totalsRowDxfId="1130" dataCellStyle="Millares">
      <totalsRowFormula>SUM(Tabla136789[FAMILIAS])</totalsRowFormula>
    </tableColumn>
    <tableColumn id="3" name="TOTAL NNA" totalsRowFunction="custom" dataDxfId="1129" totalsRowDxfId="1128" dataCellStyle="Millares">
      <totalsRowFormula>SUM(Tabla136789[TOTAL NNA])</totalsRowFormula>
    </tableColumn>
    <tableColumn id="4" name="NNA NUTRICION" totalsRowFunction="custom" dataDxfId="1127" totalsRowDxfId="1126" dataCellStyle="Millares">
      <totalsRowFormula>SUM(Tabla136789[NNA NUTRICION])</totalsRowFormula>
    </tableColumn>
    <tableColumn id="5" name="NNA EDUCACIÓN " totalsRowFunction="custom" dataDxfId="1125" totalsRowDxfId="1124" dataCellStyle="Millares">
      <totalsRowFormula>SUM(Tabla136789[[NNA EDUCACIÓN ]])</totalsRowFormula>
    </tableColumn>
    <tableColumn id="7" name="NN 0-5 AÑOS" totalsRowFunction="custom" dataDxfId="1123" totalsRowDxfId="1122" dataCellStyle="Millares">
      <totalsRowFormula>SUM(Tabla136789[NN 0-5 AÑOS])</totalsRowFormula>
    </tableColumn>
    <tableColumn id="6" name="TOTAL VALOR LIQUIDADO" totalsRowFunction="custom" dataDxfId="1121" totalsRowDxfId="1120" dataCellStyle="Moneda [0]">
      <totalsRowFormula>SUM(Tabla136789[TOTAL VALOR LIQUIDADO])</totalsRowFormula>
    </tableColumn>
  </tableColumns>
  <tableStyleInfo name="TableStyleMedium3" showFirstColumn="0" showLastColumn="0" showRowStripes="1" showColumnStripes="0"/>
</table>
</file>

<file path=xl/tables/table18.xml><?xml version="1.0" encoding="utf-8"?>
<table xmlns="http://schemas.openxmlformats.org/spreadsheetml/2006/main" id="9" name="Tabla110" displayName="Tabla110" ref="J20:O25" totalsRowCount="1" headerRowDxfId="1119" dataDxfId="1117" headerRowBorderDxfId="1118" tableBorderDxfId="1116" totalsRowBorderDxfId="1115" headerRowCellStyle="_DESPLAZADOS-OPSR 2" dataCellStyle="Millares">
  <autoFilter ref="J20:O24"/>
  <tableColumns count="6">
    <tableColumn id="1" name="GRUPO POBLACIONAL" totalsRowLabel="TOTALES" dataDxfId="1114" totalsRowDxfId="1113"/>
    <tableColumn id="2" name="FAMILIAS" totalsRowFunction="custom" dataDxfId="1112" totalsRowDxfId="1111" dataCellStyle="Millares">
      <totalsRowFormula>SUM(Tabla110[FAMILIAS])</totalsRowFormula>
    </tableColumn>
    <tableColumn id="3" name="TOTAL NNA" totalsRowFunction="custom" dataDxfId="1110" totalsRowDxfId="1109" dataCellStyle="Millares">
      <totalsRowFormula>SUM(Tabla110[TOTAL NNA])</totalsRowFormula>
    </tableColumn>
    <tableColumn id="4" name="NNA NUTRICION" totalsRowFunction="custom" dataDxfId="1108" totalsRowDxfId="1107" dataCellStyle="Millares">
      <totalsRowFormula>SUM(Tabla110[NNA NUTRICION])</totalsRowFormula>
    </tableColumn>
    <tableColumn id="5" name="NNA EDUCACIÓN " totalsRowFunction="custom" dataDxfId="1106" totalsRowDxfId="1105" dataCellStyle="Millares">
      <totalsRowFormula>SUM(Tabla110[[NNA EDUCACIÓN ]])</totalsRowFormula>
    </tableColumn>
    <tableColumn id="6" name="TOTAL VALOR LIQUIDADO" totalsRowFunction="custom" dataDxfId="1104" totalsRowDxfId="1103" dataCellStyle="Moneda 13">
      <totalsRowFormula>SUM(Tabla110[TOTAL VALOR LIQUIDADO])</totalsRowFormula>
    </tableColumn>
  </tableColumns>
  <tableStyleInfo name="TableStyleMedium3" showFirstColumn="0" showLastColumn="0" showRowStripes="1" showColumnStripes="0"/>
</table>
</file>

<file path=xl/tables/table19.xml><?xml version="1.0" encoding="utf-8"?>
<table xmlns="http://schemas.openxmlformats.org/spreadsheetml/2006/main" id="10" name="Tabla1311" displayName="Tabla1311" ref="Q20:W25" totalsRowCount="1" headerRowDxfId="1102" dataDxfId="1100" headerRowBorderDxfId="1101" tableBorderDxfId="1099" totalsRowBorderDxfId="1098" headerRowCellStyle="_DESPLAZADOS-OPSR 2" dataCellStyle="Millares">
  <autoFilter ref="Q20:W24"/>
  <tableColumns count="7">
    <tableColumn id="1" name="GRUPO POBLACIONAL" totalsRowLabel="TOTALES" dataDxfId="1097" totalsRowDxfId="1096"/>
    <tableColumn id="2" name="FAMILIAS" totalsRowFunction="custom" dataDxfId="1095" totalsRowDxfId="1094" dataCellStyle="Millares">
      <totalsRowFormula>SUM(Tabla1311[FAMILIAS])</totalsRowFormula>
    </tableColumn>
    <tableColumn id="3" name="TOTAL NNA" totalsRowFunction="custom" dataDxfId="1093" totalsRowDxfId="1092" dataCellStyle="Millares">
      <totalsRowFormula>SUM(Tabla1311[TOTAL NNA])</totalsRowFormula>
    </tableColumn>
    <tableColumn id="4" name="NNA NUTRICION" totalsRowFunction="custom" dataDxfId="1091" totalsRowDxfId="1090" dataCellStyle="Millares">
      <totalsRowFormula>SUM(Tabla1311[NNA NUTRICION])</totalsRowFormula>
    </tableColumn>
    <tableColumn id="5" name="NNA EDUCACIÓN " totalsRowFunction="custom" dataDxfId="1089" totalsRowDxfId="1088" dataCellStyle="Millares">
      <totalsRowFormula>SUM(Tabla1311[[NNA EDUCACIÓN ]])</totalsRowFormula>
    </tableColumn>
    <tableColumn id="7" name="NN 0-5 AÑOS" totalsRowFunction="custom" dataDxfId="1087" totalsRowDxfId="1086" dataCellStyle="Millares">
      <totalsRowFormula>SUM(Tabla1311[NN 0-5 AÑOS])</totalsRowFormula>
    </tableColumn>
    <tableColumn id="6" name="TOTAL VALOR LIQUIDADO" totalsRowFunction="custom" dataDxfId="1085" totalsRowDxfId="1084" dataCellStyle="Moneda 13">
      <totalsRowFormula>SUM(Tabla1311[TOTAL VALOR LIQUIDADO])</totalsRowFormula>
    </tableColumn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4" name="Tabla35" displayName="Tabla35" ref="B19:H26" totalsRowCount="1" headerRowDxfId="1393" dataDxfId="1391" headerRowBorderDxfId="1392" tableBorderDxfId="1390" dataCellStyle="Millares">
  <autoFilter ref="B19:H25"/>
  <tableColumns count="7">
    <tableColumn id="1" name="AÑO" dataDxfId="1389" totalsRowDxfId="1388"/>
    <tableColumn id="2" name="FAMILIAS" dataDxfId="1387" totalsRowDxfId="1386" dataCellStyle="Millares"/>
    <tableColumn id="3" name="TOTAL NNA" dataDxfId="1385" totalsRowDxfId="1384" dataCellStyle="Millares"/>
    <tableColumn id="4" name="NNA NUTRICION" dataDxfId="1383" totalsRowDxfId="1382" dataCellStyle="Millares"/>
    <tableColumn id="5" name="NNA EDUCACIÓN " dataDxfId="1381" totalsRowDxfId="1380" dataCellStyle="Millares"/>
    <tableColumn id="6" name="NN 0-5 AÑOS" dataDxfId="1379" totalsRowDxfId="1378" dataCellStyle="Millares"/>
    <tableColumn id="7" name="TOTAL VALOR LIQUIDADO" totalsRowFunction="custom" dataDxfId="1377" totalsRowDxfId="1376" dataCellStyle="Moneda 13">
      <totalsRowFormula>SUM(Tabla35[TOTAL VALOR LIQUIDADO])</totalsRowFormula>
    </tableColumn>
  </tableColumns>
  <tableStyleInfo name="TableStyleMedium3" showFirstColumn="0" showLastColumn="0" showRowStripes="1" showColumnStripes="0"/>
</table>
</file>

<file path=xl/tables/table20.xml><?xml version="1.0" encoding="utf-8"?>
<table xmlns="http://schemas.openxmlformats.org/spreadsheetml/2006/main" id="11" name="Tabla131112" displayName="Tabla131112" ref="Y20:AE25" totalsRowCount="1" headerRowDxfId="1083" dataDxfId="1081" headerRowBorderDxfId="1082" tableBorderDxfId="1080" totalsRowBorderDxfId="1079" headerRowCellStyle="_DESPLAZADOS-OPSR 2" dataCellStyle="Millares">
  <autoFilter ref="Y20:AE24"/>
  <tableColumns count="7">
    <tableColumn id="1" name="GRUPO POBLACIONAL" totalsRowLabel="TOTALES" dataDxfId="1078" totalsRowDxfId="1077"/>
    <tableColumn id="2" name="FAMILIAS" totalsRowFunction="custom" dataDxfId="1076" totalsRowDxfId="1075" dataCellStyle="Millares">
      <totalsRowFormula>SUM(Tabla131112[FAMILIAS])</totalsRowFormula>
    </tableColumn>
    <tableColumn id="3" name="TOTAL NNA" totalsRowFunction="custom" dataDxfId="1074" totalsRowDxfId="1073" dataCellStyle="Millares">
      <totalsRowFormula>SUM(Tabla131112[TOTAL NNA])</totalsRowFormula>
    </tableColumn>
    <tableColumn id="4" name="NNA NUTRICION" totalsRowFunction="custom" dataDxfId="1072" totalsRowDxfId="1071" dataCellStyle="Millares">
      <totalsRowFormula>SUM(Tabla131112[NNA NUTRICION])</totalsRowFormula>
    </tableColumn>
    <tableColumn id="5" name="NNA EDUCACIÓN " totalsRowFunction="custom" dataDxfId="1070" totalsRowDxfId="1069" dataCellStyle="Millares">
      <totalsRowFormula>SUM(Tabla131112[[NNA EDUCACIÓN ]])</totalsRowFormula>
    </tableColumn>
    <tableColumn id="7" name="NN 0-5 AÑOS" totalsRowFunction="custom" dataDxfId="1068" totalsRowDxfId="1067" dataCellStyle="Millares">
      <totalsRowFormula>SUM(Tabla131112[NN 0-5 AÑOS])</totalsRowFormula>
    </tableColumn>
    <tableColumn id="6" name="TOTAL VALOR LIQUIDADO" totalsRowFunction="custom" dataDxfId="1066" totalsRowDxfId="1065" dataCellStyle="Moneda 13">
      <totalsRowFormula>SUM(Tabla131112[TOTAL VALOR LIQUIDADO])</totalsRowFormula>
    </tableColumn>
  </tableColumns>
  <tableStyleInfo name="TableStyleMedium3" showFirstColumn="0" showLastColumn="0" showRowStripes="1" showColumnStripes="0"/>
</table>
</file>

<file path=xl/tables/table21.xml><?xml version="1.0" encoding="utf-8"?>
<table xmlns="http://schemas.openxmlformats.org/spreadsheetml/2006/main" id="12" name="Tabla13111213" displayName="Tabla13111213" ref="AG20:AM25" totalsRowCount="1" headerRowDxfId="1064" dataDxfId="1062" headerRowBorderDxfId="1063" tableBorderDxfId="1061" totalsRowBorderDxfId="1060" headerRowCellStyle="_DESPLAZADOS-OPSR 2" dataCellStyle="Millares">
  <autoFilter ref="AG20:AM24"/>
  <tableColumns count="7">
    <tableColumn id="1" name="GRUPO POBLACIONAL" totalsRowLabel="TOTALES" dataDxfId="1059" totalsRowDxfId="1058"/>
    <tableColumn id="2" name="FAMILIAS" totalsRowFunction="custom" dataDxfId="1057" totalsRowDxfId="1056" dataCellStyle="Millares">
      <totalsRowFormula>SUM(Tabla13111213[FAMILIAS])</totalsRowFormula>
    </tableColumn>
    <tableColumn id="3" name="TOTAL NNA" totalsRowFunction="custom" dataDxfId="1055" totalsRowDxfId="1054" dataCellStyle="Millares">
      <totalsRowFormula>SUM(Tabla13111213[TOTAL NNA])</totalsRowFormula>
    </tableColumn>
    <tableColumn id="4" name="NNA NUTRICION" totalsRowFunction="custom" dataDxfId="1053" totalsRowDxfId="1052" dataCellStyle="Millares">
      <totalsRowFormula>SUM(Tabla13111213[NNA NUTRICION])</totalsRowFormula>
    </tableColumn>
    <tableColumn id="5" name="NNA EDUCACIÓN " totalsRowFunction="custom" dataDxfId="1051" totalsRowDxfId="1050" dataCellStyle="Millares">
      <totalsRowFormula>SUM(Tabla13111213[[NNA EDUCACIÓN ]])</totalsRowFormula>
    </tableColumn>
    <tableColumn id="7" name="NN 0-5 AÑOS" totalsRowFunction="custom" dataDxfId="1049" totalsRowDxfId="1048" dataCellStyle="Millares">
      <totalsRowFormula>SUM(Tabla13111213[NN 0-5 AÑOS])</totalsRowFormula>
    </tableColumn>
    <tableColumn id="6" name="TOTAL VALOR LIQUIDADO" totalsRowFunction="custom" dataDxfId="1047" totalsRowDxfId="1046" dataCellStyle="Moneda [0]">
      <totalsRowFormula>SUM(Tabla13111213[TOTAL VALOR LIQUIDADO])</totalsRowFormula>
    </tableColumn>
  </tableColumns>
  <tableStyleInfo name="TableStyleMedium3" showFirstColumn="0" showLastColumn="0" showRowStripes="1" showColumnStripes="0"/>
</table>
</file>

<file path=xl/tables/table22.xml><?xml version="1.0" encoding="utf-8"?>
<table xmlns="http://schemas.openxmlformats.org/spreadsheetml/2006/main" id="22" name="Tabla1311121323" displayName="Tabla1311121323" ref="AO20:AU25" totalsRowCount="1" headerRowDxfId="1045" dataDxfId="1043" headerRowBorderDxfId="1044" tableBorderDxfId="1042" totalsRowBorderDxfId="1041" headerRowCellStyle="_DESPLAZADOS-OPSR 2" dataCellStyle="Millares">
  <autoFilter ref="AO20:AU24"/>
  <tableColumns count="7">
    <tableColumn id="1" name="GRUPO POBLACIONAL" totalsRowLabel="TOTALES" dataDxfId="1040" totalsRowDxfId="1039"/>
    <tableColumn id="2" name="FAMILIAS" totalsRowFunction="custom" dataDxfId="1038" totalsRowDxfId="1037" dataCellStyle="Millares">
      <totalsRowFormula>SUM(Tabla1311121323[FAMILIAS])</totalsRowFormula>
    </tableColumn>
    <tableColumn id="3" name="TOTAL NNA" totalsRowFunction="custom" dataDxfId="1036" totalsRowDxfId="1035" dataCellStyle="Millares">
      <totalsRowFormula>SUM(Tabla1311121323[TOTAL NNA])</totalsRowFormula>
    </tableColumn>
    <tableColumn id="4" name="NNA NUTRICION" totalsRowFunction="custom" dataDxfId="1034" totalsRowDxfId="1033" dataCellStyle="Millares">
      <totalsRowFormula>SUM(Tabla1311121323[NNA NUTRICION])</totalsRowFormula>
    </tableColumn>
    <tableColumn id="5" name="NNA EDUCACIÓN " totalsRowFunction="custom" dataDxfId="1032" totalsRowDxfId="1031" dataCellStyle="Millares">
      <totalsRowFormula>SUM(Tabla1311121323[[NNA EDUCACIÓN ]])</totalsRowFormula>
    </tableColumn>
    <tableColumn id="7" name="NN 0-5 AÑOS" totalsRowFunction="custom" dataDxfId="1030" totalsRowDxfId="1029" dataCellStyle="Millares">
      <totalsRowFormula>SUM(Tabla1311121323[NN 0-5 AÑOS])</totalsRowFormula>
    </tableColumn>
    <tableColumn id="6" name="TOTAL VALOR LIQUIDADO" totalsRowFunction="custom" dataDxfId="1028" totalsRowDxfId="1027" dataCellStyle="Moneda [0]">
      <totalsRowFormula>SUM(Tabla1311121323[TOTAL VALOR LIQUIDADO])</totalsRowFormula>
    </tableColumn>
  </tableColumns>
  <tableStyleInfo name="TableStyleMedium3" showFirstColumn="0" showLastColumn="0" showRowStripes="1" showColumnStripes="0"/>
</table>
</file>

<file path=xl/tables/table23.xml><?xml version="1.0" encoding="utf-8"?>
<table xmlns="http://schemas.openxmlformats.org/spreadsheetml/2006/main" id="23" name="Tabla131112132324" displayName="Tabla131112132324" ref="AW20:BC25" totalsRowCount="1" headerRowDxfId="1026" dataDxfId="1024" headerRowBorderDxfId="1025" tableBorderDxfId="1023" totalsRowBorderDxfId="1022" headerRowCellStyle="_DESPLAZADOS-OPSR 2" dataCellStyle="Millares">
  <autoFilter ref="AW20:BC24"/>
  <tableColumns count="7">
    <tableColumn id="1" name="GRUPO POBLACIONAL" totalsRowLabel="TOTALES" dataDxfId="1021" totalsRowDxfId="1020"/>
    <tableColumn id="2" name="FAMILIAS" totalsRowFunction="custom" dataDxfId="1019" totalsRowDxfId="1018" dataCellStyle="Millares">
      <totalsRowFormula>SUM(Tabla131112132324[FAMILIAS])</totalsRowFormula>
    </tableColumn>
    <tableColumn id="3" name="TOTAL NNA" totalsRowFunction="custom" dataDxfId="1017" totalsRowDxfId="1016" dataCellStyle="Millares">
      <totalsRowFormula>SUM(Tabla131112132324[TOTAL NNA])</totalsRowFormula>
    </tableColumn>
    <tableColumn id="4" name="NNA NUTRICION" totalsRowFunction="custom" dataDxfId="1015" totalsRowDxfId="1014" dataCellStyle="Millares">
      <totalsRowFormula>SUM(Tabla131112132324[NNA NUTRICION])</totalsRowFormula>
    </tableColumn>
    <tableColumn id="5" name="NNA EDUCACIÓN " totalsRowFunction="custom" dataDxfId="1013" totalsRowDxfId="1012" dataCellStyle="Millares">
      <totalsRowFormula>SUM(Tabla131112132324[[NNA EDUCACIÓN ]])</totalsRowFormula>
    </tableColumn>
    <tableColumn id="7" name="NN 0-5 AÑOS" totalsRowFunction="custom" dataDxfId="1011" totalsRowDxfId="1010" dataCellStyle="Millares">
      <totalsRowFormula>SUM(Tabla131112132324[NN 0-5 AÑOS])</totalsRowFormula>
    </tableColumn>
    <tableColumn id="6" name="TOTAL VALOR LIQUIDADO" totalsRowFunction="custom" dataDxfId="1009" totalsRowDxfId="1008" dataCellStyle="Moneda [0]">
      <totalsRowFormula>SUM(Tabla131112132324[TOTAL VALOR LIQUIDADO])</totalsRowFormula>
    </tableColumn>
  </tableColumns>
  <tableStyleInfo name="TableStyleMedium3" showFirstColumn="0" showLastColumn="0" showRowStripes="1" showColumnStripes="0"/>
</table>
</file>

<file path=xl/tables/table24.xml><?xml version="1.0" encoding="utf-8"?>
<table xmlns="http://schemas.openxmlformats.org/spreadsheetml/2006/main" id="24" name="Tabla11025" displayName="Tabla11025" ref="J30:O35" totalsRowCount="1" headerRowDxfId="1007" dataDxfId="1005" headerRowBorderDxfId="1006" tableBorderDxfId="1004" totalsRowBorderDxfId="1003" headerRowCellStyle="_DESPLAZADOS-OPSR 2" dataCellStyle="Millares">
  <autoFilter ref="J30:O34"/>
  <tableColumns count="6">
    <tableColumn id="1" name="GRUPO POBLACIONAL" totalsRowLabel="TOTALES" dataDxfId="1002" totalsRowDxfId="1001"/>
    <tableColumn id="2" name="FAMILIAS" totalsRowFunction="custom" dataDxfId="1000" totalsRowDxfId="999" dataCellStyle="Millares">
      <totalsRowFormula>SUM(Tabla11025[FAMILIAS])</totalsRowFormula>
    </tableColumn>
    <tableColumn id="3" name="TOTAL NNA" totalsRowFunction="custom" dataDxfId="998" totalsRowDxfId="997" dataCellStyle="Millares">
      <totalsRowFormula>SUM(Tabla11025[TOTAL NNA])</totalsRowFormula>
    </tableColumn>
    <tableColumn id="4" name="NNA NUTRICION" totalsRowFunction="custom" dataDxfId="996" totalsRowDxfId="995" dataCellStyle="Millares">
      <totalsRowFormula>SUM(Tabla11025[NNA NUTRICION])</totalsRowFormula>
    </tableColumn>
    <tableColumn id="5" name="NNA EDUCACIÓN " totalsRowFunction="custom" dataDxfId="994" totalsRowDxfId="993" dataCellStyle="Millares">
      <totalsRowFormula>SUM(Tabla11025[[NNA EDUCACIÓN ]])</totalsRowFormula>
    </tableColumn>
    <tableColumn id="6" name="TOTAL VALOR LIQUIDADO" totalsRowFunction="custom" dataDxfId="992" totalsRowDxfId="991" dataCellStyle="Moneda 13">
      <totalsRowFormula>SUM(Tabla11025[TOTAL VALOR LIQUIDADO])</totalsRowFormula>
    </tableColumn>
  </tableColumns>
  <tableStyleInfo name="TableStyleMedium3" showFirstColumn="0" showLastColumn="0" showRowStripes="1" showColumnStripes="0"/>
</table>
</file>

<file path=xl/tables/table25.xml><?xml version="1.0" encoding="utf-8"?>
<table xmlns="http://schemas.openxmlformats.org/spreadsheetml/2006/main" id="25" name="Tabla131126" displayName="Tabla131126" ref="Q30:W35" totalsRowCount="1" headerRowDxfId="990" dataDxfId="988" headerRowBorderDxfId="989" tableBorderDxfId="987" totalsRowBorderDxfId="986" headerRowCellStyle="_DESPLAZADOS-OPSR 2" dataCellStyle="Millares">
  <autoFilter ref="Q30:W34"/>
  <tableColumns count="7">
    <tableColumn id="1" name="GRUPO POBLACIONAL" totalsRowLabel="TOTALES" dataDxfId="985" totalsRowDxfId="984"/>
    <tableColumn id="2" name="FAMILIAS" totalsRowFunction="custom" dataDxfId="983" totalsRowDxfId="982" dataCellStyle="Millares">
      <totalsRowFormula>SUM(Tabla131126[FAMILIAS])</totalsRowFormula>
    </tableColumn>
    <tableColumn id="3" name="TOTAL NNA" totalsRowFunction="custom" dataDxfId="981" totalsRowDxfId="980" dataCellStyle="Millares">
      <totalsRowFormula>SUM(Tabla131126[TOTAL NNA])</totalsRowFormula>
    </tableColumn>
    <tableColumn id="4" name="NNA NUTRICION" totalsRowFunction="custom" dataDxfId="979" totalsRowDxfId="978" dataCellStyle="Millares">
      <totalsRowFormula>SUM(Tabla131126[NNA NUTRICION])</totalsRowFormula>
    </tableColumn>
    <tableColumn id="5" name="NNA EDUCACIÓN " totalsRowFunction="custom" dataDxfId="977" totalsRowDxfId="976" dataCellStyle="Millares">
      <totalsRowFormula>SUM(Tabla131126[[NNA EDUCACIÓN ]])</totalsRowFormula>
    </tableColumn>
    <tableColumn id="7" name="NN 0-5 AÑOS" totalsRowFunction="custom" dataDxfId="975" totalsRowDxfId="974" dataCellStyle="Millares">
      <totalsRowFormula>SUM(Tabla131126[NN 0-5 AÑOS])</totalsRowFormula>
    </tableColumn>
    <tableColumn id="6" name="TOTAL VALOR LIQUIDADO" totalsRowFunction="custom" dataDxfId="973" totalsRowDxfId="972" dataCellStyle="Moneda [0]">
      <totalsRowFormula>SUM(Tabla131126[TOTAL VALOR LIQUIDADO])</totalsRowFormula>
    </tableColumn>
  </tableColumns>
  <tableStyleInfo name="TableStyleMedium3" showFirstColumn="0" showLastColumn="0" showRowStripes="1" showColumnStripes="0"/>
</table>
</file>

<file path=xl/tables/table26.xml><?xml version="1.0" encoding="utf-8"?>
<table xmlns="http://schemas.openxmlformats.org/spreadsheetml/2006/main" id="26" name="Tabla13111227" displayName="Tabla13111227" ref="Y30:AE35" totalsRowCount="1" headerRowDxfId="971" dataDxfId="969" headerRowBorderDxfId="970" tableBorderDxfId="968" totalsRowBorderDxfId="967" headerRowCellStyle="_DESPLAZADOS-OPSR 2" dataCellStyle="Millares">
  <autoFilter ref="Y30:AE34"/>
  <tableColumns count="7">
    <tableColumn id="1" name="GRUPO POBLACIONAL" totalsRowLabel="TOTALES" dataDxfId="966" totalsRowDxfId="965"/>
    <tableColumn id="2" name="FAMILIAS" totalsRowFunction="custom" dataDxfId="964" totalsRowDxfId="963" dataCellStyle="Millares">
      <totalsRowFormula>SUM(Tabla13111227[FAMILIAS])</totalsRowFormula>
    </tableColumn>
    <tableColumn id="3" name="TOTAL NNA" totalsRowFunction="custom" dataDxfId="962" totalsRowDxfId="961" dataCellStyle="Millares">
      <totalsRowFormula>SUM(Tabla13111227[TOTAL NNA])</totalsRowFormula>
    </tableColumn>
    <tableColumn id="4" name="NNA NUTRICION" totalsRowFunction="custom" dataDxfId="960" totalsRowDxfId="959" dataCellStyle="Millares">
      <totalsRowFormula>SUM(Tabla13111227[NNA NUTRICION])</totalsRowFormula>
    </tableColumn>
    <tableColumn id="5" name="NNA EDUCACIÓN " totalsRowFunction="custom" dataDxfId="958" totalsRowDxfId="957" dataCellStyle="Millares">
      <totalsRowFormula>SUM(Tabla13111227[[NNA EDUCACIÓN ]])</totalsRowFormula>
    </tableColumn>
    <tableColumn id="7" name="NN 0-5 AÑOS" totalsRowFunction="custom" dataDxfId="956" totalsRowDxfId="955" dataCellStyle="Millares">
      <totalsRowFormula>SUM(Tabla13111227[NN 0-5 AÑOS])</totalsRowFormula>
    </tableColumn>
    <tableColumn id="6" name="TOTAL VALOR LIQUIDADO" totalsRowFunction="custom" dataDxfId="954" totalsRowDxfId="953" dataCellStyle="Moneda 13">
      <totalsRowFormula>SUM(Tabla13111227[TOTAL VALOR LIQUIDADO])</totalsRowFormula>
    </tableColumn>
  </tableColumns>
  <tableStyleInfo name="TableStyleMedium3" showFirstColumn="0" showLastColumn="0" showRowStripes="1" showColumnStripes="0"/>
</table>
</file>

<file path=xl/tables/table27.xml><?xml version="1.0" encoding="utf-8"?>
<table xmlns="http://schemas.openxmlformats.org/spreadsheetml/2006/main" id="27" name="Tabla1311121328" displayName="Tabla1311121328" ref="AG30:AM35" totalsRowCount="1" headerRowDxfId="952" dataDxfId="950" headerRowBorderDxfId="951" tableBorderDxfId="949" totalsRowBorderDxfId="948" headerRowCellStyle="_DESPLAZADOS-OPSR 2" dataCellStyle="Millares">
  <autoFilter ref="AG30:AM34"/>
  <tableColumns count="7">
    <tableColumn id="1" name="GRUPO POBLACIONAL" totalsRowLabel="TOTALES" dataDxfId="947" totalsRowDxfId="946"/>
    <tableColumn id="2" name="FAMILIAS" totalsRowFunction="custom" dataDxfId="945" totalsRowDxfId="944" dataCellStyle="Millares">
      <totalsRowFormula>SUM(Tabla1311121328[FAMILIAS])</totalsRowFormula>
    </tableColumn>
    <tableColumn id="3" name="TOTAL NNA" totalsRowFunction="custom" dataDxfId="943" totalsRowDxfId="942" dataCellStyle="Millares">
      <totalsRowFormula>SUM(Tabla1311121328[TOTAL NNA])</totalsRowFormula>
    </tableColumn>
    <tableColumn id="4" name="NNA NUTRICION" totalsRowFunction="custom" dataDxfId="941" totalsRowDxfId="940" dataCellStyle="Millares">
      <totalsRowFormula>SUM(Tabla1311121328[NNA NUTRICION])</totalsRowFormula>
    </tableColumn>
    <tableColumn id="5" name="NNA EDUCACIÓN " totalsRowFunction="custom" dataDxfId="939" totalsRowDxfId="938" dataCellStyle="Millares">
      <totalsRowFormula>SUM(Tabla1311121328[[NNA EDUCACIÓN ]])</totalsRowFormula>
    </tableColumn>
    <tableColumn id="7" name="NN 0-5 AÑOS" totalsRowFunction="custom" dataDxfId="937" totalsRowDxfId="936" dataCellStyle="Millares">
      <totalsRowFormula>SUM(Tabla1311121328[NN 0-5 AÑOS])</totalsRowFormula>
    </tableColumn>
    <tableColumn id="6" name="TOTAL VALOR LIQUIDADO" totalsRowFunction="custom" dataDxfId="935" totalsRowDxfId="934" dataCellStyle="Moneda [0]">
      <totalsRowFormula>SUM(Tabla1311121328[TOTAL VALOR LIQUIDADO])</totalsRowFormula>
    </tableColumn>
  </tableColumns>
  <tableStyleInfo name="TableStyleMedium3" showFirstColumn="0" showLastColumn="0" showRowStripes="1" showColumnStripes="0"/>
</table>
</file>

<file path=xl/tables/table28.xml><?xml version="1.0" encoding="utf-8"?>
<table xmlns="http://schemas.openxmlformats.org/spreadsheetml/2006/main" id="28" name="Tabla131112132329" displayName="Tabla131112132329" ref="AO30:AU35" totalsRowCount="1" headerRowDxfId="933" dataDxfId="931" headerRowBorderDxfId="932" tableBorderDxfId="930" totalsRowBorderDxfId="929" headerRowCellStyle="_DESPLAZADOS-OPSR 2" dataCellStyle="Millares">
  <autoFilter ref="AO30:AU34"/>
  <tableColumns count="7">
    <tableColumn id="1" name="GRUPO POBLACIONAL" totalsRowLabel="TOTALES" dataDxfId="928" totalsRowDxfId="927"/>
    <tableColumn id="2" name="FAMILIAS" totalsRowFunction="custom" dataDxfId="926" totalsRowDxfId="925" dataCellStyle="Millares">
      <totalsRowFormula>SUM(Tabla131112132329[FAMILIAS])</totalsRowFormula>
    </tableColumn>
    <tableColumn id="3" name="TOTAL NNA" totalsRowFunction="custom" dataDxfId="924" totalsRowDxfId="923" dataCellStyle="Millares">
      <totalsRowFormula>SUM(Tabla131112132329[TOTAL NNA])</totalsRowFormula>
    </tableColumn>
    <tableColumn id="4" name="NNA NUTRICION" totalsRowFunction="custom" dataDxfId="922" totalsRowDxfId="921" dataCellStyle="Millares">
      <totalsRowFormula>SUM(Tabla131112132329[NNA NUTRICION])</totalsRowFormula>
    </tableColumn>
    <tableColumn id="5" name="NNA EDUCACIÓN " totalsRowFunction="custom" dataDxfId="920" totalsRowDxfId="919" dataCellStyle="Millares">
      <totalsRowFormula>SUM(Tabla131112132329[[NNA EDUCACIÓN ]])</totalsRowFormula>
    </tableColumn>
    <tableColumn id="7" name="NN 0-5 AÑOS" totalsRowFunction="custom" dataDxfId="918" totalsRowDxfId="917" dataCellStyle="Millares">
      <totalsRowFormula>SUM(Tabla131112132329[NN 0-5 AÑOS])</totalsRowFormula>
    </tableColumn>
    <tableColumn id="6" name="TOTAL VALOR LIQUIDADO" totalsRowFunction="custom" dataDxfId="916" totalsRowDxfId="915" dataCellStyle="Moneda [0]">
      <totalsRowFormula>SUM(Tabla131112132329[TOTAL VALOR LIQUIDADO])</totalsRowFormula>
    </tableColumn>
  </tableColumns>
  <tableStyleInfo name="TableStyleMedium3" showFirstColumn="0" showLastColumn="0" showRowStripes="1" showColumnStripes="0"/>
</table>
</file>

<file path=xl/tables/table29.xml><?xml version="1.0" encoding="utf-8"?>
<table xmlns="http://schemas.openxmlformats.org/spreadsheetml/2006/main" id="29" name="Tabla13111213232430" displayName="Tabla13111213232430" ref="AW30:BC35" totalsRowCount="1" headerRowDxfId="914" dataDxfId="912" headerRowBorderDxfId="913" tableBorderDxfId="911" totalsRowBorderDxfId="910" headerRowCellStyle="_DESPLAZADOS-OPSR 2" dataCellStyle="Millares">
  <autoFilter ref="AW30:BC34"/>
  <tableColumns count="7">
    <tableColumn id="1" name="GRUPO POBLACIONAL" totalsRowLabel="TOTALES" dataDxfId="909" totalsRowDxfId="908"/>
    <tableColumn id="2" name="FAMILIAS" totalsRowFunction="custom" dataDxfId="907" totalsRowDxfId="906" dataCellStyle="Millares">
      <totalsRowFormula>SUM(Tabla13111213232430[FAMILIAS])</totalsRowFormula>
    </tableColumn>
    <tableColumn id="3" name="TOTAL NNA" totalsRowFunction="custom" dataDxfId="905" totalsRowDxfId="904" dataCellStyle="Millares">
      <totalsRowFormula>SUM(Tabla13111213232430[TOTAL NNA])</totalsRowFormula>
    </tableColumn>
    <tableColumn id="4" name="NNA NUTRICION" totalsRowFunction="custom" dataDxfId="903" totalsRowDxfId="902" dataCellStyle="Millares">
      <totalsRowFormula>SUM(Tabla13111213232430[NNA NUTRICION])</totalsRowFormula>
    </tableColumn>
    <tableColumn id="5" name="NNA EDUCACIÓN " totalsRowFunction="custom" dataDxfId="901" totalsRowDxfId="900" dataCellStyle="Millares">
      <totalsRowFormula>SUM(Tabla13111213232430[[NNA EDUCACIÓN ]])</totalsRowFormula>
    </tableColumn>
    <tableColumn id="7" name="NN 0-5 AÑOS" totalsRowFunction="custom" dataDxfId="899" totalsRowDxfId="898" dataCellStyle="Millares">
      <totalsRowFormula>SUM(Tabla13111213232430[NN 0-5 AÑOS])</totalsRowFormula>
    </tableColumn>
    <tableColumn id="6" name="TOTAL VALOR LIQUIDADO" totalsRowFunction="custom" dataDxfId="897" totalsRowDxfId="896" dataCellStyle="Moneda [0]">
      <totalsRowFormula>SUM(Tabla13111213232430[TOTAL VALOR LIQUIDADO])</totalsRow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13" name="Tabla3514" displayName="Tabla3514" ref="B29:H36" totalsRowCount="1" headerRowDxfId="1375" dataDxfId="1374" headerRowCellStyle="_DESPLAZADOS-OPSR 2" dataCellStyle="Millares">
  <autoFilter ref="B29:H35"/>
  <tableColumns count="7">
    <tableColumn id="1" name="AÑO" dataDxfId="1373" totalsRowDxfId="1372"/>
    <tableColumn id="2" name="FAMILIAS" dataDxfId="1371" totalsRowDxfId="1370" dataCellStyle="Millares"/>
    <tableColumn id="3" name="TOTAL NNA" dataDxfId="1369" totalsRowDxfId="1368" dataCellStyle="Millares"/>
    <tableColumn id="4" name="NNA NUTRICION" dataDxfId="1367" totalsRowDxfId="1366" dataCellStyle="Millares"/>
    <tableColumn id="5" name="NNA EDUCACIÓN " dataDxfId="1365" totalsRowDxfId="1364" dataCellStyle="Millares"/>
    <tableColumn id="6" name="NN 0-5 AÑOS" dataDxfId="1363" totalsRowDxfId="1362" dataCellStyle="Millares"/>
    <tableColumn id="7" name="TOTAL VALOR LIQUIDADO" totalsRowFunction="custom" dataDxfId="1361" totalsRowDxfId="1360" dataCellStyle="Moneda 13">
      <totalsRowFormula>SUM(Tabla3514[TOTAL VALOR LIQUIDADO])</totalsRowFormula>
    </tableColumn>
  </tableColumns>
  <tableStyleInfo name="TableStyleMedium3" showFirstColumn="0" showLastColumn="0" showRowStripes="1" showColumnStripes="0"/>
</table>
</file>

<file path=xl/tables/table30.xml><?xml version="1.0" encoding="utf-8"?>
<table xmlns="http://schemas.openxmlformats.org/spreadsheetml/2006/main" id="30" name="Tabla1102531" displayName="Tabla1102531" ref="J40:O45" totalsRowCount="1" headerRowDxfId="895" dataDxfId="893" headerRowBorderDxfId="894" tableBorderDxfId="892" totalsRowBorderDxfId="891" headerRowCellStyle="_DESPLAZADOS-OPSR 2" dataCellStyle="Millares">
  <autoFilter ref="J40:O44"/>
  <tableColumns count="6">
    <tableColumn id="1" name="GRUPO POBLACIONAL" totalsRowLabel="TOTALES" dataDxfId="890" totalsRowDxfId="889"/>
    <tableColumn id="2" name="FAMILIAS" totalsRowFunction="custom" dataDxfId="888" totalsRowDxfId="887" dataCellStyle="Millares">
      <totalsRowFormula>SUM(Tabla1102531[FAMILIAS])</totalsRowFormula>
    </tableColumn>
    <tableColumn id="3" name="TOTAL NNA" totalsRowFunction="custom" dataDxfId="886" totalsRowDxfId="885" dataCellStyle="Millares">
      <totalsRowFormula>SUM(Tabla1102531[TOTAL NNA])</totalsRowFormula>
    </tableColumn>
    <tableColumn id="4" name="NNA NUTRICION" totalsRowFunction="custom" dataDxfId="884" totalsRowDxfId="883" dataCellStyle="Millares">
      <totalsRowFormula>SUM(Tabla1102531[NNA NUTRICION])</totalsRowFormula>
    </tableColumn>
    <tableColumn id="5" name="NNA EDUCACIÓN " totalsRowFunction="custom" dataDxfId="882" totalsRowDxfId="881" dataCellStyle="Millares">
      <totalsRowFormula>SUM(Tabla1102531[[NNA EDUCACIÓN ]])</totalsRowFormula>
    </tableColumn>
    <tableColumn id="6" name="TOTAL VALOR LIQUIDADO" totalsRowFunction="custom" dataDxfId="880" totalsRowDxfId="879" dataCellStyle="Moneda 13">
      <totalsRowFormula>SUM(Tabla1102531[TOTAL VALOR LIQUIDADO])</totalsRowFormula>
    </tableColumn>
  </tableColumns>
  <tableStyleInfo name="TableStyleMedium3" showFirstColumn="0" showLastColumn="0" showRowStripes="1" showColumnStripes="0"/>
</table>
</file>

<file path=xl/tables/table31.xml><?xml version="1.0" encoding="utf-8"?>
<table xmlns="http://schemas.openxmlformats.org/spreadsheetml/2006/main" id="31" name="Tabla13112632" displayName="Tabla13112632" ref="Q40:W45" totalsRowCount="1" headerRowDxfId="878" dataDxfId="876" headerRowBorderDxfId="877" tableBorderDxfId="875" totalsRowBorderDxfId="874" headerRowCellStyle="_DESPLAZADOS-OPSR 2" dataCellStyle="Millares">
  <autoFilter ref="Q40:W44"/>
  <tableColumns count="7">
    <tableColumn id="1" name="GRUPO POBLACIONAL" totalsRowLabel="TOTALES" dataDxfId="873" totalsRowDxfId="872"/>
    <tableColumn id="2" name="FAMILIAS" totalsRowFunction="custom" dataDxfId="871" totalsRowDxfId="870" dataCellStyle="Millares">
      <totalsRowFormula>SUM(Tabla13112632[FAMILIAS])</totalsRowFormula>
    </tableColumn>
    <tableColumn id="3" name="TOTAL NNA" totalsRowFunction="custom" dataDxfId="869" totalsRowDxfId="868" dataCellStyle="Millares">
      <totalsRowFormula>SUM(Tabla13112632[TOTAL NNA])</totalsRowFormula>
    </tableColumn>
    <tableColumn id="4" name="NNA NUTRICION" totalsRowFunction="custom" dataDxfId="867" totalsRowDxfId="866" dataCellStyle="Millares">
      <totalsRowFormula>SUM(Tabla13112632[NNA NUTRICION])</totalsRowFormula>
    </tableColumn>
    <tableColumn id="5" name="NNA EDUCACIÓN " totalsRowFunction="custom" dataDxfId="865" totalsRowDxfId="864" dataCellStyle="Millares">
      <totalsRowFormula>SUM(Tabla13112632[[NNA EDUCACIÓN ]])</totalsRowFormula>
    </tableColumn>
    <tableColumn id="7" name="NN 0-5 AÑOS" totalsRowFunction="custom" dataDxfId="863" totalsRowDxfId="862" dataCellStyle="Millares">
      <totalsRowFormula>SUM(Tabla13112632[NN 0-5 AÑOS])</totalsRowFormula>
    </tableColumn>
    <tableColumn id="6" name="TOTAL VALOR LIQUIDADO" totalsRowFunction="custom" dataDxfId="861" totalsRowDxfId="860" dataCellStyle="Moneda 13">
      <totalsRowFormula>SUM(Tabla13112632[TOTAL VALOR LIQUIDADO])</totalsRowFormula>
    </tableColumn>
  </tableColumns>
  <tableStyleInfo name="TableStyleMedium3" showFirstColumn="0" showLastColumn="0" showRowStripes="1" showColumnStripes="0"/>
</table>
</file>

<file path=xl/tables/table32.xml><?xml version="1.0" encoding="utf-8"?>
<table xmlns="http://schemas.openxmlformats.org/spreadsheetml/2006/main" id="32" name="Tabla1311122733" displayName="Tabla1311122733" ref="Y40:AE45" totalsRowCount="1" headerRowDxfId="859" dataDxfId="857" headerRowBorderDxfId="858" tableBorderDxfId="856" totalsRowBorderDxfId="855" headerRowCellStyle="_DESPLAZADOS-OPSR 2" dataCellStyle="Millares">
  <autoFilter ref="Y40:AE44"/>
  <tableColumns count="7">
    <tableColumn id="1" name="GRUPO POBLACIONAL" totalsRowLabel="TOTALES" dataDxfId="854" totalsRowDxfId="853"/>
    <tableColumn id="2" name="FAMILIAS" totalsRowFunction="custom" dataDxfId="852" totalsRowDxfId="851" dataCellStyle="Millares">
      <totalsRowFormula>SUM(Tabla1311122733[FAMILIAS])</totalsRowFormula>
    </tableColumn>
    <tableColumn id="3" name="TOTAL NNA" totalsRowFunction="custom" dataDxfId="850" totalsRowDxfId="849" dataCellStyle="Millares">
      <totalsRowFormula>SUM(Tabla1311122733[TOTAL NNA])</totalsRowFormula>
    </tableColumn>
    <tableColumn id="4" name="NNA NUTRICION" totalsRowFunction="custom" dataDxfId="848" totalsRowDxfId="847" dataCellStyle="Millares">
      <totalsRowFormula>SUM(Tabla1311122733[NNA NUTRICION])</totalsRowFormula>
    </tableColumn>
    <tableColumn id="5" name="NNA EDUCACIÓN " totalsRowFunction="custom" dataDxfId="846" totalsRowDxfId="845" dataCellStyle="Millares">
      <totalsRowFormula>SUM(Tabla1311122733[[NNA EDUCACIÓN ]])</totalsRowFormula>
    </tableColumn>
    <tableColumn id="7" name="NN 0-5 AÑOS" totalsRowFunction="custom" dataDxfId="844" totalsRowDxfId="843" dataCellStyle="Millares">
      <totalsRowFormula>SUM(Tabla1311122733[NN 0-5 AÑOS])</totalsRowFormula>
    </tableColumn>
    <tableColumn id="6" name="TOTAL VALOR LIQUIDADO" totalsRowFunction="custom" dataDxfId="842" totalsRowDxfId="841" dataCellStyle="Moneda 13">
      <totalsRowFormula>SUM(Tabla1311122733[TOTAL VALOR LIQUIDADO])</totalsRowFormula>
    </tableColumn>
  </tableColumns>
  <tableStyleInfo name="TableStyleMedium3" showFirstColumn="0" showLastColumn="0" showRowStripes="1" showColumnStripes="0"/>
</table>
</file>

<file path=xl/tables/table33.xml><?xml version="1.0" encoding="utf-8"?>
<table xmlns="http://schemas.openxmlformats.org/spreadsheetml/2006/main" id="33" name="Tabla131112132834" displayName="Tabla131112132834" ref="AG40:AM45" totalsRowCount="1" headerRowDxfId="840" dataDxfId="838" headerRowBorderDxfId="839" tableBorderDxfId="837" totalsRowBorderDxfId="836" headerRowCellStyle="_DESPLAZADOS-OPSR 2" dataCellStyle="Millares">
  <autoFilter ref="AG40:AM44"/>
  <tableColumns count="7">
    <tableColumn id="1" name="GRUPO POBLACIONAL" totalsRowLabel="TOTALES" dataDxfId="835" totalsRowDxfId="834"/>
    <tableColumn id="2" name="FAMILIAS" totalsRowFunction="custom" dataDxfId="833" totalsRowDxfId="832" dataCellStyle="Millares">
      <totalsRowFormula>SUM(Tabla131112132834[FAMILIAS])</totalsRowFormula>
    </tableColumn>
    <tableColumn id="3" name="TOTAL NNA" totalsRowFunction="custom" dataDxfId="831" totalsRowDxfId="830" dataCellStyle="Millares">
      <totalsRowFormula>SUM(Tabla131112132834[TOTAL NNA])</totalsRowFormula>
    </tableColumn>
    <tableColumn id="4" name="NNA NUTRICION" totalsRowFunction="custom" dataDxfId="829" totalsRowDxfId="828" dataCellStyle="Millares">
      <totalsRowFormula>SUM(Tabla131112132834[NNA NUTRICION])</totalsRowFormula>
    </tableColumn>
    <tableColumn id="5" name="NNA EDUCACIÓN " totalsRowFunction="custom" dataDxfId="827" totalsRowDxfId="826" dataCellStyle="Millares">
      <totalsRowFormula>SUM(Tabla131112132834[[NNA EDUCACIÓN ]])</totalsRowFormula>
    </tableColumn>
    <tableColumn id="7" name="NN 0-5 AÑOS" totalsRowFunction="custom" dataDxfId="825" totalsRowDxfId="824" dataCellStyle="Millares">
      <totalsRowFormula>SUM(Tabla131112132834[NN 0-5 AÑOS])</totalsRowFormula>
    </tableColumn>
    <tableColumn id="6" name="TOTAL VALOR LIQUIDADO" totalsRowFunction="custom" dataDxfId="823" totalsRowDxfId="822" dataCellStyle="Moneda [0]">
      <totalsRowFormula>SUM(Tabla131112132834[TOTAL VALOR LIQUIDADO])</totalsRowFormula>
    </tableColumn>
  </tableColumns>
  <tableStyleInfo name="TableStyleMedium3" showFirstColumn="0" showLastColumn="0" showRowStripes="1" showColumnStripes="0"/>
</table>
</file>

<file path=xl/tables/table34.xml><?xml version="1.0" encoding="utf-8"?>
<table xmlns="http://schemas.openxmlformats.org/spreadsheetml/2006/main" id="34" name="Tabla13111213232935" displayName="Tabla13111213232935" ref="AO40:AU45" totalsRowCount="1" headerRowDxfId="821" dataDxfId="819" headerRowBorderDxfId="820" tableBorderDxfId="818" totalsRowBorderDxfId="817" headerRowCellStyle="_DESPLAZADOS-OPSR 2" dataCellStyle="Millares">
  <autoFilter ref="AO40:AU44"/>
  <tableColumns count="7">
    <tableColumn id="1" name="GRUPO POBLACIONAL" totalsRowLabel="TOTALES" dataDxfId="816" totalsRowDxfId="815"/>
    <tableColumn id="2" name="FAMILIAS" totalsRowFunction="custom" dataDxfId="814" totalsRowDxfId="813" dataCellStyle="Millares">
      <totalsRowFormula>SUM(Tabla13111213232935[FAMILIAS])</totalsRowFormula>
    </tableColumn>
    <tableColumn id="3" name="TOTAL NNA" totalsRowFunction="custom" dataDxfId="812" totalsRowDxfId="811" dataCellStyle="Millares">
      <totalsRowFormula>SUM(Tabla13111213232935[TOTAL NNA])</totalsRowFormula>
    </tableColumn>
    <tableColumn id="4" name="NNA NUTRICION" totalsRowFunction="custom" dataDxfId="810" totalsRowDxfId="809" dataCellStyle="Millares">
      <totalsRowFormula>SUM(Tabla13111213232935[NNA NUTRICION])</totalsRowFormula>
    </tableColumn>
    <tableColumn id="5" name="NNA EDUCACIÓN " totalsRowFunction="custom" dataDxfId="808" totalsRowDxfId="807" dataCellStyle="Millares">
      <totalsRowFormula>SUM(Tabla13111213232935[[NNA EDUCACIÓN ]])</totalsRowFormula>
    </tableColumn>
    <tableColumn id="7" name="NN 0-5 AÑOS" totalsRowFunction="custom" dataDxfId="806" totalsRowDxfId="805" dataCellStyle="Millares">
      <totalsRowFormula>SUM(Tabla13111213232935[NN 0-5 AÑOS])</totalsRowFormula>
    </tableColumn>
    <tableColumn id="6" name="TOTAL VALOR LIQUIDADO" totalsRowFunction="custom" dataDxfId="804" totalsRowDxfId="803" dataCellStyle="Moneda [0]">
      <totalsRowFormula>SUM(Tabla13111213232935[TOTAL VALOR LIQUIDADO])</totalsRowFormula>
    </tableColumn>
  </tableColumns>
  <tableStyleInfo name="TableStyleMedium3" showFirstColumn="0" showLastColumn="0" showRowStripes="1" showColumnStripes="0"/>
</table>
</file>

<file path=xl/tables/table35.xml><?xml version="1.0" encoding="utf-8"?>
<table xmlns="http://schemas.openxmlformats.org/spreadsheetml/2006/main" id="35" name="Tabla1311121323243036" displayName="Tabla1311121323243036" ref="AW40:BC45" totalsRowCount="1" headerRowDxfId="802" dataDxfId="800" headerRowBorderDxfId="801" tableBorderDxfId="799" totalsRowBorderDxfId="798" headerRowCellStyle="_DESPLAZADOS-OPSR 2" dataCellStyle="Millares">
  <autoFilter ref="AW40:BC44"/>
  <tableColumns count="7">
    <tableColumn id="1" name="GRUPO POBLACIONAL" totalsRowLabel="TOTALES" dataDxfId="797" totalsRowDxfId="796"/>
    <tableColumn id="2" name="FAMILIAS" totalsRowFunction="custom" dataDxfId="795" totalsRowDxfId="794" dataCellStyle="Millares">
      <totalsRowFormula>SUM(Tabla1311121323243036[FAMILIAS])</totalsRowFormula>
    </tableColumn>
    <tableColumn id="3" name="TOTAL NNA" totalsRowFunction="custom" dataDxfId="793" totalsRowDxfId="792" dataCellStyle="Millares">
      <totalsRowFormula>SUM(Tabla1311121323243036[TOTAL NNA])</totalsRowFormula>
    </tableColumn>
    <tableColumn id="4" name="NNA NUTRICION" totalsRowFunction="custom" dataDxfId="791" totalsRowDxfId="790" dataCellStyle="Millares">
      <totalsRowFormula>SUM(Tabla1311121323243036[NNA NUTRICION])</totalsRowFormula>
    </tableColumn>
    <tableColumn id="5" name="NNA EDUCACIÓN " totalsRowFunction="custom" dataDxfId="789" totalsRowDxfId="788" dataCellStyle="Millares">
      <totalsRowFormula>SUM(Tabla1311121323243036[[NNA EDUCACIÓN ]])</totalsRowFormula>
    </tableColumn>
    <tableColumn id="7" name="NN 0-5 AÑOS" totalsRowFunction="custom" dataDxfId="787" totalsRowDxfId="786" dataCellStyle="Millares">
      <totalsRowFormula>SUM(Tabla1311121323243036[NN 0-5 AÑOS])</totalsRowFormula>
    </tableColumn>
    <tableColumn id="6" name="TOTAL VALOR LIQUIDADO" totalsRowFunction="custom" dataDxfId="785" totalsRowDxfId="784" dataCellStyle="Moneda [0]">
      <totalsRowFormula>SUM(Tabla1311121323243036[TOTAL VALOR LIQUIDADO])</totalsRowFormula>
    </tableColumn>
  </tableColumns>
  <tableStyleInfo name="TableStyleMedium3" showFirstColumn="0" showLastColumn="0" showRowStripes="1" showColumnStripes="0"/>
</table>
</file>

<file path=xl/tables/table36.xml><?xml version="1.0" encoding="utf-8"?>
<table xmlns="http://schemas.openxmlformats.org/spreadsheetml/2006/main" id="36" name="Tabla1102537" displayName="Tabla1102537" ref="J50:O55" totalsRowCount="1" headerRowDxfId="783" dataDxfId="781" headerRowBorderDxfId="782" tableBorderDxfId="780" totalsRowBorderDxfId="779" headerRowCellStyle="_DESPLAZADOS-OPSR 2" dataCellStyle="Millares">
  <autoFilter ref="J50:O54"/>
  <tableColumns count="6">
    <tableColumn id="1" name="GRUPO POBLACIONAL" totalsRowLabel="TOTALES" dataDxfId="778" totalsRowDxfId="777"/>
    <tableColumn id="2" name="FAMILIAS" totalsRowFunction="custom" dataDxfId="776" totalsRowDxfId="775" dataCellStyle="Millares">
      <totalsRowFormula>SUM(Tabla1102537[FAMILIAS])</totalsRowFormula>
    </tableColumn>
    <tableColumn id="3" name="TOTAL NNA" totalsRowFunction="custom" dataDxfId="774" totalsRowDxfId="773" dataCellStyle="Millares">
      <totalsRowFormula>SUM(Tabla1102537[TOTAL NNA])</totalsRowFormula>
    </tableColumn>
    <tableColumn id="4" name="NNA NUTRICION" totalsRowFunction="custom" dataDxfId="772" totalsRowDxfId="771" dataCellStyle="Millares">
      <totalsRowFormula>SUM(Tabla1102537[NNA NUTRICION])</totalsRowFormula>
    </tableColumn>
    <tableColumn id="5" name="NNA EDUCACIÓN " totalsRowFunction="custom" dataDxfId="770" totalsRowDxfId="769" dataCellStyle="Millares">
      <totalsRowFormula>SUM(Tabla1102537[[NNA EDUCACIÓN ]])</totalsRowFormula>
    </tableColumn>
    <tableColumn id="6" name="TOTAL VALOR LIQUIDADO" totalsRowFunction="custom" dataDxfId="768" totalsRowDxfId="767" dataCellStyle="Moneda 13">
      <totalsRowFormula>SUM(Tabla1102537[TOTAL VALOR LIQUIDADO])</totalsRowFormula>
    </tableColumn>
  </tableColumns>
  <tableStyleInfo name="TableStyleMedium3" showFirstColumn="0" showLastColumn="0" showRowStripes="1" showColumnStripes="0"/>
</table>
</file>

<file path=xl/tables/table37.xml><?xml version="1.0" encoding="utf-8"?>
<table xmlns="http://schemas.openxmlformats.org/spreadsheetml/2006/main" id="37" name="Tabla13112638" displayName="Tabla13112638" ref="Q50:W55" totalsRowCount="1" headerRowDxfId="766" dataDxfId="764" headerRowBorderDxfId="765" tableBorderDxfId="763" totalsRowBorderDxfId="762" headerRowCellStyle="_DESPLAZADOS-OPSR 2" dataCellStyle="Millares">
  <autoFilter ref="Q50:W54"/>
  <tableColumns count="7">
    <tableColumn id="1" name="GRUPO POBLACIONAL" totalsRowLabel="TOTALES" dataDxfId="761" totalsRowDxfId="760"/>
    <tableColumn id="2" name="FAMILIAS" totalsRowFunction="custom" dataDxfId="759" totalsRowDxfId="758" dataCellStyle="Millares">
      <totalsRowFormula>SUM(Tabla13112638[FAMILIAS])</totalsRowFormula>
    </tableColumn>
    <tableColumn id="3" name="TOTAL NNA" totalsRowFunction="custom" dataDxfId="757" totalsRowDxfId="756" dataCellStyle="Millares">
      <totalsRowFormula>SUM(Tabla13112638[TOTAL NNA])</totalsRowFormula>
    </tableColumn>
    <tableColumn id="4" name="NNA NUTRICION" totalsRowFunction="custom" dataDxfId="755" totalsRowDxfId="754" dataCellStyle="Millares">
      <totalsRowFormula>SUM(Tabla13112638[NNA NUTRICION])</totalsRowFormula>
    </tableColumn>
    <tableColumn id="5" name="NNA EDUCACIÓN " totalsRowFunction="custom" dataDxfId="753" totalsRowDxfId="752" dataCellStyle="Millares">
      <totalsRowFormula>SUM(Tabla13112638[[NNA EDUCACIÓN ]])</totalsRowFormula>
    </tableColumn>
    <tableColumn id="7" name="NN 0-5 AÑOS" totalsRowFunction="custom" dataDxfId="751" totalsRowDxfId="750" dataCellStyle="Millares">
      <totalsRowFormula>SUM(Tabla13112638[NN 0-5 AÑOS])</totalsRowFormula>
    </tableColumn>
    <tableColumn id="6" name="TOTAL VALOR LIQUIDADO" totalsRowFunction="custom" dataDxfId="749" totalsRowDxfId="748" dataCellStyle="Moneda 13">
      <totalsRowFormula>SUM(Tabla13112638[TOTAL VALOR LIQUIDADO])</totalsRowFormula>
    </tableColumn>
  </tableColumns>
  <tableStyleInfo name="TableStyleMedium3" showFirstColumn="0" showLastColumn="0" showRowStripes="1" showColumnStripes="0"/>
</table>
</file>

<file path=xl/tables/table38.xml><?xml version="1.0" encoding="utf-8"?>
<table xmlns="http://schemas.openxmlformats.org/spreadsheetml/2006/main" id="38" name="Tabla1311122739" displayName="Tabla1311122739" ref="Y50:AE55" totalsRowCount="1" headerRowDxfId="747" dataDxfId="745" headerRowBorderDxfId="746" tableBorderDxfId="744" totalsRowBorderDxfId="743" headerRowCellStyle="_DESPLAZADOS-OPSR 2" dataCellStyle="Millares">
  <autoFilter ref="Y50:AE54"/>
  <tableColumns count="7">
    <tableColumn id="1" name="GRUPO POBLACIONAL" totalsRowLabel="TOTALES" dataDxfId="742" totalsRowDxfId="741"/>
    <tableColumn id="2" name="FAMILIAS" totalsRowFunction="custom" dataDxfId="740" totalsRowDxfId="739" dataCellStyle="Millares">
      <totalsRowFormula>SUM(Tabla1311122739[FAMILIAS])</totalsRowFormula>
    </tableColumn>
    <tableColumn id="3" name="TOTAL NNA" totalsRowFunction="custom" dataDxfId="738" totalsRowDxfId="737" dataCellStyle="Millares">
      <totalsRowFormula>SUM(Tabla1311122739[TOTAL NNA])</totalsRowFormula>
    </tableColumn>
    <tableColumn id="4" name="NNA NUTRICION" totalsRowFunction="custom" dataDxfId="736" totalsRowDxfId="735" dataCellStyle="Millares">
      <totalsRowFormula>SUM(Tabla1311122739[NNA NUTRICION])</totalsRowFormula>
    </tableColumn>
    <tableColumn id="5" name="NNA EDUCACIÓN " totalsRowFunction="custom" dataDxfId="734" totalsRowDxfId="733" dataCellStyle="Millares">
      <totalsRowFormula>SUM(Tabla1311122739[[NNA EDUCACIÓN ]])</totalsRowFormula>
    </tableColumn>
    <tableColumn id="7" name="NN 0-5 AÑOS" totalsRowFunction="custom" dataDxfId="732" totalsRowDxfId="731" dataCellStyle="Millares">
      <totalsRowFormula>SUM(Tabla1311122739[NN 0-5 AÑOS])</totalsRowFormula>
    </tableColumn>
    <tableColumn id="6" name="TOTAL VALOR LIQUIDADO" totalsRowFunction="custom" dataDxfId="730" totalsRowDxfId="729" dataCellStyle="Moneda 13">
      <totalsRowFormula>SUM(Tabla1311122739[TOTAL VALOR LIQUIDADO])</totalsRowFormula>
    </tableColumn>
  </tableColumns>
  <tableStyleInfo name="TableStyleMedium3" showFirstColumn="0" showLastColumn="0" showRowStripes="1" showColumnStripes="0"/>
</table>
</file>

<file path=xl/tables/table39.xml><?xml version="1.0" encoding="utf-8"?>
<table xmlns="http://schemas.openxmlformats.org/spreadsheetml/2006/main" id="39" name="Tabla131112132840" displayName="Tabla131112132840" ref="AG50:AM55" totalsRowCount="1" headerRowDxfId="728" dataDxfId="726" headerRowBorderDxfId="727" tableBorderDxfId="725" totalsRowBorderDxfId="724" headerRowCellStyle="_DESPLAZADOS-OPSR 2" dataCellStyle="Millares">
  <autoFilter ref="AG50:AM54"/>
  <tableColumns count="7">
    <tableColumn id="1" name="GRUPO POBLACIONAL" totalsRowLabel="TOTALES" dataDxfId="723" totalsRowDxfId="722"/>
    <tableColumn id="2" name="FAMILIAS" totalsRowFunction="custom" dataDxfId="721" totalsRowDxfId="720" dataCellStyle="Millares">
      <totalsRowFormula>SUM(Tabla131112132840[FAMILIAS])</totalsRowFormula>
    </tableColumn>
    <tableColumn id="3" name="TOTAL NNA" totalsRowFunction="custom" dataDxfId="719" totalsRowDxfId="718" dataCellStyle="Millares">
      <totalsRowFormula>SUM(Tabla131112132840[TOTAL NNA])</totalsRowFormula>
    </tableColumn>
    <tableColumn id="4" name="NNA NUTRICION" totalsRowFunction="custom" dataDxfId="717" totalsRowDxfId="716" dataCellStyle="Millares">
      <totalsRowFormula>SUM(Tabla131112132840[NNA NUTRICION])</totalsRowFormula>
    </tableColumn>
    <tableColumn id="5" name="NNA EDUCACIÓN " totalsRowFunction="custom" dataDxfId="715" totalsRowDxfId="714" dataCellStyle="Millares">
      <totalsRowFormula>SUM(Tabla131112132840[[NNA EDUCACIÓN ]])</totalsRowFormula>
    </tableColumn>
    <tableColumn id="7" name="NN 0-5 AÑOS" totalsRowFunction="custom" dataDxfId="713" totalsRowDxfId="712" dataCellStyle="Millares">
      <totalsRowFormula>SUM(Tabla131112132840[NN 0-5 AÑOS])</totalsRowFormula>
    </tableColumn>
    <tableColumn id="6" name="TOTAL VALOR LIQUIDADO" totalsRowFunction="custom" dataDxfId="711" totalsRowDxfId="710" dataCellStyle="Moneda [0]">
      <totalsRowFormula>SUM(Tabla131112132840[TOTAL VALOR LIQUIDADO])</totalsRowFormula>
    </tableColumn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id="14" name="Tabla351415" displayName="Tabla351415" ref="B39:H46" totalsRowCount="1" headerRowDxfId="1359" dataDxfId="1358" headerRowCellStyle="_DESPLAZADOS-OPSR 2" dataCellStyle="Millares">
  <autoFilter ref="B39:H45"/>
  <tableColumns count="7">
    <tableColumn id="1" name="AÑO" dataDxfId="1357" totalsRowDxfId="1356"/>
    <tableColumn id="2" name="FAMILIAS" dataDxfId="1355" totalsRowDxfId="1354" dataCellStyle="Millares"/>
    <tableColumn id="3" name="TOTAL NNA" dataDxfId="1353" totalsRowDxfId="1352" dataCellStyle="Millares"/>
    <tableColumn id="4" name="NNA NUTRICION" dataDxfId="1351" totalsRowDxfId="1350" dataCellStyle="Millares"/>
    <tableColumn id="5" name="NNA EDUCACIÓN " dataDxfId="1349" totalsRowDxfId="1348" dataCellStyle="Millares"/>
    <tableColumn id="6" name="NN 0-5 AÑOS" dataDxfId="1347" totalsRowDxfId="1346" dataCellStyle="Millares"/>
    <tableColumn id="7" name="TOTAL VALOR LIQUIDADO" totalsRowFunction="custom" dataDxfId="1345" totalsRowDxfId="1344" dataCellStyle="Moneda 13">
      <totalsRowFormula>SUM(Tabla351415[TOTAL VALOR LIQUIDADO])</totalsRowFormula>
    </tableColumn>
  </tableColumns>
  <tableStyleInfo name="TableStyleMedium3" showFirstColumn="0" showLastColumn="0" showRowStripes="1" showColumnStripes="0"/>
</table>
</file>

<file path=xl/tables/table40.xml><?xml version="1.0" encoding="utf-8"?>
<table xmlns="http://schemas.openxmlformats.org/spreadsheetml/2006/main" id="40" name="Tabla13111213232941" displayName="Tabla13111213232941" ref="AO50:AU55" totalsRowCount="1" headerRowDxfId="709" dataDxfId="707" headerRowBorderDxfId="708" tableBorderDxfId="706" totalsRowBorderDxfId="705" headerRowCellStyle="_DESPLAZADOS-OPSR 2" dataCellStyle="Millares">
  <autoFilter ref="AO50:AU54"/>
  <tableColumns count="7">
    <tableColumn id="1" name="GRUPO POBLACIONAL" totalsRowLabel="TOTALES" dataDxfId="704" totalsRowDxfId="703"/>
    <tableColumn id="2" name="FAMILIAS" totalsRowFunction="custom" dataDxfId="702" totalsRowDxfId="701" dataCellStyle="Millares">
      <totalsRowFormula>SUM(Tabla13111213232941[FAMILIAS])</totalsRowFormula>
    </tableColumn>
    <tableColumn id="3" name="TOTAL NNA" totalsRowFunction="custom" dataDxfId="700" totalsRowDxfId="699" dataCellStyle="Millares">
      <totalsRowFormula>SUM(Tabla13111213232941[TOTAL NNA])</totalsRowFormula>
    </tableColumn>
    <tableColumn id="4" name="NNA NUTRICION" totalsRowFunction="custom" dataDxfId="698" totalsRowDxfId="697" dataCellStyle="Millares">
      <totalsRowFormula>SUM(Tabla13111213232941[NNA NUTRICION])</totalsRowFormula>
    </tableColumn>
    <tableColumn id="5" name="NNA EDUCACIÓN " totalsRowFunction="custom" dataDxfId="696" totalsRowDxfId="695" dataCellStyle="Millares">
      <totalsRowFormula>SUM(Tabla13111213232941[[NNA EDUCACIÓN ]])</totalsRowFormula>
    </tableColumn>
    <tableColumn id="7" name="NN 0-5 AÑOS" totalsRowFunction="custom" dataDxfId="694" totalsRowDxfId="693" dataCellStyle="Millares">
      <totalsRowFormula>SUM(Tabla13111213232941[NN 0-5 AÑOS])</totalsRowFormula>
    </tableColumn>
    <tableColumn id="6" name="TOTAL VALOR LIQUIDADO" totalsRowFunction="custom" dataDxfId="692" totalsRowDxfId="691" dataCellStyle="Moneda [0]">
      <totalsRowFormula>SUM(Tabla13111213232941[TOTAL VALOR LIQUIDADO])</totalsRowFormula>
    </tableColumn>
  </tableColumns>
  <tableStyleInfo name="TableStyleMedium3" showFirstColumn="0" showLastColumn="0" showRowStripes="1" showColumnStripes="0"/>
</table>
</file>

<file path=xl/tables/table41.xml><?xml version="1.0" encoding="utf-8"?>
<table xmlns="http://schemas.openxmlformats.org/spreadsheetml/2006/main" id="41" name="Tabla1311121323243042" displayName="Tabla1311121323243042" ref="AW50:BC55" totalsRowCount="1" headerRowDxfId="690" dataDxfId="688" headerRowBorderDxfId="689" tableBorderDxfId="687" totalsRowBorderDxfId="686" headerRowCellStyle="_DESPLAZADOS-OPSR 2" dataCellStyle="Millares">
  <autoFilter ref="AW50:BC54"/>
  <tableColumns count="7">
    <tableColumn id="1" name="GRUPO POBLACIONAL" totalsRowLabel="TOTALES" dataDxfId="685" totalsRowDxfId="684"/>
    <tableColumn id="2" name="FAMILIAS" totalsRowFunction="custom" dataDxfId="683" totalsRowDxfId="682" dataCellStyle="Millares">
      <totalsRowFormula>SUM(Tabla1311121323243042[FAMILIAS])</totalsRowFormula>
    </tableColumn>
    <tableColumn id="3" name="TOTAL NNA" totalsRowFunction="custom" dataDxfId="681" totalsRowDxfId="680" dataCellStyle="Millares">
      <totalsRowFormula>SUM(Tabla1311121323243042[TOTAL NNA])</totalsRowFormula>
    </tableColumn>
    <tableColumn id="4" name="NNA NUTRICION" totalsRowFunction="custom" dataDxfId="679" totalsRowDxfId="678" dataCellStyle="Millares">
      <totalsRowFormula>SUM(Tabla1311121323243042[NNA NUTRICION])</totalsRowFormula>
    </tableColumn>
    <tableColumn id="5" name="NNA EDUCACIÓN " totalsRowFunction="custom" dataDxfId="677" totalsRowDxfId="676" dataCellStyle="Millares">
      <totalsRowFormula>SUM(Tabla1311121323243042[[NNA EDUCACIÓN ]])</totalsRowFormula>
    </tableColumn>
    <tableColumn id="7" name="NN 0-5 AÑOS" totalsRowFunction="custom" dataDxfId="675" totalsRowDxfId="674" dataCellStyle="Millares">
      <totalsRowFormula>SUM(Tabla1311121323243042[NN 0-5 AÑOS])</totalsRowFormula>
    </tableColumn>
    <tableColumn id="6" name="TOTAL VALOR LIQUIDADO" totalsRowFunction="custom" dataDxfId="673" totalsRowDxfId="672" dataCellStyle="Moneda [0]">
      <totalsRowFormula>SUM(Tabla1311121323243042[TOTAL VALOR LIQUIDADO])</totalsRowFormula>
    </tableColumn>
  </tableColumns>
  <tableStyleInfo name="TableStyleMedium3" showFirstColumn="0" showLastColumn="0" showRowStripes="1" showColumnStripes="0"/>
</table>
</file>

<file path=xl/tables/table42.xml><?xml version="1.0" encoding="utf-8"?>
<table xmlns="http://schemas.openxmlformats.org/spreadsheetml/2006/main" id="42" name="Tabla1102543" displayName="Tabla1102543" ref="J60:O65" totalsRowCount="1" headerRowDxfId="671" dataDxfId="669" headerRowBorderDxfId="670" tableBorderDxfId="668" totalsRowBorderDxfId="667" headerRowCellStyle="_DESPLAZADOS-OPSR 2" dataCellStyle="Millares">
  <autoFilter ref="J60:O64"/>
  <tableColumns count="6">
    <tableColumn id="1" name="GRUPO POBLACIONAL" totalsRowLabel="TOTALES" dataDxfId="666" totalsRowDxfId="665"/>
    <tableColumn id="2" name="FAMILIAS" totalsRowFunction="custom" dataDxfId="664" totalsRowDxfId="663" dataCellStyle="Millares">
      <totalsRowFormula>SUM(Tabla1102543[FAMILIAS])</totalsRowFormula>
    </tableColumn>
    <tableColumn id="3" name="TOTAL NNA" totalsRowFunction="custom" dataDxfId="662" totalsRowDxfId="661" dataCellStyle="Millares">
      <totalsRowFormula>SUM(Tabla1102543[TOTAL NNA])</totalsRowFormula>
    </tableColumn>
    <tableColumn id="4" name="NNA NUTRICION" totalsRowFunction="custom" dataDxfId="660" totalsRowDxfId="659" dataCellStyle="Millares">
      <totalsRowFormula>SUM(Tabla1102543[NNA NUTRICION])</totalsRowFormula>
    </tableColumn>
    <tableColumn id="5" name="NNA EDUCACIÓN " totalsRowFunction="custom" dataDxfId="658" totalsRowDxfId="657" dataCellStyle="Millares">
      <totalsRowFormula>SUM(Tabla1102543[[NNA EDUCACIÓN ]])</totalsRowFormula>
    </tableColumn>
    <tableColumn id="6" name="TOTAL VALOR LIQUIDADO" totalsRowFunction="custom" dataDxfId="656" totalsRowDxfId="655" dataCellStyle="Moneda 13">
      <totalsRowFormula>SUM(Tabla1102543[TOTAL VALOR LIQUIDADO])</totalsRowFormula>
    </tableColumn>
  </tableColumns>
  <tableStyleInfo name="TableStyleMedium3" showFirstColumn="0" showLastColumn="0" showRowStripes="1" showColumnStripes="0"/>
</table>
</file>

<file path=xl/tables/table43.xml><?xml version="1.0" encoding="utf-8"?>
<table xmlns="http://schemas.openxmlformats.org/spreadsheetml/2006/main" id="43" name="Tabla13112644" displayName="Tabla13112644" ref="Q60:W65" totalsRowCount="1" headerRowDxfId="654" dataDxfId="652" headerRowBorderDxfId="653" tableBorderDxfId="651" totalsRowBorderDxfId="650" headerRowCellStyle="_DESPLAZADOS-OPSR 2" dataCellStyle="Millares">
  <autoFilter ref="Q60:W64"/>
  <tableColumns count="7">
    <tableColumn id="1" name="GRUPO POBLACIONAL" totalsRowLabel="TOTALES" dataDxfId="649" totalsRowDxfId="648"/>
    <tableColumn id="2" name="FAMILIAS" totalsRowFunction="custom" dataDxfId="647" totalsRowDxfId="646" dataCellStyle="Millares">
      <totalsRowFormula>SUM(Tabla13112644[FAMILIAS])</totalsRowFormula>
    </tableColumn>
    <tableColumn id="3" name="TOTAL NNA" totalsRowFunction="custom" dataDxfId="645" totalsRowDxfId="644" dataCellStyle="Millares">
      <totalsRowFormula>SUM(Tabla13112644[TOTAL NNA])</totalsRowFormula>
    </tableColumn>
    <tableColumn id="4" name="NNA NUTRICION" totalsRowFunction="custom" dataDxfId="643" totalsRowDxfId="642" dataCellStyle="Millares">
      <totalsRowFormula>SUM(Tabla13112644[NNA NUTRICION])</totalsRowFormula>
    </tableColumn>
    <tableColumn id="5" name="NNA EDUCACIÓN " totalsRowFunction="custom" dataDxfId="641" totalsRowDxfId="640" dataCellStyle="Millares">
      <totalsRowFormula>SUM(Tabla13112644[[NNA EDUCACIÓN ]])</totalsRowFormula>
    </tableColumn>
    <tableColumn id="7" name="NN 0-5 AÑOS" totalsRowFunction="custom" dataDxfId="639" totalsRowDxfId="638" dataCellStyle="Millares">
      <totalsRowFormula>SUM(Tabla13112644[NN 0-5 AÑOS])</totalsRowFormula>
    </tableColumn>
    <tableColumn id="6" name="TOTAL VALOR LIQUIDADO" totalsRowFunction="custom" dataDxfId="637" totalsRowDxfId="636" dataCellStyle="Moneda [0]">
      <totalsRowFormula>SUM(Tabla13112644[TOTAL VALOR LIQUIDADO])</totalsRowFormula>
    </tableColumn>
  </tableColumns>
  <tableStyleInfo name="TableStyleMedium3" showFirstColumn="0" showLastColumn="0" showRowStripes="1" showColumnStripes="0"/>
</table>
</file>

<file path=xl/tables/table44.xml><?xml version="1.0" encoding="utf-8"?>
<table xmlns="http://schemas.openxmlformats.org/spreadsheetml/2006/main" id="44" name="Tabla1311122745" displayName="Tabla1311122745" ref="Y60:AE65" totalsRowCount="1" headerRowDxfId="635" dataDxfId="633" headerRowBorderDxfId="634" tableBorderDxfId="632" totalsRowBorderDxfId="631" headerRowCellStyle="_DESPLAZADOS-OPSR 2" dataCellStyle="Millares">
  <autoFilter ref="Y60:AE64"/>
  <tableColumns count="7">
    <tableColumn id="1" name="GRUPO POBLACIONAL" totalsRowLabel="TOTALES" dataDxfId="630" totalsRowDxfId="629"/>
    <tableColumn id="2" name="FAMILIAS" totalsRowFunction="custom" dataDxfId="628" totalsRowDxfId="627" dataCellStyle="Millares">
      <totalsRowFormula>SUM(Tabla1311122745[FAMILIAS])</totalsRowFormula>
    </tableColumn>
    <tableColumn id="3" name="TOTAL NNA" totalsRowFunction="custom" dataDxfId="626" totalsRowDxfId="625" dataCellStyle="Millares">
      <totalsRowFormula>SUM(Tabla1311122745[TOTAL NNA])</totalsRowFormula>
    </tableColumn>
    <tableColumn id="4" name="NNA NUTRICION" totalsRowFunction="custom" dataDxfId="624" totalsRowDxfId="623" dataCellStyle="Millares">
      <totalsRowFormula>SUM(Tabla1311122745[NNA NUTRICION])</totalsRowFormula>
    </tableColumn>
    <tableColumn id="5" name="NNA EDUCACIÓN " totalsRowFunction="custom" dataDxfId="622" totalsRowDxfId="621" dataCellStyle="Millares">
      <totalsRowFormula>SUM(Tabla1311122745[[NNA EDUCACIÓN ]])</totalsRowFormula>
    </tableColumn>
    <tableColumn id="7" name="NN 0-5 AÑOS" totalsRowFunction="custom" dataDxfId="620" totalsRowDxfId="619" dataCellStyle="Millares">
      <totalsRowFormula>SUM(Tabla1311122745[NN 0-5 AÑOS])</totalsRowFormula>
    </tableColumn>
    <tableColumn id="6" name="TOTAL VALOR LIQUIDADO" totalsRowFunction="custom" dataDxfId="618" totalsRowDxfId="617" dataCellStyle="Moneda 13">
      <totalsRowFormula>SUM(Tabla1311122745[TOTAL VALOR LIQUIDADO])</totalsRowFormula>
    </tableColumn>
  </tableColumns>
  <tableStyleInfo name="TableStyleMedium3" showFirstColumn="0" showLastColumn="0" showRowStripes="1" showColumnStripes="0"/>
</table>
</file>

<file path=xl/tables/table45.xml><?xml version="1.0" encoding="utf-8"?>
<table xmlns="http://schemas.openxmlformats.org/spreadsheetml/2006/main" id="45" name="Tabla131112132846" displayName="Tabla131112132846" ref="AG60:AM65" totalsRowCount="1" headerRowDxfId="616" dataDxfId="614" headerRowBorderDxfId="615" tableBorderDxfId="613" totalsRowBorderDxfId="612" headerRowCellStyle="_DESPLAZADOS-OPSR 2" dataCellStyle="Millares">
  <autoFilter ref="AG60:AM64"/>
  <tableColumns count="7">
    <tableColumn id="1" name="GRUPO POBLACIONAL" totalsRowLabel="TOTALES" dataDxfId="611" totalsRowDxfId="610"/>
    <tableColumn id="2" name="FAMILIAS" totalsRowFunction="custom" dataDxfId="609" totalsRowDxfId="608" dataCellStyle="Millares">
      <totalsRowFormula>SUM(Tabla131112132846[FAMILIAS])</totalsRowFormula>
    </tableColumn>
    <tableColumn id="3" name="TOTAL NNA" totalsRowFunction="custom" dataDxfId="607" totalsRowDxfId="606" dataCellStyle="Millares">
      <totalsRowFormula>SUM(Tabla131112132846[TOTAL NNA])</totalsRowFormula>
    </tableColumn>
    <tableColumn id="4" name="NNA NUTRICION" totalsRowFunction="custom" dataDxfId="605" totalsRowDxfId="604" dataCellStyle="Millares">
      <totalsRowFormula>SUM(Tabla131112132846[NNA NUTRICION])</totalsRowFormula>
    </tableColumn>
    <tableColumn id="5" name="NNA EDUCACIÓN " totalsRowFunction="custom" dataDxfId="603" totalsRowDxfId="602" dataCellStyle="Millares">
      <totalsRowFormula>SUM(Tabla131112132846[[NNA EDUCACIÓN ]])</totalsRowFormula>
    </tableColumn>
    <tableColumn id="7" name="NN 0-5 AÑOS" totalsRowFunction="custom" dataDxfId="601" totalsRowDxfId="600" dataCellStyle="Millares">
      <totalsRowFormula>SUM(Tabla131112132846[NN 0-5 AÑOS])</totalsRowFormula>
    </tableColumn>
    <tableColumn id="6" name="TOTAL VALOR LIQUIDADO" totalsRowFunction="custom" dataDxfId="599" totalsRowDxfId="598" dataCellStyle="Moneda [0]">
      <totalsRowFormula>SUM(Tabla131112132846[TOTAL VALOR LIQUIDADO])</totalsRowFormula>
    </tableColumn>
  </tableColumns>
  <tableStyleInfo name="TableStyleMedium3" showFirstColumn="0" showLastColumn="0" showRowStripes="1" showColumnStripes="0"/>
</table>
</file>

<file path=xl/tables/table46.xml><?xml version="1.0" encoding="utf-8"?>
<table xmlns="http://schemas.openxmlformats.org/spreadsheetml/2006/main" id="46" name="Tabla13111213232947" displayName="Tabla13111213232947" ref="AO60:AU65" totalsRowCount="1" headerRowDxfId="597" dataDxfId="595" headerRowBorderDxfId="596" tableBorderDxfId="594" totalsRowBorderDxfId="593" headerRowCellStyle="_DESPLAZADOS-OPSR 2" dataCellStyle="Millares">
  <autoFilter ref="AO60:AU64"/>
  <tableColumns count="7">
    <tableColumn id="1" name="GRUPO POBLACIONAL" totalsRowLabel="TOTALES" dataDxfId="592" totalsRowDxfId="591"/>
    <tableColumn id="2" name="FAMILIAS" totalsRowFunction="custom" dataDxfId="590" totalsRowDxfId="589" dataCellStyle="Millares">
      <totalsRowFormula>SUM(Tabla13111213232947[FAMILIAS])</totalsRowFormula>
    </tableColumn>
    <tableColumn id="3" name="TOTAL NNA" totalsRowFunction="custom" dataDxfId="588" totalsRowDxfId="587" dataCellStyle="Millares">
      <totalsRowFormula>SUM(Tabla13111213232947[TOTAL NNA])</totalsRowFormula>
    </tableColumn>
    <tableColumn id="4" name="NNA NUTRICION" totalsRowFunction="custom" dataDxfId="586" totalsRowDxfId="585" dataCellStyle="Millares">
      <totalsRowFormula>SUM(Tabla13111213232947[NNA NUTRICION])</totalsRowFormula>
    </tableColumn>
    <tableColumn id="5" name="NNA EDUCACIÓN " totalsRowFunction="custom" dataDxfId="584" totalsRowDxfId="583" dataCellStyle="Millares">
      <totalsRowFormula>SUM(Tabla13111213232947[[NNA EDUCACIÓN ]])</totalsRowFormula>
    </tableColumn>
    <tableColumn id="7" name="NN 0-5 AÑOS" totalsRowFunction="custom" dataDxfId="582" totalsRowDxfId="581" dataCellStyle="Millares">
      <totalsRowFormula>SUM(Tabla13111213232947[NN 0-5 AÑOS])</totalsRowFormula>
    </tableColumn>
    <tableColumn id="6" name="TOTAL VALOR LIQUIDADO" totalsRowFunction="custom" dataDxfId="580" totalsRowDxfId="579" dataCellStyle="Moneda [0]">
      <totalsRowFormula>SUM(Tabla13111213232947[TOTAL VALOR LIQUIDADO])</totalsRowFormula>
    </tableColumn>
  </tableColumns>
  <tableStyleInfo name="TableStyleMedium3" showFirstColumn="0" showLastColumn="0" showRowStripes="1" showColumnStripes="0"/>
</table>
</file>

<file path=xl/tables/table47.xml><?xml version="1.0" encoding="utf-8"?>
<table xmlns="http://schemas.openxmlformats.org/spreadsheetml/2006/main" id="47" name="Tabla1311121323243048" displayName="Tabla1311121323243048" ref="AW60:BC65" totalsRowCount="1" headerRowDxfId="578" dataDxfId="576" headerRowBorderDxfId="577" tableBorderDxfId="575" totalsRowBorderDxfId="574" headerRowCellStyle="_DESPLAZADOS-OPSR 2" dataCellStyle="Millares">
  <autoFilter ref="AW60:BC64"/>
  <tableColumns count="7">
    <tableColumn id="1" name="GRUPO POBLACIONAL" totalsRowLabel="TOTALES" dataDxfId="573" totalsRowDxfId="572"/>
    <tableColumn id="2" name="FAMILIAS" totalsRowFunction="custom" dataDxfId="571" totalsRowDxfId="570" dataCellStyle="Millares">
      <totalsRowFormula>SUM(Tabla1311121323243048[FAMILIAS])</totalsRowFormula>
    </tableColumn>
    <tableColumn id="3" name="TOTAL NNA" totalsRowFunction="custom" dataDxfId="569" totalsRowDxfId="568" dataCellStyle="Millares">
      <totalsRowFormula>SUM(Tabla1311121323243048[TOTAL NNA])</totalsRowFormula>
    </tableColumn>
    <tableColumn id="4" name="NNA NUTRICION" totalsRowFunction="custom" dataDxfId="567" totalsRowDxfId="566" dataCellStyle="Millares">
      <totalsRowFormula>SUM(Tabla1311121323243048[NNA NUTRICION])</totalsRowFormula>
    </tableColumn>
    <tableColumn id="5" name="NNA EDUCACIÓN " totalsRowFunction="custom" dataDxfId="565" totalsRowDxfId="564" dataCellStyle="Millares">
      <totalsRowFormula>SUM(Tabla1311121323243048[[NNA EDUCACIÓN ]])</totalsRowFormula>
    </tableColumn>
    <tableColumn id="7" name="NN 0-5 AÑOS" totalsRowFunction="custom" dataDxfId="563" totalsRowDxfId="562" dataCellStyle="Millares">
      <totalsRowFormula>SUM(Tabla1311121323243048[NN 0-5 AÑOS])</totalsRowFormula>
    </tableColumn>
    <tableColumn id="6" name="TOTAL VALOR LIQUIDADO" totalsRowFunction="custom" dataDxfId="561" totalsRowDxfId="560" dataCellStyle="Moneda [0]">
      <totalsRowFormula>SUM(Tabla1311121323243048[TOTAL VALOR LIQUIDADO])</totalsRowFormula>
    </tableColumn>
  </tableColumns>
  <tableStyleInfo name="TableStyleMedium3" showFirstColumn="0" showLastColumn="0" showRowStripes="1" showColumnStripes="0"/>
</table>
</file>

<file path=xl/tables/table48.xml><?xml version="1.0" encoding="utf-8"?>
<table xmlns="http://schemas.openxmlformats.org/spreadsheetml/2006/main" id="48" name="Tabla1102549" displayName="Tabla1102549" ref="J70:O75" totalsRowCount="1" headerRowDxfId="559" dataDxfId="557" headerRowBorderDxfId="558" tableBorderDxfId="556" totalsRowBorderDxfId="555" headerRowCellStyle="_DESPLAZADOS-OPSR 2" dataCellStyle="Millares">
  <autoFilter ref="J70:O74"/>
  <tableColumns count="6">
    <tableColumn id="1" name="GRUPO POBLACIONAL" totalsRowLabel="TOTALES" dataDxfId="554" totalsRowDxfId="553"/>
    <tableColumn id="2" name="FAMILIAS" totalsRowFunction="custom" dataDxfId="552" totalsRowDxfId="551" dataCellStyle="Millares">
      <totalsRowFormula>SUM(Tabla1102549[FAMILIAS])</totalsRowFormula>
    </tableColumn>
    <tableColumn id="3" name="TOTAL NNA" totalsRowFunction="custom" dataDxfId="550" totalsRowDxfId="549" dataCellStyle="Millares">
      <totalsRowFormula>SUM(Tabla1102549[TOTAL NNA])</totalsRowFormula>
    </tableColumn>
    <tableColumn id="4" name="NNA NUTRICION" totalsRowFunction="custom" dataDxfId="548" totalsRowDxfId="547" dataCellStyle="Millares">
      <totalsRowFormula>SUM(Tabla1102549[NNA NUTRICION])</totalsRowFormula>
    </tableColumn>
    <tableColumn id="5" name="NNA EDUCACIÓN " totalsRowFunction="custom" dataDxfId="546" totalsRowDxfId="545" dataCellStyle="Millares">
      <totalsRowFormula>SUM(Tabla1102549[[NNA EDUCACIÓN ]])</totalsRowFormula>
    </tableColumn>
    <tableColumn id="6" name="TOTAL VALOR LIQUIDADO" totalsRowFunction="custom" dataDxfId="544" totalsRowDxfId="543" dataCellStyle="Moneda 13">
      <totalsRowFormula>SUM(Tabla1102549[TOTAL VALOR LIQUIDADO])</totalsRowFormula>
    </tableColumn>
  </tableColumns>
  <tableStyleInfo name="TableStyleMedium3" showFirstColumn="0" showLastColumn="0" showRowStripes="1" showColumnStripes="0"/>
</table>
</file>

<file path=xl/tables/table49.xml><?xml version="1.0" encoding="utf-8"?>
<table xmlns="http://schemas.openxmlformats.org/spreadsheetml/2006/main" id="49" name="Tabla13112650" displayName="Tabla13112650" ref="Q70:W75" totalsRowCount="1" headerRowDxfId="542" dataDxfId="540" headerRowBorderDxfId="541" tableBorderDxfId="539" totalsRowBorderDxfId="538" headerRowCellStyle="_DESPLAZADOS-OPSR 2" dataCellStyle="Millares">
  <autoFilter ref="Q70:W74"/>
  <tableColumns count="7">
    <tableColumn id="1" name="GRUPO POBLACIONAL" totalsRowLabel="TOTALES" dataDxfId="537" totalsRowDxfId="536"/>
    <tableColumn id="2" name="FAMILIAS" totalsRowFunction="custom" dataDxfId="535" totalsRowDxfId="534" dataCellStyle="Millares">
      <totalsRowFormula>SUM(Tabla13112650[FAMILIAS])</totalsRowFormula>
    </tableColumn>
    <tableColumn id="3" name="TOTAL NNA" totalsRowFunction="custom" dataDxfId="533" totalsRowDxfId="532" dataCellStyle="Millares">
      <totalsRowFormula>SUM(Tabla13112650[TOTAL NNA])</totalsRowFormula>
    </tableColumn>
    <tableColumn id="4" name="NNA NUTRICION" totalsRowFunction="custom" dataDxfId="531" totalsRowDxfId="530" dataCellStyle="Millares">
      <totalsRowFormula>SUM(Tabla13112650[NNA NUTRICION])</totalsRowFormula>
    </tableColumn>
    <tableColumn id="5" name="NNA EDUCACIÓN " totalsRowFunction="custom" dataDxfId="529" totalsRowDxfId="528" dataCellStyle="Millares">
      <totalsRowFormula>SUM(Tabla13112650[[NNA EDUCACIÓN ]])</totalsRowFormula>
    </tableColumn>
    <tableColumn id="7" name="NN 0-5 AÑOS" totalsRowFunction="custom" dataDxfId="527" totalsRowDxfId="526" dataCellStyle="Millares">
      <totalsRowFormula>SUM(Tabla13112650[NN 0-5 AÑOS])</totalsRowFormula>
    </tableColumn>
    <tableColumn id="6" name="TOTAL VALOR LIQUIDADO" totalsRowFunction="custom" dataDxfId="525" totalsRowDxfId="524" dataCellStyle="Moneda [0]">
      <totalsRowFormula>SUM(Tabla13112650[TOTAL VALOR LIQUIDADO])</totalsRowFormula>
    </tableColumn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15" name="Tabla35141516" displayName="Tabla35141516" ref="B49:H56" totalsRowCount="1" headerRowDxfId="1343" dataDxfId="1342" headerRowCellStyle="_DESPLAZADOS-OPSR 2" dataCellStyle="Millares">
  <autoFilter ref="B49:H55"/>
  <tableColumns count="7">
    <tableColumn id="1" name="AÑO" dataDxfId="1341" totalsRowDxfId="1340"/>
    <tableColumn id="2" name="FAMILIAS" dataDxfId="1339" totalsRowDxfId="1338" dataCellStyle="Millares"/>
    <tableColumn id="3" name="TOTAL NNA" dataDxfId="1337" totalsRowDxfId="1336" dataCellStyle="Millares"/>
    <tableColumn id="4" name="NNA NUTRICION" dataDxfId="1335" totalsRowDxfId="1334" dataCellStyle="Millares"/>
    <tableColumn id="5" name="NNA EDUCACIÓN " dataDxfId="1333" totalsRowDxfId="1332" dataCellStyle="Millares"/>
    <tableColumn id="6" name="NN 0-5 AÑOS" dataDxfId="1331" totalsRowDxfId="1330" dataCellStyle="Millares"/>
    <tableColumn id="7" name="TOTAL VALOR LIQUIDADO" totalsRowFunction="custom" dataDxfId="1329" totalsRowDxfId="1328" dataCellStyle="Moneda 13">
      <totalsRowFormula>SUM(Tabla35141516[TOTAL VALOR LIQUIDADO])</totalsRowFormula>
    </tableColumn>
  </tableColumns>
  <tableStyleInfo name="TableStyleMedium3" showFirstColumn="0" showLastColumn="0" showRowStripes="1" showColumnStripes="0"/>
</table>
</file>

<file path=xl/tables/table50.xml><?xml version="1.0" encoding="utf-8"?>
<table xmlns="http://schemas.openxmlformats.org/spreadsheetml/2006/main" id="50" name="Tabla1311122751" displayName="Tabla1311122751" ref="Y70:AE75" totalsRowCount="1" headerRowDxfId="523" dataDxfId="521" headerRowBorderDxfId="522" tableBorderDxfId="520" totalsRowBorderDxfId="519" headerRowCellStyle="_DESPLAZADOS-OPSR 2" dataCellStyle="Millares">
  <autoFilter ref="Y70:AE74"/>
  <tableColumns count="7">
    <tableColumn id="1" name="GRUPO POBLACIONAL" totalsRowLabel="TOTALES" dataDxfId="518" totalsRowDxfId="517"/>
    <tableColumn id="2" name="FAMILIAS" totalsRowFunction="custom" dataDxfId="516" totalsRowDxfId="515" dataCellStyle="Millares">
      <totalsRowFormula>SUM(Tabla1311122751[FAMILIAS])</totalsRowFormula>
    </tableColumn>
    <tableColumn id="3" name="TOTAL NNA" totalsRowFunction="custom" dataDxfId="514" totalsRowDxfId="513" dataCellStyle="Millares">
      <totalsRowFormula>SUM(Tabla1311122751[TOTAL NNA])</totalsRowFormula>
    </tableColumn>
    <tableColumn id="4" name="NNA NUTRICION" totalsRowFunction="custom" dataDxfId="512" totalsRowDxfId="511" dataCellStyle="Millares">
      <totalsRowFormula>SUM(Tabla1311122751[NNA NUTRICION])</totalsRowFormula>
    </tableColumn>
    <tableColumn id="5" name="NNA EDUCACIÓN " totalsRowFunction="custom" dataDxfId="510" totalsRowDxfId="509" dataCellStyle="Millares">
      <totalsRowFormula>SUM(Tabla1311122751[[NNA EDUCACIÓN ]])</totalsRowFormula>
    </tableColumn>
    <tableColumn id="7" name="NN 0-5 AÑOS" totalsRowFunction="custom" dataDxfId="508" totalsRowDxfId="507" dataCellStyle="Millares">
      <totalsRowFormula>SUM(Tabla1311122751[NN 0-5 AÑOS])</totalsRowFormula>
    </tableColumn>
    <tableColumn id="6" name="TOTAL VALOR LIQUIDADO" totalsRowFunction="custom" dataDxfId="506" totalsRowDxfId="505" dataCellStyle="Moneda [0]">
      <totalsRowFormula>SUM(Tabla1311122751[TOTAL VALOR LIQUIDADO])</totalsRowFormula>
    </tableColumn>
  </tableColumns>
  <tableStyleInfo name="TableStyleMedium3" showFirstColumn="0" showLastColumn="0" showRowStripes="1" showColumnStripes="0"/>
</table>
</file>

<file path=xl/tables/table51.xml><?xml version="1.0" encoding="utf-8"?>
<table xmlns="http://schemas.openxmlformats.org/spreadsheetml/2006/main" id="51" name="Tabla131112132852" displayName="Tabla131112132852" ref="AG70:AM75" totalsRowCount="1" headerRowDxfId="504" dataDxfId="502" headerRowBorderDxfId="503" tableBorderDxfId="501" totalsRowBorderDxfId="500" headerRowCellStyle="_DESPLAZADOS-OPSR 2" dataCellStyle="Millares">
  <autoFilter ref="AG70:AM74"/>
  <tableColumns count="7">
    <tableColumn id="1" name="GRUPO POBLACIONAL" totalsRowLabel="TOTALES" dataDxfId="499" totalsRowDxfId="498"/>
    <tableColumn id="2" name="FAMILIAS" totalsRowFunction="custom" dataDxfId="497" totalsRowDxfId="496" dataCellStyle="Millares">
      <totalsRowFormula>SUM(Tabla131112132852[FAMILIAS])</totalsRowFormula>
    </tableColumn>
    <tableColumn id="3" name="TOTAL NNA" totalsRowFunction="custom" dataDxfId="495" totalsRowDxfId="494" dataCellStyle="Millares">
      <totalsRowFormula>SUM(Tabla131112132852[TOTAL NNA])</totalsRowFormula>
    </tableColumn>
    <tableColumn id="4" name="NNA NUTRICION" totalsRowFunction="custom" dataDxfId="493" totalsRowDxfId="492" dataCellStyle="Millares">
      <totalsRowFormula>SUM(Tabla131112132852[NNA NUTRICION])</totalsRowFormula>
    </tableColumn>
    <tableColumn id="5" name="NNA EDUCACIÓN " totalsRowFunction="custom" dataDxfId="491" totalsRowDxfId="490" dataCellStyle="Millares">
      <totalsRowFormula>SUM(Tabla131112132852[[NNA EDUCACIÓN ]])</totalsRowFormula>
    </tableColumn>
    <tableColumn id="7" name="NN 0-5 AÑOS" totalsRowFunction="custom" dataDxfId="489" totalsRowDxfId="488" dataCellStyle="Millares">
      <totalsRowFormula>SUM(Tabla131112132852[NN 0-5 AÑOS])</totalsRowFormula>
    </tableColumn>
    <tableColumn id="6" name="TOTAL VALOR LIQUIDADO" totalsRowFunction="custom" dataDxfId="487" totalsRowDxfId="486" dataCellStyle="Moneda [0]">
      <totalsRowFormula>SUM(Tabla131112132852[TOTAL VALOR LIQUIDADO])</totalsRowFormula>
    </tableColumn>
  </tableColumns>
  <tableStyleInfo name="TableStyleMedium3" showFirstColumn="0" showLastColumn="0" showRowStripes="1" showColumnStripes="0"/>
</table>
</file>

<file path=xl/tables/table52.xml><?xml version="1.0" encoding="utf-8"?>
<table xmlns="http://schemas.openxmlformats.org/spreadsheetml/2006/main" id="52" name="Tabla13111213232953" displayName="Tabla13111213232953" ref="AO70:AU75" totalsRowCount="1" headerRowDxfId="485" dataDxfId="483" headerRowBorderDxfId="484" tableBorderDxfId="482" totalsRowBorderDxfId="481" headerRowCellStyle="_DESPLAZADOS-OPSR 2" dataCellStyle="Millares">
  <autoFilter ref="AO70:AU74"/>
  <tableColumns count="7">
    <tableColumn id="1" name="GRUPO POBLACIONAL" totalsRowLabel="TOTALES" dataDxfId="480" totalsRowDxfId="479"/>
    <tableColumn id="2" name="FAMILIAS" totalsRowFunction="custom" dataDxfId="478" totalsRowDxfId="477" dataCellStyle="Millares">
      <totalsRowFormula>SUM(Tabla13111213232953[FAMILIAS])</totalsRowFormula>
    </tableColumn>
    <tableColumn id="3" name="TOTAL NNA" totalsRowFunction="custom" dataDxfId="476" totalsRowDxfId="475" dataCellStyle="Millares">
      <totalsRowFormula>SUM(Tabla13111213232953[TOTAL NNA])</totalsRowFormula>
    </tableColumn>
    <tableColumn id="4" name="NNA NUTRICION" totalsRowFunction="custom" dataDxfId="474" totalsRowDxfId="473" dataCellStyle="Millares">
      <totalsRowFormula>SUM(Tabla13111213232953[NNA NUTRICION])</totalsRowFormula>
    </tableColumn>
    <tableColumn id="5" name="NNA EDUCACIÓN " totalsRowFunction="custom" dataDxfId="472" totalsRowDxfId="471" dataCellStyle="Millares">
      <totalsRowFormula>SUM(Tabla13111213232953[[NNA EDUCACIÓN ]])</totalsRowFormula>
    </tableColumn>
    <tableColumn id="7" name="NN 0-5 AÑOS" totalsRowFunction="custom" dataDxfId="470" totalsRowDxfId="469" dataCellStyle="Millares">
      <totalsRowFormula>SUM(Tabla13111213232953[NN 0-5 AÑOS])</totalsRowFormula>
    </tableColumn>
    <tableColumn id="6" name="TOTAL VALOR LIQUIDADO" totalsRowFunction="custom" dataDxfId="468" totalsRowDxfId="467" dataCellStyle="Moneda [0]">
      <totalsRowFormula>SUM(Tabla13111213232953[TOTAL VALOR LIQUIDADO])</totalsRowFormula>
    </tableColumn>
  </tableColumns>
  <tableStyleInfo name="TableStyleMedium3" showFirstColumn="0" showLastColumn="0" showRowStripes="1" showColumnStripes="0"/>
</table>
</file>

<file path=xl/tables/table53.xml><?xml version="1.0" encoding="utf-8"?>
<table xmlns="http://schemas.openxmlformats.org/spreadsheetml/2006/main" id="53" name="Tabla1311121323243054" displayName="Tabla1311121323243054" ref="AW70:BC75" totalsRowCount="1" headerRowDxfId="466" dataDxfId="464" headerRowBorderDxfId="465" tableBorderDxfId="463" totalsRowBorderDxfId="462" headerRowCellStyle="_DESPLAZADOS-OPSR 2" dataCellStyle="Millares">
  <autoFilter ref="AW70:BC74"/>
  <tableColumns count="7">
    <tableColumn id="1" name="GRUPO POBLACIONAL" totalsRowLabel="TOTALES" dataDxfId="461" totalsRowDxfId="460"/>
    <tableColumn id="2" name="FAMILIAS" totalsRowFunction="custom" dataDxfId="459" totalsRowDxfId="458" dataCellStyle="Millares">
      <totalsRowFormula>SUM(Tabla1311121323243054[FAMILIAS])</totalsRowFormula>
    </tableColumn>
    <tableColumn id="3" name="TOTAL NNA" totalsRowFunction="custom" dataDxfId="457" totalsRowDxfId="456" dataCellStyle="Millares">
      <totalsRowFormula>SUM(Tabla1311121323243054[TOTAL NNA])</totalsRowFormula>
    </tableColumn>
    <tableColumn id="4" name="NNA NUTRICION" totalsRowFunction="custom" dataDxfId="455" totalsRowDxfId="454" dataCellStyle="Millares">
      <totalsRowFormula>SUM(Tabla1311121323243054[NNA NUTRICION])</totalsRowFormula>
    </tableColumn>
    <tableColumn id="5" name="NNA EDUCACIÓN " totalsRowFunction="custom" dataDxfId="453" totalsRowDxfId="452" dataCellStyle="Millares">
      <totalsRowFormula>SUM(Tabla1311121323243054[[NNA EDUCACIÓN ]])</totalsRowFormula>
    </tableColumn>
    <tableColumn id="7" name="NN 0-5 AÑOS" totalsRowFunction="custom" dataDxfId="451" totalsRowDxfId="450" dataCellStyle="Millares">
      <totalsRowFormula>SUM(Tabla1311121323243054[NN 0-5 AÑOS])</totalsRowFormula>
    </tableColumn>
    <tableColumn id="6" name="TOTAL VALOR LIQUIDADO" totalsRowFunction="custom" dataDxfId="449" totalsRowDxfId="448" dataCellStyle="Moneda [0]">
      <totalsRowFormula>SUM(Tabla1311121323243054[TOTAL VALOR LIQUIDADO])</totalsRowFormula>
    </tableColumn>
  </tableColumns>
  <tableStyleInfo name="TableStyleMedium3" showFirstColumn="0" showLastColumn="0" showRowStripes="1" showColumnStripes="0"/>
</table>
</file>

<file path=xl/tables/table54.xml><?xml version="1.0" encoding="utf-8"?>
<table xmlns="http://schemas.openxmlformats.org/spreadsheetml/2006/main" id="54" name="Tabla1102555" displayName="Tabla1102555" ref="J80:O85" totalsRowCount="1" headerRowDxfId="447" dataDxfId="445" headerRowBorderDxfId="446" tableBorderDxfId="444" totalsRowBorderDxfId="443" headerRowCellStyle="_DESPLAZADOS-OPSR 2" dataCellStyle="Millares">
  <autoFilter ref="J80:O84"/>
  <tableColumns count="6">
    <tableColumn id="1" name="GRUPO POBLACIONAL" totalsRowLabel="TOTALES" dataDxfId="442" totalsRowDxfId="441"/>
    <tableColumn id="2" name="FAMILIAS" totalsRowFunction="custom" dataDxfId="440" totalsRowDxfId="439" dataCellStyle="Millares">
      <totalsRowFormula>SUM(Tabla1102555[FAMILIAS])</totalsRowFormula>
    </tableColumn>
    <tableColumn id="3" name="TOTAL NNA" totalsRowFunction="custom" dataDxfId="438" totalsRowDxfId="437" dataCellStyle="Millares">
      <totalsRowFormula>SUM(Tabla1102555[TOTAL NNA])</totalsRowFormula>
    </tableColumn>
    <tableColumn id="4" name="NNA NUTRICION" totalsRowFunction="custom" dataDxfId="436" totalsRowDxfId="435" dataCellStyle="Millares">
      <totalsRowFormula>SUM(Tabla1102555[NNA NUTRICION])</totalsRowFormula>
    </tableColumn>
    <tableColumn id="5" name="NNA EDUCACIÓN " totalsRowFunction="custom" dataDxfId="434" totalsRowDxfId="433" dataCellStyle="Millares">
      <totalsRowFormula>SUM(Tabla1102555[[NNA EDUCACIÓN ]])</totalsRowFormula>
    </tableColumn>
    <tableColumn id="6" name="TOTAL VALOR LIQUIDADO" totalsRowFunction="custom" dataDxfId="432" totalsRowDxfId="431" dataCellStyle="Moneda [0]">
      <totalsRowFormula>SUM(Tabla1102555[TOTAL VALOR LIQUIDADO])</totalsRowFormula>
    </tableColumn>
  </tableColumns>
  <tableStyleInfo name="TableStyleMedium3" showFirstColumn="0" showLastColumn="0" showRowStripes="1" showColumnStripes="0"/>
</table>
</file>

<file path=xl/tables/table55.xml><?xml version="1.0" encoding="utf-8"?>
<table xmlns="http://schemas.openxmlformats.org/spreadsheetml/2006/main" id="55" name="Tabla13112656" displayName="Tabla13112656" ref="Q80:W85" totalsRowCount="1" headerRowDxfId="430" dataDxfId="428" headerRowBorderDxfId="429" tableBorderDxfId="427" totalsRowBorderDxfId="426" headerRowCellStyle="_DESPLAZADOS-OPSR 2" dataCellStyle="Millares">
  <autoFilter ref="Q80:W84"/>
  <tableColumns count="7">
    <tableColumn id="1" name="GRUPO POBLACIONAL" totalsRowLabel="TOTALES" dataDxfId="425" totalsRowDxfId="424"/>
    <tableColumn id="2" name="FAMILIAS" totalsRowFunction="custom" dataDxfId="423" totalsRowDxfId="422" dataCellStyle="Millares">
      <totalsRowFormula>SUM(Tabla13112656[FAMILIAS])</totalsRowFormula>
    </tableColumn>
    <tableColumn id="3" name="TOTAL NNA" totalsRowFunction="custom" dataDxfId="421" totalsRowDxfId="420" dataCellStyle="Millares">
      <totalsRowFormula>SUM(Tabla13112656[TOTAL NNA])</totalsRowFormula>
    </tableColumn>
    <tableColumn id="4" name="NNA NUTRICION" totalsRowFunction="custom" dataDxfId="419" totalsRowDxfId="418" dataCellStyle="Millares">
      <totalsRowFormula>SUM(Tabla13112656[NNA NUTRICION])</totalsRowFormula>
    </tableColumn>
    <tableColumn id="5" name="NNA EDUCACIÓN " totalsRowFunction="custom" dataDxfId="417" totalsRowDxfId="416" dataCellStyle="Millares">
      <totalsRowFormula>SUM(Tabla13112656[[NNA EDUCACIÓN ]])</totalsRowFormula>
    </tableColumn>
    <tableColumn id="7" name="NN 0-5 AÑOS" totalsRowFunction="custom" dataDxfId="415" totalsRowDxfId="414" dataCellStyle="Millares">
      <totalsRowFormula>SUM(Tabla13112656[NN 0-5 AÑOS])</totalsRowFormula>
    </tableColumn>
    <tableColumn id="6" name="TOTAL VALOR LIQUIDADO" totalsRowFunction="custom" dataDxfId="413" totalsRowDxfId="412" dataCellStyle="Moneda [0]">
      <totalsRowFormula>SUM(Tabla13112656[TOTAL VALOR LIQUIDADO])</totalsRowFormula>
    </tableColumn>
  </tableColumns>
  <tableStyleInfo name="TableStyleMedium3" showFirstColumn="0" showLastColumn="0" showRowStripes="1" showColumnStripes="0"/>
</table>
</file>

<file path=xl/tables/table56.xml><?xml version="1.0" encoding="utf-8"?>
<table xmlns="http://schemas.openxmlformats.org/spreadsheetml/2006/main" id="56" name="Tabla1311122757" displayName="Tabla1311122757" ref="Y80:AE85" totalsRowCount="1" headerRowDxfId="411" dataDxfId="409" headerRowBorderDxfId="410" tableBorderDxfId="408" totalsRowBorderDxfId="407" headerRowCellStyle="_DESPLAZADOS-OPSR 2" dataCellStyle="Millares">
  <autoFilter ref="Y80:AE84"/>
  <tableColumns count="7">
    <tableColumn id="1" name="GRUPO POBLACIONAL" totalsRowLabel="TOTALES" dataDxfId="406" totalsRowDxfId="405"/>
    <tableColumn id="2" name="FAMILIAS" totalsRowFunction="custom" dataDxfId="404" totalsRowDxfId="403" dataCellStyle="Millares">
      <totalsRowFormula>SUM(Tabla1311122757[FAMILIAS])</totalsRowFormula>
    </tableColumn>
    <tableColumn id="3" name="TOTAL NNA" totalsRowFunction="custom" dataDxfId="402" totalsRowDxfId="401" dataCellStyle="Millares">
      <totalsRowFormula>SUM(Tabla1311122757[TOTAL NNA])</totalsRowFormula>
    </tableColumn>
    <tableColumn id="4" name="NNA NUTRICION" totalsRowFunction="custom" dataDxfId="400" totalsRowDxfId="399" dataCellStyle="Millares">
      <totalsRowFormula>SUM(Tabla1311122757[NNA NUTRICION])</totalsRowFormula>
    </tableColumn>
    <tableColumn id="5" name="NNA EDUCACIÓN " totalsRowFunction="custom" dataDxfId="398" totalsRowDxfId="397" dataCellStyle="Millares">
      <totalsRowFormula>SUM(Tabla1311122757[[NNA EDUCACIÓN ]])</totalsRowFormula>
    </tableColumn>
    <tableColumn id="7" name="NN 0-5 AÑOS" totalsRowFunction="custom" dataDxfId="396" totalsRowDxfId="395" dataCellStyle="Millares">
      <totalsRowFormula>SUM(Tabla1311122757[NN 0-5 AÑOS])</totalsRowFormula>
    </tableColumn>
    <tableColumn id="6" name="TOTAL VALOR LIQUIDADO" totalsRowFunction="custom" dataDxfId="394" totalsRowDxfId="393" dataCellStyle="Moneda 13">
      <totalsRowFormula>SUM(Tabla1311122757[TOTAL VALOR LIQUIDADO])</totalsRowFormula>
    </tableColumn>
  </tableColumns>
  <tableStyleInfo name="TableStyleMedium3" showFirstColumn="0" showLastColumn="0" showRowStripes="1" showColumnStripes="0"/>
</table>
</file>

<file path=xl/tables/table57.xml><?xml version="1.0" encoding="utf-8"?>
<table xmlns="http://schemas.openxmlformats.org/spreadsheetml/2006/main" id="57" name="Tabla131112132858" displayName="Tabla131112132858" ref="AG80:AM85" totalsRowCount="1" headerRowDxfId="392" dataDxfId="390" headerRowBorderDxfId="391" tableBorderDxfId="389" totalsRowBorderDxfId="388" headerRowCellStyle="_DESPLAZADOS-OPSR 2" dataCellStyle="Millares">
  <autoFilter ref="AG80:AM84"/>
  <tableColumns count="7">
    <tableColumn id="1" name="GRUPO POBLACIONAL" totalsRowLabel="TOTALES" dataDxfId="387" totalsRowDxfId="386"/>
    <tableColumn id="2" name="FAMILIAS" totalsRowFunction="custom" dataDxfId="385" totalsRowDxfId="384" dataCellStyle="Millares">
      <totalsRowFormula>SUM(Tabla131112132858[FAMILIAS])</totalsRowFormula>
    </tableColumn>
    <tableColumn id="3" name="TOTAL NNA" totalsRowFunction="custom" dataDxfId="383" totalsRowDxfId="382" dataCellStyle="Millares">
      <totalsRowFormula>SUM(Tabla131112132858[TOTAL NNA])</totalsRowFormula>
    </tableColumn>
    <tableColumn id="4" name="NNA NUTRICION" totalsRowFunction="custom" dataDxfId="381" totalsRowDxfId="380" dataCellStyle="Millares">
      <totalsRowFormula>SUM(Tabla131112132858[NNA NUTRICION])</totalsRowFormula>
    </tableColumn>
    <tableColumn id="5" name="NNA EDUCACIÓN " totalsRowFunction="custom" dataDxfId="379" totalsRowDxfId="378" dataCellStyle="Millares">
      <totalsRowFormula>SUM(Tabla131112132858[[NNA EDUCACIÓN ]])</totalsRowFormula>
    </tableColumn>
    <tableColumn id="7" name="NN 0-5 AÑOS" totalsRowFunction="custom" dataDxfId="377" totalsRowDxfId="376" dataCellStyle="Millares">
      <totalsRowFormula>SUM(Tabla131112132858[NN 0-5 AÑOS])</totalsRowFormula>
    </tableColumn>
    <tableColumn id="6" name="TOTAL VALOR LIQUIDADO" totalsRowFunction="custom" dataDxfId="375" totalsRowDxfId="374" dataCellStyle="Moneda [0]">
      <totalsRowFormula>SUM(Tabla131112132858[TOTAL VALOR LIQUIDADO])</totalsRowFormula>
    </tableColumn>
  </tableColumns>
  <tableStyleInfo name="TableStyleMedium3" showFirstColumn="0" showLastColumn="0" showRowStripes="1" showColumnStripes="0"/>
</table>
</file>

<file path=xl/tables/table58.xml><?xml version="1.0" encoding="utf-8"?>
<table xmlns="http://schemas.openxmlformats.org/spreadsheetml/2006/main" id="58" name="Tabla13111213232959" displayName="Tabla13111213232959" ref="AO80:AU85" totalsRowCount="1" headerRowDxfId="373" dataDxfId="371" headerRowBorderDxfId="372" tableBorderDxfId="370" totalsRowBorderDxfId="369" headerRowCellStyle="_DESPLAZADOS-OPSR 2" dataCellStyle="Millares">
  <autoFilter ref="AO80:AU84"/>
  <tableColumns count="7">
    <tableColumn id="1" name="GRUPO POBLACIONAL" totalsRowLabel="TOTALES" dataDxfId="368" totalsRowDxfId="367"/>
    <tableColumn id="2" name="FAMILIAS" totalsRowFunction="custom" dataDxfId="366" totalsRowDxfId="365" dataCellStyle="Millares">
      <totalsRowFormula>SUM(Tabla13111213232959[FAMILIAS])</totalsRowFormula>
    </tableColumn>
    <tableColumn id="3" name="TOTAL NNA" totalsRowFunction="custom" dataDxfId="364" totalsRowDxfId="363" dataCellStyle="Millares">
      <totalsRowFormula>SUM(Tabla13111213232959[TOTAL NNA])</totalsRowFormula>
    </tableColumn>
    <tableColumn id="4" name="NNA NUTRICION" totalsRowFunction="custom" dataDxfId="362" totalsRowDxfId="361" dataCellStyle="Millares">
      <totalsRowFormula>SUM(Tabla13111213232959[NNA NUTRICION])</totalsRowFormula>
    </tableColumn>
    <tableColumn id="5" name="NNA EDUCACIÓN " totalsRowFunction="custom" dataDxfId="360" totalsRowDxfId="359" dataCellStyle="Millares">
      <totalsRowFormula>SUM(Tabla13111213232959[[NNA EDUCACIÓN ]])</totalsRowFormula>
    </tableColumn>
    <tableColumn id="7" name="NN 0-5 AÑOS" totalsRowFunction="custom" dataDxfId="358" totalsRowDxfId="357" dataCellStyle="Millares">
      <totalsRowFormula>SUM(Tabla13111213232959[NN 0-5 AÑOS])</totalsRowFormula>
    </tableColumn>
    <tableColumn id="6" name="TOTAL VALOR LIQUIDADO" totalsRowFunction="custom" dataDxfId="356" totalsRowDxfId="355" dataCellStyle="Moneda [0]">
      <totalsRowFormula>SUM(Tabla13111213232959[TOTAL VALOR LIQUIDADO])</totalsRowFormula>
    </tableColumn>
  </tableColumns>
  <tableStyleInfo name="TableStyleMedium3" showFirstColumn="0" showLastColumn="0" showRowStripes="1" showColumnStripes="0"/>
</table>
</file>

<file path=xl/tables/table59.xml><?xml version="1.0" encoding="utf-8"?>
<table xmlns="http://schemas.openxmlformats.org/spreadsheetml/2006/main" id="59" name="Tabla1311121323243060" displayName="Tabla1311121323243060" ref="AW80:BC85" totalsRowCount="1" headerRowDxfId="354" dataDxfId="352" headerRowBorderDxfId="353" tableBorderDxfId="351" totalsRowBorderDxfId="350" headerRowCellStyle="_DESPLAZADOS-OPSR 2" dataCellStyle="Millares">
  <autoFilter ref="AW80:BC84"/>
  <tableColumns count="7">
    <tableColumn id="1" name="GRUPO POBLACIONAL" totalsRowLabel="TOTALES" dataDxfId="349" totalsRowDxfId="348"/>
    <tableColumn id="2" name="FAMILIAS" totalsRowFunction="custom" dataDxfId="347" totalsRowDxfId="346" dataCellStyle="Millares">
      <totalsRowFormula>SUM(Tabla1311121323243060[FAMILIAS])</totalsRowFormula>
    </tableColumn>
    <tableColumn id="3" name="TOTAL NNA" totalsRowFunction="custom" dataDxfId="345" totalsRowDxfId="344" dataCellStyle="Millares">
      <totalsRowFormula>SUM(Tabla1311121323243060[TOTAL NNA])</totalsRowFormula>
    </tableColumn>
    <tableColumn id="4" name="NNA NUTRICION" totalsRowFunction="custom" dataDxfId="343" totalsRowDxfId="342" dataCellStyle="Millares">
      <totalsRowFormula>SUM(Tabla1311121323243060[NNA NUTRICION])</totalsRowFormula>
    </tableColumn>
    <tableColumn id="5" name="NNA EDUCACIÓN " totalsRowFunction="custom" dataDxfId="341" totalsRowDxfId="340" dataCellStyle="Millares">
      <totalsRowFormula>SUM(Tabla1311121323243060[[NNA EDUCACIÓN ]])</totalsRowFormula>
    </tableColumn>
    <tableColumn id="7" name="NN 0-5 AÑOS" totalsRowFunction="custom" dataDxfId="339" totalsRowDxfId="338" dataCellStyle="Millares">
      <totalsRowFormula>SUM(Tabla1311121323243060[NN 0-5 AÑOS])</totalsRowFormula>
    </tableColumn>
    <tableColumn id="6" name="TOTAL VALOR LIQUIDADO" totalsRowFunction="custom" dataDxfId="337" totalsRowDxfId="336" dataCellStyle="Moneda [0]">
      <totalsRowFormula>SUM(Tabla1311121323243060[TOTAL VALOR LIQUIDADO])</totalsRowFormula>
    </tableColumn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id="16" name="Tabla3514151617" displayName="Tabla3514151617" ref="B59:H66" totalsRowCount="1" headerRowDxfId="1327" dataDxfId="1326" headerRowCellStyle="_DESPLAZADOS-OPSR 2" dataCellStyle="Millares">
  <autoFilter ref="B59:H65"/>
  <tableColumns count="7">
    <tableColumn id="1" name="AÑO" dataDxfId="1325" totalsRowDxfId="1324"/>
    <tableColumn id="2" name="FAMILIAS" dataDxfId="1323" totalsRowDxfId="1322" dataCellStyle="Millares"/>
    <tableColumn id="3" name="TOTAL NNA" dataDxfId="1321" totalsRowDxfId="1320" dataCellStyle="Millares"/>
    <tableColumn id="4" name="NNA NUTRICION" dataDxfId="1319" totalsRowDxfId="1318" dataCellStyle="Millares"/>
    <tableColumn id="5" name="NNA EDUCACIÓN " dataDxfId="1317" totalsRowDxfId="1316" dataCellStyle="Millares"/>
    <tableColumn id="6" name="NN 0-5 AÑOS" dataDxfId="1315" totalsRowDxfId="1314" dataCellStyle="Millares"/>
    <tableColumn id="7" name="TOTAL VALOR LIQUIDADO" totalsRowFunction="custom" dataDxfId="1313" totalsRowDxfId="1312" dataCellStyle="Moneda 13">
      <totalsRowFormula>SUM(Tabla3514151617[TOTAL VALOR LIQUIDADO])</totalsRowFormula>
    </tableColumn>
  </tableColumns>
  <tableStyleInfo name="TableStyleLight10" showFirstColumn="0" showLastColumn="0" showRowStripes="1" showColumnStripes="0"/>
</table>
</file>

<file path=xl/tables/table60.xml><?xml version="1.0" encoding="utf-8"?>
<table xmlns="http://schemas.openxmlformats.org/spreadsheetml/2006/main" id="60" name="Tabla1102561" displayName="Tabla1102561" ref="J90:O95" totalsRowCount="1" headerRowDxfId="335" dataDxfId="333" headerRowBorderDxfId="334" tableBorderDxfId="332" totalsRowBorderDxfId="331" headerRowCellStyle="_DESPLAZADOS-OPSR 2" dataCellStyle="Millares">
  <autoFilter ref="J90:O94"/>
  <tableColumns count="6">
    <tableColumn id="1" name="GRUPO POBLACIONAL" totalsRowLabel="TOTALES" dataDxfId="330" totalsRowDxfId="329"/>
    <tableColumn id="2" name="FAMILIAS" totalsRowFunction="custom" dataDxfId="328" totalsRowDxfId="327" dataCellStyle="Millares">
      <totalsRowFormula>SUM(Tabla1102561[FAMILIAS])</totalsRowFormula>
    </tableColumn>
    <tableColumn id="3" name="TOTAL NNA" totalsRowFunction="custom" dataDxfId="326" totalsRowDxfId="325" dataCellStyle="Millares">
      <totalsRowFormula>SUM(Tabla1102561[TOTAL NNA])</totalsRowFormula>
    </tableColumn>
    <tableColumn id="4" name="NNA NUTRICION" totalsRowFunction="custom" dataDxfId="324" totalsRowDxfId="323" dataCellStyle="Millares">
      <totalsRowFormula>SUM(Tabla1102561[NNA NUTRICION])</totalsRowFormula>
    </tableColumn>
    <tableColumn id="5" name="NNA EDUCACIÓN " totalsRowFunction="custom" dataDxfId="322" totalsRowDxfId="321" dataCellStyle="Millares">
      <totalsRowFormula>SUM(Tabla1102561[[NNA EDUCACIÓN ]])</totalsRowFormula>
    </tableColumn>
    <tableColumn id="6" name="TOTAL VALOR LIQUIDADO" totalsRowFunction="custom" dataDxfId="320" totalsRowDxfId="319" dataCellStyle="Moneda [0]">
      <totalsRowFormula>SUM(Tabla1102561[TOTAL VALOR LIQUIDADO])</totalsRowFormula>
    </tableColumn>
  </tableColumns>
  <tableStyleInfo name="TableStyleMedium3" showFirstColumn="0" showLastColumn="0" showRowStripes="1" showColumnStripes="0"/>
</table>
</file>

<file path=xl/tables/table61.xml><?xml version="1.0" encoding="utf-8"?>
<table xmlns="http://schemas.openxmlformats.org/spreadsheetml/2006/main" id="61" name="Tabla13112662" displayName="Tabla13112662" ref="Q90:W95" totalsRowCount="1" headerRowDxfId="318" dataDxfId="316" headerRowBorderDxfId="317" tableBorderDxfId="315" totalsRowBorderDxfId="314" headerRowCellStyle="_DESPLAZADOS-OPSR 2" dataCellStyle="Millares">
  <autoFilter ref="Q90:W94"/>
  <tableColumns count="7">
    <tableColumn id="1" name="GRUPO POBLACIONAL" totalsRowLabel="TOTALES" dataDxfId="313" totalsRowDxfId="312"/>
    <tableColumn id="2" name="FAMILIAS" totalsRowFunction="custom" dataDxfId="311" totalsRowDxfId="310" dataCellStyle="Millares">
      <totalsRowFormula>SUM(Tabla13112662[FAMILIAS])</totalsRowFormula>
    </tableColumn>
    <tableColumn id="3" name="TOTAL NNA" totalsRowFunction="custom" dataDxfId="309" totalsRowDxfId="308" dataCellStyle="Millares">
      <totalsRowFormula>SUM(Tabla13112662[TOTAL NNA])</totalsRowFormula>
    </tableColumn>
    <tableColumn id="4" name="NNA NUTRICION" totalsRowFunction="custom" dataDxfId="307" totalsRowDxfId="306" dataCellStyle="Millares">
      <totalsRowFormula>SUM(Tabla13112662[NNA NUTRICION])</totalsRowFormula>
    </tableColumn>
    <tableColumn id="5" name="NNA EDUCACIÓN " totalsRowFunction="custom" dataDxfId="305" totalsRowDxfId="304" dataCellStyle="Millares">
      <totalsRowFormula>SUM(Tabla13112662[[NNA EDUCACIÓN ]])</totalsRowFormula>
    </tableColumn>
    <tableColumn id="7" name="NN 0-5 AÑOS" totalsRowFunction="custom" dataDxfId="303" totalsRowDxfId="302" dataCellStyle="Millares">
      <totalsRowFormula>SUM(Tabla13112662[NN 0-5 AÑOS])</totalsRowFormula>
    </tableColumn>
    <tableColumn id="6" name="TOTAL VALOR LIQUIDADO" totalsRowFunction="custom" dataDxfId="301" totalsRowDxfId="300" dataCellStyle="Moneda [0]">
      <totalsRowFormula>SUM(Tabla13112662[TOTAL VALOR LIQUIDADO])</totalsRowFormula>
    </tableColumn>
  </tableColumns>
  <tableStyleInfo name="TableStyleMedium3" showFirstColumn="0" showLastColumn="0" showRowStripes="1" showColumnStripes="0"/>
</table>
</file>

<file path=xl/tables/table62.xml><?xml version="1.0" encoding="utf-8"?>
<table xmlns="http://schemas.openxmlformats.org/spreadsheetml/2006/main" id="62" name="Tabla1311122763" displayName="Tabla1311122763" ref="Y90:AE95" totalsRowCount="1" headerRowDxfId="299" dataDxfId="297" headerRowBorderDxfId="298" tableBorderDxfId="296" totalsRowBorderDxfId="295" headerRowCellStyle="_DESPLAZADOS-OPSR 2" dataCellStyle="Millares">
  <autoFilter ref="Y90:AE94"/>
  <tableColumns count="7">
    <tableColumn id="1" name="GRUPO POBLACIONAL" totalsRowLabel="TOTALES" dataDxfId="294" totalsRowDxfId="293"/>
    <tableColumn id="2" name="FAMILIAS" totalsRowFunction="custom" dataDxfId="292" totalsRowDxfId="291" dataCellStyle="Millares">
      <totalsRowFormula>SUM(Tabla1311122763[FAMILIAS])</totalsRowFormula>
    </tableColumn>
    <tableColumn id="3" name="TOTAL NNA" totalsRowFunction="custom" dataDxfId="290" totalsRowDxfId="289" dataCellStyle="Millares">
      <totalsRowFormula>SUM(Tabla1311122763[TOTAL NNA])</totalsRowFormula>
    </tableColumn>
    <tableColumn id="4" name="NNA NUTRICION" totalsRowFunction="custom" dataDxfId="288" totalsRowDxfId="287" dataCellStyle="Millares">
      <totalsRowFormula>SUM(Tabla1311122763[NNA NUTRICION])</totalsRowFormula>
    </tableColumn>
    <tableColumn id="5" name="NNA EDUCACIÓN " totalsRowFunction="custom" dataDxfId="286" totalsRowDxfId="285" dataCellStyle="Millares">
      <totalsRowFormula>SUM(Tabla1311122763[[NNA EDUCACIÓN ]])</totalsRowFormula>
    </tableColumn>
    <tableColumn id="7" name="NN 0-5 AÑOS" totalsRowFunction="custom" dataDxfId="284" totalsRowDxfId="283" dataCellStyle="Millares">
      <totalsRowFormula>SUM(Tabla1311122763[NN 0-5 AÑOS])</totalsRowFormula>
    </tableColumn>
    <tableColumn id="6" name="TOTAL VALOR LIQUIDADO" totalsRowFunction="custom" dataDxfId="282" totalsRowDxfId="281" dataCellStyle="Moneda [0]">
      <totalsRowFormula>SUM(Tabla1311122763[TOTAL VALOR LIQUIDADO])</totalsRowFormula>
    </tableColumn>
  </tableColumns>
  <tableStyleInfo name="TableStyleMedium3" showFirstColumn="0" showLastColumn="0" showRowStripes="1" showColumnStripes="0"/>
</table>
</file>

<file path=xl/tables/table63.xml><?xml version="1.0" encoding="utf-8"?>
<table xmlns="http://schemas.openxmlformats.org/spreadsheetml/2006/main" id="63" name="Tabla131112132864" displayName="Tabla131112132864" ref="AG90:AM95" totalsRowCount="1" headerRowDxfId="280" dataDxfId="278" headerRowBorderDxfId="279" tableBorderDxfId="277" totalsRowBorderDxfId="276" headerRowCellStyle="_DESPLAZADOS-OPSR 2" dataCellStyle="Millares">
  <autoFilter ref="AG90:AM94"/>
  <tableColumns count="7">
    <tableColumn id="1" name="GRUPO POBLACIONAL" totalsRowLabel="TOTALES" dataDxfId="275" totalsRowDxfId="274"/>
    <tableColumn id="2" name="FAMILIAS" totalsRowFunction="custom" dataDxfId="273" totalsRowDxfId="272" dataCellStyle="Millares">
      <totalsRowFormula>SUM(Tabla131112132864[FAMILIAS])</totalsRowFormula>
    </tableColumn>
    <tableColumn id="3" name="TOTAL NNA" totalsRowFunction="custom" dataDxfId="271" totalsRowDxfId="270" dataCellStyle="Millares">
      <totalsRowFormula>SUM(Tabla131112132864[TOTAL NNA])</totalsRowFormula>
    </tableColumn>
    <tableColumn id="4" name="NNA NUTRICION" totalsRowFunction="custom" dataDxfId="269" totalsRowDxfId="268" dataCellStyle="Millares">
      <totalsRowFormula>SUM(Tabla131112132864[NNA NUTRICION])</totalsRowFormula>
    </tableColumn>
    <tableColumn id="5" name="NNA EDUCACIÓN " totalsRowFunction="custom" dataDxfId="267" totalsRowDxfId="266" dataCellStyle="Millares">
      <totalsRowFormula>SUM(Tabla131112132864[[NNA EDUCACIÓN ]])</totalsRowFormula>
    </tableColumn>
    <tableColumn id="7" name="NN 0-5 AÑOS" totalsRowFunction="custom" dataDxfId="265" totalsRowDxfId="264" dataCellStyle="Millares">
      <totalsRowFormula>SUM(Tabla131112132864[NN 0-5 AÑOS])</totalsRowFormula>
    </tableColumn>
    <tableColumn id="6" name="TOTAL VALOR LIQUIDADO" totalsRowFunction="custom" dataDxfId="263" totalsRowDxfId="262" dataCellStyle="Moneda [0]">
      <totalsRowFormula>SUM(Tabla131112132864[TOTAL VALOR LIQUIDADO])</totalsRowFormula>
    </tableColumn>
  </tableColumns>
  <tableStyleInfo name="TableStyleMedium3" showFirstColumn="0" showLastColumn="0" showRowStripes="1" showColumnStripes="0"/>
</table>
</file>

<file path=xl/tables/table64.xml><?xml version="1.0" encoding="utf-8"?>
<table xmlns="http://schemas.openxmlformats.org/spreadsheetml/2006/main" id="64" name="Tabla13111213232965" displayName="Tabla13111213232965" ref="AO90:AU95" totalsRowCount="1" headerRowDxfId="261" dataDxfId="259" headerRowBorderDxfId="260" tableBorderDxfId="258" totalsRowBorderDxfId="257" headerRowCellStyle="_DESPLAZADOS-OPSR 2" dataCellStyle="Millares">
  <autoFilter ref="AO90:AU94"/>
  <tableColumns count="7">
    <tableColumn id="1" name="GRUPO POBLACIONAL" totalsRowLabel="TOTALES" dataDxfId="256" totalsRowDxfId="255"/>
    <tableColumn id="2" name="FAMILIAS" totalsRowFunction="custom" dataDxfId="254" totalsRowDxfId="253" dataCellStyle="Millares">
      <totalsRowFormula>SUM(Tabla13111213232965[FAMILIAS])</totalsRowFormula>
    </tableColumn>
    <tableColumn id="3" name="TOTAL NNA" totalsRowFunction="custom" dataDxfId="252" totalsRowDxfId="251" dataCellStyle="Millares">
      <totalsRowFormula>SUM(Tabla13111213232965[TOTAL NNA])</totalsRowFormula>
    </tableColumn>
    <tableColumn id="4" name="NNA NUTRICION" totalsRowFunction="custom" dataDxfId="250" totalsRowDxfId="249" dataCellStyle="Millares">
      <totalsRowFormula>SUM(Tabla13111213232965[NNA NUTRICION])</totalsRowFormula>
    </tableColumn>
    <tableColumn id="5" name="NNA EDUCACIÓN " totalsRowFunction="custom" dataDxfId="248" totalsRowDxfId="247" dataCellStyle="Millares">
      <totalsRowFormula>SUM(Tabla13111213232965[[NNA EDUCACIÓN ]])</totalsRowFormula>
    </tableColumn>
    <tableColumn id="7" name="NN 0-5 AÑOS" totalsRowFunction="custom" dataDxfId="246" totalsRowDxfId="245" dataCellStyle="Millares">
      <totalsRowFormula>SUM(Tabla13111213232965[NN 0-5 AÑOS])</totalsRowFormula>
    </tableColumn>
    <tableColumn id="6" name="TOTAL VALOR LIQUIDADO" totalsRowFunction="custom" dataDxfId="244" totalsRowDxfId="243" dataCellStyle="Moneda [0]">
      <totalsRowFormula>SUM(Tabla13111213232965[TOTAL VALOR LIQUIDADO])</totalsRowFormula>
    </tableColumn>
  </tableColumns>
  <tableStyleInfo name="TableStyleMedium3" showFirstColumn="0" showLastColumn="0" showRowStripes="1" showColumnStripes="0"/>
</table>
</file>

<file path=xl/tables/table65.xml><?xml version="1.0" encoding="utf-8"?>
<table xmlns="http://schemas.openxmlformats.org/spreadsheetml/2006/main" id="65" name="Tabla1311121323243066" displayName="Tabla1311121323243066" ref="AW90:BC95" totalsRowCount="1" headerRowDxfId="242" dataDxfId="240" headerRowBorderDxfId="241" tableBorderDxfId="239" totalsRowBorderDxfId="238" headerRowCellStyle="_DESPLAZADOS-OPSR 2" dataCellStyle="Millares">
  <autoFilter ref="AW90:BC94"/>
  <tableColumns count="7">
    <tableColumn id="1" name="GRUPO POBLACIONAL" totalsRowLabel="TOTALES" dataDxfId="237" totalsRowDxfId="236"/>
    <tableColumn id="2" name="FAMILIAS" totalsRowFunction="custom" dataDxfId="235" totalsRowDxfId="234" dataCellStyle="Millares">
      <totalsRowFormula>SUM(Tabla1311121323243066[FAMILIAS])</totalsRowFormula>
    </tableColumn>
    <tableColumn id="3" name="TOTAL NNA" totalsRowFunction="custom" dataDxfId="233" totalsRowDxfId="232" dataCellStyle="Millares">
      <totalsRowFormula>SUM(Tabla1311121323243066[TOTAL NNA])</totalsRowFormula>
    </tableColumn>
    <tableColumn id="4" name="NNA NUTRICION" totalsRowFunction="custom" dataDxfId="231" totalsRowDxfId="230" dataCellStyle="Millares">
      <totalsRowFormula>SUM(Tabla1311121323243066[NNA NUTRICION])</totalsRowFormula>
    </tableColumn>
    <tableColumn id="5" name="NNA EDUCACIÓN " totalsRowFunction="custom" dataDxfId="229" totalsRowDxfId="228" dataCellStyle="Millares">
      <totalsRowFormula>SUM(Tabla1311121323243066[[NNA EDUCACIÓN ]])</totalsRowFormula>
    </tableColumn>
    <tableColumn id="7" name="NN 0-5 AÑOS" totalsRowFunction="custom" dataDxfId="227" totalsRowDxfId="226" dataCellStyle="Millares">
      <totalsRowFormula>SUM(Tabla1311121323243066[NN 0-5 AÑOS])</totalsRowFormula>
    </tableColumn>
    <tableColumn id="6" name="TOTAL VALOR LIQUIDADO" totalsRowFunction="custom" dataDxfId="225" totalsRowDxfId="224" dataCellStyle="Moneda [0]">
      <totalsRowFormula>SUM(Tabla1311121323243066[TOTAL VALOR LIQUIDADO])</totalsRowFormula>
    </tableColumn>
  </tableColumns>
  <tableStyleInfo name="TableStyleMedium3" showFirstColumn="0" showLastColumn="0" showRowStripes="1" showColumnStripes="0"/>
</table>
</file>

<file path=xl/tables/table66.xml><?xml version="1.0" encoding="utf-8"?>
<table xmlns="http://schemas.openxmlformats.org/spreadsheetml/2006/main" id="66" name="Tabla1102567" displayName="Tabla1102567" ref="J100:O105" totalsRowCount="1" headerRowDxfId="223" dataDxfId="221" headerRowBorderDxfId="222" tableBorderDxfId="220" totalsRowBorderDxfId="219" headerRowCellStyle="_DESPLAZADOS-OPSR 2" dataCellStyle="Millares">
  <autoFilter ref="J100:O104"/>
  <tableColumns count="6">
    <tableColumn id="1" name="GRUPO POBLACIONAL" totalsRowLabel="TOTALES" dataDxfId="218" totalsRowDxfId="217"/>
    <tableColumn id="2" name="FAMILIAS" totalsRowFunction="custom" dataDxfId="216" totalsRowDxfId="215" dataCellStyle="Millares">
      <totalsRowFormula>SUM(Tabla1102567[FAMILIAS])</totalsRowFormula>
    </tableColumn>
    <tableColumn id="3" name="TOTAL NNA" totalsRowFunction="custom" dataDxfId="214" totalsRowDxfId="213" dataCellStyle="Millares">
      <totalsRowFormula>SUM(Tabla1102567[TOTAL NNA])</totalsRowFormula>
    </tableColumn>
    <tableColumn id="4" name="NNA NUTRICION" totalsRowFunction="custom" dataDxfId="212" totalsRowDxfId="211" dataCellStyle="Millares">
      <totalsRowFormula>SUM(Tabla1102567[NNA NUTRICION])</totalsRowFormula>
    </tableColumn>
    <tableColumn id="5" name="NNA EDUCACIÓN " totalsRowFunction="custom" dataDxfId="210" totalsRowDxfId="209" dataCellStyle="Millares">
      <totalsRowFormula>SUM(Tabla1102567[[NNA EDUCACIÓN ]])</totalsRowFormula>
    </tableColumn>
    <tableColumn id="6" name="TOTAL VALOR LIQUIDADO" totalsRowFunction="custom" dataDxfId="208" totalsRowDxfId="207" dataCellStyle="Moneda [0]">
      <totalsRowFormula>SUM(Tabla1102567[TOTAL VALOR LIQUIDADO])</totalsRowFormula>
    </tableColumn>
  </tableColumns>
  <tableStyleInfo name="TableStyleMedium3" showFirstColumn="0" showLastColumn="0" showRowStripes="1" showColumnStripes="0"/>
</table>
</file>

<file path=xl/tables/table67.xml><?xml version="1.0" encoding="utf-8"?>
<table xmlns="http://schemas.openxmlformats.org/spreadsheetml/2006/main" id="67" name="Tabla13112668" displayName="Tabla13112668" ref="Q100:W105" totalsRowCount="1" headerRowDxfId="206" dataDxfId="204" headerRowBorderDxfId="205" tableBorderDxfId="203" totalsRowBorderDxfId="202" headerRowCellStyle="_DESPLAZADOS-OPSR 2" dataCellStyle="Millares">
  <autoFilter ref="Q100:W104"/>
  <tableColumns count="7">
    <tableColumn id="1" name="GRUPO POBLACIONAL" totalsRowLabel="TOTALES" dataDxfId="201" totalsRowDxfId="200"/>
    <tableColumn id="2" name="FAMILIAS" totalsRowFunction="custom" dataDxfId="199" totalsRowDxfId="198" dataCellStyle="Millares">
      <totalsRowFormula>SUM(Tabla13112668[FAMILIAS])</totalsRowFormula>
    </tableColumn>
    <tableColumn id="3" name="TOTAL NNA" totalsRowFunction="custom" dataDxfId="197" totalsRowDxfId="196" dataCellStyle="Millares">
      <totalsRowFormula>SUM(Tabla13112668[TOTAL NNA])</totalsRowFormula>
    </tableColumn>
    <tableColumn id="4" name="NNA NUTRICION" totalsRowFunction="custom" dataDxfId="195" totalsRowDxfId="194" dataCellStyle="Millares">
      <totalsRowFormula>SUM(Tabla13112668[NNA NUTRICION])</totalsRowFormula>
    </tableColumn>
    <tableColumn id="5" name="NNA EDUCACIÓN " totalsRowFunction="custom" dataDxfId="193" totalsRowDxfId="192" dataCellStyle="Millares">
      <totalsRowFormula>SUM(Tabla13112668[[NNA EDUCACIÓN ]])</totalsRowFormula>
    </tableColumn>
    <tableColumn id="7" name="NN 0-5 AÑOS" totalsRowFunction="custom" dataDxfId="191" totalsRowDxfId="190" dataCellStyle="Millares">
      <totalsRowFormula>SUM(Tabla13112668[NN 0-5 AÑOS])</totalsRowFormula>
    </tableColumn>
    <tableColumn id="6" name="TOTAL VALOR LIQUIDADO" totalsRowFunction="custom" dataDxfId="189" totalsRowDxfId="188" dataCellStyle="Moneda [0]">
      <totalsRowFormula>SUM(Tabla13112668[TOTAL VALOR LIQUIDADO])</totalsRowFormula>
    </tableColumn>
  </tableColumns>
  <tableStyleInfo name="TableStyleMedium3" showFirstColumn="0" showLastColumn="0" showRowStripes="1" showColumnStripes="0"/>
</table>
</file>

<file path=xl/tables/table68.xml><?xml version="1.0" encoding="utf-8"?>
<table xmlns="http://schemas.openxmlformats.org/spreadsheetml/2006/main" id="68" name="Tabla1311122769" displayName="Tabla1311122769" ref="Y100:AE105" totalsRowCount="1" headerRowDxfId="187" dataDxfId="185" headerRowBorderDxfId="186" tableBorderDxfId="184" totalsRowBorderDxfId="183" headerRowCellStyle="_DESPLAZADOS-OPSR 2" dataCellStyle="Millares">
  <autoFilter ref="Y100:AE104"/>
  <tableColumns count="7">
    <tableColumn id="1" name="GRUPO POBLACIONAL" totalsRowLabel="TOTALES" dataDxfId="182" totalsRowDxfId="181"/>
    <tableColumn id="2" name="FAMILIAS" totalsRowFunction="custom" dataDxfId="180" totalsRowDxfId="179" dataCellStyle="Millares">
      <totalsRowFormula>SUM(Tabla1311122769[FAMILIAS])</totalsRowFormula>
    </tableColumn>
    <tableColumn id="3" name="TOTAL NNA" totalsRowFunction="custom" dataDxfId="178" totalsRowDxfId="177" dataCellStyle="Millares">
      <totalsRowFormula>SUM(Tabla1311122769[TOTAL NNA])</totalsRowFormula>
    </tableColumn>
    <tableColumn id="4" name="NNA NUTRICION" totalsRowFunction="custom" dataDxfId="176" totalsRowDxfId="175" dataCellStyle="Millares">
      <totalsRowFormula>SUM(Tabla1311122769[NNA NUTRICION])</totalsRowFormula>
    </tableColumn>
    <tableColumn id="5" name="NNA EDUCACIÓN " totalsRowFunction="custom" dataDxfId="174" totalsRowDxfId="173" dataCellStyle="Millares">
      <totalsRowFormula>SUM(Tabla1311122769[[NNA EDUCACIÓN ]])</totalsRowFormula>
    </tableColumn>
    <tableColumn id="7" name="NN 0-5 AÑOS" totalsRowFunction="custom" dataDxfId="172" totalsRowDxfId="171" dataCellStyle="Millares">
      <totalsRowFormula>SUM(Tabla1311122769[NN 0-5 AÑOS])</totalsRowFormula>
    </tableColumn>
    <tableColumn id="6" name="TOTAL VALOR LIQUIDADO" totalsRowFunction="custom" dataDxfId="170" totalsRowDxfId="169" dataCellStyle="Moneda 13">
      <totalsRowFormula>SUM(Tabla1311122769[TOTAL VALOR LIQUIDADO])</totalsRowFormula>
    </tableColumn>
  </tableColumns>
  <tableStyleInfo name="TableStyleMedium3" showFirstColumn="0" showLastColumn="0" showRowStripes="1" showColumnStripes="0"/>
</table>
</file>

<file path=xl/tables/table69.xml><?xml version="1.0" encoding="utf-8"?>
<table xmlns="http://schemas.openxmlformats.org/spreadsheetml/2006/main" id="69" name="Tabla131112132870" displayName="Tabla131112132870" ref="AG100:AM105" totalsRowCount="1" headerRowDxfId="168" dataDxfId="166" headerRowBorderDxfId="167" tableBorderDxfId="165" totalsRowBorderDxfId="164" headerRowCellStyle="_DESPLAZADOS-OPSR 2" dataCellStyle="Millares">
  <autoFilter ref="AG100:AM104"/>
  <tableColumns count="7">
    <tableColumn id="1" name="GRUPO POBLACIONAL" totalsRowLabel="TOTALES" dataDxfId="163" totalsRowDxfId="162"/>
    <tableColumn id="2" name="FAMILIAS" totalsRowFunction="custom" dataDxfId="161" totalsRowDxfId="160" dataCellStyle="Millares">
      <totalsRowFormula>SUM(Tabla131112132870[FAMILIAS])</totalsRowFormula>
    </tableColumn>
    <tableColumn id="3" name="TOTAL NNA" totalsRowFunction="custom" dataDxfId="159" totalsRowDxfId="158" dataCellStyle="Millares">
      <totalsRowFormula>SUM(Tabla131112132870[TOTAL NNA])</totalsRowFormula>
    </tableColumn>
    <tableColumn id="4" name="NNA NUTRICION" totalsRowFunction="custom" dataDxfId="157" totalsRowDxfId="156" dataCellStyle="Millares">
      <totalsRowFormula>SUM(Tabla131112132870[NNA NUTRICION])</totalsRowFormula>
    </tableColumn>
    <tableColumn id="5" name="NNA EDUCACIÓN " totalsRowFunction="custom" dataDxfId="155" totalsRowDxfId="154" dataCellStyle="Millares">
      <totalsRowFormula>SUM(Tabla131112132870[[NNA EDUCACIÓN ]])</totalsRowFormula>
    </tableColumn>
    <tableColumn id="7" name="NN 0-5 AÑOS" totalsRowFunction="custom" dataDxfId="153" totalsRowDxfId="152" dataCellStyle="Millares">
      <totalsRowFormula>SUM(Tabla131112132870[NN 0-5 AÑOS])</totalsRowFormula>
    </tableColumn>
    <tableColumn id="6" name="TOTAL VALOR LIQUIDADO" totalsRowFunction="custom" dataDxfId="151" totalsRowDxfId="150" dataCellStyle="Moneda [0]">
      <totalsRowFormula>SUM(Tabla131112132870[TOTAL VALOR LIQUIDADO])</totalsRowFormula>
    </tableColumn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id="17" name="Tabla351415161718" displayName="Tabla351415161718" ref="B69:H76" totalsRowCount="1" headerRowDxfId="1311" dataDxfId="1310" headerRowCellStyle="_DESPLAZADOS-OPSR 2" dataCellStyle="Millares">
  <autoFilter ref="B69:H75"/>
  <tableColumns count="7">
    <tableColumn id="1" name="AÑO" dataDxfId="1309" totalsRowDxfId="1308"/>
    <tableColumn id="2" name="FAMILIAS" dataDxfId="1307" totalsRowDxfId="1306" dataCellStyle="Millares"/>
    <tableColumn id="3" name="TOTAL NNA" dataDxfId="1305" totalsRowDxfId="1304" dataCellStyle="Millares"/>
    <tableColumn id="4" name="NNA NUTRICION" dataDxfId="1303" totalsRowDxfId="1302" dataCellStyle="Millares"/>
    <tableColumn id="5" name="NNA EDUCACIÓN " dataDxfId="1301" totalsRowDxfId="1300" dataCellStyle="Millares"/>
    <tableColumn id="6" name="NN 0-5 AÑOS" dataDxfId="1299" totalsRowDxfId="1298" dataCellStyle="Millares"/>
    <tableColumn id="7" name="TOTAL VALOR LIQUIDADO" totalsRowFunction="custom" dataDxfId="1297" totalsRowDxfId="1296" dataCellStyle="Moneda 13">
      <totalsRowFormula>SUM(Tabla351415161718[TOTAL VALOR LIQUIDADO])</totalsRowFormula>
    </tableColumn>
  </tableColumns>
  <tableStyleInfo name="TableStyleMedium3" showFirstColumn="0" showLastColumn="0" showRowStripes="1" showColumnStripes="0"/>
</table>
</file>

<file path=xl/tables/table70.xml><?xml version="1.0" encoding="utf-8"?>
<table xmlns="http://schemas.openxmlformats.org/spreadsheetml/2006/main" id="70" name="Tabla13111213232971" displayName="Tabla13111213232971" ref="AO100:AU105" totalsRowCount="1" headerRowDxfId="149" dataDxfId="147" headerRowBorderDxfId="148" tableBorderDxfId="146" totalsRowBorderDxfId="145" headerRowCellStyle="_DESPLAZADOS-OPSR 2" dataCellStyle="Millares">
  <autoFilter ref="AO100:AU104"/>
  <tableColumns count="7">
    <tableColumn id="1" name="GRUPO POBLACIONAL" totalsRowLabel="TOTALES" dataDxfId="144" totalsRowDxfId="143"/>
    <tableColumn id="2" name="FAMILIAS" totalsRowFunction="custom" dataDxfId="142" totalsRowDxfId="141" dataCellStyle="Millares">
      <totalsRowFormula>SUM(Tabla13111213232971[FAMILIAS])</totalsRowFormula>
    </tableColumn>
    <tableColumn id="3" name="TOTAL NNA" totalsRowFunction="custom" dataDxfId="140" totalsRowDxfId="139" dataCellStyle="Millares">
      <totalsRowFormula>SUM(Tabla13111213232971[TOTAL NNA])</totalsRowFormula>
    </tableColumn>
    <tableColumn id="4" name="NNA NUTRICION" totalsRowFunction="custom" dataDxfId="138" totalsRowDxfId="137" dataCellStyle="Millares">
      <totalsRowFormula>SUM(Tabla13111213232971[NNA NUTRICION])</totalsRowFormula>
    </tableColumn>
    <tableColumn id="5" name="NNA EDUCACIÓN " totalsRowFunction="custom" dataDxfId="136" totalsRowDxfId="135" dataCellStyle="Millares">
      <totalsRowFormula>SUM(Tabla13111213232971[[NNA EDUCACIÓN ]])</totalsRowFormula>
    </tableColumn>
    <tableColumn id="7" name="NN 0-5 AÑOS" totalsRowFunction="custom" dataDxfId="134" totalsRowDxfId="133" dataCellStyle="Millares">
      <totalsRowFormula>SUM(Tabla13111213232971[NN 0-5 AÑOS])</totalsRowFormula>
    </tableColumn>
    <tableColumn id="6" name="TOTAL VALOR LIQUIDADO" totalsRowFunction="custom" dataDxfId="132" totalsRowDxfId="131" dataCellStyle="Moneda [0]">
      <totalsRowFormula>SUM(Tabla13111213232971[TOTAL VALOR LIQUIDADO])</totalsRowFormula>
    </tableColumn>
  </tableColumns>
  <tableStyleInfo name="TableStyleMedium3" showFirstColumn="0" showLastColumn="0" showRowStripes="1" showColumnStripes="0"/>
</table>
</file>

<file path=xl/tables/table71.xml><?xml version="1.0" encoding="utf-8"?>
<table xmlns="http://schemas.openxmlformats.org/spreadsheetml/2006/main" id="71" name="Tabla1311121323243072" displayName="Tabla1311121323243072" ref="AW100:BC105" totalsRowCount="1" headerRowDxfId="130" dataDxfId="128" headerRowBorderDxfId="129" tableBorderDxfId="127" totalsRowBorderDxfId="126" headerRowCellStyle="_DESPLAZADOS-OPSR 2" dataCellStyle="Millares">
  <autoFilter ref="AW100:BC104"/>
  <tableColumns count="7">
    <tableColumn id="1" name="GRUPO POBLACIONAL" totalsRowLabel="TOTALES" dataDxfId="125" totalsRowDxfId="124"/>
    <tableColumn id="2" name="FAMILIAS" totalsRowFunction="custom" dataDxfId="123" totalsRowDxfId="122" dataCellStyle="Millares">
      <totalsRowFormula>SUM(Tabla1311121323243072[FAMILIAS])</totalsRowFormula>
    </tableColumn>
    <tableColumn id="3" name="TOTAL NNA" totalsRowFunction="custom" dataDxfId="121" totalsRowDxfId="120" dataCellStyle="Millares">
      <totalsRowFormula>SUM(Tabla1311121323243072[TOTAL NNA])</totalsRowFormula>
    </tableColumn>
    <tableColumn id="4" name="NNA NUTRICION" totalsRowFunction="custom" dataDxfId="119" totalsRowDxfId="118" dataCellStyle="Millares">
      <totalsRowFormula>SUM(Tabla1311121323243072[NNA NUTRICION])</totalsRowFormula>
    </tableColumn>
    <tableColumn id="5" name="NNA EDUCACIÓN " totalsRowFunction="custom" dataDxfId="117" totalsRowDxfId="116" dataCellStyle="Millares">
      <totalsRowFormula>SUM(Tabla1311121323243072[[NNA EDUCACIÓN ]])</totalsRowFormula>
    </tableColumn>
    <tableColumn id="7" name="NN 0-5 AÑOS" totalsRowFunction="custom" dataDxfId="115" totalsRowDxfId="114" dataCellStyle="Millares">
      <totalsRowFormula>SUM(Tabla1311121323243072[NN 0-5 AÑOS])</totalsRowFormula>
    </tableColumn>
    <tableColumn id="6" name="TOTAL VALOR LIQUIDADO" totalsRowFunction="custom" dataDxfId="113" totalsRowDxfId="112" dataCellStyle="Moneda [0]">
      <totalsRowFormula>SUM(Tabla1311121323243072[TOTAL VALOR LIQUIDADO])</totalsRowFormula>
    </tableColumn>
  </tableColumns>
  <tableStyleInfo name="TableStyleMedium3" showFirstColumn="0" showLastColumn="0" showRowStripes="1" showColumnStripes="0"/>
</table>
</file>

<file path=xl/tables/table72.xml><?xml version="1.0" encoding="utf-8"?>
<table xmlns="http://schemas.openxmlformats.org/spreadsheetml/2006/main" id="72" name="Tabla1102573" displayName="Tabla1102573" ref="J110:O115" totalsRowCount="1" headerRowDxfId="111" dataDxfId="109" headerRowBorderDxfId="110" tableBorderDxfId="108" totalsRowBorderDxfId="107" headerRowCellStyle="_DESPLAZADOS-OPSR 2" dataCellStyle="Millares">
  <autoFilter ref="J110:O114"/>
  <tableColumns count="6">
    <tableColumn id="1" name="GRUPO POBLACIONAL" totalsRowLabel="TOTALES" dataDxfId="106" totalsRowDxfId="105"/>
    <tableColumn id="2" name="FAMILIAS" totalsRowFunction="custom" dataDxfId="104" totalsRowDxfId="103" dataCellStyle="Millares">
      <totalsRowFormula>SUM(Tabla1102573[FAMILIAS])</totalsRowFormula>
    </tableColumn>
    <tableColumn id="3" name="TOTAL NNA" totalsRowFunction="custom" dataDxfId="102" totalsRowDxfId="101" dataCellStyle="Millares">
      <totalsRowFormula>SUM(Tabla1102573[TOTAL NNA])</totalsRowFormula>
    </tableColumn>
    <tableColumn id="4" name="NNA NUTRICION" totalsRowFunction="custom" dataDxfId="100" totalsRowDxfId="99" dataCellStyle="Millares">
      <totalsRowFormula>SUM(Tabla1102573[NNA NUTRICION])</totalsRowFormula>
    </tableColumn>
    <tableColumn id="5" name="NNA EDUCACIÓN " totalsRowFunction="custom" dataDxfId="98" totalsRowDxfId="97" dataCellStyle="Millares">
      <totalsRowFormula>SUM(Tabla1102573[[NNA EDUCACIÓN ]])</totalsRowFormula>
    </tableColumn>
    <tableColumn id="6" name="TOTAL VALOR LIQUIDADO" totalsRowFunction="custom" dataDxfId="96" totalsRowDxfId="95" dataCellStyle="Moneda [0]">
      <totalsRowFormula>SUM(Tabla1102573[TOTAL VALOR LIQUIDADO])</totalsRowFormula>
    </tableColumn>
  </tableColumns>
  <tableStyleInfo name="TableStyleMedium3" showFirstColumn="0" showLastColumn="0" showRowStripes="1" showColumnStripes="0"/>
</table>
</file>

<file path=xl/tables/table73.xml><?xml version="1.0" encoding="utf-8"?>
<table xmlns="http://schemas.openxmlformats.org/spreadsheetml/2006/main" id="73" name="Tabla13112674" displayName="Tabla13112674" ref="Q110:W115" totalsRowCount="1" headerRowDxfId="94" dataDxfId="92" headerRowBorderDxfId="93" tableBorderDxfId="91" totalsRowBorderDxfId="90" headerRowCellStyle="_DESPLAZADOS-OPSR 2" dataCellStyle="Millares">
  <autoFilter ref="Q110:W114"/>
  <tableColumns count="7">
    <tableColumn id="1" name="GRUPO POBLACIONAL" totalsRowLabel="TOTALES" dataDxfId="89" totalsRowDxfId="88"/>
    <tableColumn id="2" name="FAMILIAS" totalsRowFunction="custom" dataDxfId="87" totalsRowDxfId="86" dataCellStyle="Millares">
      <totalsRowFormula>SUM(Tabla13112674[FAMILIAS])</totalsRowFormula>
    </tableColumn>
    <tableColumn id="3" name="TOTAL NNA" totalsRowFunction="custom" dataDxfId="85" totalsRowDxfId="84" dataCellStyle="Millares">
      <totalsRowFormula>SUM(Tabla13112674[TOTAL NNA])</totalsRowFormula>
    </tableColumn>
    <tableColumn id="4" name="NNA NUTRICION" totalsRowFunction="custom" dataDxfId="83" totalsRowDxfId="82" dataCellStyle="Millares">
      <totalsRowFormula>SUM(Tabla13112674[NNA NUTRICION])</totalsRowFormula>
    </tableColumn>
    <tableColumn id="5" name="NNA EDUCACIÓN " totalsRowFunction="custom" dataDxfId="81" totalsRowDxfId="80" dataCellStyle="Millares">
      <totalsRowFormula>SUM(Tabla13112674[[NNA EDUCACIÓN ]])</totalsRowFormula>
    </tableColumn>
    <tableColumn id="7" name="NN 0-5 AÑOS" totalsRowFunction="custom" dataDxfId="79" totalsRowDxfId="78" dataCellStyle="Millares">
      <totalsRowFormula>SUM(Tabla13112674[NN 0-5 AÑOS])</totalsRowFormula>
    </tableColumn>
    <tableColumn id="6" name="TOTAL VALOR LIQUIDADO" totalsRowFunction="custom" dataDxfId="77" totalsRowDxfId="76" dataCellStyle="Moneda [0]">
      <totalsRowFormula>SUM(Tabla13112674[TOTAL VALOR LIQUIDADO])</totalsRowFormula>
    </tableColumn>
  </tableColumns>
  <tableStyleInfo name="TableStyleMedium3" showFirstColumn="0" showLastColumn="0" showRowStripes="1" showColumnStripes="0"/>
</table>
</file>

<file path=xl/tables/table74.xml><?xml version="1.0" encoding="utf-8"?>
<table xmlns="http://schemas.openxmlformats.org/spreadsheetml/2006/main" id="74" name="Tabla1311122775" displayName="Tabla1311122775" ref="Y110:AE115" totalsRowCount="1" headerRowDxfId="75" dataDxfId="73" headerRowBorderDxfId="74" tableBorderDxfId="72" totalsRowBorderDxfId="71" headerRowCellStyle="_DESPLAZADOS-OPSR 2" dataCellStyle="Millares">
  <autoFilter ref="Y110:AE114"/>
  <tableColumns count="7">
    <tableColumn id="1" name="GRUPO POBLACIONAL" totalsRowLabel="TOTALES" dataDxfId="70" totalsRowDxfId="69"/>
    <tableColumn id="2" name="FAMILIAS" totalsRowFunction="custom" dataDxfId="68" totalsRowDxfId="67" dataCellStyle="Millares">
      <totalsRowFormula>SUM(Tabla1311122775[FAMILIAS])</totalsRowFormula>
    </tableColumn>
    <tableColumn id="3" name="TOTAL NNA" totalsRowFunction="custom" dataDxfId="66" totalsRowDxfId="65" dataCellStyle="Millares">
      <totalsRowFormula>SUM(Tabla1311122775[TOTAL NNA])</totalsRowFormula>
    </tableColumn>
    <tableColumn id="4" name="NNA NUTRICION" totalsRowFunction="custom" dataDxfId="64" totalsRowDxfId="63" dataCellStyle="Millares">
      <totalsRowFormula>SUM(Tabla1311122775[NNA NUTRICION])</totalsRowFormula>
    </tableColumn>
    <tableColumn id="5" name="NNA EDUCACIÓN " totalsRowFunction="custom" dataDxfId="62" totalsRowDxfId="61" dataCellStyle="Millares">
      <totalsRowFormula>SUM(Tabla1311122775[[NNA EDUCACIÓN ]])</totalsRowFormula>
    </tableColumn>
    <tableColumn id="7" name="NN 0-5 AÑOS" totalsRowFunction="custom" dataDxfId="60" totalsRowDxfId="59" dataCellStyle="Millares">
      <totalsRowFormula>SUM(Tabla1311122775[NN 0-5 AÑOS])</totalsRowFormula>
    </tableColumn>
    <tableColumn id="6" name="TOTAL VALOR LIQUIDADO" totalsRowFunction="custom" dataDxfId="58" totalsRowDxfId="57" dataCellStyle="Moneda 13">
      <totalsRowFormula>SUM(Tabla1311122775[TOTAL VALOR LIQUIDADO])</totalsRowFormula>
    </tableColumn>
  </tableColumns>
  <tableStyleInfo name="TableStyleMedium3" showFirstColumn="0" showLastColumn="0" showRowStripes="1" showColumnStripes="0"/>
</table>
</file>

<file path=xl/tables/table75.xml><?xml version="1.0" encoding="utf-8"?>
<table xmlns="http://schemas.openxmlformats.org/spreadsheetml/2006/main" id="75" name="Tabla131112132876" displayName="Tabla131112132876" ref="AG110:AM115" totalsRowCount="1" headerRowDxfId="56" dataDxfId="54" headerRowBorderDxfId="55" tableBorderDxfId="53" totalsRowBorderDxfId="52" headerRowCellStyle="_DESPLAZADOS-OPSR 2" dataCellStyle="Millares">
  <autoFilter ref="AG110:AM114"/>
  <tableColumns count="7">
    <tableColumn id="1" name="GRUPO POBLACIONAL" totalsRowLabel="TOTALES" dataDxfId="51" totalsRowDxfId="50"/>
    <tableColumn id="2" name="FAMILIAS" totalsRowFunction="custom" dataDxfId="49" totalsRowDxfId="48" dataCellStyle="Millares">
      <totalsRowFormula>SUM(Tabla131112132876[FAMILIAS])</totalsRowFormula>
    </tableColumn>
    <tableColumn id="3" name="TOTAL NNA" totalsRowFunction="custom" dataDxfId="47" totalsRowDxfId="46" dataCellStyle="Millares">
      <totalsRowFormula>SUM(Tabla131112132876[TOTAL NNA])</totalsRowFormula>
    </tableColumn>
    <tableColumn id="4" name="NNA NUTRICION" totalsRowFunction="custom" dataDxfId="45" totalsRowDxfId="44" dataCellStyle="Millares">
      <totalsRowFormula>SUM(Tabla131112132876[NNA NUTRICION])</totalsRowFormula>
    </tableColumn>
    <tableColumn id="5" name="NNA EDUCACIÓN " totalsRowFunction="custom" dataDxfId="43" totalsRowDxfId="42" dataCellStyle="Millares">
      <totalsRowFormula>SUM(Tabla131112132876[[NNA EDUCACIÓN ]])</totalsRowFormula>
    </tableColumn>
    <tableColumn id="7" name="NN 0-5 AÑOS" totalsRowFunction="custom" dataDxfId="41" totalsRowDxfId="40" dataCellStyle="Millares">
      <totalsRowFormula>SUM(Tabla131112132876[NN 0-5 AÑOS])</totalsRowFormula>
    </tableColumn>
    <tableColumn id="6" name="TOTAL VALOR LIQUIDADO" totalsRowFunction="custom" dataDxfId="39" totalsRowDxfId="38" dataCellStyle="Moneda [0]">
      <totalsRowFormula>SUM(Tabla131112132876[TOTAL VALOR LIQUIDADO])</totalsRowFormula>
    </tableColumn>
  </tableColumns>
  <tableStyleInfo name="TableStyleMedium3" showFirstColumn="0" showLastColumn="0" showRowStripes="1" showColumnStripes="0"/>
</table>
</file>

<file path=xl/tables/table76.xml><?xml version="1.0" encoding="utf-8"?>
<table xmlns="http://schemas.openxmlformats.org/spreadsheetml/2006/main" id="76" name="Tabla13111213232977" displayName="Tabla13111213232977" ref="AO110:AU115" totalsRowCount="1" headerRowDxfId="37" dataDxfId="35" headerRowBorderDxfId="36" tableBorderDxfId="34" totalsRowBorderDxfId="33" headerRowCellStyle="_DESPLAZADOS-OPSR 2" dataCellStyle="Millares">
  <autoFilter ref="AO110:AU114"/>
  <tableColumns count="7">
    <tableColumn id="1" name="GRUPO POBLACIONAL" totalsRowLabel="TOTALES" dataDxfId="32" totalsRowDxfId="31"/>
    <tableColumn id="2" name="FAMILIAS" totalsRowFunction="custom" dataDxfId="30" totalsRowDxfId="29" dataCellStyle="Millares">
      <totalsRowFormula>SUM(Tabla13111213232977[FAMILIAS])</totalsRowFormula>
    </tableColumn>
    <tableColumn id="3" name="TOTAL NNA" totalsRowFunction="custom" dataDxfId="28" totalsRowDxfId="27" dataCellStyle="Millares">
      <totalsRowFormula>SUM(Tabla13111213232977[TOTAL NNA])</totalsRowFormula>
    </tableColumn>
    <tableColumn id="4" name="NNA NUTRICION" totalsRowFunction="custom" dataDxfId="26" totalsRowDxfId="25" dataCellStyle="Millares">
      <totalsRowFormula>SUM(Tabla13111213232977[NNA NUTRICION])</totalsRowFormula>
    </tableColumn>
    <tableColumn id="5" name="NNA EDUCACIÓN " totalsRowFunction="custom" dataDxfId="24" totalsRowDxfId="23" dataCellStyle="Millares">
      <totalsRowFormula>SUM(Tabla13111213232977[[NNA EDUCACIÓN ]])</totalsRowFormula>
    </tableColumn>
    <tableColumn id="7" name="NN 0-5 AÑOS" totalsRowFunction="custom" dataDxfId="22" totalsRowDxfId="21" dataCellStyle="Millares">
      <totalsRowFormula>SUM(Tabla13111213232977[NN 0-5 AÑOS])</totalsRowFormula>
    </tableColumn>
    <tableColumn id="6" name="TOTAL VALOR LIQUIDADO" totalsRowFunction="custom" dataDxfId="20" totalsRowDxfId="19" dataCellStyle="Moneda [0]">
      <totalsRowFormula>SUM(Tabla13111213232977[TOTAL VALOR LIQUIDADO])</totalsRowFormula>
    </tableColumn>
  </tableColumns>
  <tableStyleInfo name="TableStyleMedium3" showFirstColumn="0" showLastColumn="0" showRowStripes="1" showColumnStripes="0"/>
</table>
</file>

<file path=xl/tables/table77.xml><?xml version="1.0" encoding="utf-8"?>
<table xmlns="http://schemas.openxmlformats.org/spreadsheetml/2006/main" id="77" name="Tabla1311121323243078" displayName="Tabla1311121323243078" ref="AW110:BC115" totalsRowCount="1" headerRowDxfId="18" dataDxfId="16" headerRowBorderDxfId="17" tableBorderDxfId="15" totalsRowBorderDxfId="14" headerRowCellStyle="_DESPLAZADOS-OPSR 2" dataCellStyle="Millares">
  <autoFilter ref="AW110:BC114"/>
  <tableColumns count="7">
    <tableColumn id="1" name="GRUPO POBLACIONAL" totalsRowLabel="TOTALES" dataDxfId="13" totalsRowDxfId="12"/>
    <tableColumn id="2" name="FAMILIAS" totalsRowFunction="custom" dataDxfId="11" totalsRowDxfId="10" dataCellStyle="Millares">
      <totalsRowFormula>SUM(Tabla1311121323243078[FAMILIAS])</totalsRowFormula>
    </tableColumn>
    <tableColumn id="3" name="TOTAL NNA" totalsRowFunction="custom" dataDxfId="9" totalsRowDxfId="8" dataCellStyle="Millares">
      <totalsRowFormula>SUM(Tabla1311121323243078[TOTAL NNA])</totalsRowFormula>
    </tableColumn>
    <tableColumn id="4" name="NNA NUTRICION" totalsRowFunction="custom" dataDxfId="7" totalsRowDxfId="6" dataCellStyle="Millares">
      <totalsRowFormula>SUM(Tabla1311121323243078[NNA NUTRICION])</totalsRowFormula>
    </tableColumn>
    <tableColumn id="5" name="NNA EDUCACIÓN " totalsRowFunction="custom" dataDxfId="5" totalsRowDxfId="4" dataCellStyle="Millares">
      <totalsRowFormula>SUM(Tabla1311121323243078[[NNA EDUCACIÓN ]])</totalsRowFormula>
    </tableColumn>
    <tableColumn id="7" name="NN 0-5 AÑOS" totalsRowFunction="custom" dataDxfId="3" totalsRowDxfId="2" dataCellStyle="Millares">
      <totalsRowFormula>SUM(Tabla1311121323243078[NN 0-5 AÑOS])</totalsRowFormula>
    </tableColumn>
    <tableColumn id="6" name="TOTAL VALOR LIQUIDADO" totalsRowFunction="custom" dataDxfId="1" totalsRowDxfId="0" dataCellStyle="Moneda [0]">
      <totalsRowFormula>SUM(Tabla1311121323243078[TOTAL VALOR LIQUIDADO])</totalsRowFormula>
    </tableColumn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id="18" name="Tabla35141516171819" displayName="Tabla35141516171819" ref="B79:H86" totalsRowCount="1" headerRowDxfId="1295" dataDxfId="1294" headerRowCellStyle="_DESPLAZADOS-OPSR 2" dataCellStyle="Millares">
  <autoFilter ref="B79:H85"/>
  <tableColumns count="7">
    <tableColumn id="1" name="AÑO" dataDxfId="1293" totalsRowDxfId="1292"/>
    <tableColumn id="2" name="FAMILIAS" dataDxfId="1291" totalsRowDxfId="1290" dataCellStyle="Millares"/>
    <tableColumn id="3" name="TOTAL NNA" dataDxfId="1289" totalsRowDxfId="1288" dataCellStyle="Millares"/>
    <tableColumn id="4" name="NNA NUTRICION" dataDxfId="1287" totalsRowDxfId="1286" dataCellStyle="Millares"/>
    <tableColumn id="5" name="NNA EDUCACIÓN " dataDxfId="1285" totalsRowDxfId="1284" dataCellStyle="Millares"/>
    <tableColumn id="6" name="NN 0-5 AÑOS" dataDxfId="1283" totalsRowDxfId="1282" dataCellStyle="Millares"/>
    <tableColumn id="7" name="TOTAL VALOR LIQUIDADO" totalsRowFunction="custom" dataDxfId="1281" totalsRowDxfId="1280" dataCellStyle="Moneda 13">
      <totalsRowFormula>SUM(Tabla35141516171819[TOTAL VALOR LIQUIDADO])</totalsRowFormula>
    </tableColumn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id="19" name="Tabla3514151617181920" displayName="Tabla3514151617181920" ref="B89:H96" totalsRowCount="1" headerRowDxfId="1279" dataDxfId="1278" headerRowCellStyle="_DESPLAZADOS-OPSR 2" dataCellStyle="Millares">
  <autoFilter ref="B89:H95"/>
  <tableColumns count="7">
    <tableColumn id="1" name="AÑO" dataDxfId="1277" totalsRowDxfId="1276"/>
    <tableColumn id="2" name="FAMILIAS" dataDxfId="1275" totalsRowDxfId="1274" dataCellStyle="Millares"/>
    <tableColumn id="3" name="TOTAL NNA" dataDxfId="1273" totalsRowDxfId="1272" dataCellStyle="Millares"/>
    <tableColumn id="4" name="NNA NUTRICION" dataDxfId="1271" totalsRowDxfId="1270" dataCellStyle="Millares"/>
    <tableColumn id="5" name="NNA EDUCACIÓN " dataDxfId="1269" totalsRowDxfId="1268" dataCellStyle="Millares"/>
    <tableColumn id="6" name="NN 0-5 AÑOS" dataDxfId="1267" totalsRowDxfId="1266" dataCellStyle="Millares"/>
    <tableColumn id="7" name="TOTAL VALOR LIQUIDADO" totalsRowFunction="custom" dataDxfId="1265" totalsRowDxfId="1264" dataCellStyle="Moneda 13">
      <totalsRowFormula>SUM(Tabla3514151617181920[TOTAL VALOR LIQUIDADO])</totalsRow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5.xml"/><Relationship Id="rId21" Type="http://schemas.openxmlformats.org/officeDocument/2006/relationships/table" Target="../tables/table20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63" Type="http://schemas.openxmlformats.org/officeDocument/2006/relationships/table" Target="../tables/table62.xml"/><Relationship Id="rId68" Type="http://schemas.openxmlformats.org/officeDocument/2006/relationships/table" Target="../tables/table67.xml"/><Relationship Id="rId16" Type="http://schemas.openxmlformats.org/officeDocument/2006/relationships/table" Target="../tables/table1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8" Type="http://schemas.openxmlformats.org/officeDocument/2006/relationships/table" Target="../tables/table57.xml"/><Relationship Id="rId66" Type="http://schemas.openxmlformats.org/officeDocument/2006/relationships/table" Target="../tables/table65.xml"/><Relationship Id="rId74" Type="http://schemas.openxmlformats.org/officeDocument/2006/relationships/table" Target="../tables/table73.xml"/><Relationship Id="rId5" Type="http://schemas.openxmlformats.org/officeDocument/2006/relationships/table" Target="../tables/table4.xml"/><Relationship Id="rId61" Type="http://schemas.openxmlformats.org/officeDocument/2006/relationships/table" Target="../tables/table60.xml"/><Relationship Id="rId19" Type="http://schemas.openxmlformats.org/officeDocument/2006/relationships/table" Target="../tables/table1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56" Type="http://schemas.openxmlformats.org/officeDocument/2006/relationships/table" Target="../tables/table55.xml"/><Relationship Id="rId64" Type="http://schemas.openxmlformats.org/officeDocument/2006/relationships/table" Target="../tables/table63.xml"/><Relationship Id="rId69" Type="http://schemas.openxmlformats.org/officeDocument/2006/relationships/table" Target="../tables/table68.xml"/><Relationship Id="rId77" Type="http://schemas.openxmlformats.org/officeDocument/2006/relationships/table" Target="../tables/table76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72" Type="http://schemas.openxmlformats.org/officeDocument/2006/relationships/table" Target="../tables/table71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59" Type="http://schemas.openxmlformats.org/officeDocument/2006/relationships/table" Target="../tables/table58.xml"/><Relationship Id="rId67" Type="http://schemas.openxmlformats.org/officeDocument/2006/relationships/table" Target="../tables/table66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62" Type="http://schemas.openxmlformats.org/officeDocument/2006/relationships/table" Target="../tables/table61.xml"/><Relationship Id="rId70" Type="http://schemas.openxmlformats.org/officeDocument/2006/relationships/table" Target="../tables/table69.xml"/><Relationship Id="rId75" Type="http://schemas.openxmlformats.org/officeDocument/2006/relationships/table" Target="../tables/table7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57" Type="http://schemas.openxmlformats.org/officeDocument/2006/relationships/table" Target="../tables/table56.xml"/><Relationship Id="rId10" Type="http://schemas.openxmlformats.org/officeDocument/2006/relationships/table" Target="../tables/table9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60" Type="http://schemas.openxmlformats.org/officeDocument/2006/relationships/table" Target="../tables/table59.xml"/><Relationship Id="rId65" Type="http://schemas.openxmlformats.org/officeDocument/2006/relationships/table" Target="../tables/table64.xml"/><Relationship Id="rId73" Type="http://schemas.openxmlformats.org/officeDocument/2006/relationships/table" Target="../tables/table72.xml"/><Relationship Id="rId78" Type="http://schemas.openxmlformats.org/officeDocument/2006/relationships/table" Target="../tables/table77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9" Type="http://schemas.openxmlformats.org/officeDocument/2006/relationships/table" Target="../tables/table38.xml"/><Relationship Id="rId34" Type="http://schemas.openxmlformats.org/officeDocument/2006/relationships/table" Target="../tables/table33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6" Type="http://schemas.openxmlformats.org/officeDocument/2006/relationships/table" Target="../tables/table75.xml"/><Relationship Id="rId7" Type="http://schemas.openxmlformats.org/officeDocument/2006/relationships/table" Target="../tables/table6.xml"/><Relationship Id="rId71" Type="http://schemas.openxmlformats.org/officeDocument/2006/relationships/table" Target="../tables/table70.xml"/><Relationship Id="rId2" Type="http://schemas.openxmlformats.org/officeDocument/2006/relationships/table" Target="../tables/table1.xml"/><Relationship Id="rId29" Type="http://schemas.openxmlformats.org/officeDocument/2006/relationships/table" Target="../tables/table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E138"/>
  <sheetViews>
    <sheetView tabSelected="1" topLeftCell="D1" workbookViewId="0">
      <selection activeCell="L15" sqref="L15"/>
    </sheetView>
  </sheetViews>
  <sheetFormatPr baseColWidth="10" defaultRowHeight="15" x14ac:dyDescent="0.25"/>
  <cols>
    <col min="1" max="1" width="2.140625" customWidth="1"/>
    <col min="2" max="2" width="10.85546875" customWidth="1"/>
    <col min="3" max="3" width="15.42578125" style="48" customWidth="1"/>
    <col min="4" max="4" width="12.28515625" style="48" customWidth="1"/>
    <col min="5" max="5" width="15.7109375" style="48" customWidth="1"/>
    <col min="6" max="6" width="16.85546875" style="48" customWidth="1"/>
    <col min="7" max="7" width="11.42578125" style="48"/>
    <col min="8" max="8" width="17.140625" style="48" customWidth="1"/>
    <col min="9" max="9" width="3.5703125" customWidth="1"/>
    <col min="10" max="10" width="24.7109375" bestFit="1" customWidth="1"/>
    <col min="11" max="11" width="13.85546875" style="48" customWidth="1"/>
    <col min="12" max="12" width="12.28515625" style="48" customWidth="1"/>
    <col min="13" max="13" width="15.7109375" style="48" customWidth="1"/>
    <col min="14" max="14" width="16.85546875" style="48" customWidth="1"/>
    <col min="15" max="15" width="23.85546875" style="48" customWidth="1"/>
    <col min="16" max="16" width="4" customWidth="1"/>
    <col min="17" max="17" width="23" bestFit="1" customWidth="1"/>
    <col min="18" max="18" width="13.28515625" customWidth="1"/>
    <col min="23" max="23" width="26.140625" bestFit="1" customWidth="1"/>
    <col min="24" max="24" width="4.42578125" customWidth="1"/>
    <col min="25" max="25" width="23" bestFit="1" customWidth="1"/>
    <col min="26" max="26" width="14.85546875" style="48" bestFit="1" customWidth="1"/>
    <col min="27" max="30" width="11.42578125" style="48"/>
    <col min="31" max="31" width="26.140625" style="48" bestFit="1" customWidth="1"/>
    <col min="32" max="32" width="4" customWidth="1"/>
    <col min="33" max="33" width="23" bestFit="1" customWidth="1"/>
    <col min="34" max="34" width="14.7109375" style="48" customWidth="1"/>
    <col min="35" max="38" width="11.42578125" style="48"/>
    <col min="39" max="39" width="26.140625" style="48" bestFit="1" customWidth="1"/>
    <col min="40" max="40" width="4.140625" customWidth="1"/>
    <col min="41" max="41" width="23" bestFit="1" customWidth="1"/>
    <col min="42" max="42" width="14.85546875" style="48" customWidth="1"/>
    <col min="43" max="46" width="11.42578125" style="48"/>
    <col min="47" max="47" width="26.140625" style="48" bestFit="1" customWidth="1"/>
    <col min="48" max="48" width="3.42578125" customWidth="1"/>
    <col min="49" max="49" width="23" bestFit="1" customWidth="1"/>
    <col min="50" max="50" width="13.28515625" style="48" customWidth="1"/>
    <col min="51" max="54" width="11.42578125" style="48"/>
    <col min="55" max="55" width="26.140625" style="48" bestFit="1" customWidth="1"/>
    <col min="57" max="57" width="27.42578125" customWidth="1"/>
  </cols>
  <sheetData>
    <row r="1" spans="2:57" x14ac:dyDescent="0.25">
      <c r="B1" s="89" t="s">
        <v>39</v>
      </c>
      <c r="C1" s="76"/>
      <c r="J1" s="89" t="s">
        <v>39</v>
      </c>
    </row>
    <row r="2" spans="2:57" x14ac:dyDescent="0.25">
      <c r="B2" s="12" t="s">
        <v>43</v>
      </c>
      <c r="D2" s="12" t="s">
        <v>64</v>
      </c>
      <c r="J2" s="12" t="s">
        <v>44</v>
      </c>
    </row>
    <row r="3" spans="2:57" x14ac:dyDescent="0.25">
      <c r="B3" s="12" t="s">
        <v>40</v>
      </c>
      <c r="J3" s="12" t="s">
        <v>40</v>
      </c>
    </row>
    <row r="4" spans="2:57" x14ac:dyDescent="0.25">
      <c r="B4" s="12"/>
      <c r="J4" s="12"/>
    </row>
    <row r="5" spans="2:57" x14ac:dyDescent="0.25">
      <c r="B5" s="12"/>
      <c r="J5" s="12"/>
    </row>
    <row r="6" spans="2:57" ht="15" customHeight="1" x14ac:dyDescent="0.25">
      <c r="B6" s="12" t="s">
        <v>1</v>
      </c>
      <c r="C6" s="48" t="s">
        <v>8</v>
      </c>
      <c r="J6" s="12" t="s">
        <v>1</v>
      </c>
      <c r="K6" s="48" t="s">
        <v>8</v>
      </c>
      <c r="Q6" s="12" t="s">
        <v>1</v>
      </c>
      <c r="R6" t="s">
        <v>8</v>
      </c>
      <c r="Y6" s="12" t="s">
        <v>1</v>
      </c>
      <c r="Z6" s="48" t="s">
        <v>8</v>
      </c>
      <c r="AG6" s="12" t="s">
        <v>1</v>
      </c>
      <c r="AH6" s="48" t="s">
        <v>8</v>
      </c>
      <c r="AO6" s="12" t="s">
        <v>1</v>
      </c>
      <c r="AP6" s="48" t="s">
        <v>8</v>
      </c>
      <c r="AW6" s="12" t="s">
        <v>1</v>
      </c>
      <c r="AX6" s="48" t="s">
        <v>8</v>
      </c>
    </row>
    <row r="7" spans="2:57" x14ac:dyDescent="0.25">
      <c r="B7" s="5" t="s">
        <v>23</v>
      </c>
      <c r="C7" s="82" t="s">
        <v>6</v>
      </c>
      <c r="D7" s="82" t="s">
        <v>19</v>
      </c>
      <c r="E7" s="82" t="s">
        <v>20</v>
      </c>
      <c r="F7" s="82" t="s">
        <v>21</v>
      </c>
      <c r="G7" s="82" t="s">
        <v>22</v>
      </c>
      <c r="H7" s="82" t="s">
        <v>7</v>
      </c>
      <c r="K7" s="101" t="s">
        <v>25</v>
      </c>
      <c r="L7" s="102"/>
      <c r="M7" s="102"/>
      <c r="N7" s="102"/>
      <c r="O7" s="103"/>
      <c r="R7" s="104" t="s">
        <v>27</v>
      </c>
      <c r="S7" s="105"/>
      <c r="T7" s="105"/>
      <c r="U7" s="105"/>
      <c r="V7" s="105"/>
      <c r="W7" s="106"/>
      <c r="Z7" s="101" t="s">
        <v>28</v>
      </c>
      <c r="AA7" s="102"/>
      <c r="AB7" s="102"/>
      <c r="AC7" s="102"/>
      <c r="AD7" s="102"/>
      <c r="AE7" s="103"/>
      <c r="AH7" s="101" t="s">
        <v>35</v>
      </c>
      <c r="AI7" s="102"/>
      <c r="AJ7" s="102"/>
      <c r="AK7" s="102"/>
      <c r="AL7" s="102"/>
      <c r="AM7" s="103"/>
      <c r="AP7" s="101" t="s">
        <v>36</v>
      </c>
      <c r="AQ7" s="102"/>
      <c r="AR7" s="102"/>
      <c r="AS7" s="102"/>
      <c r="AT7" s="102"/>
      <c r="AU7" s="103"/>
      <c r="AX7" s="101" t="s">
        <v>37</v>
      </c>
      <c r="AY7" s="102"/>
      <c r="AZ7" s="102"/>
      <c r="BA7" s="102"/>
      <c r="BB7" s="102"/>
      <c r="BC7" s="103"/>
    </row>
    <row r="8" spans="2:57" x14ac:dyDescent="0.25">
      <c r="B8" s="10">
        <v>2013</v>
      </c>
      <c r="C8" s="52">
        <v>3442</v>
      </c>
      <c r="D8" s="52">
        <v>6362</v>
      </c>
      <c r="E8" s="52">
        <v>2589</v>
      </c>
      <c r="F8" s="52">
        <v>3773</v>
      </c>
      <c r="G8" s="52"/>
      <c r="H8" s="53">
        <v>2427640000</v>
      </c>
      <c r="J8" s="28" t="s">
        <v>24</v>
      </c>
      <c r="K8" s="74" t="s">
        <v>6</v>
      </c>
      <c r="L8" s="74" t="s">
        <v>19</v>
      </c>
      <c r="M8" s="74" t="s">
        <v>20</v>
      </c>
      <c r="N8" s="74" t="s">
        <v>21</v>
      </c>
      <c r="O8" s="74" t="s">
        <v>7</v>
      </c>
      <c r="Q8" s="28" t="s">
        <v>24</v>
      </c>
      <c r="R8" s="28" t="s">
        <v>6</v>
      </c>
      <c r="S8" s="28" t="s">
        <v>19</v>
      </c>
      <c r="T8" s="28" t="s">
        <v>20</v>
      </c>
      <c r="U8" s="28" t="s">
        <v>21</v>
      </c>
      <c r="V8" s="28" t="s">
        <v>22</v>
      </c>
      <c r="W8" s="28" t="s">
        <v>7</v>
      </c>
      <c r="Y8" s="28" t="s">
        <v>24</v>
      </c>
      <c r="Z8" s="74" t="s">
        <v>6</v>
      </c>
      <c r="AA8" s="74" t="s">
        <v>19</v>
      </c>
      <c r="AB8" s="74" t="s">
        <v>20</v>
      </c>
      <c r="AC8" s="74" t="s">
        <v>21</v>
      </c>
      <c r="AD8" s="74" t="s">
        <v>22</v>
      </c>
      <c r="AE8" s="74" t="s">
        <v>7</v>
      </c>
      <c r="AG8" s="28" t="s">
        <v>24</v>
      </c>
      <c r="AH8" s="74" t="s">
        <v>6</v>
      </c>
      <c r="AI8" s="74" t="s">
        <v>19</v>
      </c>
      <c r="AJ8" s="74" t="s">
        <v>20</v>
      </c>
      <c r="AK8" s="74" t="s">
        <v>21</v>
      </c>
      <c r="AL8" s="74" t="s">
        <v>22</v>
      </c>
      <c r="AM8" s="74" t="s">
        <v>7</v>
      </c>
      <c r="AO8" s="28" t="s">
        <v>24</v>
      </c>
      <c r="AP8" s="74" t="s">
        <v>6</v>
      </c>
      <c r="AQ8" s="74" t="s">
        <v>19</v>
      </c>
      <c r="AR8" s="74" t="s">
        <v>20</v>
      </c>
      <c r="AS8" s="74" t="s">
        <v>21</v>
      </c>
      <c r="AT8" s="74" t="s">
        <v>22</v>
      </c>
      <c r="AU8" s="74" t="s">
        <v>7</v>
      </c>
      <c r="AW8" s="28" t="s">
        <v>24</v>
      </c>
      <c r="AX8" s="74" t="s">
        <v>6</v>
      </c>
      <c r="AY8" s="74" t="s">
        <v>19</v>
      </c>
      <c r="AZ8" s="74" t="s">
        <v>20</v>
      </c>
      <c r="BA8" s="74" t="s">
        <v>21</v>
      </c>
      <c r="BB8" s="74" t="s">
        <v>22</v>
      </c>
      <c r="BC8" s="74" t="s">
        <v>7</v>
      </c>
    </row>
    <row r="9" spans="2:57" x14ac:dyDescent="0.25">
      <c r="B9" s="10">
        <v>2014</v>
      </c>
      <c r="C9" s="3">
        <v>3697</v>
      </c>
      <c r="D9" s="3">
        <v>6828</v>
      </c>
      <c r="E9" s="3">
        <v>2597</v>
      </c>
      <c r="F9" s="3">
        <v>4231</v>
      </c>
      <c r="G9" s="3">
        <v>2632</v>
      </c>
      <c r="H9" s="4">
        <v>2946233200</v>
      </c>
      <c r="J9" s="27" t="s">
        <v>2</v>
      </c>
      <c r="K9" s="1">
        <v>274</v>
      </c>
      <c r="L9" s="1">
        <v>495</v>
      </c>
      <c r="M9" s="1">
        <v>202</v>
      </c>
      <c r="N9" s="1">
        <v>293</v>
      </c>
      <c r="O9" s="29">
        <v>193060000</v>
      </c>
      <c r="Q9" s="27" t="s">
        <v>2</v>
      </c>
      <c r="R9" s="3">
        <v>308</v>
      </c>
      <c r="S9" s="3">
        <v>562</v>
      </c>
      <c r="T9" s="3">
        <v>221</v>
      </c>
      <c r="U9" s="3">
        <v>341</v>
      </c>
      <c r="V9" s="3">
        <v>220</v>
      </c>
      <c r="W9" s="4">
        <v>247272600</v>
      </c>
      <c r="Y9" s="27" t="s">
        <v>2</v>
      </c>
      <c r="Z9" s="3">
        <v>355</v>
      </c>
      <c r="AA9" s="3">
        <v>652</v>
      </c>
      <c r="AB9" s="3">
        <v>250</v>
      </c>
      <c r="AC9" s="3">
        <v>402</v>
      </c>
      <c r="AD9" s="3">
        <v>206</v>
      </c>
      <c r="AE9" s="4">
        <v>296623500</v>
      </c>
      <c r="AF9" s="21"/>
      <c r="AG9" s="27" t="s">
        <v>2</v>
      </c>
      <c r="AH9" s="3">
        <v>409</v>
      </c>
      <c r="AI9" s="3">
        <v>715</v>
      </c>
      <c r="AJ9" s="3">
        <v>276</v>
      </c>
      <c r="AK9" s="3">
        <v>439</v>
      </c>
      <c r="AL9" s="3">
        <v>234</v>
      </c>
      <c r="AM9" s="4">
        <v>366275850</v>
      </c>
      <c r="AO9" s="27" t="s">
        <v>2</v>
      </c>
      <c r="AP9" s="72">
        <v>522</v>
      </c>
      <c r="AQ9" s="72">
        <v>831</v>
      </c>
      <c r="AR9" s="72">
        <v>300</v>
      </c>
      <c r="AS9" s="72">
        <v>531</v>
      </c>
      <c r="AT9" s="72">
        <v>323</v>
      </c>
      <c r="AU9" s="69">
        <v>445682800</v>
      </c>
      <c r="AW9" s="27" t="s">
        <v>2</v>
      </c>
      <c r="AX9" s="72">
        <v>552</v>
      </c>
      <c r="AY9" s="72">
        <v>848</v>
      </c>
      <c r="AZ9" s="72">
        <v>306</v>
      </c>
      <c r="BA9" s="72">
        <v>542</v>
      </c>
      <c r="BB9" s="72">
        <v>300</v>
      </c>
      <c r="BC9" s="69">
        <v>301192900</v>
      </c>
    </row>
    <row r="10" spans="2:57" x14ac:dyDescent="0.25">
      <c r="B10" s="10">
        <v>2015</v>
      </c>
      <c r="C10" s="3">
        <v>3532</v>
      </c>
      <c r="D10" s="3">
        <v>6616</v>
      </c>
      <c r="E10" s="3">
        <v>2401</v>
      </c>
      <c r="F10" s="3">
        <v>4215</v>
      </c>
      <c r="G10" s="3">
        <v>1975</v>
      </c>
      <c r="H10" s="4">
        <v>2893012500</v>
      </c>
      <c r="J10" s="27" t="s">
        <v>3</v>
      </c>
      <c r="K10" s="1">
        <v>0</v>
      </c>
      <c r="L10" s="1">
        <v>0</v>
      </c>
      <c r="M10" s="1">
        <v>0</v>
      </c>
      <c r="N10" s="1">
        <v>0</v>
      </c>
      <c r="O10" s="29">
        <v>0</v>
      </c>
      <c r="Q10" s="27" t="s">
        <v>3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4">
        <v>0</v>
      </c>
      <c r="Y10" s="27" t="s">
        <v>3</v>
      </c>
      <c r="Z10" s="1"/>
      <c r="AA10" s="1"/>
      <c r="AB10" s="1"/>
      <c r="AC10" s="1"/>
      <c r="AD10" s="1"/>
      <c r="AE10" s="2"/>
      <c r="AG10" s="27" t="s">
        <v>3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44">
        <v>0</v>
      </c>
      <c r="AO10" s="27" t="s">
        <v>3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42">
        <v>0</v>
      </c>
      <c r="AW10" s="27" t="s">
        <v>3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69">
        <v>0</v>
      </c>
    </row>
    <row r="11" spans="2:57" x14ac:dyDescent="0.25">
      <c r="B11" s="10">
        <v>2016</v>
      </c>
      <c r="C11" s="3">
        <v>3471</v>
      </c>
      <c r="D11" s="3">
        <v>6375</v>
      </c>
      <c r="E11" s="3">
        <v>2165</v>
      </c>
      <c r="F11" s="3">
        <v>4210</v>
      </c>
      <c r="G11" s="3">
        <v>24</v>
      </c>
      <c r="H11" s="4">
        <v>2972702100</v>
      </c>
      <c r="J11" s="27" t="s">
        <v>4</v>
      </c>
      <c r="K11" s="1">
        <v>2029</v>
      </c>
      <c r="L11" s="1">
        <v>3724</v>
      </c>
      <c r="M11" s="1">
        <v>1648</v>
      </c>
      <c r="N11" s="1">
        <v>2076</v>
      </c>
      <c r="O11" s="29">
        <v>1445770000</v>
      </c>
      <c r="Q11" s="27" t="s">
        <v>4</v>
      </c>
      <c r="R11" s="3">
        <v>2213</v>
      </c>
      <c r="S11" s="3">
        <v>4089</v>
      </c>
      <c r="T11" s="3">
        <v>1680</v>
      </c>
      <c r="U11" s="3">
        <v>2409</v>
      </c>
      <c r="V11" s="3">
        <v>1649</v>
      </c>
      <c r="W11" s="4">
        <v>1800389600</v>
      </c>
      <c r="Y11" s="27" t="s">
        <v>4</v>
      </c>
      <c r="Z11" s="3">
        <v>2021</v>
      </c>
      <c r="AA11" s="3">
        <v>3776</v>
      </c>
      <c r="AB11" s="3">
        <v>1499</v>
      </c>
      <c r="AC11" s="3">
        <v>2277</v>
      </c>
      <c r="AD11" s="3">
        <v>1244</v>
      </c>
      <c r="AE11" s="4">
        <v>1686376750</v>
      </c>
      <c r="AG11" s="27" t="s">
        <v>4</v>
      </c>
      <c r="AH11" s="72">
        <v>1964</v>
      </c>
      <c r="AI11" s="72">
        <v>3642</v>
      </c>
      <c r="AJ11" s="72">
        <v>1319</v>
      </c>
      <c r="AK11" s="72">
        <v>2323</v>
      </c>
      <c r="AL11" s="72">
        <v>1089</v>
      </c>
      <c r="AM11" s="44">
        <v>1706767250</v>
      </c>
      <c r="AO11" s="27" t="s">
        <v>4</v>
      </c>
      <c r="AP11" s="75">
        <v>1948</v>
      </c>
      <c r="AQ11" s="75">
        <v>3431</v>
      </c>
      <c r="AR11" s="75">
        <v>932</v>
      </c>
      <c r="AS11" s="75">
        <v>2499</v>
      </c>
      <c r="AT11" s="75">
        <v>965</v>
      </c>
      <c r="AU11" s="69">
        <v>1581180800</v>
      </c>
      <c r="AW11" s="27" t="s">
        <v>4</v>
      </c>
      <c r="AX11" s="75">
        <v>1878</v>
      </c>
      <c r="AY11" s="75">
        <v>3287</v>
      </c>
      <c r="AZ11" s="75">
        <v>813</v>
      </c>
      <c r="BA11" s="75">
        <v>2474</v>
      </c>
      <c r="BB11" s="75">
        <v>780</v>
      </c>
      <c r="BC11" s="69">
        <v>968131250</v>
      </c>
    </row>
    <row r="12" spans="2:57" x14ac:dyDescent="0.25">
      <c r="B12" s="10">
        <v>2017</v>
      </c>
      <c r="C12" s="3">
        <v>3535</v>
      </c>
      <c r="D12" s="3">
        <v>6109</v>
      </c>
      <c r="E12" s="3">
        <v>1656</v>
      </c>
      <c r="F12" s="3">
        <v>4453</v>
      </c>
      <c r="G12" s="3">
        <v>1724</v>
      </c>
      <c r="H12" s="4">
        <v>2877987400</v>
      </c>
      <c r="J12" s="30" t="s">
        <v>5</v>
      </c>
      <c r="K12" s="22">
        <v>1139</v>
      </c>
      <c r="L12" s="22">
        <v>2143</v>
      </c>
      <c r="M12" s="22">
        <v>739</v>
      </c>
      <c r="N12" s="22">
        <v>1404</v>
      </c>
      <c r="O12" s="31">
        <v>788810000</v>
      </c>
      <c r="Q12" s="30" t="s">
        <v>5</v>
      </c>
      <c r="R12" s="3">
        <v>1176</v>
      </c>
      <c r="S12" s="3">
        <v>2177</v>
      </c>
      <c r="T12" s="3">
        <v>696</v>
      </c>
      <c r="U12" s="3">
        <v>1481</v>
      </c>
      <c r="V12" s="3">
        <v>763</v>
      </c>
      <c r="W12" s="4">
        <v>898571000</v>
      </c>
      <c r="Y12" s="30" t="s">
        <v>5</v>
      </c>
      <c r="Z12" s="3">
        <v>1156</v>
      </c>
      <c r="AA12" s="3">
        <v>2188</v>
      </c>
      <c r="AB12" s="3">
        <v>652</v>
      </c>
      <c r="AC12" s="3">
        <v>1536</v>
      </c>
      <c r="AD12" s="3">
        <v>525</v>
      </c>
      <c r="AE12" s="4">
        <v>910012250</v>
      </c>
      <c r="AG12" s="30" t="s">
        <v>5</v>
      </c>
      <c r="AH12" s="72">
        <v>1098</v>
      </c>
      <c r="AI12" s="72">
        <v>2018</v>
      </c>
      <c r="AJ12" s="72">
        <v>570</v>
      </c>
      <c r="AK12" s="72">
        <v>1448</v>
      </c>
      <c r="AL12" s="72">
        <v>478</v>
      </c>
      <c r="AM12" s="44">
        <v>899659000</v>
      </c>
      <c r="AO12" s="30" t="s">
        <v>5</v>
      </c>
      <c r="AP12" s="75">
        <v>1065</v>
      </c>
      <c r="AQ12" s="75">
        <v>1847</v>
      </c>
      <c r="AR12" s="75">
        <v>424</v>
      </c>
      <c r="AS12" s="75">
        <v>1423</v>
      </c>
      <c r="AT12" s="75">
        <v>436</v>
      </c>
      <c r="AU12" s="69">
        <v>851123800</v>
      </c>
      <c r="AW12" s="30" t="s">
        <v>5</v>
      </c>
      <c r="AX12" s="75">
        <v>999</v>
      </c>
      <c r="AY12" s="75">
        <v>1738</v>
      </c>
      <c r="AZ12" s="75">
        <v>392</v>
      </c>
      <c r="BA12" s="75">
        <v>1346</v>
      </c>
      <c r="BB12" s="75">
        <v>376</v>
      </c>
      <c r="BC12" s="69">
        <v>519034150</v>
      </c>
    </row>
    <row r="13" spans="2:57" x14ac:dyDescent="0.25">
      <c r="B13" s="10">
        <v>2018</v>
      </c>
      <c r="C13" s="41">
        <f>SUM(Tabla136789[FAMILIAS])</f>
        <v>3429</v>
      </c>
      <c r="D13" s="41">
        <f>SUM(Tabla136789[TOTAL NNA])</f>
        <v>5873</v>
      </c>
      <c r="E13" s="41">
        <f>SUM(Tabla136789[NNA NUTRICION])</f>
        <v>1511</v>
      </c>
      <c r="F13" s="41">
        <f>SUM(Tabla136789[[NNA EDUCACIÓN ]])</f>
        <v>4362</v>
      </c>
      <c r="G13" s="41">
        <f>SUM(Tabla136789[NN 0-5 AÑOS])</f>
        <v>1456</v>
      </c>
      <c r="H13" s="69">
        <f>SUM(Tabla136789[TOTAL VALOR LIQUIDADO])</f>
        <v>1788358300</v>
      </c>
      <c r="J13" s="30" t="s">
        <v>26</v>
      </c>
      <c r="K13" s="32">
        <f>SUM(K9:K12)</f>
        <v>3442</v>
      </c>
      <c r="L13" s="32">
        <f>SUM(L9:L12)</f>
        <v>6362</v>
      </c>
      <c r="M13" s="32">
        <f>SUM(M9:M12)</f>
        <v>2589</v>
      </c>
      <c r="N13" s="32">
        <f>SUM(N9:N12)</f>
        <v>3773</v>
      </c>
      <c r="O13" s="33">
        <f>SUM(Tabla1[TOTAL VALOR LIQUIDADO])</f>
        <v>2427640000</v>
      </c>
      <c r="Q13" s="30" t="s">
        <v>26</v>
      </c>
      <c r="R13" s="34">
        <f>SUM(Tabla13[FAMILIAS])</f>
        <v>3697</v>
      </c>
      <c r="S13" s="34">
        <f>SUM(Tabla13[TOTAL NNA])</f>
        <v>6828</v>
      </c>
      <c r="T13" s="34">
        <f>SUM(Tabla13[NNA NUTRICION])</f>
        <v>2597</v>
      </c>
      <c r="U13" s="34">
        <f>SUM(Tabla13[[NNA EDUCACIÓN ]])</f>
        <v>4231</v>
      </c>
      <c r="V13" s="34">
        <f>SUM(Tabla13[NN 0-5 AÑOS])</f>
        <v>2632</v>
      </c>
      <c r="W13" s="4">
        <f>SUM(Tabla13[TOTAL VALOR LIQUIDADO])</f>
        <v>2946233200</v>
      </c>
      <c r="Y13" s="30" t="s">
        <v>26</v>
      </c>
      <c r="Z13" s="41" t="s">
        <v>29</v>
      </c>
      <c r="AA13" s="41" t="s">
        <v>30</v>
      </c>
      <c r="AB13" s="41" t="s">
        <v>31</v>
      </c>
      <c r="AC13" s="41" t="s">
        <v>32</v>
      </c>
      <c r="AD13" s="41" t="s">
        <v>33</v>
      </c>
      <c r="AE13" s="43" t="s">
        <v>34</v>
      </c>
      <c r="AG13" s="30" t="s">
        <v>26</v>
      </c>
      <c r="AH13" s="41">
        <f>SUM(AH9:AH12)</f>
        <v>3471</v>
      </c>
      <c r="AI13" s="41">
        <f t="shared" ref="AI13:AM13" si="0">SUM(AI9:AI12)</f>
        <v>6375</v>
      </c>
      <c r="AJ13" s="41">
        <f t="shared" si="0"/>
        <v>2165</v>
      </c>
      <c r="AK13" s="41">
        <f t="shared" si="0"/>
        <v>4210</v>
      </c>
      <c r="AL13" s="41">
        <f t="shared" si="0"/>
        <v>1801</v>
      </c>
      <c r="AM13" s="44">
        <f t="shared" si="0"/>
        <v>2972702100</v>
      </c>
      <c r="AO13" s="30" t="s">
        <v>26</v>
      </c>
      <c r="AP13" s="41">
        <f>SUM(Tabla13678[FAMILIAS])</f>
        <v>3535</v>
      </c>
      <c r="AQ13" s="41">
        <f>SUM(Tabla13678[TOTAL NNA])</f>
        <v>6109</v>
      </c>
      <c r="AR13" s="41">
        <f>SUM(Tabla13678[NNA NUTRICION])</f>
        <v>1656</v>
      </c>
      <c r="AS13" s="41">
        <f>SUM(Tabla13678[[NNA EDUCACIÓN ]])</f>
        <v>4453</v>
      </c>
      <c r="AT13" s="41">
        <f>SUM(Tabla13678[NN 0-5 AÑOS])</f>
        <v>1724</v>
      </c>
      <c r="AU13" s="44">
        <f>SUM(Tabla13678[TOTAL VALOR LIQUIDADO])</f>
        <v>2877987400</v>
      </c>
      <c r="AW13" s="30" t="s">
        <v>26</v>
      </c>
      <c r="AX13" s="41">
        <f>SUM(Tabla136789[FAMILIAS])</f>
        <v>3429</v>
      </c>
      <c r="AY13" s="41">
        <f>SUM(Tabla136789[TOTAL NNA])</f>
        <v>5873</v>
      </c>
      <c r="AZ13" s="41">
        <f>SUM(Tabla136789[NNA NUTRICION])</f>
        <v>1511</v>
      </c>
      <c r="BA13" s="41">
        <f>SUM(Tabla136789[[NNA EDUCACIÓN ]])</f>
        <v>4362</v>
      </c>
      <c r="BB13" s="41">
        <f>SUM(Tabla136789[NN 0-5 AÑOS])</f>
        <v>1456</v>
      </c>
      <c r="BC13" s="69">
        <f>SUM(Tabla136789[TOTAL VALOR LIQUIDADO])</f>
        <v>1788358300</v>
      </c>
    </row>
    <row r="14" spans="2:57" x14ac:dyDescent="0.25">
      <c r="B14" s="9"/>
      <c r="C14" s="15"/>
      <c r="D14" s="15"/>
      <c r="E14" s="15"/>
      <c r="F14" s="15"/>
      <c r="G14" s="15"/>
      <c r="H14" s="16">
        <f>SUM(H8:H13)</f>
        <v>15905933500</v>
      </c>
      <c r="J14" s="24"/>
      <c r="K14" s="87"/>
      <c r="L14" s="87"/>
      <c r="M14" s="87"/>
      <c r="N14" s="87"/>
      <c r="O14" s="88"/>
      <c r="AW14" s="48" t="s">
        <v>38</v>
      </c>
      <c r="BD14" s="23"/>
      <c r="BE14" s="23"/>
    </row>
    <row r="15" spans="2:57" s="7" customFormat="1" x14ac:dyDescent="0.25">
      <c r="B15" s="70" t="s">
        <v>41</v>
      </c>
      <c r="C15" s="83"/>
      <c r="D15" s="83"/>
      <c r="E15" s="15"/>
      <c r="F15" s="15"/>
      <c r="G15" s="15"/>
      <c r="H15" s="16"/>
      <c r="J15" s="24"/>
      <c r="K15" s="87"/>
      <c r="L15" s="87"/>
      <c r="M15" s="87"/>
      <c r="N15" s="87"/>
      <c r="O15" s="88"/>
      <c r="Z15" s="71"/>
      <c r="AA15" s="71"/>
      <c r="AB15" s="71"/>
      <c r="AC15" s="71"/>
      <c r="AD15" s="71"/>
      <c r="AE15" s="71"/>
      <c r="AH15" s="71"/>
      <c r="AI15" s="71"/>
      <c r="AJ15" s="71"/>
      <c r="AK15" s="71"/>
      <c r="AL15" s="71"/>
      <c r="AM15" s="71"/>
      <c r="AP15" s="71"/>
      <c r="AQ15" s="71"/>
      <c r="AR15" s="71"/>
      <c r="AS15" s="71"/>
      <c r="AT15" s="71"/>
      <c r="AU15" s="71"/>
      <c r="AW15" s="71"/>
      <c r="AX15" s="71"/>
      <c r="AY15" s="71"/>
      <c r="AZ15" s="71"/>
      <c r="BA15" s="71"/>
      <c r="BB15" s="71"/>
      <c r="BC15" s="71"/>
      <c r="BD15" s="23"/>
      <c r="BE15" s="23"/>
    </row>
    <row r="16" spans="2:57" s="7" customFormat="1" x14ac:dyDescent="0.25">
      <c r="B16" s="70" t="s">
        <v>42</v>
      </c>
      <c r="C16" s="83"/>
      <c r="D16" s="83"/>
      <c r="E16" s="15"/>
      <c r="F16" s="15"/>
      <c r="G16" s="15"/>
      <c r="H16" s="16"/>
      <c r="J16" s="24"/>
      <c r="K16" s="87"/>
      <c r="L16" s="87"/>
      <c r="M16" s="87"/>
      <c r="N16" s="87"/>
      <c r="O16" s="88"/>
      <c r="Z16" s="71"/>
      <c r="AA16" s="71"/>
      <c r="AB16" s="71"/>
      <c r="AC16" s="71"/>
      <c r="AD16" s="71"/>
      <c r="AE16" s="71"/>
      <c r="AH16" s="71"/>
      <c r="AI16" s="71"/>
      <c r="AJ16" s="71"/>
      <c r="AK16" s="71"/>
      <c r="AL16" s="71"/>
      <c r="AM16" s="71"/>
      <c r="AP16" s="71"/>
      <c r="AQ16" s="71"/>
      <c r="AR16" s="71"/>
      <c r="AS16" s="71"/>
      <c r="AT16" s="71"/>
      <c r="AU16" s="71"/>
      <c r="AW16" s="71"/>
      <c r="AX16" s="71"/>
      <c r="AY16" s="71"/>
      <c r="AZ16" s="71"/>
      <c r="BA16" s="71"/>
      <c r="BB16" s="71"/>
      <c r="BC16" s="71"/>
      <c r="BD16" s="23"/>
      <c r="BE16" s="23"/>
    </row>
    <row r="17" spans="2:57" x14ac:dyDescent="0.25">
      <c r="C17" s="84"/>
      <c r="D17" s="84"/>
      <c r="E17" s="84"/>
      <c r="F17" s="84"/>
      <c r="G17" s="84"/>
      <c r="H17" s="8"/>
      <c r="J17" s="26"/>
      <c r="K17" s="109"/>
      <c r="L17" s="109"/>
      <c r="M17" s="109"/>
      <c r="N17" s="109"/>
      <c r="O17" s="109"/>
      <c r="Q17" s="23"/>
      <c r="R17" s="23"/>
      <c r="S17" s="23"/>
      <c r="T17" s="23"/>
      <c r="U17" s="23"/>
      <c r="V17" s="23"/>
      <c r="W17" s="23"/>
      <c r="X17" s="23"/>
      <c r="Y17" s="23"/>
      <c r="Z17" s="80"/>
      <c r="AA17" s="80"/>
      <c r="AB17" s="80"/>
      <c r="AC17" s="80"/>
      <c r="AD17" s="80"/>
      <c r="AE17" s="80"/>
      <c r="AF17" s="23"/>
      <c r="AG17" s="23"/>
      <c r="AH17" s="80"/>
      <c r="AI17" s="80"/>
      <c r="AJ17" s="80"/>
      <c r="AK17" s="80"/>
      <c r="AL17" s="80"/>
      <c r="AM17" s="80"/>
      <c r="AN17" s="23"/>
      <c r="AW17" s="107"/>
      <c r="AX17" s="107"/>
      <c r="AY17" s="107"/>
      <c r="AZ17" s="107"/>
      <c r="BA17" s="107"/>
      <c r="BB17" s="107"/>
      <c r="BC17" s="107"/>
      <c r="BD17" s="107"/>
      <c r="BE17" s="107"/>
    </row>
    <row r="18" spans="2:57" x14ac:dyDescent="0.25">
      <c r="B18" s="12" t="s">
        <v>1</v>
      </c>
      <c r="C18" s="76" t="s">
        <v>9</v>
      </c>
      <c r="J18" s="12" t="s">
        <v>1</v>
      </c>
      <c r="K18" s="76" t="s">
        <v>9</v>
      </c>
      <c r="L18" s="87"/>
      <c r="M18" s="87"/>
      <c r="N18" s="87"/>
      <c r="O18" s="88"/>
      <c r="Q18" s="12" t="s">
        <v>1</v>
      </c>
      <c r="R18" s="6" t="s">
        <v>9</v>
      </c>
      <c r="S18" s="49"/>
      <c r="T18" s="49"/>
      <c r="U18" s="49"/>
      <c r="V18" s="49"/>
      <c r="W18" s="49"/>
      <c r="X18" s="49"/>
      <c r="Y18" s="12" t="s">
        <v>1</v>
      </c>
      <c r="Z18" s="76" t="s">
        <v>9</v>
      </c>
      <c r="AA18" s="77"/>
      <c r="AB18" s="77"/>
      <c r="AC18" s="77"/>
      <c r="AD18" s="77"/>
      <c r="AE18" s="77"/>
      <c r="AF18" s="40"/>
      <c r="AG18" s="12" t="s">
        <v>1</v>
      </c>
      <c r="AH18" s="76" t="s">
        <v>9</v>
      </c>
      <c r="AI18" s="77"/>
      <c r="AJ18" s="77"/>
      <c r="AK18" s="77"/>
      <c r="AL18" s="77"/>
      <c r="AM18" s="77"/>
      <c r="AN18" s="54"/>
      <c r="AO18" s="12" t="s">
        <v>1</v>
      </c>
      <c r="AP18" s="76" t="s">
        <v>9</v>
      </c>
      <c r="AQ18" s="77"/>
      <c r="AR18" s="77"/>
      <c r="AS18" s="77"/>
      <c r="AT18" s="77"/>
      <c r="AU18" s="77"/>
      <c r="AW18" s="12" t="s">
        <v>1</v>
      </c>
      <c r="AX18" s="76" t="s">
        <v>9</v>
      </c>
      <c r="AY18" s="77"/>
      <c r="AZ18" s="77"/>
      <c r="BA18" s="77"/>
      <c r="BB18" s="77"/>
      <c r="BC18" s="77"/>
      <c r="BD18" s="45"/>
      <c r="BE18" s="46"/>
    </row>
    <row r="19" spans="2:57" x14ac:dyDescent="0.25">
      <c r="B19" s="5" t="s">
        <v>23</v>
      </c>
      <c r="C19" s="82" t="s">
        <v>6</v>
      </c>
      <c r="D19" s="82" t="s">
        <v>19</v>
      </c>
      <c r="E19" s="82" t="s">
        <v>20</v>
      </c>
      <c r="F19" s="82" t="s">
        <v>21</v>
      </c>
      <c r="G19" s="82" t="s">
        <v>22</v>
      </c>
      <c r="H19" s="82" t="s">
        <v>7</v>
      </c>
      <c r="K19" s="101" t="s">
        <v>25</v>
      </c>
      <c r="L19" s="102"/>
      <c r="M19" s="102"/>
      <c r="N19" s="102"/>
      <c r="O19" s="103"/>
      <c r="R19" s="104" t="s">
        <v>27</v>
      </c>
      <c r="S19" s="105"/>
      <c r="T19" s="105"/>
      <c r="U19" s="105"/>
      <c r="V19" s="105"/>
      <c r="W19" s="106"/>
      <c r="X19" s="25"/>
      <c r="Z19" s="101" t="s">
        <v>28</v>
      </c>
      <c r="AA19" s="102"/>
      <c r="AB19" s="102"/>
      <c r="AC19" s="102"/>
      <c r="AD19" s="102"/>
      <c r="AE19" s="103"/>
      <c r="AF19" s="36"/>
      <c r="AH19" s="101" t="s">
        <v>35</v>
      </c>
      <c r="AI19" s="102"/>
      <c r="AJ19" s="102"/>
      <c r="AK19" s="102"/>
      <c r="AL19" s="102"/>
      <c r="AM19" s="103"/>
      <c r="AN19" s="37"/>
      <c r="AP19" s="101" t="s">
        <v>36</v>
      </c>
      <c r="AQ19" s="102"/>
      <c r="AR19" s="102"/>
      <c r="AS19" s="102"/>
      <c r="AT19" s="102"/>
      <c r="AU19" s="103"/>
      <c r="AX19" s="101" t="s">
        <v>37</v>
      </c>
      <c r="AY19" s="102"/>
      <c r="AZ19" s="102"/>
      <c r="BA19" s="102"/>
      <c r="BB19" s="102"/>
      <c r="BC19" s="103"/>
      <c r="BD19" s="47"/>
      <c r="BE19" s="47"/>
    </row>
    <row r="20" spans="2:57" x14ac:dyDescent="0.25">
      <c r="B20" s="10">
        <v>2013</v>
      </c>
      <c r="C20" s="55">
        <v>1723</v>
      </c>
      <c r="D20" s="52">
        <v>3251</v>
      </c>
      <c r="E20" s="52">
        <v>1436</v>
      </c>
      <c r="F20" s="52">
        <v>1815</v>
      </c>
      <c r="G20" s="52"/>
      <c r="H20" s="56">
        <v>1322380000</v>
      </c>
      <c r="J20" s="28" t="s">
        <v>24</v>
      </c>
      <c r="K20" s="74" t="s">
        <v>6</v>
      </c>
      <c r="L20" s="74" t="s">
        <v>19</v>
      </c>
      <c r="M20" s="74" t="s">
        <v>20</v>
      </c>
      <c r="N20" s="74" t="s">
        <v>21</v>
      </c>
      <c r="O20" s="74" t="s">
        <v>7</v>
      </c>
      <c r="Q20" s="28" t="s">
        <v>24</v>
      </c>
      <c r="R20" s="28" t="s">
        <v>6</v>
      </c>
      <c r="S20" s="28" t="s">
        <v>19</v>
      </c>
      <c r="T20" s="28" t="s">
        <v>20</v>
      </c>
      <c r="U20" s="28" t="s">
        <v>21</v>
      </c>
      <c r="V20" s="28" t="s">
        <v>22</v>
      </c>
      <c r="W20" s="28" t="s">
        <v>7</v>
      </c>
      <c r="X20" s="23"/>
      <c r="Y20" s="28" t="s">
        <v>24</v>
      </c>
      <c r="Z20" s="74" t="s">
        <v>6</v>
      </c>
      <c r="AA20" s="74" t="s">
        <v>19</v>
      </c>
      <c r="AB20" s="74" t="s">
        <v>20</v>
      </c>
      <c r="AC20" s="74" t="s">
        <v>21</v>
      </c>
      <c r="AD20" s="74" t="s">
        <v>22</v>
      </c>
      <c r="AE20" s="74" t="s">
        <v>7</v>
      </c>
      <c r="AF20" s="23"/>
      <c r="AG20" s="28" t="s">
        <v>24</v>
      </c>
      <c r="AH20" s="74" t="s">
        <v>6</v>
      </c>
      <c r="AI20" s="74" t="s">
        <v>19</v>
      </c>
      <c r="AJ20" s="74" t="s">
        <v>20</v>
      </c>
      <c r="AK20" s="74" t="s">
        <v>21</v>
      </c>
      <c r="AL20" s="74" t="s">
        <v>22</v>
      </c>
      <c r="AM20" s="74" t="s">
        <v>7</v>
      </c>
      <c r="AN20" s="38"/>
      <c r="AO20" s="28" t="s">
        <v>24</v>
      </c>
      <c r="AP20" s="74" t="s">
        <v>6</v>
      </c>
      <c r="AQ20" s="74" t="s">
        <v>19</v>
      </c>
      <c r="AR20" s="74" t="s">
        <v>20</v>
      </c>
      <c r="AS20" s="74" t="s">
        <v>21</v>
      </c>
      <c r="AT20" s="74" t="s">
        <v>22</v>
      </c>
      <c r="AU20" s="74" t="s">
        <v>7</v>
      </c>
      <c r="AW20" s="28" t="s">
        <v>24</v>
      </c>
      <c r="AX20" s="74" t="s">
        <v>6</v>
      </c>
      <c r="AY20" s="74" t="s">
        <v>19</v>
      </c>
      <c r="AZ20" s="74" t="s">
        <v>20</v>
      </c>
      <c r="BA20" s="74" t="s">
        <v>21</v>
      </c>
      <c r="BB20" s="74" t="s">
        <v>22</v>
      </c>
      <c r="BC20" s="74" t="s">
        <v>7</v>
      </c>
      <c r="BD20" s="23"/>
      <c r="BE20" s="23"/>
    </row>
    <row r="21" spans="2:57" x14ac:dyDescent="0.25">
      <c r="B21" s="10">
        <v>2014</v>
      </c>
      <c r="C21" s="50">
        <v>1877</v>
      </c>
      <c r="D21" s="3">
        <v>3406</v>
      </c>
      <c r="E21" s="3">
        <v>1362</v>
      </c>
      <c r="F21" s="3">
        <v>2044</v>
      </c>
      <c r="G21" s="3">
        <v>1387</v>
      </c>
      <c r="H21" s="4">
        <v>1567648000</v>
      </c>
      <c r="J21" s="27" t="s">
        <v>2</v>
      </c>
      <c r="K21" s="1">
        <v>328</v>
      </c>
      <c r="L21" s="1">
        <v>587</v>
      </c>
      <c r="M21" s="1">
        <v>267</v>
      </c>
      <c r="N21" s="1">
        <v>320</v>
      </c>
      <c r="O21" s="2">
        <v>247400000</v>
      </c>
      <c r="Q21" s="27" t="s">
        <v>2</v>
      </c>
      <c r="R21" s="3">
        <v>428</v>
      </c>
      <c r="S21" s="3">
        <v>733</v>
      </c>
      <c r="T21" s="3">
        <v>315</v>
      </c>
      <c r="U21" s="3">
        <v>418</v>
      </c>
      <c r="V21" s="3">
        <v>311</v>
      </c>
      <c r="W21" s="4">
        <v>351651800</v>
      </c>
      <c r="Y21" s="27" t="s">
        <v>2</v>
      </c>
      <c r="Z21" s="3">
        <v>618</v>
      </c>
      <c r="AA21" s="3">
        <v>1028</v>
      </c>
      <c r="AB21" s="3">
        <v>450</v>
      </c>
      <c r="AC21" s="3">
        <v>578</v>
      </c>
      <c r="AD21" s="3">
        <v>384</v>
      </c>
      <c r="AE21" s="4">
        <v>529005650</v>
      </c>
      <c r="AG21" s="27" t="s">
        <v>2</v>
      </c>
      <c r="AH21" s="3">
        <v>697</v>
      </c>
      <c r="AI21" s="3">
        <v>1101</v>
      </c>
      <c r="AJ21" s="3">
        <v>469</v>
      </c>
      <c r="AK21" s="3">
        <v>632</v>
      </c>
      <c r="AL21" s="3">
        <v>421</v>
      </c>
      <c r="AM21" s="4">
        <v>628455350</v>
      </c>
      <c r="AO21" s="27" t="s">
        <v>2</v>
      </c>
      <c r="AP21" s="72">
        <v>866</v>
      </c>
      <c r="AQ21" s="72">
        <v>1263</v>
      </c>
      <c r="AR21" s="72">
        <v>496</v>
      </c>
      <c r="AS21" s="72">
        <v>767</v>
      </c>
      <c r="AT21" s="72">
        <v>543</v>
      </c>
      <c r="AU21" s="69">
        <v>741330600</v>
      </c>
      <c r="AW21" s="27" t="s">
        <v>2</v>
      </c>
      <c r="AX21" s="72">
        <v>905</v>
      </c>
      <c r="AY21" s="72">
        <v>1301</v>
      </c>
      <c r="AZ21" s="72">
        <v>484</v>
      </c>
      <c r="BA21" s="72">
        <v>817</v>
      </c>
      <c r="BB21" s="72">
        <v>481</v>
      </c>
      <c r="BC21" s="69">
        <v>482712450</v>
      </c>
    </row>
    <row r="22" spans="2:57" x14ac:dyDescent="0.25">
      <c r="B22" s="10">
        <v>2015</v>
      </c>
      <c r="C22" s="50">
        <v>1957</v>
      </c>
      <c r="D22" s="3">
        <v>3495</v>
      </c>
      <c r="E22" s="3">
        <v>1353</v>
      </c>
      <c r="F22" s="3">
        <v>2142</v>
      </c>
      <c r="G22" s="3">
        <v>1136</v>
      </c>
      <c r="H22" s="51">
        <v>1658772400</v>
      </c>
      <c r="J22" s="27" t="s">
        <v>3</v>
      </c>
      <c r="K22" s="1">
        <v>0</v>
      </c>
      <c r="L22" s="1">
        <v>0</v>
      </c>
      <c r="M22" s="1">
        <v>0</v>
      </c>
      <c r="N22" s="1">
        <v>0</v>
      </c>
      <c r="O22" s="2">
        <v>0</v>
      </c>
      <c r="Q22" s="27" t="s">
        <v>3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4">
        <v>0</v>
      </c>
      <c r="Y22" s="27" t="s">
        <v>3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4">
        <v>0</v>
      </c>
      <c r="AG22" s="27" t="s">
        <v>3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44">
        <v>0</v>
      </c>
      <c r="AO22" s="27" t="s">
        <v>3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42">
        <v>0</v>
      </c>
      <c r="AW22" s="27" t="s">
        <v>3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69">
        <v>0</v>
      </c>
    </row>
    <row r="23" spans="2:57" x14ac:dyDescent="0.25">
      <c r="B23" s="10">
        <v>2016</v>
      </c>
      <c r="C23" s="50">
        <v>1965</v>
      </c>
      <c r="D23" s="3">
        <v>3404</v>
      </c>
      <c r="E23" s="3">
        <v>1235</v>
      </c>
      <c r="F23" s="3">
        <v>2169</v>
      </c>
      <c r="G23" s="3">
        <v>8</v>
      </c>
      <c r="H23" s="51">
        <v>1751823000</v>
      </c>
      <c r="J23" s="27" t="s">
        <v>4</v>
      </c>
      <c r="K23" s="1">
        <v>1055</v>
      </c>
      <c r="L23" s="1">
        <v>1986</v>
      </c>
      <c r="M23" s="1">
        <v>913</v>
      </c>
      <c r="N23" s="1">
        <v>1073</v>
      </c>
      <c r="O23" s="2">
        <v>810040000</v>
      </c>
      <c r="Q23" s="27" t="s">
        <v>4</v>
      </c>
      <c r="R23" s="3">
        <v>1085</v>
      </c>
      <c r="S23" s="3">
        <v>1995</v>
      </c>
      <c r="T23" s="3">
        <v>822</v>
      </c>
      <c r="U23" s="3">
        <v>1173</v>
      </c>
      <c r="V23" s="3">
        <v>827</v>
      </c>
      <c r="W23" s="4">
        <v>925249000</v>
      </c>
      <c r="Y23" s="27" t="s">
        <v>4</v>
      </c>
      <c r="Z23" s="3">
        <v>980</v>
      </c>
      <c r="AA23" s="3">
        <v>1797</v>
      </c>
      <c r="AB23" s="3">
        <v>699</v>
      </c>
      <c r="AC23" s="3">
        <v>1098</v>
      </c>
      <c r="AD23" s="3">
        <v>581</v>
      </c>
      <c r="AE23" s="4">
        <v>839354250</v>
      </c>
      <c r="AG23" s="27" t="s">
        <v>4</v>
      </c>
      <c r="AH23" s="72">
        <v>935</v>
      </c>
      <c r="AI23" s="72">
        <v>1694</v>
      </c>
      <c r="AJ23" s="72">
        <v>587</v>
      </c>
      <c r="AK23" s="72">
        <v>1107</v>
      </c>
      <c r="AL23" s="72">
        <v>465</v>
      </c>
      <c r="AM23" s="44">
        <v>836337650</v>
      </c>
      <c r="AO23" s="27" t="s">
        <v>4</v>
      </c>
      <c r="AP23" s="75">
        <v>921</v>
      </c>
      <c r="AQ23" s="75">
        <v>1574</v>
      </c>
      <c r="AR23" s="75">
        <v>402</v>
      </c>
      <c r="AS23" s="75">
        <v>1172</v>
      </c>
      <c r="AT23" s="75">
        <v>410</v>
      </c>
      <c r="AU23" s="69">
        <v>748331000</v>
      </c>
      <c r="AW23" s="27" t="s">
        <v>4</v>
      </c>
      <c r="AX23" s="75">
        <v>862</v>
      </c>
      <c r="AY23" s="75">
        <v>1502</v>
      </c>
      <c r="AZ23" s="75">
        <v>305</v>
      </c>
      <c r="BA23" s="75">
        <v>1197</v>
      </c>
      <c r="BB23" s="75">
        <v>305</v>
      </c>
      <c r="BC23" s="69">
        <v>428961000</v>
      </c>
    </row>
    <row r="24" spans="2:57" x14ac:dyDescent="0.25">
      <c r="B24" s="10">
        <v>2017</v>
      </c>
      <c r="C24" s="3">
        <v>2119</v>
      </c>
      <c r="D24" s="3">
        <v>3387</v>
      </c>
      <c r="E24" s="3">
        <v>1020</v>
      </c>
      <c r="F24" s="3">
        <v>2367</v>
      </c>
      <c r="G24" s="3">
        <v>1081</v>
      </c>
      <c r="H24" s="4">
        <v>1750869750</v>
      </c>
      <c r="J24" s="30" t="s">
        <v>5</v>
      </c>
      <c r="K24" s="1">
        <v>340</v>
      </c>
      <c r="L24" s="1">
        <v>678</v>
      </c>
      <c r="M24" s="1">
        <v>256</v>
      </c>
      <c r="N24" s="1">
        <v>422</v>
      </c>
      <c r="O24" s="2">
        <v>264940000</v>
      </c>
      <c r="Q24" s="30" t="s">
        <v>5</v>
      </c>
      <c r="R24" s="3">
        <v>364</v>
      </c>
      <c r="S24" s="3">
        <v>678</v>
      </c>
      <c r="T24" s="3">
        <v>225</v>
      </c>
      <c r="U24" s="3">
        <v>453</v>
      </c>
      <c r="V24" s="3">
        <v>249</v>
      </c>
      <c r="W24" s="4">
        <v>290747200</v>
      </c>
      <c r="Y24" s="30" t="s">
        <v>5</v>
      </c>
      <c r="Z24" s="3">
        <v>359</v>
      </c>
      <c r="AA24" s="3">
        <v>670</v>
      </c>
      <c r="AB24" s="3">
        <v>204</v>
      </c>
      <c r="AC24" s="3">
        <v>466</v>
      </c>
      <c r="AD24" s="3">
        <v>171</v>
      </c>
      <c r="AE24" s="4">
        <v>290412500</v>
      </c>
      <c r="AG24" s="30" t="s">
        <v>5</v>
      </c>
      <c r="AH24" s="72">
        <v>333</v>
      </c>
      <c r="AI24" s="72">
        <v>609</v>
      </c>
      <c r="AJ24" s="72">
        <v>179</v>
      </c>
      <c r="AK24" s="72">
        <v>430</v>
      </c>
      <c r="AL24" s="72">
        <v>139</v>
      </c>
      <c r="AM24" s="44">
        <v>287030000</v>
      </c>
      <c r="AO24" s="30" t="s">
        <v>5</v>
      </c>
      <c r="AP24" s="75">
        <v>332</v>
      </c>
      <c r="AQ24" s="75">
        <v>550</v>
      </c>
      <c r="AR24" s="75">
        <v>122</v>
      </c>
      <c r="AS24" s="75">
        <v>428</v>
      </c>
      <c r="AT24" s="75">
        <v>128</v>
      </c>
      <c r="AU24" s="69">
        <v>261208150</v>
      </c>
      <c r="AW24" s="30" t="s">
        <v>5</v>
      </c>
      <c r="AX24" s="75">
        <v>299</v>
      </c>
      <c r="AY24" s="75">
        <v>513</v>
      </c>
      <c r="AZ24" s="75">
        <v>99</v>
      </c>
      <c r="BA24" s="75">
        <v>414</v>
      </c>
      <c r="BB24" s="75">
        <v>98</v>
      </c>
      <c r="BC24" s="69">
        <v>149789500</v>
      </c>
    </row>
    <row r="25" spans="2:57" x14ac:dyDescent="0.25">
      <c r="B25" s="11">
        <v>2018</v>
      </c>
      <c r="C25" s="34">
        <f>SUM(Tabla131112132324[FAMILIAS])</f>
        <v>2066</v>
      </c>
      <c r="D25" s="34">
        <f>SUM(Tabla131112132324[TOTAL NNA])</f>
        <v>3316</v>
      </c>
      <c r="E25" s="34">
        <f>SUM(Tabla131112132324[NNA NUTRICION])</f>
        <v>888</v>
      </c>
      <c r="F25" s="34">
        <f>SUM(Tabla131112132324[[NNA EDUCACIÓN ]])</f>
        <v>2428</v>
      </c>
      <c r="G25" s="34">
        <f>SUM(Tabla131112132324[NN 0-5 AÑOS])</f>
        <v>884</v>
      </c>
      <c r="H25" s="57">
        <f>SUM(Tabla131112132324[TOTAL VALOR LIQUIDADO])</f>
        <v>1061462950</v>
      </c>
      <c r="J25" s="30" t="s">
        <v>26</v>
      </c>
      <c r="K25" s="34">
        <f>SUM(Tabla110[FAMILIAS])</f>
        <v>1723</v>
      </c>
      <c r="L25" s="34">
        <f>SUM(Tabla110[TOTAL NNA])</f>
        <v>3251</v>
      </c>
      <c r="M25" s="34">
        <f>SUM(Tabla110[NNA NUTRICION])</f>
        <v>1436</v>
      </c>
      <c r="N25" s="34">
        <f>SUM(Tabla110[[NNA EDUCACIÓN ]])</f>
        <v>1815</v>
      </c>
      <c r="O25" s="2">
        <f>SUM(Tabla110[TOTAL VALOR LIQUIDADO])</f>
        <v>1322380000</v>
      </c>
      <c r="Q25" s="30" t="s">
        <v>26</v>
      </c>
      <c r="R25" s="34">
        <f>SUM(Tabla1311[FAMILIAS])</f>
        <v>1877</v>
      </c>
      <c r="S25" s="34">
        <f>SUM(Tabla1311[TOTAL NNA])</f>
        <v>3406</v>
      </c>
      <c r="T25" s="34">
        <f>SUM(Tabla1311[NNA NUTRICION])</f>
        <v>1362</v>
      </c>
      <c r="U25" s="34">
        <f>SUM(Tabla1311[[NNA EDUCACIÓN ]])</f>
        <v>2044</v>
      </c>
      <c r="V25" s="34">
        <f>SUM(Tabla1311[NN 0-5 AÑOS])</f>
        <v>1387</v>
      </c>
      <c r="W25" s="4">
        <f>SUM(Tabla1311[TOTAL VALOR LIQUIDADO])</f>
        <v>1567648000</v>
      </c>
      <c r="Y25" s="30" t="s">
        <v>26</v>
      </c>
      <c r="Z25" s="34">
        <f>SUM(Tabla131112[FAMILIAS])</f>
        <v>1957</v>
      </c>
      <c r="AA25" s="34">
        <f>SUM(Tabla131112[TOTAL NNA])</f>
        <v>3495</v>
      </c>
      <c r="AB25" s="34">
        <f>SUM(Tabla131112[NNA NUTRICION])</f>
        <v>1353</v>
      </c>
      <c r="AC25" s="34">
        <f>SUM(Tabla131112[[NNA EDUCACIÓN ]])</f>
        <v>2142</v>
      </c>
      <c r="AD25" s="34">
        <f>SUM(Tabla131112[NN 0-5 AÑOS])</f>
        <v>1136</v>
      </c>
      <c r="AE25" s="4">
        <f>SUM(Tabla131112[TOTAL VALOR LIQUIDADO])</f>
        <v>1658772400</v>
      </c>
      <c r="AG25" s="30" t="s">
        <v>26</v>
      </c>
      <c r="AH25" s="34">
        <f>SUM(Tabla13111213[FAMILIAS])</f>
        <v>1965</v>
      </c>
      <c r="AI25" s="34">
        <f>SUM(Tabla13111213[TOTAL NNA])</f>
        <v>3404</v>
      </c>
      <c r="AJ25" s="34">
        <f>SUM(Tabla13111213[NNA NUTRICION])</f>
        <v>1235</v>
      </c>
      <c r="AK25" s="34">
        <f>SUM(Tabla13111213[[NNA EDUCACIÓN ]])</f>
        <v>2169</v>
      </c>
      <c r="AL25" s="34">
        <f>SUM(Tabla13111213[NN 0-5 AÑOS])</f>
        <v>1025</v>
      </c>
      <c r="AM25" s="44">
        <f>SUM(Tabla13111213[TOTAL VALOR LIQUIDADO])</f>
        <v>1751823000</v>
      </c>
      <c r="AO25" s="30" t="s">
        <v>26</v>
      </c>
      <c r="AP25" s="34">
        <f>SUM(Tabla1311121323[FAMILIAS])</f>
        <v>2119</v>
      </c>
      <c r="AQ25" s="34">
        <f>SUM(Tabla1311121323[TOTAL NNA])</f>
        <v>3387</v>
      </c>
      <c r="AR25" s="34">
        <f>SUM(Tabla1311121323[NNA NUTRICION])</f>
        <v>1020</v>
      </c>
      <c r="AS25" s="34">
        <f>SUM(Tabla1311121323[[NNA EDUCACIÓN ]])</f>
        <v>2367</v>
      </c>
      <c r="AT25" s="34">
        <f>SUM(Tabla1311121323[NN 0-5 AÑOS])</f>
        <v>1081</v>
      </c>
      <c r="AU25" s="58">
        <f>SUM(Tabla1311121323[TOTAL VALOR LIQUIDADO])</f>
        <v>1750869750</v>
      </c>
      <c r="AW25" s="30" t="s">
        <v>26</v>
      </c>
      <c r="AX25" s="34">
        <f>SUM(Tabla131112132324[FAMILIAS])</f>
        <v>2066</v>
      </c>
      <c r="AY25" s="34">
        <f>SUM(Tabla131112132324[TOTAL NNA])</f>
        <v>3316</v>
      </c>
      <c r="AZ25" s="34">
        <f>SUM(Tabla131112132324[NNA NUTRICION])</f>
        <v>888</v>
      </c>
      <c r="BA25" s="34">
        <f>SUM(Tabla131112132324[[NNA EDUCACIÓN ]])</f>
        <v>2428</v>
      </c>
      <c r="BB25" s="34">
        <f>SUM(Tabla131112132324[NN 0-5 AÑOS])</f>
        <v>884</v>
      </c>
      <c r="BC25" s="57">
        <f>SUM(Tabla131112132324[TOTAL VALOR LIQUIDADO])</f>
        <v>1061462950</v>
      </c>
    </row>
    <row r="26" spans="2:57" x14ac:dyDescent="0.25">
      <c r="B26" s="9"/>
      <c r="C26" s="15"/>
      <c r="D26" s="15"/>
      <c r="E26" s="15"/>
      <c r="F26" s="15"/>
      <c r="G26" s="15"/>
      <c r="H26" s="15">
        <f>SUM(Tabla35[TOTAL VALOR LIQUIDADO])</f>
        <v>9112956100</v>
      </c>
      <c r="AW26" s="48" t="s">
        <v>38</v>
      </c>
    </row>
    <row r="27" spans="2:57" x14ac:dyDescent="0.25">
      <c r="C27" s="84"/>
      <c r="D27" s="84"/>
      <c r="E27" s="84"/>
      <c r="F27" s="84"/>
      <c r="G27" s="84"/>
      <c r="H27" s="85"/>
      <c r="J27" s="108"/>
      <c r="K27" s="108"/>
      <c r="L27" s="108"/>
      <c r="M27" s="108"/>
      <c r="N27" s="108"/>
      <c r="O27" s="80"/>
      <c r="P27" s="23"/>
      <c r="Q27" s="8"/>
      <c r="R27" s="8"/>
      <c r="S27" s="8"/>
      <c r="T27" s="8"/>
      <c r="U27" s="8"/>
      <c r="V27" s="7"/>
      <c r="W27" s="35"/>
      <c r="X27" s="23"/>
      <c r="Y27" s="38"/>
      <c r="Z27" s="38"/>
      <c r="AA27" s="38"/>
      <c r="AB27" s="38"/>
      <c r="AC27" s="38"/>
      <c r="AD27" s="80"/>
      <c r="AE27" s="39"/>
      <c r="AX27" s="78"/>
      <c r="AY27" s="78"/>
      <c r="AZ27" s="78"/>
      <c r="BA27" s="78"/>
      <c r="BB27" s="78"/>
      <c r="BC27" s="79"/>
    </row>
    <row r="28" spans="2:57" x14ac:dyDescent="0.25">
      <c r="B28" s="12" t="s">
        <v>1</v>
      </c>
      <c r="C28" s="76" t="s">
        <v>10</v>
      </c>
      <c r="J28" s="12" t="s">
        <v>1</v>
      </c>
      <c r="K28" s="76" t="s">
        <v>10</v>
      </c>
      <c r="L28" s="87"/>
      <c r="M28" s="87"/>
      <c r="N28" s="87"/>
      <c r="O28" s="88"/>
      <c r="Q28" s="12" t="s">
        <v>1</v>
      </c>
      <c r="R28" s="6" t="s">
        <v>10</v>
      </c>
      <c r="S28" s="49"/>
      <c r="T28" s="49"/>
      <c r="U28" s="49"/>
      <c r="V28" s="49"/>
      <c r="W28" s="49"/>
      <c r="X28" s="49"/>
      <c r="Y28" s="12" t="s">
        <v>1</v>
      </c>
      <c r="Z28" s="76" t="s">
        <v>10</v>
      </c>
      <c r="AA28" s="77"/>
      <c r="AB28" s="77"/>
      <c r="AC28" s="77"/>
      <c r="AD28" s="77"/>
      <c r="AE28" s="77"/>
      <c r="AF28" s="40"/>
      <c r="AG28" s="12" t="s">
        <v>1</v>
      </c>
      <c r="AH28" s="76" t="s">
        <v>10</v>
      </c>
      <c r="AI28" s="77"/>
      <c r="AJ28" s="77"/>
      <c r="AK28" s="77"/>
      <c r="AL28" s="77"/>
      <c r="AM28" s="77"/>
      <c r="AN28" s="54"/>
      <c r="AO28" s="12" t="s">
        <v>1</v>
      </c>
      <c r="AP28" s="76" t="s">
        <v>10</v>
      </c>
      <c r="AQ28" s="77"/>
      <c r="AR28" s="77"/>
      <c r="AS28" s="77"/>
      <c r="AT28" s="77"/>
      <c r="AU28" s="77"/>
      <c r="AW28" s="12" t="s">
        <v>1</v>
      </c>
      <c r="AX28" s="76" t="s">
        <v>10</v>
      </c>
      <c r="AY28" s="77"/>
      <c r="AZ28" s="77"/>
      <c r="BA28" s="77"/>
      <c r="BB28" s="77"/>
      <c r="BC28" s="77"/>
    </row>
    <row r="29" spans="2:57" x14ac:dyDescent="0.25">
      <c r="B29" s="17" t="s">
        <v>23</v>
      </c>
      <c r="C29" s="86" t="s">
        <v>6</v>
      </c>
      <c r="D29" s="86" t="s">
        <v>19</v>
      </c>
      <c r="E29" s="86" t="s">
        <v>20</v>
      </c>
      <c r="F29" s="86" t="s">
        <v>21</v>
      </c>
      <c r="G29" s="86" t="s">
        <v>22</v>
      </c>
      <c r="H29" s="86" t="s">
        <v>7</v>
      </c>
      <c r="K29" s="101" t="s">
        <v>25</v>
      </c>
      <c r="L29" s="102"/>
      <c r="M29" s="102"/>
      <c r="N29" s="102"/>
      <c r="O29" s="103"/>
      <c r="R29" s="104" t="s">
        <v>27</v>
      </c>
      <c r="S29" s="105"/>
      <c r="T29" s="105"/>
      <c r="U29" s="105"/>
      <c r="V29" s="105"/>
      <c r="W29" s="106"/>
      <c r="X29" s="25"/>
      <c r="Z29" s="101" t="s">
        <v>28</v>
      </c>
      <c r="AA29" s="102"/>
      <c r="AB29" s="102"/>
      <c r="AC29" s="102"/>
      <c r="AD29" s="102"/>
      <c r="AE29" s="103"/>
      <c r="AF29" s="36"/>
      <c r="AH29" s="101" t="s">
        <v>35</v>
      </c>
      <c r="AI29" s="102"/>
      <c r="AJ29" s="102"/>
      <c r="AK29" s="102"/>
      <c r="AL29" s="102"/>
      <c r="AM29" s="103"/>
      <c r="AN29" s="37"/>
      <c r="AP29" s="101" t="s">
        <v>36</v>
      </c>
      <c r="AQ29" s="102"/>
      <c r="AR29" s="102"/>
      <c r="AS29" s="102"/>
      <c r="AT29" s="102"/>
      <c r="AU29" s="103"/>
      <c r="AX29" s="101" t="s">
        <v>37</v>
      </c>
      <c r="AY29" s="102"/>
      <c r="AZ29" s="102"/>
      <c r="BA29" s="102"/>
      <c r="BB29" s="102"/>
      <c r="BC29" s="103"/>
    </row>
    <row r="30" spans="2:57" x14ac:dyDescent="0.25">
      <c r="B30" s="18">
        <v>2013</v>
      </c>
      <c r="C30" s="19">
        <v>1506</v>
      </c>
      <c r="D30" s="19">
        <v>2804</v>
      </c>
      <c r="E30" s="19">
        <v>1109</v>
      </c>
      <c r="F30" s="19">
        <v>1695</v>
      </c>
      <c r="G30" s="86"/>
      <c r="H30" s="20">
        <v>1042830000</v>
      </c>
      <c r="J30" s="28" t="s">
        <v>24</v>
      </c>
      <c r="K30" s="74" t="s">
        <v>6</v>
      </c>
      <c r="L30" s="74" t="s">
        <v>19</v>
      </c>
      <c r="M30" s="74" t="s">
        <v>20</v>
      </c>
      <c r="N30" s="74" t="s">
        <v>21</v>
      </c>
      <c r="O30" s="74" t="s">
        <v>7</v>
      </c>
      <c r="Q30" s="28" t="s">
        <v>24</v>
      </c>
      <c r="R30" s="28" t="s">
        <v>6</v>
      </c>
      <c r="S30" s="28" t="s">
        <v>19</v>
      </c>
      <c r="T30" s="28" t="s">
        <v>20</v>
      </c>
      <c r="U30" s="28" t="s">
        <v>21</v>
      </c>
      <c r="V30" s="28" t="s">
        <v>22</v>
      </c>
      <c r="W30" s="28" t="s">
        <v>7</v>
      </c>
      <c r="X30" s="23"/>
      <c r="Y30" s="28" t="s">
        <v>24</v>
      </c>
      <c r="Z30" s="74" t="s">
        <v>6</v>
      </c>
      <c r="AA30" s="74" t="s">
        <v>19</v>
      </c>
      <c r="AB30" s="74" t="s">
        <v>20</v>
      </c>
      <c r="AC30" s="74" t="s">
        <v>21</v>
      </c>
      <c r="AD30" s="74" t="s">
        <v>22</v>
      </c>
      <c r="AE30" s="74" t="s">
        <v>7</v>
      </c>
      <c r="AF30" s="23"/>
      <c r="AG30" s="28" t="s">
        <v>24</v>
      </c>
      <c r="AH30" s="74" t="s">
        <v>6</v>
      </c>
      <c r="AI30" s="74" t="s">
        <v>19</v>
      </c>
      <c r="AJ30" s="74" t="s">
        <v>20</v>
      </c>
      <c r="AK30" s="74" t="s">
        <v>21</v>
      </c>
      <c r="AL30" s="74" t="s">
        <v>22</v>
      </c>
      <c r="AM30" s="74" t="s">
        <v>7</v>
      </c>
      <c r="AN30" s="38"/>
      <c r="AO30" s="28" t="s">
        <v>24</v>
      </c>
      <c r="AP30" s="74" t="s">
        <v>6</v>
      </c>
      <c r="AQ30" s="74" t="s">
        <v>19</v>
      </c>
      <c r="AR30" s="74" t="s">
        <v>20</v>
      </c>
      <c r="AS30" s="74" t="s">
        <v>21</v>
      </c>
      <c r="AT30" s="74" t="s">
        <v>22</v>
      </c>
      <c r="AU30" s="74" t="s">
        <v>7</v>
      </c>
      <c r="AW30" s="28" t="s">
        <v>24</v>
      </c>
      <c r="AX30" s="74" t="s">
        <v>6</v>
      </c>
      <c r="AY30" s="74" t="s">
        <v>19</v>
      </c>
      <c r="AZ30" s="74" t="s">
        <v>20</v>
      </c>
      <c r="BA30" s="74" t="s">
        <v>21</v>
      </c>
      <c r="BB30" s="74" t="s">
        <v>22</v>
      </c>
      <c r="BC30" s="74" t="s">
        <v>7</v>
      </c>
    </row>
    <row r="31" spans="2:57" x14ac:dyDescent="0.25">
      <c r="B31" s="18">
        <v>2014</v>
      </c>
      <c r="C31" s="19">
        <v>1556</v>
      </c>
      <c r="D31" s="19">
        <v>2878</v>
      </c>
      <c r="E31" s="19">
        <v>1058</v>
      </c>
      <c r="F31" s="19">
        <v>1820</v>
      </c>
      <c r="G31" s="19">
        <v>1079</v>
      </c>
      <c r="H31" s="20">
        <v>1221528800</v>
      </c>
      <c r="J31" s="27" t="s">
        <v>2</v>
      </c>
      <c r="K31" s="1">
        <v>276</v>
      </c>
      <c r="L31" s="1">
        <v>568</v>
      </c>
      <c r="M31" s="1">
        <v>213</v>
      </c>
      <c r="N31" s="1">
        <v>355</v>
      </c>
      <c r="O31" s="2">
        <v>205340000</v>
      </c>
      <c r="Q31" s="27" t="s">
        <v>2</v>
      </c>
      <c r="R31" s="3">
        <v>287</v>
      </c>
      <c r="S31" s="3">
        <v>585</v>
      </c>
      <c r="T31" s="3">
        <v>199</v>
      </c>
      <c r="U31" s="3">
        <v>386</v>
      </c>
      <c r="V31" s="3">
        <v>206</v>
      </c>
      <c r="W31" s="42">
        <v>235376600</v>
      </c>
      <c r="Y31" s="27" t="s">
        <v>2</v>
      </c>
      <c r="Z31" s="3">
        <v>353</v>
      </c>
      <c r="AA31" s="3">
        <v>665</v>
      </c>
      <c r="AB31" s="3">
        <v>229</v>
      </c>
      <c r="AC31" s="3">
        <v>436</v>
      </c>
      <c r="AD31" s="3">
        <v>187</v>
      </c>
      <c r="AE31" s="4">
        <v>294674100</v>
      </c>
      <c r="AG31" s="27" t="s">
        <v>2</v>
      </c>
      <c r="AH31" s="3">
        <v>394</v>
      </c>
      <c r="AI31" s="3">
        <v>688</v>
      </c>
      <c r="AJ31" s="3">
        <v>243</v>
      </c>
      <c r="AK31" s="3">
        <v>445</v>
      </c>
      <c r="AL31" s="3">
        <v>205</v>
      </c>
      <c r="AM31" s="42">
        <v>373341100</v>
      </c>
      <c r="AO31" s="27" t="s">
        <v>2</v>
      </c>
      <c r="AP31" s="72">
        <v>471</v>
      </c>
      <c r="AQ31" s="72">
        <v>731</v>
      </c>
      <c r="AR31" s="72">
        <v>245</v>
      </c>
      <c r="AS31" s="72">
        <v>486</v>
      </c>
      <c r="AT31" s="72">
        <v>264</v>
      </c>
      <c r="AU31" s="69">
        <v>390500950</v>
      </c>
      <c r="AW31" s="27" t="s">
        <v>2</v>
      </c>
      <c r="AX31" s="72">
        <v>503</v>
      </c>
      <c r="AY31" s="72">
        <v>746</v>
      </c>
      <c r="AZ31" s="72">
        <v>253</v>
      </c>
      <c r="BA31" s="72">
        <v>493</v>
      </c>
      <c r="BB31" s="72">
        <v>247</v>
      </c>
      <c r="BC31" s="69">
        <v>267515050</v>
      </c>
    </row>
    <row r="32" spans="2:57" x14ac:dyDescent="0.25">
      <c r="B32" s="18">
        <v>2015</v>
      </c>
      <c r="C32" s="19">
        <v>1563</v>
      </c>
      <c r="D32" s="19">
        <v>2835</v>
      </c>
      <c r="E32" s="19">
        <v>999</v>
      </c>
      <c r="F32" s="19">
        <v>1836</v>
      </c>
      <c r="G32" s="19">
        <v>842</v>
      </c>
      <c r="H32" s="20">
        <v>1261960800</v>
      </c>
      <c r="J32" s="27" t="s">
        <v>3</v>
      </c>
      <c r="K32" s="1">
        <v>0</v>
      </c>
      <c r="L32" s="1">
        <v>0</v>
      </c>
      <c r="M32" s="1">
        <v>0</v>
      </c>
      <c r="N32" s="1">
        <v>0</v>
      </c>
      <c r="O32" s="2">
        <v>0</v>
      </c>
      <c r="Q32" s="27" t="s">
        <v>3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42">
        <v>0</v>
      </c>
      <c r="Y32" s="27" t="s">
        <v>3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4">
        <v>0</v>
      </c>
      <c r="AG32" s="27" t="s">
        <v>3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44">
        <v>0</v>
      </c>
      <c r="AO32" s="27" t="s">
        <v>3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42">
        <v>0</v>
      </c>
      <c r="AW32" s="27" t="s">
        <v>3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69">
        <v>0</v>
      </c>
    </row>
    <row r="33" spans="2:55" x14ac:dyDescent="0.25">
      <c r="B33" s="18">
        <v>2016</v>
      </c>
      <c r="C33" s="19">
        <v>1542</v>
      </c>
      <c r="D33" s="19">
        <v>2709</v>
      </c>
      <c r="E33" s="19">
        <v>916</v>
      </c>
      <c r="F33" s="19">
        <v>1793</v>
      </c>
      <c r="G33" s="19">
        <v>12</v>
      </c>
      <c r="H33" s="20">
        <v>1425323050</v>
      </c>
      <c r="J33" s="27" t="s">
        <v>4</v>
      </c>
      <c r="K33" s="1">
        <v>756</v>
      </c>
      <c r="L33" s="1">
        <v>1412</v>
      </c>
      <c r="M33" s="1">
        <v>630</v>
      </c>
      <c r="N33" s="1">
        <v>782</v>
      </c>
      <c r="O33" s="2">
        <v>529180000</v>
      </c>
      <c r="Q33" s="27" t="s">
        <v>4</v>
      </c>
      <c r="R33" s="3">
        <v>793</v>
      </c>
      <c r="S33" s="3">
        <v>1476</v>
      </c>
      <c r="T33" s="3">
        <v>617</v>
      </c>
      <c r="U33" s="3">
        <v>859</v>
      </c>
      <c r="V33" s="3">
        <v>593</v>
      </c>
      <c r="W33" s="42">
        <v>639712800</v>
      </c>
      <c r="Y33" s="27" t="s">
        <v>4</v>
      </c>
      <c r="Z33" s="3">
        <v>759</v>
      </c>
      <c r="AA33" s="3">
        <v>1387</v>
      </c>
      <c r="AB33" s="3">
        <v>545</v>
      </c>
      <c r="AC33" s="3">
        <v>842</v>
      </c>
      <c r="AD33" s="3">
        <v>465</v>
      </c>
      <c r="AE33" s="4">
        <v>621241150</v>
      </c>
      <c r="AG33" s="27" t="s">
        <v>4</v>
      </c>
      <c r="AH33" s="72">
        <v>729</v>
      </c>
      <c r="AI33" s="72">
        <v>1305</v>
      </c>
      <c r="AJ33" s="72">
        <v>474</v>
      </c>
      <c r="AK33" s="72">
        <v>831</v>
      </c>
      <c r="AL33" s="72">
        <v>394</v>
      </c>
      <c r="AM33" s="73">
        <v>685623000</v>
      </c>
      <c r="AO33" s="27" t="s">
        <v>4</v>
      </c>
      <c r="AP33" s="75">
        <v>708</v>
      </c>
      <c r="AQ33" s="75">
        <v>1187</v>
      </c>
      <c r="AR33" s="75">
        <v>342</v>
      </c>
      <c r="AS33" s="75">
        <v>845</v>
      </c>
      <c r="AT33" s="75">
        <v>361</v>
      </c>
      <c r="AU33" s="69">
        <v>593175300</v>
      </c>
      <c r="AW33" s="27" t="s">
        <v>4</v>
      </c>
      <c r="AX33" s="75">
        <v>664</v>
      </c>
      <c r="AY33" s="75">
        <v>1119</v>
      </c>
      <c r="AZ33" s="75">
        <v>286</v>
      </c>
      <c r="BA33" s="75">
        <v>833</v>
      </c>
      <c r="BB33" s="75">
        <v>277</v>
      </c>
      <c r="BC33" s="69">
        <v>354815800</v>
      </c>
    </row>
    <row r="34" spans="2:55" x14ac:dyDescent="0.25">
      <c r="B34" s="18">
        <v>2017</v>
      </c>
      <c r="C34" s="19">
        <v>1572</v>
      </c>
      <c r="D34" s="19">
        <v>2546</v>
      </c>
      <c r="E34" s="19">
        <v>722</v>
      </c>
      <c r="F34" s="19">
        <v>1824</v>
      </c>
      <c r="G34" s="19">
        <v>769</v>
      </c>
      <c r="H34" s="20">
        <v>1293497250</v>
      </c>
      <c r="J34" s="30" t="s">
        <v>5</v>
      </c>
      <c r="K34" s="1">
        <v>474</v>
      </c>
      <c r="L34" s="1">
        <v>824</v>
      </c>
      <c r="M34" s="1">
        <v>266</v>
      </c>
      <c r="N34" s="1">
        <v>558</v>
      </c>
      <c r="O34" s="2">
        <v>308310000</v>
      </c>
      <c r="Q34" s="30" t="s">
        <v>5</v>
      </c>
      <c r="R34" s="3">
        <v>476</v>
      </c>
      <c r="S34" s="3">
        <v>817</v>
      </c>
      <c r="T34" s="3">
        <v>242</v>
      </c>
      <c r="U34" s="3">
        <v>575</v>
      </c>
      <c r="V34" s="3">
        <v>280</v>
      </c>
      <c r="W34" s="42">
        <v>346439400</v>
      </c>
      <c r="Y34" s="30" t="s">
        <v>5</v>
      </c>
      <c r="Z34" s="3">
        <v>451</v>
      </c>
      <c r="AA34" s="3">
        <v>783</v>
      </c>
      <c r="AB34" s="3">
        <v>225</v>
      </c>
      <c r="AC34" s="3">
        <v>558</v>
      </c>
      <c r="AD34" s="3">
        <v>190</v>
      </c>
      <c r="AE34" s="4">
        <v>346045550</v>
      </c>
      <c r="AG34" s="30" t="s">
        <v>5</v>
      </c>
      <c r="AH34" s="72">
        <v>419</v>
      </c>
      <c r="AI34" s="72">
        <v>716</v>
      </c>
      <c r="AJ34" s="72">
        <v>199</v>
      </c>
      <c r="AK34" s="72">
        <v>517</v>
      </c>
      <c r="AL34" s="72">
        <v>162</v>
      </c>
      <c r="AM34" s="73">
        <v>366358950</v>
      </c>
      <c r="AO34" s="30" t="s">
        <v>5</v>
      </c>
      <c r="AP34" s="75">
        <v>393</v>
      </c>
      <c r="AQ34" s="75">
        <v>628</v>
      </c>
      <c r="AR34" s="75">
        <v>135</v>
      </c>
      <c r="AS34" s="75">
        <v>493</v>
      </c>
      <c r="AT34" s="75">
        <v>144</v>
      </c>
      <c r="AU34" s="69">
        <v>309821000</v>
      </c>
      <c r="AW34" s="30" t="s">
        <v>5</v>
      </c>
      <c r="AX34" s="75">
        <v>352</v>
      </c>
      <c r="AY34" s="75">
        <v>572</v>
      </c>
      <c r="AZ34" s="75">
        <v>112</v>
      </c>
      <c r="BA34" s="75">
        <v>460</v>
      </c>
      <c r="BB34" s="75">
        <v>108</v>
      </c>
      <c r="BC34" s="69">
        <v>175098950</v>
      </c>
    </row>
    <row r="35" spans="2:55" x14ac:dyDescent="0.25">
      <c r="B35" s="18">
        <v>2018</v>
      </c>
      <c r="C35" s="34">
        <f>SUM(Tabla13111213232430[FAMILIAS])</f>
        <v>1519</v>
      </c>
      <c r="D35" s="34">
        <f>SUM(Tabla13111213232430[TOTAL NNA])</f>
        <v>2437</v>
      </c>
      <c r="E35" s="34">
        <f>SUM(Tabla13111213232430[NNA NUTRICION])</f>
        <v>651</v>
      </c>
      <c r="F35" s="34">
        <f>SUM(Tabla13111213232430[[NNA EDUCACIÓN ]])</f>
        <v>1786</v>
      </c>
      <c r="G35" s="34">
        <f>SUM(Tabla13111213232430[NN 0-5 AÑOS])</f>
        <v>632</v>
      </c>
      <c r="H35" s="57">
        <f>SUM(Tabla13111213232430[TOTAL VALOR LIQUIDADO])</f>
        <v>797429800</v>
      </c>
      <c r="J35" s="30" t="s">
        <v>26</v>
      </c>
      <c r="K35" s="34">
        <f>SUM(Tabla11025[FAMILIAS])</f>
        <v>1506</v>
      </c>
      <c r="L35" s="34">
        <f>SUM(Tabla11025[TOTAL NNA])</f>
        <v>2804</v>
      </c>
      <c r="M35" s="34">
        <f>SUM(Tabla11025[NNA NUTRICION])</f>
        <v>1109</v>
      </c>
      <c r="N35" s="34">
        <f>SUM(Tabla11025[[NNA EDUCACIÓN ]])</f>
        <v>1695</v>
      </c>
      <c r="O35" s="2">
        <f>SUM(Tabla11025[TOTAL VALOR LIQUIDADO])</f>
        <v>1042830000</v>
      </c>
      <c r="Q35" s="30" t="s">
        <v>26</v>
      </c>
      <c r="R35" s="59">
        <f>SUM(Tabla131126[FAMILIAS])</f>
        <v>1556</v>
      </c>
      <c r="S35" s="59">
        <f>SUM(Tabla131126[TOTAL NNA])</f>
        <v>2878</v>
      </c>
      <c r="T35" s="59">
        <f>SUM(Tabla131126[NNA NUTRICION])</f>
        <v>1058</v>
      </c>
      <c r="U35" s="59">
        <f>SUM(Tabla131126[[NNA EDUCACIÓN ]])</f>
        <v>1820</v>
      </c>
      <c r="V35" s="59">
        <f>SUM(Tabla131126[NN 0-5 AÑOS])</f>
        <v>1079</v>
      </c>
      <c r="W35" s="60">
        <f>SUM(Tabla131126[TOTAL VALOR LIQUIDADO])</f>
        <v>1221528800</v>
      </c>
      <c r="Y35" s="30" t="s">
        <v>26</v>
      </c>
      <c r="Z35" s="34">
        <f>SUM(Tabla13111227[FAMILIAS])</f>
        <v>1563</v>
      </c>
      <c r="AA35" s="34">
        <f>SUM(Tabla13111227[TOTAL NNA])</f>
        <v>2835</v>
      </c>
      <c r="AB35" s="34">
        <f>SUM(Tabla13111227[NNA NUTRICION])</f>
        <v>999</v>
      </c>
      <c r="AC35" s="34">
        <f>SUM(Tabla13111227[[NNA EDUCACIÓN ]])</f>
        <v>1836</v>
      </c>
      <c r="AD35" s="34">
        <f>SUM(Tabla13111227[NN 0-5 AÑOS])</f>
        <v>842</v>
      </c>
      <c r="AE35" s="4">
        <f>SUM(Tabla13111227[TOTAL VALOR LIQUIDADO])</f>
        <v>1261960800</v>
      </c>
      <c r="AG35" s="30" t="s">
        <v>26</v>
      </c>
      <c r="AH35" s="34">
        <f>SUM(Tabla1311121328[FAMILIAS])</f>
        <v>1542</v>
      </c>
      <c r="AI35" s="34">
        <f>SUM(Tabla1311121328[TOTAL NNA])</f>
        <v>2709</v>
      </c>
      <c r="AJ35" s="34">
        <f>SUM(Tabla1311121328[NNA NUTRICION])</f>
        <v>916</v>
      </c>
      <c r="AK35" s="34">
        <f>SUM(Tabla1311121328[[NNA EDUCACIÓN ]])</f>
        <v>1793</v>
      </c>
      <c r="AL35" s="34">
        <f>SUM(Tabla1311121328[NN 0-5 AÑOS])</f>
        <v>761</v>
      </c>
      <c r="AM35" s="57">
        <f>SUM(Tabla1311121328[TOTAL VALOR LIQUIDADO])</f>
        <v>1425323050</v>
      </c>
      <c r="AO35" s="30" t="s">
        <v>26</v>
      </c>
      <c r="AP35" s="34">
        <f>SUM(Tabla131112132329[FAMILIAS])</f>
        <v>1572</v>
      </c>
      <c r="AQ35" s="34">
        <f>SUM(Tabla131112132329[TOTAL NNA])</f>
        <v>2546</v>
      </c>
      <c r="AR35" s="34">
        <f>SUM(Tabla131112132329[NNA NUTRICION])</f>
        <v>722</v>
      </c>
      <c r="AS35" s="34">
        <f>SUM(Tabla131112132329[[NNA EDUCACIÓN ]])</f>
        <v>1824</v>
      </c>
      <c r="AT35" s="34">
        <f>SUM(Tabla131112132329[NN 0-5 AÑOS])</f>
        <v>769</v>
      </c>
      <c r="AU35" s="57">
        <f>SUM(Tabla131112132329[TOTAL VALOR LIQUIDADO])</f>
        <v>1293497250</v>
      </c>
      <c r="AW35" s="30" t="s">
        <v>26</v>
      </c>
      <c r="AX35" s="34">
        <f>SUM(Tabla13111213232430[FAMILIAS])</f>
        <v>1519</v>
      </c>
      <c r="AY35" s="34">
        <f>SUM(Tabla13111213232430[TOTAL NNA])</f>
        <v>2437</v>
      </c>
      <c r="AZ35" s="34">
        <f>SUM(Tabla13111213232430[NNA NUTRICION])</f>
        <v>651</v>
      </c>
      <c r="BA35" s="34">
        <f>SUM(Tabla13111213232430[[NNA EDUCACIÓN ]])</f>
        <v>1786</v>
      </c>
      <c r="BB35" s="34">
        <f>SUM(Tabla13111213232430[NN 0-5 AÑOS])</f>
        <v>632</v>
      </c>
      <c r="BC35" s="57">
        <f>SUM(Tabla13111213232430[TOTAL VALOR LIQUIDADO])</f>
        <v>797429800</v>
      </c>
    </row>
    <row r="36" spans="2:55" x14ac:dyDescent="0.25">
      <c r="B36" s="13"/>
      <c r="C36" s="15"/>
      <c r="D36" s="15"/>
      <c r="E36" s="15"/>
      <c r="F36" s="15"/>
      <c r="G36" s="15"/>
      <c r="H36" s="15">
        <f>SUM(Tabla3514[TOTAL VALOR LIQUIDADO])</f>
        <v>7042569700</v>
      </c>
      <c r="K36" s="8"/>
      <c r="L36" s="8"/>
      <c r="M36" s="8"/>
      <c r="N36" s="8"/>
      <c r="O36" s="35"/>
      <c r="Q36" s="7"/>
      <c r="R36" s="61"/>
      <c r="S36" s="61"/>
      <c r="T36" s="61"/>
      <c r="U36" s="61"/>
      <c r="V36" s="61"/>
      <c r="W36" s="62"/>
      <c r="AW36" s="48" t="s">
        <v>38</v>
      </c>
    </row>
    <row r="37" spans="2:55" x14ac:dyDescent="0.25">
      <c r="C37" s="84"/>
      <c r="D37" s="84"/>
      <c r="E37" s="84"/>
      <c r="F37" s="84"/>
      <c r="G37" s="84"/>
      <c r="H37" s="85"/>
      <c r="K37" s="71"/>
      <c r="L37" s="71"/>
      <c r="M37" s="71"/>
      <c r="N37" s="71"/>
      <c r="O37" s="71"/>
    </row>
    <row r="38" spans="2:55" x14ac:dyDescent="0.25">
      <c r="B38" s="12" t="s">
        <v>1</v>
      </c>
      <c r="C38" s="76" t="s">
        <v>11</v>
      </c>
      <c r="J38" s="12" t="s">
        <v>1</v>
      </c>
      <c r="K38" s="76" t="s">
        <v>11</v>
      </c>
      <c r="L38" s="87"/>
      <c r="M38" s="87"/>
      <c r="N38" s="87"/>
      <c r="O38" s="88"/>
      <c r="Q38" s="12" t="s">
        <v>1</v>
      </c>
      <c r="R38" s="6" t="s">
        <v>11</v>
      </c>
      <c r="S38" s="49"/>
      <c r="T38" s="49"/>
      <c r="U38" s="49"/>
      <c r="V38" s="49"/>
      <c r="W38" s="49"/>
      <c r="X38" s="49"/>
      <c r="Y38" s="12" t="s">
        <v>1</v>
      </c>
      <c r="Z38" s="76" t="s">
        <v>11</v>
      </c>
      <c r="AA38" s="77"/>
      <c r="AB38" s="77"/>
      <c r="AC38" s="77"/>
      <c r="AD38" s="77"/>
      <c r="AE38" s="77"/>
      <c r="AF38" s="40"/>
      <c r="AG38" s="12" t="s">
        <v>1</v>
      </c>
      <c r="AH38" s="76" t="s">
        <v>11</v>
      </c>
      <c r="AI38" s="77"/>
      <c r="AJ38" s="77"/>
      <c r="AK38" s="77"/>
      <c r="AL38" s="77"/>
      <c r="AM38" s="77"/>
      <c r="AN38" s="54"/>
      <c r="AO38" s="12" t="s">
        <v>1</v>
      </c>
      <c r="AP38" s="76" t="s">
        <v>11</v>
      </c>
      <c r="AQ38" s="77"/>
      <c r="AR38" s="77"/>
      <c r="AS38" s="77"/>
      <c r="AT38" s="77"/>
      <c r="AU38" s="77"/>
      <c r="AW38" s="12" t="s">
        <v>1</v>
      </c>
      <c r="AX38" s="76" t="s">
        <v>11</v>
      </c>
      <c r="AY38" s="77"/>
      <c r="AZ38" s="77"/>
      <c r="BA38" s="77"/>
      <c r="BB38" s="77"/>
      <c r="BC38" s="77"/>
    </row>
    <row r="39" spans="2:55" x14ac:dyDescent="0.25">
      <c r="B39" s="17" t="s">
        <v>23</v>
      </c>
      <c r="C39" s="86" t="s">
        <v>6</v>
      </c>
      <c r="D39" s="86" t="s">
        <v>19</v>
      </c>
      <c r="E39" s="86" t="s">
        <v>20</v>
      </c>
      <c r="F39" s="86" t="s">
        <v>21</v>
      </c>
      <c r="G39" s="86" t="s">
        <v>22</v>
      </c>
      <c r="H39" s="86" t="s">
        <v>7</v>
      </c>
      <c r="K39" s="101" t="s">
        <v>25</v>
      </c>
      <c r="L39" s="102"/>
      <c r="M39" s="102"/>
      <c r="N39" s="102"/>
      <c r="O39" s="103"/>
      <c r="R39" s="104" t="s">
        <v>27</v>
      </c>
      <c r="S39" s="105"/>
      <c r="T39" s="105"/>
      <c r="U39" s="105"/>
      <c r="V39" s="105"/>
      <c r="W39" s="106"/>
      <c r="X39" s="25"/>
      <c r="Z39" s="101" t="s">
        <v>28</v>
      </c>
      <c r="AA39" s="102"/>
      <c r="AB39" s="102"/>
      <c r="AC39" s="102"/>
      <c r="AD39" s="102"/>
      <c r="AE39" s="103"/>
      <c r="AF39" s="36"/>
      <c r="AH39" s="101" t="s">
        <v>35</v>
      </c>
      <c r="AI39" s="102"/>
      <c r="AJ39" s="102"/>
      <c r="AK39" s="102"/>
      <c r="AL39" s="102"/>
      <c r="AM39" s="103"/>
      <c r="AN39" s="37"/>
      <c r="AP39" s="101" t="s">
        <v>36</v>
      </c>
      <c r="AQ39" s="102"/>
      <c r="AR39" s="102"/>
      <c r="AS39" s="102"/>
      <c r="AT39" s="102"/>
      <c r="AU39" s="103"/>
      <c r="AX39" s="101" t="s">
        <v>37</v>
      </c>
      <c r="AY39" s="102"/>
      <c r="AZ39" s="102"/>
      <c r="BA39" s="102"/>
      <c r="BB39" s="102"/>
      <c r="BC39" s="103"/>
    </row>
    <row r="40" spans="2:55" x14ac:dyDescent="0.25">
      <c r="B40" s="18">
        <v>2013</v>
      </c>
      <c r="C40" s="19">
        <v>1737</v>
      </c>
      <c r="D40" s="19">
        <v>3324</v>
      </c>
      <c r="E40" s="19">
        <v>1573</v>
      </c>
      <c r="F40" s="19">
        <v>1751</v>
      </c>
      <c r="G40" s="86"/>
      <c r="H40" s="20">
        <v>1357990000</v>
      </c>
      <c r="J40" s="28" t="s">
        <v>24</v>
      </c>
      <c r="K40" s="74" t="s">
        <v>6</v>
      </c>
      <c r="L40" s="74" t="s">
        <v>19</v>
      </c>
      <c r="M40" s="74" t="s">
        <v>20</v>
      </c>
      <c r="N40" s="74" t="s">
        <v>21</v>
      </c>
      <c r="O40" s="74" t="s">
        <v>7</v>
      </c>
      <c r="Q40" s="28" t="s">
        <v>24</v>
      </c>
      <c r="R40" s="28" t="s">
        <v>6</v>
      </c>
      <c r="S40" s="28" t="s">
        <v>19</v>
      </c>
      <c r="T40" s="28" t="s">
        <v>20</v>
      </c>
      <c r="U40" s="28" t="s">
        <v>21</v>
      </c>
      <c r="V40" s="28" t="s">
        <v>22</v>
      </c>
      <c r="W40" s="28" t="s">
        <v>7</v>
      </c>
      <c r="X40" s="23"/>
      <c r="Y40" s="28" t="s">
        <v>24</v>
      </c>
      <c r="Z40" s="74" t="s">
        <v>6</v>
      </c>
      <c r="AA40" s="74" t="s">
        <v>19</v>
      </c>
      <c r="AB40" s="74" t="s">
        <v>20</v>
      </c>
      <c r="AC40" s="74" t="s">
        <v>21</v>
      </c>
      <c r="AD40" s="74" t="s">
        <v>22</v>
      </c>
      <c r="AE40" s="74" t="s">
        <v>7</v>
      </c>
      <c r="AF40" s="23"/>
      <c r="AG40" s="28" t="s">
        <v>24</v>
      </c>
      <c r="AH40" s="74" t="s">
        <v>6</v>
      </c>
      <c r="AI40" s="74" t="s">
        <v>19</v>
      </c>
      <c r="AJ40" s="74" t="s">
        <v>20</v>
      </c>
      <c r="AK40" s="74" t="s">
        <v>21</v>
      </c>
      <c r="AL40" s="74" t="s">
        <v>22</v>
      </c>
      <c r="AM40" s="74" t="s">
        <v>7</v>
      </c>
      <c r="AN40" s="38"/>
      <c r="AO40" s="28" t="s">
        <v>24</v>
      </c>
      <c r="AP40" s="74" t="s">
        <v>6</v>
      </c>
      <c r="AQ40" s="74" t="s">
        <v>19</v>
      </c>
      <c r="AR40" s="74" t="s">
        <v>20</v>
      </c>
      <c r="AS40" s="74" t="s">
        <v>21</v>
      </c>
      <c r="AT40" s="74" t="s">
        <v>22</v>
      </c>
      <c r="AU40" s="74" t="s">
        <v>7</v>
      </c>
      <c r="AW40" s="28" t="s">
        <v>24</v>
      </c>
      <c r="AX40" s="74" t="s">
        <v>6</v>
      </c>
      <c r="AY40" s="74" t="s">
        <v>19</v>
      </c>
      <c r="AZ40" s="74" t="s">
        <v>20</v>
      </c>
      <c r="BA40" s="74" t="s">
        <v>21</v>
      </c>
      <c r="BB40" s="74" t="s">
        <v>22</v>
      </c>
      <c r="BC40" s="74" t="s">
        <v>7</v>
      </c>
    </row>
    <row r="41" spans="2:55" x14ac:dyDescent="0.25">
      <c r="B41" s="18">
        <v>2014</v>
      </c>
      <c r="C41" s="19">
        <v>1864</v>
      </c>
      <c r="D41" s="19">
        <v>3372</v>
      </c>
      <c r="E41" s="19">
        <v>1502</v>
      </c>
      <c r="F41" s="19">
        <v>1870</v>
      </c>
      <c r="G41" s="19">
        <v>1403</v>
      </c>
      <c r="H41" s="20">
        <v>1579549600</v>
      </c>
      <c r="J41" s="27" t="s">
        <v>2</v>
      </c>
      <c r="K41" s="1">
        <v>699</v>
      </c>
      <c r="L41" s="1">
        <v>1365</v>
      </c>
      <c r="M41" s="1">
        <v>551</v>
      </c>
      <c r="N41" s="1">
        <v>814</v>
      </c>
      <c r="O41" s="2">
        <v>540360000</v>
      </c>
      <c r="Q41" s="27" t="s">
        <v>2</v>
      </c>
      <c r="R41" s="3">
        <v>793</v>
      </c>
      <c r="S41" s="3">
        <v>1466</v>
      </c>
      <c r="T41" s="3">
        <v>573</v>
      </c>
      <c r="U41" s="3">
        <v>893</v>
      </c>
      <c r="V41" s="3">
        <v>564</v>
      </c>
      <c r="W41" s="4">
        <v>647099400</v>
      </c>
      <c r="Y41" s="27" t="s">
        <v>2</v>
      </c>
      <c r="Z41" s="3">
        <v>1032</v>
      </c>
      <c r="AA41" s="3">
        <v>1861</v>
      </c>
      <c r="AB41" s="3">
        <v>693</v>
      </c>
      <c r="AC41" s="3">
        <v>1168</v>
      </c>
      <c r="AD41" s="3">
        <v>578</v>
      </c>
      <c r="AE41" s="4">
        <v>860666300</v>
      </c>
      <c r="AG41" s="27" t="s">
        <v>2</v>
      </c>
      <c r="AH41" s="3">
        <v>1157</v>
      </c>
      <c r="AI41" s="3">
        <v>1997</v>
      </c>
      <c r="AJ41" s="3">
        <v>744</v>
      </c>
      <c r="AK41" s="3">
        <v>1253</v>
      </c>
      <c r="AL41" s="3">
        <v>649</v>
      </c>
      <c r="AM41" s="42">
        <v>1026064600</v>
      </c>
      <c r="AO41" s="27" t="s">
        <v>2</v>
      </c>
      <c r="AP41" s="72">
        <v>1359</v>
      </c>
      <c r="AQ41" s="72">
        <v>2102</v>
      </c>
      <c r="AR41" s="72">
        <v>770</v>
      </c>
      <c r="AS41" s="72">
        <v>1332</v>
      </c>
      <c r="AT41" s="72">
        <v>833</v>
      </c>
      <c r="AU41" s="69">
        <v>1533385950</v>
      </c>
      <c r="AW41" s="27" t="s">
        <v>2</v>
      </c>
      <c r="AX41" s="72">
        <v>1409</v>
      </c>
      <c r="AY41" s="72">
        <v>2186</v>
      </c>
      <c r="AZ41" s="72">
        <v>753</v>
      </c>
      <c r="BA41" s="72">
        <v>1433</v>
      </c>
      <c r="BB41" s="72">
        <v>745</v>
      </c>
      <c r="BC41" s="69">
        <v>791757050</v>
      </c>
    </row>
    <row r="42" spans="2:55" x14ac:dyDescent="0.25">
      <c r="B42" s="18">
        <v>2015</v>
      </c>
      <c r="C42" s="19">
        <v>2127</v>
      </c>
      <c r="D42" s="19">
        <v>3816</v>
      </c>
      <c r="E42" s="19">
        <v>1532</v>
      </c>
      <c r="F42" s="19">
        <v>2284</v>
      </c>
      <c r="G42" s="19">
        <v>1283</v>
      </c>
      <c r="H42" s="20">
        <v>1786975850</v>
      </c>
      <c r="J42" s="27" t="s">
        <v>3</v>
      </c>
      <c r="K42" s="1">
        <v>0</v>
      </c>
      <c r="L42" s="1">
        <v>0</v>
      </c>
      <c r="M42" s="1">
        <v>0</v>
      </c>
      <c r="N42" s="1">
        <v>0</v>
      </c>
      <c r="O42" s="2">
        <v>0</v>
      </c>
      <c r="Q42" s="27" t="s">
        <v>3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4">
        <v>0</v>
      </c>
      <c r="Y42" s="27" t="s">
        <v>3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4">
        <v>0</v>
      </c>
      <c r="AG42" s="27" t="s">
        <v>3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44">
        <v>0</v>
      </c>
      <c r="AO42" s="27" t="s">
        <v>3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42">
        <v>0</v>
      </c>
      <c r="AW42" s="27" t="s">
        <v>3</v>
      </c>
      <c r="AX42" s="3">
        <v>0</v>
      </c>
      <c r="AY42" s="3">
        <v>0</v>
      </c>
      <c r="AZ42" s="3">
        <v>0</v>
      </c>
      <c r="BA42" s="3">
        <v>0</v>
      </c>
      <c r="BB42" s="3">
        <v>0</v>
      </c>
      <c r="BC42" s="69">
        <v>0</v>
      </c>
    </row>
    <row r="43" spans="2:55" x14ac:dyDescent="0.25">
      <c r="B43" s="18">
        <v>2016</v>
      </c>
      <c r="C43" s="19">
        <v>2222</v>
      </c>
      <c r="D43" s="19">
        <v>3939</v>
      </c>
      <c r="E43" s="19">
        <v>1496</v>
      </c>
      <c r="F43" s="19">
        <v>2443</v>
      </c>
      <c r="G43" s="19">
        <v>12</v>
      </c>
      <c r="H43" s="20">
        <v>1985717700</v>
      </c>
      <c r="J43" s="27" t="s">
        <v>4</v>
      </c>
      <c r="K43" s="1">
        <v>933</v>
      </c>
      <c r="L43" s="1">
        <v>1753</v>
      </c>
      <c r="M43" s="1">
        <v>940</v>
      </c>
      <c r="N43" s="1">
        <v>813</v>
      </c>
      <c r="O43" s="2">
        <v>738550000</v>
      </c>
      <c r="Q43" s="27" t="s">
        <v>4</v>
      </c>
      <c r="R43" s="3">
        <v>970</v>
      </c>
      <c r="S43" s="3">
        <v>1716</v>
      </c>
      <c r="T43" s="3">
        <v>863</v>
      </c>
      <c r="U43" s="3">
        <v>853</v>
      </c>
      <c r="V43" s="3">
        <v>770</v>
      </c>
      <c r="W43" s="4">
        <v>853293200</v>
      </c>
      <c r="Y43" s="27" t="s">
        <v>4</v>
      </c>
      <c r="Z43" s="3">
        <v>992</v>
      </c>
      <c r="AA43" s="3">
        <v>1771</v>
      </c>
      <c r="AB43" s="3">
        <v>785</v>
      </c>
      <c r="AC43" s="3">
        <v>986</v>
      </c>
      <c r="AD43" s="3">
        <v>662</v>
      </c>
      <c r="AE43" s="4">
        <v>850382800</v>
      </c>
      <c r="AG43" s="27" t="s">
        <v>4</v>
      </c>
      <c r="AH43" s="72">
        <v>968</v>
      </c>
      <c r="AI43" s="72">
        <v>1766</v>
      </c>
      <c r="AJ43" s="72">
        <v>703</v>
      </c>
      <c r="AK43" s="72">
        <v>1063</v>
      </c>
      <c r="AL43" s="72">
        <v>591</v>
      </c>
      <c r="AM43" s="73">
        <v>881122500</v>
      </c>
      <c r="AO43" s="27" t="s">
        <v>4</v>
      </c>
      <c r="AP43" s="75">
        <v>967</v>
      </c>
      <c r="AQ43" s="75">
        <v>1723</v>
      </c>
      <c r="AR43" s="75">
        <v>543</v>
      </c>
      <c r="AS43" s="75">
        <v>1180</v>
      </c>
      <c r="AT43" s="75">
        <v>559</v>
      </c>
      <c r="AU43" s="69">
        <v>1118853700</v>
      </c>
      <c r="AW43" s="27" t="s">
        <v>4</v>
      </c>
      <c r="AX43" s="75">
        <v>964</v>
      </c>
      <c r="AY43" s="75">
        <v>1770</v>
      </c>
      <c r="AZ43" s="75">
        <v>471</v>
      </c>
      <c r="BA43" s="75">
        <v>1299</v>
      </c>
      <c r="BB43" s="75">
        <v>458</v>
      </c>
      <c r="BC43" s="69">
        <v>560735450</v>
      </c>
    </row>
    <row r="44" spans="2:55" x14ac:dyDescent="0.25">
      <c r="B44" s="18">
        <v>2017</v>
      </c>
      <c r="C44" s="19">
        <v>2425</v>
      </c>
      <c r="D44" s="19">
        <v>3989</v>
      </c>
      <c r="E44" s="19">
        <v>1350</v>
      </c>
      <c r="F44" s="19">
        <v>2639</v>
      </c>
      <c r="G44" s="19">
        <v>1428</v>
      </c>
      <c r="H44" s="20">
        <v>2750402850</v>
      </c>
      <c r="J44" s="30" t="s">
        <v>5</v>
      </c>
      <c r="K44" s="1">
        <v>105</v>
      </c>
      <c r="L44" s="1">
        <v>206</v>
      </c>
      <c r="M44" s="1">
        <v>82</v>
      </c>
      <c r="N44" s="1">
        <v>124</v>
      </c>
      <c r="O44" s="2">
        <v>79080000</v>
      </c>
      <c r="Q44" s="30" t="s">
        <v>5</v>
      </c>
      <c r="R44" s="3">
        <v>101</v>
      </c>
      <c r="S44" s="3">
        <v>190</v>
      </c>
      <c r="T44" s="3">
        <v>66</v>
      </c>
      <c r="U44" s="3">
        <v>124</v>
      </c>
      <c r="V44" s="3">
        <v>69</v>
      </c>
      <c r="W44" s="4">
        <v>79157000</v>
      </c>
      <c r="Y44" s="30" t="s">
        <v>5</v>
      </c>
      <c r="Z44" s="3">
        <v>103</v>
      </c>
      <c r="AA44" s="3">
        <v>184</v>
      </c>
      <c r="AB44" s="3">
        <v>54</v>
      </c>
      <c r="AC44" s="3">
        <v>130</v>
      </c>
      <c r="AD44" s="3">
        <v>43</v>
      </c>
      <c r="AE44" s="4">
        <v>75926750</v>
      </c>
      <c r="AG44" s="30" t="s">
        <v>5</v>
      </c>
      <c r="AH44" s="72">
        <v>97</v>
      </c>
      <c r="AI44" s="72">
        <v>176</v>
      </c>
      <c r="AJ44" s="72">
        <v>49</v>
      </c>
      <c r="AK44" s="72">
        <v>127</v>
      </c>
      <c r="AL44" s="72">
        <v>41</v>
      </c>
      <c r="AM44" s="73">
        <v>78530600</v>
      </c>
      <c r="AO44" s="30" t="s">
        <v>5</v>
      </c>
      <c r="AP44" s="75">
        <v>99</v>
      </c>
      <c r="AQ44" s="75">
        <v>164</v>
      </c>
      <c r="AR44" s="75">
        <v>37</v>
      </c>
      <c r="AS44" s="75">
        <v>127</v>
      </c>
      <c r="AT44" s="75">
        <v>36</v>
      </c>
      <c r="AU44" s="69">
        <v>98163200</v>
      </c>
      <c r="AW44" s="30" t="s">
        <v>5</v>
      </c>
      <c r="AX44" s="75">
        <v>93</v>
      </c>
      <c r="AY44" s="75">
        <v>154</v>
      </c>
      <c r="AZ44" s="75">
        <v>30</v>
      </c>
      <c r="BA44" s="75">
        <v>124</v>
      </c>
      <c r="BB44" s="75">
        <v>29</v>
      </c>
      <c r="BC44" s="69">
        <v>45857750</v>
      </c>
    </row>
    <row r="45" spans="2:55" x14ac:dyDescent="0.25">
      <c r="B45" s="18">
        <v>2018</v>
      </c>
      <c r="C45" s="34">
        <f>SUM(Tabla1311121323243036[FAMILIAS])</f>
        <v>2466</v>
      </c>
      <c r="D45" s="34">
        <f>SUM(Tabla1311121323243036[TOTAL NNA])</f>
        <v>4110</v>
      </c>
      <c r="E45" s="34">
        <f>SUM(Tabla1311121323243036[NNA NUTRICION])</f>
        <v>1254</v>
      </c>
      <c r="F45" s="34">
        <f>SUM(Tabla1311121323243036[[NNA EDUCACIÓN ]])</f>
        <v>2856</v>
      </c>
      <c r="G45" s="34">
        <f>SUM(Tabla1311121323243036[NN 0-5 AÑOS])</f>
        <v>1232</v>
      </c>
      <c r="H45" s="57">
        <f>SUM(Tabla1311121323243036[TOTAL VALOR LIQUIDADO])</f>
        <v>1398350250</v>
      </c>
      <c r="J45" s="30" t="s">
        <v>26</v>
      </c>
      <c r="K45" s="34">
        <f>SUM(Tabla1102531[FAMILIAS])</f>
        <v>1737</v>
      </c>
      <c r="L45" s="34">
        <f>SUM(Tabla1102531[TOTAL NNA])</f>
        <v>3324</v>
      </c>
      <c r="M45" s="34">
        <f>SUM(Tabla1102531[NNA NUTRICION])</f>
        <v>1573</v>
      </c>
      <c r="N45" s="34">
        <f>SUM(Tabla1102531[[NNA EDUCACIÓN ]])</f>
        <v>1751</v>
      </c>
      <c r="O45" s="2">
        <f>SUM(Tabla1102531[TOTAL VALOR LIQUIDADO])</f>
        <v>1357990000</v>
      </c>
      <c r="Q45" s="30" t="s">
        <v>26</v>
      </c>
      <c r="R45" s="34">
        <f>SUM(Tabla13112632[FAMILIAS])</f>
        <v>1864</v>
      </c>
      <c r="S45" s="34">
        <f>SUM(Tabla13112632[TOTAL NNA])</f>
        <v>3372</v>
      </c>
      <c r="T45" s="34">
        <f>SUM(Tabla13112632[NNA NUTRICION])</f>
        <v>1502</v>
      </c>
      <c r="U45" s="34">
        <f>SUM(Tabla13112632[[NNA EDUCACIÓN ]])</f>
        <v>1870</v>
      </c>
      <c r="V45" s="34">
        <f>SUM(Tabla13112632[NN 0-5 AÑOS])</f>
        <v>1403</v>
      </c>
      <c r="W45" s="4">
        <f>SUM(Tabla13112632[TOTAL VALOR LIQUIDADO])</f>
        <v>1579549600</v>
      </c>
      <c r="Y45" s="30" t="s">
        <v>26</v>
      </c>
      <c r="Z45" s="34">
        <f>SUM(Tabla1311122733[FAMILIAS])</f>
        <v>2127</v>
      </c>
      <c r="AA45" s="34">
        <f>SUM(Tabla1311122733[TOTAL NNA])</f>
        <v>3816</v>
      </c>
      <c r="AB45" s="34">
        <f>SUM(Tabla1311122733[NNA NUTRICION])</f>
        <v>1532</v>
      </c>
      <c r="AC45" s="34">
        <f>SUM(Tabla1311122733[[NNA EDUCACIÓN ]])</f>
        <v>2284</v>
      </c>
      <c r="AD45" s="34">
        <f>SUM(Tabla1311122733[NN 0-5 AÑOS])</f>
        <v>1283</v>
      </c>
      <c r="AE45" s="4">
        <f>SUM(Tabla1311122733[TOTAL VALOR LIQUIDADO])</f>
        <v>1786975850</v>
      </c>
      <c r="AG45" s="30" t="s">
        <v>26</v>
      </c>
      <c r="AH45" s="34">
        <f>SUM(Tabla131112132834[FAMILIAS])</f>
        <v>2222</v>
      </c>
      <c r="AI45" s="34">
        <f>SUM(Tabla131112132834[TOTAL NNA])</f>
        <v>3939</v>
      </c>
      <c r="AJ45" s="34">
        <f>SUM(Tabla131112132834[NNA NUTRICION])</f>
        <v>1496</v>
      </c>
      <c r="AK45" s="34">
        <f>SUM(Tabla131112132834[[NNA EDUCACIÓN ]])</f>
        <v>2443</v>
      </c>
      <c r="AL45" s="34">
        <f>SUM(Tabla131112132834[NN 0-5 AÑOS])</f>
        <v>1281</v>
      </c>
      <c r="AM45" s="73">
        <f>SUM(Tabla131112132834[TOTAL VALOR LIQUIDADO])</f>
        <v>1985717700</v>
      </c>
      <c r="AO45" s="30" t="s">
        <v>26</v>
      </c>
      <c r="AP45" s="34">
        <f>SUM(Tabla13111213232935[FAMILIAS])</f>
        <v>2425</v>
      </c>
      <c r="AQ45" s="34">
        <f>SUM(Tabla13111213232935[TOTAL NNA])</f>
        <v>3989</v>
      </c>
      <c r="AR45" s="34">
        <f>SUM(Tabla13111213232935[NNA NUTRICION])</f>
        <v>1350</v>
      </c>
      <c r="AS45" s="34">
        <f>SUM(Tabla13111213232935[[NNA EDUCACIÓN ]])</f>
        <v>2639</v>
      </c>
      <c r="AT45" s="34">
        <f>SUM(Tabla13111213232935[NN 0-5 AÑOS])</f>
        <v>1428</v>
      </c>
      <c r="AU45" s="69">
        <f>SUM(Tabla13111213232935[TOTAL VALOR LIQUIDADO])</f>
        <v>2750402850</v>
      </c>
      <c r="AW45" s="30" t="s">
        <v>26</v>
      </c>
      <c r="AX45" s="34">
        <f>SUM(Tabla1311121323243036[FAMILIAS])</f>
        <v>2466</v>
      </c>
      <c r="AY45" s="34">
        <f>SUM(Tabla1311121323243036[TOTAL NNA])</f>
        <v>4110</v>
      </c>
      <c r="AZ45" s="34">
        <f>SUM(Tabla1311121323243036[NNA NUTRICION])</f>
        <v>1254</v>
      </c>
      <c r="BA45" s="34">
        <f>SUM(Tabla1311121323243036[[NNA EDUCACIÓN ]])</f>
        <v>2856</v>
      </c>
      <c r="BB45" s="34">
        <f>SUM(Tabla1311121323243036[NN 0-5 AÑOS])</f>
        <v>1232</v>
      </c>
      <c r="BC45" s="57">
        <f>SUM(Tabla1311121323243036[TOTAL VALOR LIQUIDADO])</f>
        <v>1398350250</v>
      </c>
    </row>
    <row r="46" spans="2:55" x14ac:dyDescent="0.25">
      <c r="B46" s="13"/>
      <c r="C46" s="14"/>
      <c r="D46" s="14"/>
      <c r="E46" s="14"/>
      <c r="F46" s="14"/>
      <c r="G46" s="14"/>
      <c r="H46" s="14">
        <f>SUM(Tabla351415[TOTAL VALOR LIQUIDADO])</f>
        <v>10858986250</v>
      </c>
      <c r="AW46" s="48" t="s">
        <v>38</v>
      </c>
    </row>
    <row r="47" spans="2:55" x14ac:dyDescent="0.25">
      <c r="C47" s="84"/>
      <c r="D47" s="84"/>
      <c r="E47" s="84"/>
      <c r="F47" s="84"/>
      <c r="G47" s="84"/>
      <c r="H47" s="85"/>
    </row>
    <row r="48" spans="2:55" x14ac:dyDescent="0.25">
      <c r="B48" s="12" t="s">
        <v>1</v>
      </c>
      <c r="C48" s="76" t="s">
        <v>12</v>
      </c>
      <c r="J48" s="12" t="s">
        <v>1</v>
      </c>
      <c r="K48" s="76" t="s">
        <v>12</v>
      </c>
      <c r="L48" s="87"/>
      <c r="M48" s="87"/>
      <c r="N48" s="87"/>
      <c r="O48" s="88"/>
      <c r="Q48" s="12" t="s">
        <v>1</v>
      </c>
      <c r="R48" s="6" t="s">
        <v>12</v>
      </c>
      <c r="S48" s="49"/>
      <c r="T48" s="49"/>
      <c r="U48" s="49"/>
      <c r="V48" s="49"/>
      <c r="W48" s="49"/>
      <c r="X48" s="49"/>
      <c r="Y48" s="12" t="s">
        <v>1</v>
      </c>
      <c r="Z48" s="76" t="s">
        <v>12</v>
      </c>
      <c r="AA48" s="77"/>
      <c r="AB48" s="77"/>
      <c r="AC48" s="77"/>
      <c r="AD48" s="77"/>
      <c r="AE48" s="77"/>
      <c r="AF48" s="40"/>
      <c r="AG48" s="12" t="s">
        <v>1</v>
      </c>
      <c r="AH48" s="76" t="s">
        <v>12</v>
      </c>
      <c r="AI48" s="77"/>
      <c r="AJ48" s="77"/>
      <c r="AK48" s="77"/>
      <c r="AL48" s="77"/>
      <c r="AM48" s="77"/>
      <c r="AN48" s="54"/>
      <c r="AO48" s="12" t="s">
        <v>1</v>
      </c>
      <c r="AP48" s="76" t="s">
        <v>12</v>
      </c>
      <c r="AQ48" s="77"/>
      <c r="AR48" s="77"/>
      <c r="AS48" s="77"/>
      <c r="AT48" s="77"/>
      <c r="AU48" s="77"/>
      <c r="AW48" s="12" t="s">
        <v>1</v>
      </c>
      <c r="AX48" s="76" t="s">
        <v>12</v>
      </c>
      <c r="AY48" s="77"/>
      <c r="AZ48" s="77"/>
      <c r="BA48" s="77"/>
      <c r="BB48" s="77"/>
      <c r="BC48" s="77"/>
    </row>
    <row r="49" spans="2:55" x14ac:dyDescent="0.25">
      <c r="B49" s="17" t="s">
        <v>23</v>
      </c>
      <c r="C49" s="86" t="s">
        <v>6</v>
      </c>
      <c r="D49" s="86" t="s">
        <v>19</v>
      </c>
      <c r="E49" s="86" t="s">
        <v>20</v>
      </c>
      <c r="F49" s="86" t="s">
        <v>21</v>
      </c>
      <c r="G49" s="86" t="s">
        <v>22</v>
      </c>
      <c r="H49" s="86" t="s">
        <v>7</v>
      </c>
      <c r="K49" s="101" t="s">
        <v>25</v>
      </c>
      <c r="L49" s="102"/>
      <c r="M49" s="102"/>
      <c r="N49" s="102"/>
      <c r="O49" s="103"/>
      <c r="R49" s="104" t="s">
        <v>27</v>
      </c>
      <c r="S49" s="105"/>
      <c r="T49" s="105"/>
      <c r="U49" s="105"/>
      <c r="V49" s="105"/>
      <c r="W49" s="106"/>
      <c r="X49" s="25"/>
      <c r="Z49" s="101" t="s">
        <v>28</v>
      </c>
      <c r="AA49" s="102"/>
      <c r="AB49" s="102"/>
      <c r="AC49" s="102"/>
      <c r="AD49" s="102"/>
      <c r="AE49" s="103"/>
      <c r="AF49" s="36"/>
      <c r="AH49" s="101" t="s">
        <v>35</v>
      </c>
      <c r="AI49" s="102"/>
      <c r="AJ49" s="102"/>
      <c r="AK49" s="102"/>
      <c r="AL49" s="102"/>
      <c r="AM49" s="103"/>
      <c r="AN49" s="37"/>
      <c r="AP49" s="101" t="s">
        <v>36</v>
      </c>
      <c r="AQ49" s="102"/>
      <c r="AR49" s="102"/>
      <c r="AS49" s="102"/>
      <c r="AT49" s="102"/>
      <c r="AU49" s="103"/>
      <c r="AX49" s="101" t="s">
        <v>37</v>
      </c>
      <c r="AY49" s="102"/>
      <c r="AZ49" s="102"/>
      <c r="BA49" s="102"/>
      <c r="BB49" s="102"/>
      <c r="BC49" s="103"/>
    </row>
    <row r="50" spans="2:55" x14ac:dyDescent="0.25">
      <c r="B50" s="18">
        <v>2013</v>
      </c>
      <c r="C50" s="19">
        <v>1170</v>
      </c>
      <c r="D50" s="19">
        <v>2346</v>
      </c>
      <c r="E50" s="19">
        <v>1044</v>
      </c>
      <c r="F50" s="19">
        <v>1302</v>
      </c>
      <c r="G50" s="86"/>
      <c r="H50" s="20">
        <v>908460000</v>
      </c>
      <c r="J50" s="28" t="s">
        <v>24</v>
      </c>
      <c r="K50" s="74" t="s">
        <v>6</v>
      </c>
      <c r="L50" s="74" t="s">
        <v>19</v>
      </c>
      <c r="M50" s="74" t="s">
        <v>20</v>
      </c>
      <c r="N50" s="74" t="s">
        <v>21</v>
      </c>
      <c r="O50" s="74" t="s">
        <v>7</v>
      </c>
      <c r="Q50" s="28" t="s">
        <v>24</v>
      </c>
      <c r="R50" s="28" t="s">
        <v>6</v>
      </c>
      <c r="S50" s="28" t="s">
        <v>19</v>
      </c>
      <c r="T50" s="28" t="s">
        <v>20</v>
      </c>
      <c r="U50" s="28" t="s">
        <v>21</v>
      </c>
      <c r="V50" s="28" t="s">
        <v>22</v>
      </c>
      <c r="W50" s="28" t="s">
        <v>7</v>
      </c>
      <c r="X50" s="23"/>
      <c r="Y50" s="28" t="s">
        <v>24</v>
      </c>
      <c r="Z50" s="74" t="s">
        <v>6</v>
      </c>
      <c r="AA50" s="74" t="s">
        <v>19</v>
      </c>
      <c r="AB50" s="74" t="s">
        <v>20</v>
      </c>
      <c r="AC50" s="74" t="s">
        <v>21</v>
      </c>
      <c r="AD50" s="74" t="s">
        <v>22</v>
      </c>
      <c r="AE50" s="74" t="s">
        <v>7</v>
      </c>
      <c r="AF50" s="23"/>
      <c r="AG50" s="28" t="s">
        <v>24</v>
      </c>
      <c r="AH50" s="74" t="s">
        <v>6</v>
      </c>
      <c r="AI50" s="74" t="s">
        <v>19</v>
      </c>
      <c r="AJ50" s="74" t="s">
        <v>20</v>
      </c>
      <c r="AK50" s="74" t="s">
        <v>21</v>
      </c>
      <c r="AL50" s="74" t="s">
        <v>22</v>
      </c>
      <c r="AM50" s="74" t="s">
        <v>7</v>
      </c>
      <c r="AN50" s="38"/>
      <c r="AO50" s="28" t="s">
        <v>24</v>
      </c>
      <c r="AP50" s="74" t="s">
        <v>6</v>
      </c>
      <c r="AQ50" s="74" t="s">
        <v>19</v>
      </c>
      <c r="AR50" s="74" t="s">
        <v>20</v>
      </c>
      <c r="AS50" s="74" t="s">
        <v>21</v>
      </c>
      <c r="AT50" s="74" t="s">
        <v>22</v>
      </c>
      <c r="AU50" s="74" t="s">
        <v>7</v>
      </c>
      <c r="AW50" s="28" t="s">
        <v>24</v>
      </c>
      <c r="AX50" s="74" t="s">
        <v>6</v>
      </c>
      <c r="AY50" s="74" t="s">
        <v>19</v>
      </c>
      <c r="AZ50" s="74" t="s">
        <v>20</v>
      </c>
      <c r="BA50" s="74" t="s">
        <v>21</v>
      </c>
      <c r="BB50" s="74" t="s">
        <v>22</v>
      </c>
      <c r="BC50" s="74" t="s">
        <v>7</v>
      </c>
    </row>
    <row r="51" spans="2:55" x14ac:dyDescent="0.25">
      <c r="B51" s="18">
        <v>2014</v>
      </c>
      <c r="C51" s="19">
        <v>1268</v>
      </c>
      <c r="D51" s="19">
        <v>2517</v>
      </c>
      <c r="E51" s="19">
        <v>1026</v>
      </c>
      <c r="F51" s="19">
        <v>1491</v>
      </c>
      <c r="G51" s="19">
        <v>988</v>
      </c>
      <c r="H51" s="20">
        <v>1069443200</v>
      </c>
      <c r="J51" s="27" t="s">
        <v>2</v>
      </c>
      <c r="K51" s="1">
        <v>144</v>
      </c>
      <c r="L51" s="1">
        <v>306</v>
      </c>
      <c r="M51" s="1">
        <v>120</v>
      </c>
      <c r="N51" s="1">
        <v>186</v>
      </c>
      <c r="O51" s="2">
        <v>114130000</v>
      </c>
      <c r="Q51" s="27" t="s">
        <v>2</v>
      </c>
      <c r="R51" s="3">
        <v>184</v>
      </c>
      <c r="S51" s="3">
        <v>380</v>
      </c>
      <c r="T51" s="3">
        <v>145</v>
      </c>
      <c r="U51" s="3">
        <v>235</v>
      </c>
      <c r="V51" s="3">
        <v>144</v>
      </c>
      <c r="W51" s="4">
        <v>153458600</v>
      </c>
      <c r="Y51" s="27" t="s">
        <v>2</v>
      </c>
      <c r="Z51" s="3">
        <v>250</v>
      </c>
      <c r="AA51" s="3">
        <v>469</v>
      </c>
      <c r="AB51" s="3">
        <v>189</v>
      </c>
      <c r="AC51" s="3">
        <v>280</v>
      </c>
      <c r="AD51" s="3">
        <v>157</v>
      </c>
      <c r="AE51" s="4">
        <v>226597100</v>
      </c>
      <c r="AG51" s="63" t="s">
        <v>2</v>
      </c>
      <c r="AH51" s="72">
        <v>321</v>
      </c>
      <c r="AI51" s="72">
        <v>524</v>
      </c>
      <c r="AJ51" s="72">
        <v>229</v>
      </c>
      <c r="AK51" s="72">
        <v>295</v>
      </c>
      <c r="AL51" s="72">
        <v>203</v>
      </c>
      <c r="AM51" s="73">
        <v>318319600</v>
      </c>
      <c r="AO51" s="27" t="s">
        <v>2</v>
      </c>
      <c r="AP51" s="72">
        <v>469</v>
      </c>
      <c r="AQ51" s="72">
        <v>674</v>
      </c>
      <c r="AR51" s="72">
        <v>296</v>
      </c>
      <c r="AS51" s="72">
        <v>378</v>
      </c>
      <c r="AT51" s="72">
        <v>325</v>
      </c>
      <c r="AU51" s="69">
        <v>425996650</v>
      </c>
      <c r="AW51" s="27" t="s">
        <v>2</v>
      </c>
      <c r="AX51" s="72">
        <v>491</v>
      </c>
      <c r="AY51" s="72">
        <v>691</v>
      </c>
      <c r="AZ51" s="72">
        <v>287</v>
      </c>
      <c r="BA51" s="72">
        <v>404</v>
      </c>
      <c r="BB51" s="72">
        <v>286</v>
      </c>
      <c r="BC51" s="69">
        <v>276576850</v>
      </c>
    </row>
    <row r="52" spans="2:55" x14ac:dyDescent="0.25">
      <c r="B52" s="18">
        <v>2015</v>
      </c>
      <c r="C52" s="19">
        <v>1320</v>
      </c>
      <c r="D52" s="19">
        <v>2514</v>
      </c>
      <c r="E52" s="19">
        <v>989</v>
      </c>
      <c r="F52" s="19">
        <v>1525</v>
      </c>
      <c r="G52" s="19">
        <v>817</v>
      </c>
      <c r="H52" s="20">
        <v>1132561800</v>
      </c>
      <c r="J52" s="27" t="s">
        <v>3</v>
      </c>
      <c r="K52" s="1">
        <v>0</v>
      </c>
      <c r="L52" s="1">
        <v>0</v>
      </c>
      <c r="M52" s="1">
        <v>0</v>
      </c>
      <c r="N52" s="1">
        <v>0</v>
      </c>
      <c r="O52" s="2">
        <v>0</v>
      </c>
      <c r="Q52" s="27" t="s">
        <v>3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4">
        <v>0</v>
      </c>
      <c r="Y52" s="27" t="s">
        <v>3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4">
        <v>0</v>
      </c>
      <c r="AG52" s="63" t="s">
        <v>3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44">
        <v>0</v>
      </c>
      <c r="AO52" s="27" t="s">
        <v>3</v>
      </c>
      <c r="AP52" s="3">
        <v>0</v>
      </c>
      <c r="AQ52" s="3">
        <v>0</v>
      </c>
      <c r="AR52" s="3">
        <v>0</v>
      </c>
      <c r="AS52" s="3">
        <v>0</v>
      </c>
      <c r="AT52" s="3">
        <v>0</v>
      </c>
      <c r="AU52" s="42">
        <v>0</v>
      </c>
      <c r="AW52" s="27" t="s">
        <v>3</v>
      </c>
      <c r="AX52" s="3">
        <v>0</v>
      </c>
      <c r="AY52" s="3">
        <v>0</v>
      </c>
      <c r="AZ52" s="3">
        <v>0</v>
      </c>
      <c r="BA52" s="3">
        <v>0</v>
      </c>
      <c r="BB52" s="3">
        <v>0</v>
      </c>
      <c r="BC52" s="42">
        <v>0</v>
      </c>
    </row>
    <row r="53" spans="2:55" x14ac:dyDescent="0.25">
      <c r="B53" s="18">
        <v>2016</v>
      </c>
      <c r="C53" s="19">
        <v>1313</v>
      </c>
      <c r="D53" s="19">
        <v>2355</v>
      </c>
      <c r="E53" s="19">
        <v>897</v>
      </c>
      <c r="F53" s="19">
        <v>1458</v>
      </c>
      <c r="G53" s="19">
        <v>11</v>
      </c>
      <c r="H53" s="20">
        <v>1262297900</v>
      </c>
      <c r="J53" s="27" t="s">
        <v>4</v>
      </c>
      <c r="K53" s="1">
        <v>674</v>
      </c>
      <c r="L53" s="1">
        <v>1327</v>
      </c>
      <c r="M53" s="1">
        <v>651</v>
      </c>
      <c r="N53" s="1">
        <v>676</v>
      </c>
      <c r="O53" s="2">
        <v>527760000</v>
      </c>
      <c r="Q53" s="27" t="s">
        <v>4</v>
      </c>
      <c r="R53" s="3">
        <v>726</v>
      </c>
      <c r="S53" s="3">
        <v>1429</v>
      </c>
      <c r="T53" s="3">
        <v>639</v>
      </c>
      <c r="U53" s="3">
        <v>790</v>
      </c>
      <c r="V53" s="3">
        <v>594</v>
      </c>
      <c r="W53" s="4">
        <v>631843600</v>
      </c>
      <c r="Y53" s="27" t="s">
        <v>4</v>
      </c>
      <c r="Z53" s="3">
        <v>724</v>
      </c>
      <c r="AA53" s="3">
        <v>1377</v>
      </c>
      <c r="AB53" s="3">
        <v>586</v>
      </c>
      <c r="AC53" s="3">
        <v>791</v>
      </c>
      <c r="AD53" s="3">
        <v>483</v>
      </c>
      <c r="AE53" s="4">
        <v>629043250</v>
      </c>
      <c r="AG53" s="63" t="s">
        <v>4</v>
      </c>
      <c r="AH53" s="72">
        <v>677</v>
      </c>
      <c r="AI53" s="72">
        <v>1258</v>
      </c>
      <c r="AJ53" s="72">
        <v>495</v>
      </c>
      <c r="AK53" s="72">
        <v>763</v>
      </c>
      <c r="AL53" s="72">
        <v>408</v>
      </c>
      <c r="AM53" s="73">
        <v>662175100</v>
      </c>
      <c r="AO53" s="27" t="s">
        <v>4</v>
      </c>
      <c r="AP53" s="75">
        <v>673</v>
      </c>
      <c r="AQ53" s="75">
        <v>1167</v>
      </c>
      <c r="AR53" s="75">
        <v>359</v>
      </c>
      <c r="AS53" s="75">
        <v>808</v>
      </c>
      <c r="AT53" s="75">
        <v>370</v>
      </c>
      <c r="AU53" s="69">
        <v>575824850</v>
      </c>
      <c r="AW53" s="27" t="s">
        <v>4</v>
      </c>
      <c r="AX53" s="75">
        <v>642</v>
      </c>
      <c r="AY53" s="75">
        <v>1136</v>
      </c>
      <c r="AZ53" s="75">
        <v>289</v>
      </c>
      <c r="BA53" s="75">
        <v>847</v>
      </c>
      <c r="BB53" s="75">
        <v>279</v>
      </c>
      <c r="BC53" s="69">
        <v>341369300</v>
      </c>
    </row>
    <row r="54" spans="2:55" x14ac:dyDescent="0.25">
      <c r="B54" s="18">
        <v>2017</v>
      </c>
      <c r="C54" s="19">
        <v>1457</v>
      </c>
      <c r="D54" s="19">
        <v>2372</v>
      </c>
      <c r="E54" s="19">
        <v>772</v>
      </c>
      <c r="F54" s="19">
        <v>1600</v>
      </c>
      <c r="G54" s="19">
        <v>821</v>
      </c>
      <c r="H54" s="20">
        <v>1247420150</v>
      </c>
      <c r="J54" s="30" t="s">
        <v>5</v>
      </c>
      <c r="K54" s="1">
        <v>352</v>
      </c>
      <c r="L54" s="1">
        <v>713</v>
      </c>
      <c r="M54" s="1">
        <v>273</v>
      </c>
      <c r="N54" s="1">
        <v>440</v>
      </c>
      <c r="O54" s="2">
        <v>266570000</v>
      </c>
      <c r="Q54" s="30" t="s">
        <v>5</v>
      </c>
      <c r="R54" s="3">
        <v>358</v>
      </c>
      <c r="S54" s="3">
        <v>708</v>
      </c>
      <c r="T54" s="3">
        <v>242</v>
      </c>
      <c r="U54" s="3">
        <v>466</v>
      </c>
      <c r="V54" s="3">
        <v>250</v>
      </c>
      <c r="W54" s="4">
        <v>284141000</v>
      </c>
      <c r="Y54" s="30" t="s">
        <v>5</v>
      </c>
      <c r="Z54" s="3">
        <v>346</v>
      </c>
      <c r="AA54" s="3">
        <v>668</v>
      </c>
      <c r="AB54" s="3">
        <v>214</v>
      </c>
      <c r="AC54" s="3">
        <v>454</v>
      </c>
      <c r="AD54" s="3">
        <v>177</v>
      </c>
      <c r="AE54" s="4">
        <v>276921450</v>
      </c>
      <c r="AG54" s="64" t="s">
        <v>5</v>
      </c>
      <c r="AH54" s="72">
        <v>315</v>
      </c>
      <c r="AI54" s="72">
        <v>573</v>
      </c>
      <c r="AJ54" s="72">
        <v>173</v>
      </c>
      <c r="AK54" s="72">
        <v>400</v>
      </c>
      <c r="AL54" s="72">
        <v>143</v>
      </c>
      <c r="AM54" s="73">
        <v>281803200</v>
      </c>
      <c r="AO54" s="30" t="s">
        <v>5</v>
      </c>
      <c r="AP54" s="75">
        <v>315</v>
      </c>
      <c r="AQ54" s="75">
        <v>531</v>
      </c>
      <c r="AR54" s="75">
        <v>117</v>
      </c>
      <c r="AS54" s="75">
        <v>414</v>
      </c>
      <c r="AT54" s="75">
        <v>126</v>
      </c>
      <c r="AU54" s="69">
        <v>245598650</v>
      </c>
      <c r="AW54" s="30" t="s">
        <v>5</v>
      </c>
      <c r="AX54" s="75">
        <v>302</v>
      </c>
      <c r="AY54" s="75">
        <v>520</v>
      </c>
      <c r="AZ54" s="75">
        <v>110</v>
      </c>
      <c r="BA54" s="75">
        <v>410</v>
      </c>
      <c r="BB54" s="75">
        <v>107</v>
      </c>
      <c r="BC54" s="69">
        <v>158351550</v>
      </c>
    </row>
    <row r="55" spans="2:55" x14ac:dyDescent="0.25">
      <c r="B55" s="18">
        <v>2018</v>
      </c>
      <c r="C55" s="34">
        <f>SUM(Tabla1311121323243042[FAMILIAS])</f>
        <v>1435</v>
      </c>
      <c r="D55" s="34">
        <f>SUM(Tabla1311121323243042[TOTAL NNA])</f>
        <v>2347</v>
      </c>
      <c r="E55" s="34">
        <f>SUM(Tabla1311121323243042[NNA NUTRICION])</f>
        <v>686</v>
      </c>
      <c r="F55" s="34">
        <f>SUM(Tabla1311121323243042[[NNA EDUCACIÓN ]])</f>
        <v>1661</v>
      </c>
      <c r="G55" s="34">
        <f>SUM(Tabla1311121323243042[NN 0-5 AÑOS])</f>
        <v>672</v>
      </c>
      <c r="H55" s="57">
        <f>SUM(Tabla1311121323243042[TOTAL VALOR LIQUIDADO])</f>
        <v>776297700</v>
      </c>
      <c r="J55" s="30" t="s">
        <v>26</v>
      </c>
      <c r="K55" s="34">
        <f>SUM(Tabla1102537[FAMILIAS])</f>
        <v>1170</v>
      </c>
      <c r="L55" s="34">
        <f>SUM(Tabla1102537[TOTAL NNA])</f>
        <v>2346</v>
      </c>
      <c r="M55" s="34">
        <f>SUM(Tabla1102537[NNA NUTRICION])</f>
        <v>1044</v>
      </c>
      <c r="N55" s="34">
        <f>SUM(Tabla1102537[[NNA EDUCACIÓN ]])</f>
        <v>1302</v>
      </c>
      <c r="O55" s="2">
        <f>SUM(Tabla1102537[TOTAL VALOR LIQUIDADO])</f>
        <v>908460000</v>
      </c>
      <c r="Q55" s="30" t="s">
        <v>26</v>
      </c>
      <c r="R55" s="34">
        <f>SUM(Tabla13112638[FAMILIAS])</f>
        <v>1268</v>
      </c>
      <c r="S55" s="34">
        <f>SUM(Tabla13112638[TOTAL NNA])</f>
        <v>2517</v>
      </c>
      <c r="T55" s="34">
        <f>SUM(Tabla13112638[NNA NUTRICION])</f>
        <v>1026</v>
      </c>
      <c r="U55" s="34">
        <f>SUM(Tabla13112638[[NNA EDUCACIÓN ]])</f>
        <v>1491</v>
      </c>
      <c r="V55" s="34">
        <f>SUM(Tabla13112638[NN 0-5 AÑOS])</f>
        <v>988</v>
      </c>
      <c r="W55" s="4">
        <f>SUM(Tabla13112638[TOTAL VALOR LIQUIDADO])</f>
        <v>1069443200</v>
      </c>
      <c r="Y55" s="30" t="s">
        <v>26</v>
      </c>
      <c r="Z55" s="34">
        <f>SUM(Tabla1311122739[FAMILIAS])</f>
        <v>1320</v>
      </c>
      <c r="AA55" s="34">
        <f>SUM(Tabla1311122739[TOTAL NNA])</f>
        <v>2514</v>
      </c>
      <c r="AB55" s="34">
        <f>SUM(Tabla1311122739[NNA NUTRICION])</f>
        <v>989</v>
      </c>
      <c r="AC55" s="34">
        <f>SUM(Tabla1311122739[[NNA EDUCACIÓN ]])</f>
        <v>1525</v>
      </c>
      <c r="AD55" s="34">
        <f>SUM(Tabla1311122739[NN 0-5 AÑOS])</f>
        <v>817</v>
      </c>
      <c r="AE55" s="4">
        <f>SUM(Tabla1311122739[TOTAL VALOR LIQUIDADO])</f>
        <v>1132561800</v>
      </c>
      <c r="AG55" s="64" t="s">
        <v>26</v>
      </c>
      <c r="AH55" s="65">
        <f>SUM(Tabla131112132840[FAMILIAS])</f>
        <v>1313</v>
      </c>
      <c r="AI55" s="65">
        <f>SUM(Tabla131112132840[TOTAL NNA])</f>
        <v>2355</v>
      </c>
      <c r="AJ55" s="65">
        <f>SUM(Tabla131112132840[NNA NUTRICION])</f>
        <v>897</v>
      </c>
      <c r="AK55" s="65">
        <f>SUM(Tabla131112132840[[NNA EDUCACIÓN ]])</f>
        <v>1458</v>
      </c>
      <c r="AL55" s="65">
        <f>SUM(Tabla131112132840[NN 0-5 AÑOS])</f>
        <v>754</v>
      </c>
      <c r="AM55" s="66">
        <f>SUM(Tabla131112132840[TOTAL VALOR LIQUIDADO])</f>
        <v>1262297900</v>
      </c>
      <c r="AO55" s="30" t="s">
        <v>26</v>
      </c>
      <c r="AP55" s="34">
        <f>SUM(Tabla13111213232941[FAMILIAS])</f>
        <v>1457</v>
      </c>
      <c r="AQ55" s="34">
        <f>SUM(Tabla13111213232941[TOTAL NNA])</f>
        <v>2372</v>
      </c>
      <c r="AR55" s="34">
        <f>SUM(Tabla13111213232941[NNA NUTRICION])</f>
        <v>772</v>
      </c>
      <c r="AS55" s="34">
        <f>SUM(Tabla13111213232941[[NNA EDUCACIÓN ]])</f>
        <v>1600</v>
      </c>
      <c r="AT55" s="34">
        <f>SUM(Tabla13111213232941[NN 0-5 AÑOS])</f>
        <v>821</v>
      </c>
      <c r="AU55" s="57">
        <f>SUM(Tabla13111213232941[TOTAL VALOR LIQUIDADO])</f>
        <v>1247420150</v>
      </c>
      <c r="AW55" s="30" t="s">
        <v>26</v>
      </c>
      <c r="AX55" s="34">
        <f>SUM(Tabla1311121323243042[FAMILIAS])</f>
        <v>1435</v>
      </c>
      <c r="AY55" s="34">
        <f>SUM(Tabla1311121323243042[TOTAL NNA])</f>
        <v>2347</v>
      </c>
      <c r="AZ55" s="34">
        <f>SUM(Tabla1311121323243042[NNA NUTRICION])</f>
        <v>686</v>
      </c>
      <c r="BA55" s="34">
        <f>SUM(Tabla1311121323243042[[NNA EDUCACIÓN ]])</f>
        <v>1661</v>
      </c>
      <c r="BB55" s="34">
        <f>SUM(Tabla1311121323243042[NN 0-5 AÑOS])</f>
        <v>672</v>
      </c>
      <c r="BC55" s="57">
        <f>SUM(Tabla1311121323243042[TOTAL VALOR LIQUIDADO])</f>
        <v>776297700</v>
      </c>
    </row>
    <row r="56" spans="2:55" x14ac:dyDescent="0.25">
      <c r="B56" s="13"/>
      <c r="C56" s="14"/>
      <c r="D56" s="14"/>
      <c r="E56" s="14"/>
      <c r="F56" s="14"/>
      <c r="G56" s="14"/>
      <c r="H56" s="14">
        <f>SUM(Tabla35141516[TOTAL VALOR LIQUIDADO])</f>
        <v>6396480750</v>
      </c>
      <c r="AW56" s="48" t="s">
        <v>38</v>
      </c>
    </row>
    <row r="57" spans="2:55" x14ac:dyDescent="0.25">
      <c r="C57" s="84"/>
      <c r="D57" s="84"/>
      <c r="E57" s="84"/>
      <c r="F57" s="84"/>
      <c r="G57" s="84"/>
      <c r="H57" s="85"/>
    </row>
    <row r="58" spans="2:55" x14ac:dyDescent="0.25">
      <c r="B58" s="12" t="s">
        <v>1</v>
      </c>
      <c r="C58" s="76" t="s">
        <v>13</v>
      </c>
      <c r="J58" s="12" t="s">
        <v>1</v>
      </c>
      <c r="K58" s="76" t="s">
        <v>13</v>
      </c>
      <c r="L58" s="87"/>
      <c r="M58" s="87"/>
      <c r="N58" s="87"/>
      <c r="O58" s="88"/>
      <c r="Q58" s="12" t="s">
        <v>1</v>
      </c>
      <c r="R58" s="6" t="s">
        <v>13</v>
      </c>
      <c r="S58" s="49"/>
      <c r="T58" s="49"/>
      <c r="U58" s="49"/>
      <c r="V58" s="49"/>
      <c r="W58" s="49"/>
      <c r="X58" s="49"/>
      <c r="Y58" s="12" t="s">
        <v>1</v>
      </c>
      <c r="Z58" s="76" t="s">
        <v>13</v>
      </c>
      <c r="AA58" s="77"/>
      <c r="AB58" s="77"/>
      <c r="AC58" s="77"/>
      <c r="AD58" s="77"/>
      <c r="AE58" s="77"/>
      <c r="AF58" s="40"/>
      <c r="AG58" s="12" t="s">
        <v>1</v>
      </c>
      <c r="AH58" s="76" t="s">
        <v>13</v>
      </c>
      <c r="AI58" s="77"/>
      <c r="AJ58" s="77"/>
      <c r="AK58" s="77"/>
      <c r="AL58" s="77"/>
      <c r="AM58" s="77"/>
      <c r="AN58" s="54"/>
      <c r="AO58" s="12" t="s">
        <v>1</v>
      </c>
      <c r="AP58" s="76" t="s">
        <v>13</v>
      </c>
      <c r="AQ58" s="77"/>
      <c r="AR58" s="77"/>
      <c r="AS58" s="77"/>
      <c r="AT58" s="77"/>
      <c r="AU58" s="77"/>
      <c r="AW58" s="12" t="s">
        <v>1</v>
      </c>
      <c r="AX58" s="76" t="s">
        <v>13</v>
      </c>
      <c r="AY58" s="77"/>
      <c r="AZ58" s="77"/>
      <c r="BA58" s="77"/>
      <c r="BB58" s="77"/>
      <c r="BC58" s="77"/>
    </row>
    <row r="59" spans="2:55" x14ac:dyDescent="0.25">
      <c r="B59" s="17" t="s">
        <v>23</v>
      </c>
      <c r="C59" s="86" t="s">
        <v>6</v>
      </c>
      <c r="D59" s="86" t="s">
        <v>19</v>
      </c>
      <c r="E59" s="86" t="s">
        <v>20</v>
      </c>
      <c r="F59" s="86" t="s">
        <v>21</v>
      </c>
      <c r="G59" s="86" t="s">
        <v>22</v>
      </c>
      <c r="H59" s="86" t="s">
        <v>7</v>
      </c>
      <c r="K59" s="101" t="s">
        <v>25</v>
      </c>
      <c r="L59" s="102"/>
      <c r="M59" s="102"/>
      <c r="N59" s="102"/>
      <c r="O59" s="103"/>
      <c r="R59" s="104" t="s">
        <v>27</v>
      </c>
      <c r="S59" s="105"/>
      <c r="T59" s="105"/>
      <c r="U59" s="105"/>
      <c r="V59" s="105"/>
      <c r="W59" s="106"/>
      <c r="X59" s="25"/>
      <c r="Z59" s="101" t="s">
        <v>28</v>
      </c>
      <c r="AA59" s="102"/>
      <c r="AB59" s="102"/>
      <c r="AC59" s="102"/>
      <c r="AD59" s="102"/>
      <c r="AE59" s="103"/>
      <c r="AF59" s="36"/>
      <c r="AH59" s="101" t="s">
        <v>35</v>
      </c>
      <c r="AI59" s="102"/>
      <c r="AJ59" s="102"/>
      <c r="AK59" s="102"/>
      <c r="AL59" s="102"/>
      <c r="AM59" s="103"/>
      <c r="AN59" s="37"/>
      <c r="AP59" s="101" t="s">
        <v>36</v>
      </c>
      <c r="AQ59" s="102"/>
      <c r="AR59" s="102"/>
      <c r="AS59" s="102"/>
      <c r="AT59" s="102"/>
      <c r="AU59" s="103"/>
      <c r="AX59" s="101" t="s">
        <v>37</v>
      </c>
      <c r="AY59" s="102"/>
      <c r="AZ59" s="102"/>
      <c r="BA59" s="102"/>
      <c r="BB59" s="102"/>
      <c r="BC59" s="103"/>
    </row>
    <row r="60" spans="2:55" x14ac:dyDescent="0.25">
      <c r="B60" s="18">
        <v>2013</v>
      </c>
      <c r="C60" s="19">
        <v>904</v>
      </c>
      <c r="D60" s="19">
        <v>1697</v>
      </c>
      <c r="E60" s="19">
        <v>731</v>
      </c>
      <c r="F60" s="19">
        <v>966</v>
      </c>
      <c r="G60" s="86"/>
      <c r="H60" s="20">
        <v>679330000</v>
      </c>
      <c r="J60" s="28" t="s">
        <v>24</v>
      </c>
      <c r="K60" s="74" t="s">
        <v>6</v>
      </c>
      <c r="L60" s="74" t="s">
        <v>19</v>
      </c>
      <c r="M60" s="74" t="s">
        <v>20</v>
      </c>
      <c r="N60" s="74" t="s">
        <v>21</v>
      </c>
      <c r="O60" s="74" t="s">
        <v>7</v>
      </c>
      <c r="Q60" s="28" t="s">
        <v>24</v>
      </c>
      <c r="R60" s="28" t="s">
        <v>6</v>
      </c>
      <c r="S60" s="28" t="s">
        <v>19</v>
      </c>
      <c r="T60" s="28" t="s">
        <v>20</v>
      </c>
      <c r="U60" s="28" t="s">
        <v>21</v>
      </c>
      <c r="V60" s="28" t="s">
        <v>22</v>
      </c>
      <c r="W60" s="28" t="s">
        <v>7</v>
      </c>
      <c r="X60" s="23"/>
      <c r="Y60" s="28" t="s">
        <v>24</v>
      </c>
      <c r="Z60" s="74" t="s">
        <v>6</v>
      </c>
      <c r="AA60" s="74" t="s">
        <v>19</v>
      </c>
      <c r="AB60" s="74" t="s">
        <v>20</v>
      </c>
      <c r="AC60" s="74" t="s">
        <v>21</v>
      </c>
      <c r="AD60" s="74" t="s">
        <v>22</v>
      </c>
      <c r="AE60" s="74" t="s">
        <v>7</v>
      </c>
      <c r="AF60" s="23"/>
      <c r="AG60" s="28" t="s">
        <v>24</v>
      </c>
      <c r="AH60" s="74" t="s">
        <v>6</v>
      </c>
      <c r="AI60" s="74" t="s">
        <v>19</v>
      </c>
      <c r="AJ60" s="74" t="s">
        <v>20</v>
      </c>
      <c r="AK60" s="74" t="s">
        <v>21</v>
      </c>
      <c r="AL60" s="74" t="s">
        <v>22</v>
      </c>
      <c r="AM60" s="74" t="s">
        <v>7</v>
      </c>
      <c r="AN60" s="38"/>
      <c r="AO60" s="28" t="s">
        <v>24</v>
      </c>
      <c r="AP60" s="74" t="s">
        <v>6</v>
      </c>
      <c r="AQ60" s="74" t="s">
        <v>19</v>
      </c>
      <c r="AR60" s="74" t="s">
        <v>20</v>
      </c>
      <c r="AS60" s="74" t="s">
        <v>21</v>
      </c>
      <c r="AT60" s="74" t="s">
        <v>22</v>
      </c>
      <c r="AU60" s="74" t="s">
        <v>7</v>
      </c>
      <c r="AW60" s="28" t="s">
        <v>24</v>
      </c>
      <c r="AX60" s="74" t="s">
        <v>6</v>
      </c>
      <c r="AY60" s="74" t="s">
        <v>19</v>
      </c>
      <c r="AZ60" s="74" t="s">
        <v>20</v>
      </c>
      <c r="BA60" s="74" t="s">
        <v>21</v>
      </c>
      <c r="BB60" s="74" t="s">
        <v>22</v>
      </c>
      <c r="BC60" s="74" t="s">
        <v>7</v>
      </c>
    </row>
    <row r="61" spans="2:55" x14ac:dyDescent="0.25">
      <c r="B61" s="18">
        <v>2014</v>
      </c>
      <c r="C61" s="19">
        <v>1022</v>
      </c>
      <c r="D61" s="19">
        <v>1903</v>
      </c>
      <c r="E61" s="19">
        <v>764</v>
      </c>
      <c r="F61" s="19">
        <v>1139</v>
      </c>
      <c r="G61" s="19">
        <v>758</v>
      </c>
      <c r="H61" s="20">
        <v>828051600</v>
      </c>
      <c r="J61" s="27" t="s">
        <v>2</v>
      </c>
      <c r="K61" s="1">
        <v>91</v>
      </c>
      <c r="L61" s="1">
        <v>170</v>
      </c>
      <c r="M61" s="1">
        <v>70</v>
      </c>
      <c r="N61" s="1">
        <v>100</v>
      </c>
      <c r="O61" s="2">
        <v>68560000</v>
      </c>
      <c r="Q61" s="27" t="s">
        <v>2</v>
      </c>
      <c r="R61" s="3">
        <v>107</v>
      </c>
      <c r="S61" s="3">
        <v>192</v>
      </c>
      <c r="T61" s="3">
        <v>76</v>
      </c>
      <c r="U61" s="3">
        <v>116</v>
      </c>
      <c r="V61" s="3">
        <v>75</v>
      </c>
      <c r="W61" s="4">
        <v>84751000</v>
      </c>
      <c r="Y61" s="27" t="s">
        <v>2</v>
      </c>
      <c r="Z61" s="3">
        <v>133</v>
      </c>
      <c r="AA61" s="3">
        <v>235</v>
      </c>
      <c r="AB61" s="3">
        <v>97</v>
      </c>
      <c r="AC61" s="3">
        <v>138</v>
      </c>
      <c r="AD61" s="3">
        <v>87</v>
      </c>
      <c r="AE61" s="4">
        <v>107740950</v>
      </c>
      <c r="AG61" s="63" t="s">
        <v>2</v>
      </c>
      <c r="AH61" s="72">
        <v>162</v>
      </c>
      <c r="AI61" s="72">
        <v>270</v>
      </c>
      <c r="AJ61" s="72">
        <v>121</v>
      </c>
      <c r="AK61" s="72">
        <v>149</v>
      </c>
      <c r="AL61" s="72">
        <v>107</v>
      </c>
      <c r="AM61" s="73">
        <v>136984400</v>
      </c>
      <c r="AO61" s="27" t="s">
        <v>2</v>
      </c>
      <c r="AP61" s="72">
        <v>246</v>
      </c>
      <c r="AQ61" s="72">
        <v>367</v>
      </c>
      <c r="AR61" s="72">
        <v>167</v>
      </c>
      <c r="AS61" s="72">
        <v>200</v>
      </c>
      <c r="AT61" s="72">
        <v>178</v>
      </c>
      <c r="AU61" s="69">
        <v>213025250</v>
      </c>
      <c r="AW61" s="27" t="s">
        <v>2</v>
      </c>
      <c r="AX61" s="72">
        <v>259</v>
      </c>
      <c r="AY61" s="72">
        <v>373</v>
      </c>
      <c r="AZ61" s="72">
        <v>159</v>
      </c>
      <c r="BA61" s="72">
        <v>214</v>
      </c>
      <c r="BB61" s="72">
        <v>155</v>
      </c>
      <c r="BC61" s="69">
        <v>145221900</v>
      </c>
    </row>
    <row r="62" spans="2:55" x14ac:dyDescent="0.25">
      <c r="B62" s="18">
        <v>2015</v>
      </c>
      <c r="C62" s="19">
        <v>1028</v>
      </c>
      <c r="D62" s="19">
        <v>1903</v>
      </c>
      <c r="E62" s="19">
        <v>741</v>
      </c>
      <c r="F62" s="19">
        <v>1162</v>
      </c>
      <c r="G62" s="19">
        <v>640</v>
      </c>
      <c r="H62" s="20">
        <v>862155000</v>
      </c>
      <c r="J62" s="27" t="s">
        <v>3</v>
      </c>
      <c r="K62" s="1">
        <v>0</v>
      </c>
      <c r="L62" s="1">
        <v>0</v>
      </c>
      <c r="M62" s="1">
        <v>0</v>
      </c>
      <c r="N62" s="1">
        <v>0</v>
      </c>
      <c r="O62" s="2">
        <v>0</v>
      </c>
      <c r="Q62" s="27" t="s">
        <v>3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4">
        <v>0</v>
      </c>
      <c r="Y62" s="27" t="s">
        <v>3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4">
        <v>0</v>
      </c>
      <c r="AG62" s="63" t="s">
        <v>3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44">
        <v>0</v>
      </c>
      <c r="AO62" s="27" t="s">
        <v>3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42">
        <v>0</v>
      </c>
      <c r="AW62" s="27" t="s">
        <v>3</v>
      </c>
      <c r="AX62" s="3">
        <v>0</v>
      </c>
      <c r="AY62" s="3">
        <v>0</v>
      </c>
      <c r="AZ62" s="3">
        <v>0</v>
      </c>
      <c r="BA62" s="3">
        <v>0</v>
      </c>
      <c r="BB62" s="3">
        <v>0</v>
      </c>
      <c r="BC62" s="42">
        <v>0</v>
      </c>
    </row>
    <row r="63" spans="2:55" x14ac:dyDescent="0.25">
      <c r="B63" s="18">
        <v>2016</v>
      </c>
      <c r="C63" s="19">
        <v>1022</v>
      </c>
      <c r="D63" s="19">
        <v>1826</v>
      </c>
      <c r="E63" s="19">
        <v>699</v>
      </c>
      <c r="F63" s="19">
        <v>1127</v>
      </c>
      <c r="G63" s="19">
        <v>5</v>
      </c>
      <c r="H63" s="20">
        <v>887982600</v>
      </c>
      <c r="J63" s="27" t="s">
        <v>4</v>
      </c>
      <c r="K63" s="1">
        <v>499</v>
      </c>
      <c r="L63" s="1">
        <v>924</v>
      </c>
      <c r="M63" s="1">
        <v>422</v>
      </c>
      <c r="N63" s="1">
        <v>502</v>
      </c>
      <c r="O63" s="2">
        <v>373170000</v>
      </c>
      <c r="Q63" s="27" t="s">
        <v>4</v>
      </c>
      <c r="R63" s="3">
        <v>583</v>
      </c>
      <c r="S63" s="3">
        <v>1087</v>
      </c>
      <c r="T63" s="3">
        <v>469</v>
      </c>
      <c r="U63" s="3">
        <v>618</v>
      </c>
      <c r="V63" s="3">
        <v>458</v>
      </c>
      <c r="W63" s="4">
        <v>479142200</v>
      </c>
      <c r="Y63" s="27" t="s">
        <v>4</v>
      </c>
      <c r="Z63" s="3">
        <v>574</v>
      </c>
      <c r="AA63" s="3">
        <v>1072</v>
      </c>
      <c r="AB63" s="3">
        <v>445</v>
      </c>
      <c r="AC63" s="3">
        <v>627</v>
      </c>
      <c r="AD63" s="3">
        <v>389</v>
      </c>
      <c r="AE63" s="4">
        <v>492702750</v>
      </c>
      <c r="AG63" s="63" t="s">
        <v>4</v>
      </c>
      <c r="AH63" s="72">
        <v>554</v>
      </c>
      <c r="AI63" s="72">
        <v>1025</v>
      </c>
      <c r="AJ63" s="72">
        <v>405</v>
      </c>
      <c r="AK63" s="72">
        <v>620</v>
      </c>
      <c r="AL63" s="72">
        <v>326</v>
      </c>
      <c r="AM63" s="73">
        <v>499922650</v>
      </c>
      <c r="AO63" s="27" t="s">
        <v>4</v>
      </c>
      <c r="AP63" s="75">
        <v>532</v>
      </c>
      <c r="AQ63" s="75">
        <v>947</v>
      </c>
      <c r="AR63" s="75">
        <v>296</v>
      </c>
      <c r="AS63" s="75">
        <v>651</v>
      </c>
      <c r="AT63" s="75">
        <v>303</v>
      </c>
      <c r="AU63" s="69">
        <v>455169850</v>
      </c>
      <c r="AW63" s="27" t="s">
        <v>4</v>
      </c>
      <c r="AX63" s="75">
        <v>530</v>
      </c>
      <c r="AY63" s="75">
        <v>903</v>
      </c>
      <c r="AZ63" s="75">
        <v>245</v>
      </c>
      <c r="BA63" s="75">
        <v>658</v>
      </c>
      <c r="BB63" s="75">
        <v>237</v>
      </c>
      <c r="BC63" s="69">
        <v>282579750</v>
      </c>
    </row>
    <row r="64" spans="2:55" x14ac:dyDescent="0.25">
      <c r="B64" s="18">
        <v>2017</v>
      </c>
      <c r="C64" s="19">
        <v>1071</v>
      </c>
      <c r="D64" s="19">
        <v>1801</v>
      </c>
      <c r="E64" s="19">
        <v>591</v>
      </c>
      <c r="F64" s="19">
        <v>1210</v>
      </c>
      <c r="G64" s="19">
        <v>619</v>
      </c>
      <c r="H64" s="20">
        <v>894620650</v>
      </c>
      <c r="J64" s="30" t="s">
        <v>5</v>
      </c>
      <c r="K64" s="1">
        <v>314</v>
      </c>
      <c r="L64" s="1">
        <v>603</v>
      </c>
      <c r="M64" s="1">
        <v>239</v>
      </c>
      <c r="N64" s="1">
        <v>364</v>
      </c>
      <c r="O64" s="2">
        <v>237600000</v>
      </c>
      <c r="Q64" s="30" t="s">
        <v>5</v>
      </c>
      <c r="R64" s="3">
        <v>332</v>
      </c>
      <c r="S64" s="3">
        <v>624</v>
      </c>
      <c r="T64" s="3">
        <v>219</v>
      </c>
      <c r="U64" s="3">
        <v>405</v>
      </c>
      <c r="V64" s="3">
        <v>225</v>
      </c>
      <c r="W64" s="4">
        <v>264158400</v>
      </c>
      <c r="Y64" s="30" t="s">
        <v>5</v>
      </c>
      <c r="Z64" s="3">
        <v>321</v>
      </c>
      <c r="AA64" s="3">
        <v>596</v>
      </c>
      <c r="AB64" s="3">
        <v>199</v>
      </c>
      <c r="AC64" s="3">
        <v>397</v>
      </c>
      <c r="AD64" s="3">
        <v>164</v>
      </c>
      <c r="AE64" s="4">
        <v>261711300</v>
      </c>
      <c r="AG64" s="64" t="s">
        <v>5</v>
      </c>
      <c r="AH64" s="72">
        <v>306</v>
      </c>
      <c r="AI64" s="72">
        <v>531</v>
      </c>
      <c r="AJ64" s="72">
        <v>173</v>
      </c>
      <c r="AK64" s="72">
        <v>358</v>
      </c>
      <c r="AL64" s="72">
        <v>140</v>
      </c>
      <c r="AM64" s="73">
        <v>251075550</v>
      </c>
      <c r="AO64" s="30" t="s">
        <v>5</v>
      </c>
      <c r="AP64" s="75">
        <v>293</v>
      </c>
      <c r="AQ64" s="75">
        <v>487</v>
      </c>
      <c r="AR64" s="75">
        <v>128</v>
      </c>
      <c r="AS64" s="75">
        <v>359</v>
      </c>
      <c r="AT64" s="75">
        <v>138</v>
      </c>
      <c r="AU64" s="69">
        <v>226425550</v>
      </c>
      <c r="AW64" s="30" t="s">
        <v>5</v>
      </c>
      <c r="AX64" s="75">
        <v>280</v>
      </c>
      <c r="AY64" s="75">
        <v>454</v>
      </c>
      <c r="AZ64" s="75">
        <v>117</v>
      </c>
      <c r="BA64" s="75">
        <v>337</v>
      </c>
      <c r="BB64" s="75">
        <v>114</v>
      </c>
      <c r="BC64" s="69">
        <v>139484450</v>
      </c>
    </row>
    <row r="65" spans="2:55" x14ac:dyDescent="0.25">
      <c r="B65" s="18">
        <v>2018</v>
      </c>
      <c r="C65" s="34">
        <f>SUM(Tabla1311121323243048[FAMILIAS])</f>
        <v>1069</v>
      </c>
      <c r="D65" s="34">
        <f>SUM(Tabla1311121323243048[TOTAL NNA])</f>
        <v>1730</v>
      </c>
      <c r="E65" s="34">
        <f>SUM(Tabla1311121323243048[NNA NUTRICION])</f>
        <v>521</v>
      </c>
      <c r="F65" s="34">
        <f>SUM(Tabla1311121323243048[[NNA EDUCACIÓN ]])</f>
        <v>1209</v>
      </c>
      <c r="G65" s="34">
        <f>SUM(Tabla1311121323243048[NN 0-5 AÑOS])</f>
        <v>506</v>
      </c>
      <c r="H65" s="58">
        <f>SUM(Tabla1311121323243048[TOTAL VALOR LIQUIDADO])</f>
        <v>567286100</v>
      </c>
      <c r="J65" s="30" t="s">
        <v>26</v>
      </c>
      <c r="K65" s="34">
        <f>SUM(Tabla1102543[FAMILIAS])</f>
        <v>904</v>
      </c>
      <c r="L65" s="34">
        <f>SUM(Tabla1102543[TOTAL NNA])</f>
        <v>1697</v>
      </c>
      <c r="M65" s="34">
        <f>SUM(Tabla1102543[NNA NUTRICION])</f>
        <v>731</v>
      </c>
      <c r="N65" s="34">
        <f>SUM(Tabla1102543[[NNA EDUCACIÓN ]])</f>
        <v>966</v>
      </c>
      <c r="O65" s="2">
        <f>SUM(Tabla1102543[TOTAL VALOR LIQUIDADO])</f>
        <v>679330000</v>
      </c>
      <c r="Q65" s="30" t="s">
        <v>26</v>
      </c>
      <c r="R65" s="34">
        <f>SUM(Tabla13112644[FAMILIAS])</f>
        <v>1022</v>
      </c>
      <c r="S65" s="34">
        <f>SUM(Tabla13112644[TOTAL NNA])</f>
        <v>1903</v>
      </c>
      <c r="T65" s="34">
        <f>SUM(Tabla13112644[NNA NUTRICION])</f>
        <v>764</v>
      </c>
      <c r="U65" s="34">
        <f>SUM(Tabla13112644[[NNA EDUCACIÓN ]])</f>
        <v>1139</v>
      </c>
      <c r="V65" s="34">
        <f>SUM(Tabla13112644[NN 0-5 AÑOS])</f>
        <v>758</v>
      </c>
      <c r="W65" s="57">
        <f>SUM(Tabla13112644[TOTAL VALOR LIQUIDADO])</f>
        <v>828051600</v>
      </c>
      <c r="Y65" s="30" t="s">
        <v>26</v>
      </c>
      <c r="Z65" s="34">
        <f>SUM(Tabla1311122745[FAMILIAS])</f>
        <v>1028</v>
      </c>
      <c r="AA65" s="34">
        <f>SUM(Tabla1311122745[TOTAL NNA])</f>
        <v>1903</v>
      </c>
      <c r="AB65" s="34">
        <f>SUM(Tabla1311122745[NNA NUTRICION])</f>
        <v>741</v>
      </c>
      <c r="AC65" s="34">
        <f>SUM(Tabla1311122745[[NNA EDUCACIÓN ]])</f>
        <v>1162</v>
      </c>
      <c r="AD65" s="34">
        <f>SUM(Tabla1311122745[NN 0-5 AÑOS])</f>
        <v>640</v>
      </c>
      <c r="AE65" s="4">
        <f>SUM(Tabla1311122745[TOTAL VALOR LIQUIDADO])</f>
        <v>862155000</v>
      </c>
      <c r="AG65" s="64" t="s">
        <v>26</v>
      </c>
      <c r="AH65" s="65">
        <f>SUM(Tabla131112132846[FAMILIAS])</f>
        <v>1022</v>
      </c>
      <c r="AI65" s="65">
        <f>SUM(Tabla131112132846[TOTAL NNA])</f>
        <v>1826</v>
      </c>
      <c r="AJ65" s="65">
        <f>SUM(Tabla131112132846[NNA NUTRICION])</f>
        <v>699</v>
      </c>
      <c r="AK65" s="65">
        <f>SUM(Tabla131112132846[[NNA EDUCACIÓN ]])</f>
        <v>1127</v>
      </c>
      <c r="AL65" s="65">
        <f>SUM(Tabla131112132846[NN 0-5 AÑOS])</f>
        <v>573</v>
      </c>
      <c r="AM65" s="66">
        <f>SUM(Tabla131112132846[TOTAL VALOR LIQUIDADO])</f>
        <v>887982600</v>
      </c>
      <c r="AO65" s="30" t="s">
        <v>26</v>
      </c>
      <c r="AP65" s="34">
        <f>SUM(Tabla13111213232947[FAMILIAS])</f>
        <v>1071</v>
      </c>
      <c r="AQ65" s="34">
        <f>SUM(Tabla13111213232947[TOTAL NNA])</f>
        <v>1801</v>
      </c>
      <c r="AR65" s="34">
        <f>SUM(Tabla13111213232947[NNA NUTRICION])</f>
        <v>591</v>
      </c>
      <c r="AS65" s="34">
        <f>SUM(Tabla13111213232947[[NNA EDUCACIÓN ]])</f>
        <v>1210</v>
      </c>
      <c r="AT65" s="34">
        <f>SUM(Tabla13111213232947[NN 0-5 AÑOS])</f>
        <v>619</v>
      </c>
      <c r="AU65" s="57">
        <f>SUM(Tabla13111213232947[TOTAL VALOR LIQUIDADO])</f>
        <v>894620650</v>
      </c>
      <c r="AW65" s="30" t="s">
        <v>26</v>
      </c>
      <c r="AX65" s="34">
        <f>SUM(Tabla1311121323243048[FAMILIAS])</f>
        <v>1069</v>
      </c>
      <c r="AY65" s="34">
        <f>SUM(Tabla1311121323243048[TOTAL NNA])</f>
        <v>1730</v>
      </c>
      <c r="AZ65" s="34">
        <f>SUM(Tabla1311121323243048[NNA NUTRICION])</f>
        <v>521</v>
      </c>
      <c r="BA65" s="34">
        <f>SUM(Tabla1311121323243048[[NNA EDUCACIÓN ]])</f>
        <v>1209</v>
      </c>
      <c r="BB65" s="34">
        <f>SUM(Tabla1311121323243048[NN 0-5 AÑOS])</f>
        <v>506</v>
      </c>
      <c r="BC65" s="58">
        <f>SUM(Tabla1311121323243048[TOTAL VALOR LIQUIDADO])</f>
        <v>567286100</v>
      </c>
    </row>
    <row r="66" spans="2:55" x14ac:dyDescent="0.25">
      <c r="B66" s="9"/>
      <c r="C66" s="15"/>
      <c r="D66" s="15"/>
      <c r="E66" s="15"/>
      <c r="F66" s="15"/>
      <c r="G66" s="15"/>
      <c r="H66" s="15">
        <f>SUM(Tabla3514151617[TOTAL VALOR LIQUIDADO])</f>
        <v>4719425950</v>
      </c>
      <c r="AW66" s="48" t="s">
        <v>38</v>
      </c>
    </row>
    <row r="67" spans="2:55" x14ac:dyDescent="0.25">
      <c r="C67" s="84"/>
      <c r="D67" s="84"/>
      <c r="E67" s="84"/>
      <c r="F67" s="84"/>
      <c r="G67" s="84"/>
      <c r="H67" s="85"/>
    </row>
    <row r="68" spans="2:55" x14ac:dyDescent="0.25">
      <c r="B68" s="12" t="s">
        <v>1</v>
      </c>
      <c r="C68" s="76" t="s">
        <v>14</v>
      </c>
      <c r="J68" s="12" t="s">
        <v>1</v>
      </c>
      <c r="K68" s="76" t="s">
        <v>14</v>
      </c>
      <c r="L68" s="87"/>
      <c r="M68" s="87"/>
      <c r="N68" s="87"/>
      <c r="O68" s="88"/>
      <c r="Q68" s="12" t="s">
        <v>1</v>
      </c>
      <c r="R68" s="6" t="s">
        <v>14</v>
      </c>
      <c r="S68" s="49"/>
      <c r="T68" s="49"/>
      <c r="U68" s="49"/>
      <c r="V68" s="49"/>
      <c r="W68" s="49"/>
      <c r="X68" s="49"/>
      <c r="Y68" s="12" t="s">
        <v>1</v>
      </c>
      <c r="Z68" s="76" t="s">
        <v>14</v>
      </c>
      <c r="AA68" s="77"/>
      <c r="AB68" s="77"/>
      <c r="AC68" s="77"/>
      <c r="AD68" s="77"/>
      <c r="AE68" s="77"/>
      <c r="AF68" s="40"/>
      <c r="AG68" s="12" t="s">
        <v>1</v>
      </c>
      <c r="AH68" s="76" t="s">
        <v>14</v>
      </c>
      <c r="AI68" s="77"/>
      <c r="AJ68" s="77"/>
      <c r="AK68" s="77"/>
      <c r="AL68" s="77"/>
      <c r="AM68" s="77"/>
      <c r="AN68" s="54"/>
      <c r="AO68" s="12" t="s">
        <v>1</v>
      </c>
      <c r="AP68" s="76" t="s">
        <v>14</v>
      </c>
      <c r="AQ68" s="77"/>
      <c r="AR68" s="77"/>
      <c r="AS68" s="77"/>
      <c r="AT68" s="77"/>
      <c r="AU68" s="77"/>
      <c r="AW68" s="12" t="s">
        <v>1</v>
      </c>
      <c r="AX68" s="76" t="s">
        <v>14</v>
      </c>
      <c r="AY68" s="77"/>
      <c r="AZ68" s="77"/>
      <c r="BA68" s="77"/>
      <c r="BB68" s="77"/>
      <c r="BC68" s="77"/>
    </row>
    <row r="69" spans="2:55" x14ac:dyDescent="0.25">
      <c r="B69" s="7" t="s">
        <v>23</v>
      </c>
      <c r="C69" s="71" t="s">
        <v>6</v>
      </c>
      <c r="D69" s="71" t="s">
        <v>19</v>
      </c>
      <c r="E69" s="71" t="s">
        <v>20</v>
      </c>
      <c r="F69" s="71" t="s">
        <v>21</v>
      </c>
      <c r="G69" s="71" t="s">
        <v>22</v>
      </c>
      <c r="H69" s="71" t="s">
        <v>7</v>
      </c>
      <c r="K69" s="101" t="s">
        <v>25</v>
      </c>
      <c r="L69" s="102"/>
      <c r="M69" s="102"/>
      <c r="N69" s="102"/>
      <c r="O69" s="103"/>
      <c r="R69" s="104" t="s">
        <v>27</v>
      </c>
      <c r="S69" s="105"/>
      <c r="T69" s="105"/>
      <c r="U69" s="105"/>
      <c r="V69" s="105"/>
      <c r="W69" s="106"/>
      <c r="X69" s="25"/>
      <c r="Z69" s="101" t="s">
        <v>28</v>
      </c>
      <c r="AA69" s="102"/>
      <c r="AB69" s="102"/>
      <c r="AC69" s="102"/>
      <c r="AD69" s="102"/>
      <c r="AE69" s="103"/>
      <c r="AF69" s="36"/>
      <c r="AH69" s="101" t="s">
        <v>35</v>
      </c>
      <c r="AI69" s="102"/>
      <c r="AJ69" s="102"/>
      <c r="AK69" s="102"/>
      <c r="AL69" s="102"/>
      <c r="AM69" s="103"/>
      <c r="AN69" s="37"/>
      <c r="AP69" s="101" t="s">
        <v>36</v>
      </c>
      <c r="AQ69" s="102"/>
      <c r="AR69" s="102"/>
      <c r="AS69" s="102"/>
      <c r="AT69" s="102"/>
      <c r="AU69" s="103"/>
      <c r="AX69" s="101" t="s">
        <v>37</v>
      </c>
      <c r="AY69" s="102"/>
      <c r="AZ69" s="102"/>
      <c r="BA69" s="102"/>
      <c r="BB69" s="102"/>
      <c r="BC69" s="103"/>
    </row>
    <row r="70" spans="2:55" x14ac:dyDescent="0.25">
      <c r="B70" s="9">
        <v>2013</v>
      </c>
      <c r="C70" s="3">
        <v>8296</v>
      </c>
      <c r="D70" s="3">
        <v>13759</v>
      </c>
      <c r="E70" s="3">
        <v>5335</v>
      </c>
      <c r="F70" s="3">
        <v>8424</v>
      </c>
      <c r="H70" s="4">
        <v>5240320000</v>
      </c>
      <c r="J70" s="28" t="s">
        <v>24</v>
      </c>
      <c r="K70" s="74" t="s">
        <v>6</v>
      </c>
      <c r="L70" s="74" t="s">
        <v>19</v>
      </c>
      <c r="M70" s="74" t="s">
        <v>20</v>
      </c>
      <c r="N70" s="74" t="s">
        <v>21</v>
      </c>
      <c r="O70" s="74" t="s">
        <v>7</v>
      </c>
      <c r="Q70" s="28" t="s">
        <v>24</v>
      </c>
      <c r="R70" s="28" t="s">
        <v>6</v>
      </c>
      <c r="S70" s="28" t="s">
        <v>19</v>
      </c>
      <c r="T70" s="28" t="s">
        <v>20</v>
      </c>
      <c r="U70" s="28" t="s">
        <v>21</v>
      </c>
      <c r="V70" s="28" t="s">
        <v>22</v>
      </c>
      <c r="W70" s="28" t="s">
        <v>7</v>
      </c>
      <c r="X70" s="23"/>
      <c r="Y70" s="28" t="s">
        <v>24</v>
      </c>
      <c r="Z70" s="74" t="s">
        <v>6</v>
      </c>
      <c r="AA70" s="74" t="s">
        <v>19</v>
      </c>
      <c r="AB70" s="74" t="s">
        <v>20</v>
      </c>
      <c r="AC70" s="74" t="s">
        <v>21</v>
      </c>
      <c r="AD70" s="74" t="s">
        <v>22</v>
      </c>
      <c r="AE70" s="74" t="s">
        <v>7</v>
      </c>
      <c r="AF70" s="23"/>
      <c r="AG70" s="28" t="s">
        <v>24</v>
      </c>
      <c r="AH70" s="74" t="s">
        <v>6</v>
      </c>
      <c r="AI70" s="74" t="s">
        <v>19</v>
      </c>
      <c r="AJ70" s="74" t="s">
        <v>20</v>
      </c>
      <c r="AK70" s="74" t="s">
        <v>21</v>
      </c>
      <c r="AL70" s="74" t="s">
        <v>22</v>
      </c>
      <c r="AM70" s="74" t="s">
        <v>7</v>
      </c>
      <c r="AN70" s="38"/>
      <c r="AO70" s="28" t="s">
        <v>24</v>
      </c>
      <c r="AP70" s="74" t="s">
        <v>6</v>
      </c>
      <c r="AQ70" s="74" t="s">
        <v>19</v>
      </c>
      <c r="AR70" s="74" t="s">
        <v>20</v>
      </c>
      <c r="AS70" s="74" t="s">
        <v>21</v>
      </c>
      <c r="AT70" s="74" t="s">
        <v>22</v>
      </c>
      <c r="AU70" s="74" t="s">
        <v>7</v>
      </c>
      <c r="AW70" s="28" t="s">
        <v>24</v>
      </c>
      <c r="AX70" s="74" t="s">
        <v>6</v>
      </c>
      <c r="AY70" s="74" t="s">
        <v>19</v>
      </c>
      <c r="AZ70" s="74" t="s">
        <v>20</v>
      </c>
      <c r="BA70" s="74" t="s">
        <v>21</v>
      </c>
      <c r="BB70" s="74" t="s">
        <v>22</v>
      </c>
      <c r="BC70" s="74" t="s">
        <v>7</v>
      </c>
    </row>
    <row r="71" spans="2:55" x14ac:dyDescent="0.25">
      <c r="B71" s="9">
        <v>2014</v>
      </c>
      <c r="C71" s="3">
        <v>9061</v>
      </c>
      <c r="D71" s="3">
        <v>14932</v>
      </c>
      <c r="E71" s="3">
        <v>5345</v>
      </c>
      <c r="F71" s="3">
        <v>9587</v>
      </c>
      <c r="G71" s="3">
        <v>5660</v>
      </c>
      <c r="H71" s="4">
        <v>6108037200</v>
      </c>
      <c r="J71" s="27" t="s">
        <v>2</v>
      </c>
      <c r="K71" s="1">
        <v>1281</v>
      </c>
      <c r="L71" s="1">
        <v>2180</v>
      </c>
      <c r="M71" s="1">
        <v>909</v>
      </c>
      <c r="N71" s="1">
        <v>1271</v>
      </c>
      <c r="O71" s="2">
        <v>955270000</v>
      </c>
      <c r="Q71" s="27" t="s">
        <v>2</v>
      </c>
      <c r="R71" s="3">
        <v>1583</v>
      </c>
      <c r="S71" s="3">
        <v>2703</v>
      </c>
      <c r="T71" s="3">
        <v>1003</v>
      </c>
      <c r="U71" s="3">
        <v>1700</v>
      </c>
      <c r="V71" s="3">
        <v>1018</v>
      </c>
      <c r="W71" s="42">
        <v>1249510400</v>
      </c>
      <c r="Y71" s="27" t="s">
        <v>2</v>
      </c>
      <c r="Z71" s="3">
        <v>1963</v>
      </c>
      <c r="AA71" s="3">
        <v>3270</v>
      </c>
      <c r="AB71" s="3">
        <v>1112</v>
      </c>
      <c r="AC71" s="3">
        <v>2158</v>
      </c>
      <c r="AD71" s="3">
        <v>918</v>
      </c>
      <c r="AE71" s="42">
        <v>1563958350</v>
      </c>
      <c r="AG71" s="63" t="s">
        <v>2</v>
      </c>
      <c r="AH71" s="72">
        <v>2315</v>
      </c>
      <c r="AI71" s="72">
        <v>3774</v>
      </c>
      <c r="AJ71" s="72">
        <v>1211</v>
      </c>
      <c r="AK71" s="72">
        <v>2563</v>
      </c>
      <c r="AL71" s="72">
        <v>1030</v>
      </c>
      <c r="AM71" s="73">
        <v>1887940600</v>
      </c>
      <c r="AO71" s="27" t="s">
        <v>2</v>
      </c>
      <c r="AP71" s="72">
        <v>2886</v>
      </c>
      <c r="AQ71" s="72">
        <v>4284</v>
      </c>
      <c r="AR71" s="72">
        <v>1311</v>
      </c>
      <c r="AS71" s="72">
        <v>2973</v>
      </c>
      <c r="AT71" s="72">
        <v>1443</v>
      </c>
      <c r="AU71" s="69">
        <v>2358413600</v>
      </c>
      <c r="AW71" s="27" t="s">
        <v>2</v>
      </c>
      <c r="AX71" s="72">
        <v>2978</v>
      </c>
      <c r="AY71" s="72">
        <v>4335</v>
      </c>
      <c r="AZ71" s="72">
        <v>1309</v>
      </c>
      <c r="BA71" s="72">
        <v>3026</v>
      </c>
      <c r="BB71" s="72">
        <v>1305</v>
      </c>
      <c r="BC71" s="69">
        <v>1550570800</v>
      </c>
    </row>
    <row r="72" spans="2:55" x14ac:dyDescent="0.25">
      <c r="B72" s="9">
        <v>2015</v>
      </c>
      <c r="C72" s="3">
        <v>8527</v>
      </c>
      <c r="D72" s="3">
        <v>13834</v>
      </c>
      <c r="E72" s="3">
        <v>4552</v>
      </c>
      <c r="F72" s="3">
        <v>9282</v>
      </c>
      <c r="G72" s="3">
        <v>3753</v>
      </c>
      <c r="H72" s="4">
        <v>5861690100</v>
      </c>
      <c r="J72" s="27" t="s">
        <v>3</v>
      </c>
      <c r="K72" s="1">
        <v>0</v>
      </c>
      <c r="L72" s="1">
        <v>0</v>
      </c>
      <c r="M72" s="1">
        <v>0</v>
      </c>
      <c r="N72" s="1">
        <v>0</v>
      </c>
      <c r="O72" s="2">
        <v>0</v>
      </c>
      <c r="Q72" s="27" t="s">
        <v>3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42">
        <v>0</v>
      </c>
      <c r="Y72" s="27" t="s">
        <v>3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42">
        <v>0</v>
      </c>
      <c r="AG72" s="63" t="s">
        <v>3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44">
        <v>0</v>
      </c>
      <c r="AO72" s="27" t="s">
        <v>3</v>
      </c>
      <c r="AP72" s="3">
        <v>0</v>
      </c>
      <c r="AQ72" s="3">
        <v>0</v>
      </c>
      <c r="AR72" s="3">
        <v>0</v>
      </c>
      <c r="AS72" s="3">
        <v>0</v>
      </c>
      <c r="AT72" s="3">
        <v>0</v>
      </c>
      <c r="AU72" s="42">
        <v>0</v>
      </c>
      <c r="AW72" s="27" t="s">
        <v>3</v>
      </c>
      <c r="AX72" s="3">
        <v>0</v>
      </c>
      <c r="AY72" s="3">
        <v>0</v>
      </c>
      <c r="AZ72" s="3">
        <v>0</v>
      </c>
      <c r="BA72" s="3">
        <v>0</v>
      </c>
      <c r="BB72" s="3">
        <v>0</v>
      </c>
      <c r="BC72" s="42">
        <v>0</v>
      </c>
    </row>
    <row r="73" spans="2:55" x14ac:dyDescent="0.25">
      <c r="B73" s="9">
        <v>2016</v>
      </c>
      <c r="C73" s="3">
        <v>8501</v>
      </c>
      <c r="D73" s="3">
        <v>13622</v>
      </c>
      <c r="E73" s="3">
        <v>4020</v>
      </c>
      <c r="F73" s="3">
        <v>9602</v>
      </c>
      <c r="G73" s="3">
        <v>44</v>
      </c>
      <c r="H73" s="4">
        <v>6020352950</v>
      </c>
      <c r="J73" s="27" t="s">
        <v>4</v>
      </c>
      <c r="K73" s="1">
        <v>3960</v>
      </c>
      <c r="L73" s="1">
        <v>6549</v>
      </c>
      <c r="M73" s="1">
        <v>2737</v>
      </c>
      <c r="N73" s="1">
        <v>3812</v>
      </c>
      <c r="O73" s="2">
        <v>2470800000</v>
      </c>
      <c r="Q73" s="27" t="s">
        <v>4</v>
      </c>
      <c r="R73" s="3">
        <v>4280</v>
      </c>
      <c r="S73" s="3">
        <v>6967</v>
      </c>
      <c r="T73" s="3">
        <v>2788</v>
      </c>
      <c r="U73" s="3">
        <v>4179</v>
      </c>
      <c r="V73" s="3">
        <v>2869</v>
      </c>
      <c r="W73" s="42">
        <v>2856808200</v>
      </c>
      <c r="Y73" s="27" t="s">
        <v>4</v>
      </c>
      <c r="Z73" s="3">
        <v>3519</v>
      </c>
      <c r="AA73" s="3">
        <v>5573</v>
      </c>
      <c r="AB73" s="3">
        <v>2123</v>
      </c>
      <c r="AC73" s="3">
        <v>3450</v>
      </c>
      <c r="AD73" s="3">
        <v>1762</v>
      </c>
      <c r="AE73" s="42">
        <v>2373597950</v>
      </c>
      <c r="AG73" s="63" t="s">
        <v>4</v>
      </c>
      <c r="AH73" s="72">
        <v>3347</v>
      </c>
      <c r="AI73" s="72">
        <v>5284</v>
      </c>
      <c r="AJ73" s="72">
        <v>1740</v>
      </c>
      <c r="AK73" s="72">
        <v>3544</v>
      </c>
      <c r="AL73" s="72">
        <v>1390</v>
      </c>
      <c r="AM73" s="73">
        <v>2296036700</v>
      </c>
      <c r="AO73" s="27" t="s">
        <v>4</v>
      </c>
      <c r="AP73" s="75">
        <v>3318</v>
      </c>
      <c r="AQ73" s="75">
        <v>5011</v>
      </c>
      <c r="AR73" s="75">
        <v>1197</v>
      </c>
      <c r="AS73" s="75">
        <v>3814</v>
      </c>
      <c r="AT73" s="75">
        <v>1295</v>
      </c>
      <c r="AU73" s="69">
        <v>2200268850</v>
      </c>
      <c r="AW73" s="27" t="s">
        <v>4</v>
      </c>
      <c r="AX73" s="75">
        <v>3133</v>
      </c>
      <c r="AY73" s="75">
        <v>4804</v>
      </c>
      <c r="AZ73" s="75">
        <v>995</v>
      </c>
      <c r="BA73" s="75">
        <v>3809</v>
      </c>
      <c r="BB73" s="75">
        <v>1000</v>
      </c>
      <c r="BC73" s="69">
        <v>1297597100</v>
      </c>
    </row>
    <row r="74" spans="2:55" x14ac:dyDescent="0.25">
      <c r="B74" s="9">
        <v>2017</v>
      </c>
      <c r="C74" s="3">
        <v>8997</v>
      </c>
      <c r="D74" s="3">
        <v>13495</v>
      </c>
      <c r="E74" s="3">
        <v>3237</v>
      </c>
      <c r="F74" s="3">
        <v>10258</v>
      </c>
      <c r="G74" s="3">
        <v>3538</v>
      </c>
      <c r="H74" s="4">
        <v>6331676700</v>
      </c>
      <c r="J74" s="30" t="s">
        <v>5</v>
      </c>
      <c r="K74" s="1">
        <v>3055</v>
      </c>
      <c r="L74" s="1">
        <v>5030</v>
      </c>
      <c r="M74" s="1">
        <v>1689</v>
      </c>
      <c r="N74" s="1">
        <v>3341</v>
      </c>
      <c r="O74" s="2">
        <v>1814250000</v>
      </c>
      <c r="Q74" s="30" t="s">
        <v>5</v>
      </c>
      <c r="R74" s="3">
        <v>3198</v>
      </c>
      <c r="S74" s="3">
        <v>5262</v>
      </c>
      <c r="T74" s="3">
        <v>1554</v>
      </c>
      <c r="U74" s="3">
        <v>3708</v>
      </c>
      <c r="V74" s="3">
        <v>1773</v>
      </c>
      <c r="W74" s="42">
        <v>2001718600</v>
      </c>
      <c r="Y74" s="30" t="s">
        <v>5</v>
      </c>
      <c r="Z74" s="3">
        <v>3045</v>
      </c>
      <c r="AA74" s="3">
        <v>4991</v>
      </c>
      <c r="AB74" s="3">
        <v>1317</v>
      </c>
      <c r="AC74" s="3">
        <v>3674</v>
      </c>
      <c r="AD74" s="3">
        <v>1073</v>
      </c>
      <c r="AE74" s="42">
        <v>1924133800</v>
      </c>
      <c r="AG74" s="64" t="s">
        <v>5</v>
      </c>
      <c r="AH74" s="72">
        <v>2839</v>
      </c>
      <c r="AI74" s="72">
        <v>4564</v>
      </c>
      <c r="AJ74" s="72">
        <v>1069</v>
      </c>
      <c r="AK74" s="72">
        <v>3495</v>
      </c>
      <c r="AL74" s="72">
        <v>867</v>
      </c>
      <c r="AM74" s="73">
        <v>1836375650</v>
      </c>
      <c r="AO74" s="30" t="s">
        <v>5</v>
      </c>
      <c r="AP74" s="75">
        <v>2793</v>
      </c>
      <c r="AQ74" s="75">
        <v>4200</v>
      </c>
      <c r="AR74" s="75">
        <v>729</v>
      </c>
      <c r="AS74" s="75">
        <v>3471</v>
      </c>
      <c r="AT74" s="75">
        <v>800</v>
      </c>
      <c r="AU74" s="69">
        <v>1772994250</v>
      </c>
      <c r="AW74" s="30" t="s">
        <v>5</v>
      </c>
      <c r="AX74" s="75">
        <v>2544</v>
      </c>
      <c r="AY74" s="75">
        <v>3824</v>
      </c>
      <c r="AZ74" s="75">
        <v>575</v>
      </c>
      <c r="BA74" s="75">
        <v>3249</v>
      </c>
      <c r="BB74" s="75">
        <v>578</v>
      </c>
      <c r="BC74" s="69">
        <v>978047050</v>
      </c>
    </row>
    <row r="75" spans="2:55" x14ac:dyDescent="0.25">
      <c r="B75" s="9">
        <v>2018</v>
      </c>
      <c r="C75" s="34">
        <f>SUM(Tabla1311121323243054[FAMILIAS])</f>
        <v>8655</v>
      </c>
      <c r="D75" s="34">
        <f>SUM(Tabla1311121323243054[TOTAL NNA])</f>
        <v>12963</v>
      </c>
      <c r="E75" s="34">
        <f>SUM(Tabla1311121323243054[NNA NUTRICION])</f>
        <v>2879</v>
      </c>
      <c r="F75" s="34">
        <f>SUM(Tabla1311121323243054[[NNA EDUCACIÓN ]])</f>
        <v>10084</v>
      </c>
      <c r="G75" s="34">
        <f>SUM(Tabla1311121323243054[NN 0-5 AÑOS])</f>
        <v>2883</v>
      </c>
      <c r="H75" s="57">
        <f>SUM(Tabla1311121323243054[TOTAL VALOR LIQUIDADO])</f>
        <v>3826214950</v>
      </c>
      <c r="J75" s="30" t="s">
        <v>26</v>
      </c>
      <c r="K75" s="34">
        <f>SUM(Tabla1102549[FAMILIAS])</f>
        <v>8296</v>
      </c>
      <c r="L75" s="34">
        <f>SUM(Tabla1102549[TOTAL NNA])</f>
        <v>13759</v>
      </c>
      <c r="M75" s="34">
        <f>SUM(Tabla1102549[NNA NUTRICION])</f>
        <v>5335</v>
      </c>
      <c r="N75" s="34">
        <f>SUM(Tabla1102549[[NNA EDUCACIÓN ]])</f>
        <v>8424</v>
      </c>
      <c r="O75" s="2">
        <f>SUM(Tabla1102549[TOTAL VALOR LIQUIDADO])</f>
        <v>5240320000</v>
      </c>
      <c r="Q75" s="30" t="s">
        <v>26</v>
      </c>
      <c r="R75" s="34">
        <f>SUM(Tabla13112650[FAMILIAS])</f>
        <v>9061</v>
      </c>
      <c r="S75" s="34">
        <f>SUM(Tabla13112650[TOTAL NNA])</f>
        <v>14932</v>
      </c>
      <c r="T75" s="34">
        <f>SUM(Tabla13112650[NNA NUTRICION])</f>
        <v>5345</v>
      </c>
      <c r="U75" s="34">
        <f>SUM(Tabla13112650[[NNA EDUCACIÓN ]])</f>
        <v>9587</v>
      </c>
      <c r="V75" s="34">
        <f>SUM(Tabla13112650[NN 0-5 AÑOS])</f>
        <v>5660</v>
      </c>
      <c r="W75" s="57">
        <f>SUM(Tabla13112650[TOTAL VALOR LIQUIDADO])</f>
        <v>6108037200</v>
      </c>
      <c r="Y75" s="30" t="s">
        <v>26</v>
      </c>
      <c r="Z75" s="34">
        <f>SUM(Tabla1311122751[FAMILIAS])</f>
        <v>8527</v>
      </c>
      <c r="AA75" s="34">
        <f>SUM(Tabla1311122751[TOTAL NNA])</f>
        <v>13834</v>
      </c>
      <c r="AB75" s="34">
        <f>SUM(Tabla1311122751[NNA NUTRICION])</f>
        <v>4552</v>
      </c>
      <c r="AC75" s="34">
        <f>SUM(Tabla1311122751[[NNA EDUCACIÓN ]])</f>
        <v>9282</v>
      </c>
      <c r="AD75" s="34">
        <f>SUM(Tabla1311122751[NN 0-5 AÑOS])</f>
        <v>3753</v>
      </c>
      <c r="AE75" s="57">
        <f>SUM(Tabla1311122751[TOTAL VALOR LIQUIDADO])</f>
        <v>5861690100</v>
      </c>
      <c r="AG75" s="64" t="s">
        <v>26</v>
      </c>
      <c r="AH75" s="65">
        <f>SUM(Tabla131112132852[FAMILIAS])</f>
        <v>8501</v>
      </c>
      <c r="AI75" s="65">
        <f>SUM(Tabla131112132852[TOTAL NNA])</f>
        <v>13622</v>
      </c>
      <c r="AJ75" s="65">
        <f>SUM(Tabla131112132852[NNA NUTRICION])</f>
        <v>4020</v>
      </c>
      <c r="AK75" s="65">
        <f>SUM(Tabla131112132852[[NNA EDUCACIÓN ]])</f>
        <v>9602</v>
      </c>
      <c r="AL75" s="65">
        <f>SUM(Tabla131112132852[NN 0-5 AÑOS])</f>
        <v>3287</v>
      </c>
      <c r="AM75" s="66">
        <f>SUM(Tabla131112132852[TOTAL VALOR LIQUIDADO])</f>
        <v>6020352950</v>
      </c>
      <c r="AO75" s="30" t="s">
        <v>26</v>
      </c>
      <c r="AP75" s="34">
        <f>SUM(Tabla13111213232953[FAMILIAS])</f>
        <v>8997</v>
      </c>
      <c r="AQ75" s="34">
        <f>SUM(Tabla13111213232953[TOTAL NNA])</f>
        <v>13495</v>
      </c>
      <c r="AR75" s="34">
        <f>SUM(Tabla13111213232953[NNA NUTRICION])</f>
        <v>3237</v>
      </c>
      <c r="AS75" s="34">
        <f>SUM(Tabla13111213232953[[NNA EDUCACIÓN ]])</f>
        <v>10258</v>
      </c>
      <c r="AT75" s="34">
        <f>SUM(Tabla13111213232953[NN 0-5 AÑOS])</f>
        <v>3538</v>
      </c>
      <c r="AU75" s="57">
        <f>SUM(Tabla13111213232953[TOTAL VALOR LIQUIDADO])</f>
        <v>6331676700</v>
      </c>
      <c r="AW75" s="30" t="s">
        <v>26</v>
      </c>
      <c r="AX75" s="34">
        <f>SUM(Tabla1311121323243054[FAMILIAS])</f>
        <v>8655</v>
      </c>
      <c r="AY75" s="34">
        <f>SUM(Tabla1311121323243054[TOTAL NNA])</f>
        <v>12963</v>
      </c>
      <c r="AZ75" s="34">
        <f>SUM(Tabla1311121323243054[NNA NUTRICION])</f>
        <v>2879</v>
      </c>
      <c r="BA75" s="34">
        <f>SUM(Tabla1311121323243054[[NNA EDUCACIÓN ]])</f>
        <v>10084</v>
      </c>
      <c r="BB75" s="34">
        <f>SUM(Tabla1311121323243054[NN 0-5 AÑOS])</f>
        <v>2883</v>
      </c>
      <c r="BC75" s="57">
        <f>SUM(Tabla1311121323243054[TOTAL VALOR LIQUIDADO])</f>
        <v>3826214950</v>
      </c>
    </row>
    <row r="76" spans="2:55" x14ac:dyDescent="0.25">
      <c r="B76" s="9"/>
      <c r="C76" s="15"/>
      <c r="D76" s="15"/>
      <c r="E76" s="15"/>
      <c r="F76" s="15"/>
      <c r="G76" s="15"/>
      <c r="H76" s="15">
        <f>SUM(Tabla351415161718[TOTAL VALOR LIQUIDADO])</f>
        <v>33388291900</v>
      </c>
      <c r="AW76" s="48" t="s">
        <v>38</v>
      </c>
    </row>
    <row r="77" spans="2:55" x14ac:dyDescent="0.25">
      <c r="C77" s="84"/>
      <c r="D77" s="84"/>
      <c r="E77" s="84"/>
      <c r="F77" s="84"/>
      <c r="G77" s="84"/>
      <c r="H77" s="85"/>
    </row>
    <row r="78" spans="2:55" x14ac:dyDescent="0.25">
      <c r="B78" s="12" t="s">
        <v>1</v>
      </c>
      <c r="C78" s="76" t="s">
        <v>15</v>
      </c>
      <c r="J78" s="12" t="s">
        <v>1</v>
      </c>
      <c r="K78" s="76" t="s">
        <v>15</v>
      </c>
      <c r="L78" s="87"/>
      <c r="M78" s="87"/>
      <c r="N78" s="87"/>
      <c r="O78" s="88"/>
      <c r="Q78" s="12" t="s">
        <v>1</v>
      </c>
      <c r="R78" s="6" t="s">
        <v>15</v>
      </c>
      <c r="S78" s="49"/>
      <c r="T78" s="49"/>
      <c r="U78" s="49"/>
      <c r="V78" s="49"/>
      <c r="W78" s="49"/>
      <c r="X78" s="49"/>
      <c r="Y78" s="12" t="s">
        <v>1</v>
      </c>
      <c r="Z78" s="76" t="s">
        <v>15</v>
      </c>
      <c r="AA78" s="77"/>
      <c r="AB78" s="77"/>
      <c r="AC78" s="77"/>
      <c r="AD78" s="77"/>
      <c r="AE78" s="77"/>
      <c r="AF78" s="40"/>
      <c r="AG78" s="12" t="s">
        <v>1</v>
      </c>
      <c r="AH78" s="76" t="s">
        <v>15</v>
      </c>
      <c r="AI78" s="77"/>
      <c r="AJ78" s="77"/>
      <c r="AK78" s="77"/>
      <c r="AL78" s="77"/>
      <c r="AM78" s="77"/>
      <c r="AN78" s="54"/>
      <c r="AO78" s="12" t="s">
        <v>1</v>
      </c>
      <c r="AP78" s="76" t="s">
        <v>15</v>
      </c>
      <c r="AQ78" s="77"/>
      <c r="AR78" s="77"/>
      <c r="AS78" s="77"/>
      <c r="AT78" s="77"/>
      <c r="AU78" s="77"/>
      <c r="AW78" s="12" t="s">
        <v>1</v>
      </c>
      <c r="AX78" s="76" t="s">
        <v>15</v>
      </c>
      <c r="AY78" s="77"/>
      <c r="AZ78" s="77"/>
      <c r="BA78" s="77"/>
      <c r="BB78" s="77"/>
      <c r="BC78" s="77"/>
    </row>
    <row r="79" spans="2:55" x14ac:dyDescent="0.25">
      <c r="B79" s="7" t="s">
        <v>23</v>
      </c>
      <c r="C79" s="71" t="s">
        <v>6</v>
      </c>
      <c r="D79" s="71" t="s">
        <v>19</v>
      </c>
      <c r="E79" s="71" t="s">
        <v>20</v>
      </c>
      <c r="F79" s="71" t="s">
        <v>21</v>
      </c>
      <c r="G79" s="71" t="s">
        <v>22</v>
      </c>
      <c r="H79" s="71" t="s">
        <v>7</v>
      </c>
      <c r="K79" s="101" t="s">
        <v>25</v>
      </c>
      <c r="L79" s="102"/>
      <c r="M79" s="102"/>
      <c r="N79" s="102"/>
      <c r="O79" s="103"/>
      <c r="R79" s="104" t="s">
        <v>27</v>
      </c>
      <c r="S79" s="105"/>
      <c r="T79" s="105"/>
      <c r="U79" s="105"/>
      <c r="V79" s="105"/>
      <c r="W79" s="106"/>
      <c r="X79" s="25"/>
      <c r="Z79" s="101" t="s">
        <v>28</v>
      </c>
      <c r="AA79" s="102"/>
      <c r="AB79" s="102"/>
      <c r="AC79" s="102"/>
      <c r="AD79" s="102"/>
      <c r="AE79" s="103"/>
      <c r="AF79" s="36"/>
      <c r="AH79" s="101" t="s">
        <v>35</v>
      </c>
      <c r="AI79" s="102"/>
      <c r="AJ79" s="102"/>
      <c r="AK79" s="102"/>
      <c r="AL79" s="102"/>
      <c r="AM79" s="103"/>
      <c r="AN79" s="37"/>
      <c r="AP79" s="101" t="s">
        <v>36</v>
      </c>
      <c r="AQ79" s="102"/>
      <c r="AR79" s="102"/>
      <c r="AS79" s="102"/>
      <c r="AT79" s="102"/>
      <c r="AU79" s="103"/>
      <c r="AX79" s="101" t="s">
        <v>37</v>
      </c>
      <c r="AY79" s="102"/>
      <c r="AZ79" s="102"/>
      <c r="BA79" s="102"/>
      <c r="BB79" s="102"/>
      <c r="BC79" s="103"/>
    </row>
    <row r="80" spans="2:55" x14ac:dyDescent="0.25">
      <c r="B80" s="18">
        <v>2013</v>
      </c>
      <c r="C80" s="19">
        <v>1207</v>
      </c>
      <c r="D80" s="19">
        <v>2297</v>
      </c>
      <c r="E80" s="19">
        <v>993</v>
      </c>
      <c r="F80" s="19">
        <v>1304</v>
      </c>
      <c r="G80" s="86"/>
      <c r="H80" s="20">
        <v>882590000</v>
      </c>
      <c r="J80" s="28" t="s">
        <v>24</v>
      </c>
      <c r="K80" s="74" t="s">
        <v>6</v>
      </c>
      <c r="L80" s="74" t="s">
        <v>19</v>
      </c>
      <c r="M80" s="74" t="s">
        <v>20</v>
      </c>
      <c r="N80" s="74" t="s">
        <v>21</v>
      </c>
      <c r="O80" s="74" t="s">
        <v>7</v>
      </c>
      <c r="Q80" s="28" t="s">
        <v>24</v>
      </c>
      <c r="R80" s="28" t="s">
        <v>6</v>
      </c>
      <c r="S80" s="28" t="s">
        <v>19</v>
      </c>
      <c r="T80" s="28" t="s">
        <v>20</v>
      </c>
      <c r="U80" s="28" t="s">
        <v>21</v>
      </c>
      <c r="V80" s="28" t="s">
        <v>22</v>
      </c>
      <c r="W80" s="28" t="s">
        <v>7</v>
      </c>
      <c r="X80" s="23"/>
      <c r="Y80" s="28" t="s">
        <v>24</v>
      </c>
      <c r="Z80" s="74" t="s">
        <v>6</v>
      </c>
      <c r="AA80" s="74" t="s">
        <v>19</v>
      </c>
      <c r="AB80" s="74" t="s">
        <v>20</v>
      </c>
      <c r="AC80" s="74" t="s">
        <v>21</v>
      </c>
      <c r="AD80" s="74" t="s">
        <v>22</v>
      </c>
      <c r="AE80" s="74" t="s">
        <v>7</v>
      </c>
      <c r="AF80" s="23"/>
      <c r="AG80" s="28" t="s">
        <v>24</v>
      </c>
      <c r="AH80" s="74" t="s">
        <v>6</v>
      </c>
      <c r="AI80" s="74" t="s">
        <v>19</v>
      </c>
      <c r="AJ80" s="74" t="s">
        <v>20</v>
      </c>
      <c r="AK80" s="74" t="s">
        <v>21</v>
      </c>
      <c r="AL80" s="74" t="s">
        <v>22</v>
      </c>
      <c r="AM80" s="74" t="s">
        <v>7</v>
      </c>
      <c r="AN80" s="38"/>
      <c r="AO80" s="28" t="s">
        <v>24</v>
      </c>
      <c r="AP80" s="74" t="s">
        <v>6</v>
      </c>
      <c r="AQ80" s="74" t="s">
        <v>19</v>
      </c>
      <c r="AR80" s="74" t="s">
        <v>20</v>
      </c>
      <c r="AS80" s="74" t="s">
        <v>21</v>
      </c>
      <c r="AT80" s="74" t="s">
        <v>22</v>
      </c>
      <c r="AU80" s="74" t="s">
        <v>7</v>
      </c>
      <c r="AW80" s="28" t="s">
        <v>24</v>
      </c>
      <c r="AX80" s="74" t="s">
        <v>6</v>
      </c>
      <c r="AY80" s="74" t="s">
        <v>19</v>
      </c>
      <c r="AZ80" s="74" t="s">
        <v>20</v>
      </c>
      <c r="BA80" s="74" t="s">
        <v>21</v>
      </c>
      <c r="BB80" s="74" t="s">
        <v>22</v>
      </c>
      <c r="BC80" s="74" t="s">
        <v>7</v>
      </c>
    </row>
    <row r="81" spans="2:55" x14ac:dyDescent="0.25">
      <c r="B81" s="18">
        <v>2014</v>
      </c>
      <c r="C81" s="19">
        <v>1308</v>
      </c>
      <c r="D81" s="19">
        <v>2473</v>
      </c>
      <c r="E81" s="19">
        <v>952</v>
      </c>
      <c r="F81" s="19">
        <v>1521</v>
      </c>
      <c r="G81" s="19">
        <v>936</v>
      </c>
      <c r="H81" s="20">
        <v>1044948200</v>
      </c>
      <c r="J81" s="27" t="s">
        <v>2</v>
      </c>
      <c r="K81" s="1">
        <v>777</v>
      </c>
      <c r="L81" s="1">
        <v>1505</v>
      </c>
      <c r="M81" s="1">
        <v>599</v>
      </c>
      <c r="N81" s="1">
        <v>906</v>
      </c>
      <c r="O81" s="2">
        <v>566070000</v>
      </c>
      <c r="Q81" s="27" t="s">
        <v>2</v>
      </c>
      <c r="R81" s="3">
        <v>836</v>
      </c>
      <c r="S81" s="3">
        <v>1599</v>
      </c>
      <c r="T81" s="3">
        <v>568</v>
      </c>
      <c r="U81" s="3">
        <v>1031</v>
      </c>
      <c r="V81" s="3">
        <v>579</v>
      </c>
      <c r="W81" s="4">
        <v>662230400</v>
      </c>
      <c r="Y81" s="27" t="s">
        <v>2</v>
      </c>
      <c r="Z81" s="3">
        <v>873</v>
      </c>
      <c r="AA81" s="3">
        <v>1555</v>
      </c>
      <c r="AB81" s="3">
        <v>539</v>
      </c>
      <c r="AC81" s="3">
        <v>1016</v>
      </c>
      <c r="AD81" s="3">
        <v>461</v>
      </c>
      <c r="AE81" s="4">
        <v>707312700</v>
      </c>
      <c r="AG81" s="63" t="s">
        <v>2</v>
      </c>
      <c r="AH81" s="72">
        <v>889</v>
      </c>
      <c r="AI81" s="72">
        <v>1454</v>
      </c>
      <c r="AJ81" s="72">
        <v>529</v>
      </c>
      <c r="AK81" s="72">
        <v>925</v>
      </c>
      <c r="AL81" s="72">
        <v>454</v>
      </c>
      <c r="AM81" s="73">
        <v>805831150</v>
      </c>
      <c r="AO81" s="27" t="s">
        <v>2</v>
      </c>
      <c r="AP81" s="72">
        <v>956</v>
      </c>
      <c r="AQ81" s="72">
        <v>1436</v>
      </c>
      <c r="AR81" s="72">
        <v>456</v>
      </c>
      <c r="AS81" s="72">
        <v>980</v>
      </c>
      <c r="AT81" s="72">
        <v>498</v>
      </c>
      <c r="AU81" s="69">
        <v>773635850</v>
      </c>
      <c r="AW81" s="27" t="s">
        <v>2</v>
      </c>
      <c r="AX81" s="72">
        <v>959</v>
      </c>
      <c r="AY81" s="72">
        <v>1398</v>
      </c>
      <c r="AZ81" s="72">
        <v>420</v>
      </c>
      <c r="BA81" s="72">
        <v>978</v>
      </c>
      <c r="BB81" s="72">
        <v>420</v>
      </c>
      <c r="BC81" s="69">
        <v>483212850</v>
      </c>
    </row>
    <row r="82" spans="2:55" x14ac:dyDescent="0.25">
      <c r="B82" s="18">
        <v>2015</v>
      </c>
      <c r="C82" s="19">
        <v>1340</v>
      </c>
      <c r="D82" s="19">
        <v>2386</v>
      </c>
      <c r="E82" s="19">
        <v>871</v>
      </c>
      <c r="F82" s="19">
        <v>1515</v>
      </c>
      <c r="G82" s="19">
        <v>743</v>
      </c>
      <c r="H82" s="20">
        <v>1075053300</v>
      </c>
      <c r="J82" s="27" t="s">
        <v>3</v>
      </c>
      <c r="K82" s="1">
        <v>0</v>
      </c>
      <c r="L82" s="1">
        <v>0</v>
      </c>
      <c r="M82" s="1">
        <v>0</v>
      </c>
      <c r="N82" s="1">
        <v>0</v>
      </c>
      <c r="O82" s="2">
        <v>0</v>
      </c>
      <c r="Q82" s="27" t="s">
        <v>3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4">
        <v>0</v>
      </c>
      <c r="Y82" s="27" t="s">
        <v>3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4">
        <v>0</v>
      </c>
      <c r="AG82" s="63" t="s">
        <v>3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44">
        <v>0</v>
      </c>
      <c r="AO82" s="27" t="s">
        <v>3</v>
      </c>
      <c r="AP82" s="3">
        <v>0</v>
      </c>
      <c r="AQ82" s="3">
        <v>0</v>
      </c>
      <c r="AR82" s="3">
        <v>0</v>
      </c>
      <c r="AS82" s="3">
        <v>0</v>
      </c>
      <c r="AT82" s="3">
        <v>0</v>
      </c>
      <c r="AU82" s="44">
        <v>0</v>
      </c>
      <c r="AW82" s="27" t="s">
        <v>3</v>
      </c>
      <c r="AX82" s="3">
        <v>0</v>
      </c>
      <c r="AY82" s="3">
        <v>0</v>
      </c>
      <c r="AZ82" s="3">
        <v>0</v>
      </c>
      <c r="BA82" s="3">
        <v>0</v>
      </c>
      <c r="BB82" s="3">
        <v>0</v>
      </c>
      <c r="BC82" s="44">
        <v>0</v>
      </c>
    </row>
    <row r="83" spans="2:55" x14ac:dyDescent="0.25">
      <c r="B83" s="18">
        <v>2016</v>
      </c>
      <c r="C83" s="19">
        <v>1326</v>
      </c>
      <c r="D83" s="19">
        <v>2204</v>
      </c>
      <c r="E83" s="19">
        <v>800</v>
      </c>
      <c r="F83" s="19">
        <v>1404</v>
      </c>
      <c r="G83" s="19">
        <v>3</v>
      </c>
      <c r="H83" s="20">
        <v>1194426550</v>
      </c>
      <c r="J83" s="27" t="s">
        <v>4</v>
      </c>
      <c r="K83" s="1">
        <v>330</v>
      </c>
      <c r="L83" s="1">
        <v>611</v>
      </c>
      <c r="M83" s="1">
        <v>313</v>
      </c>
      <c r="N83" s="1">
        <v>298</v>
      </c>
      <c r="O83" s="2">
        <v>247910000</v>
      </c>
      <c r="Q83" s="27" t="s">
        <v>4</v>
      </c>
      <c r="R83" s="3">
        <v>365</v>
      </c>
      <c r="S83" s="3">
        <v>684</v>
      </c>
      <c r="T83" s="3">
        <v>307</v>
      </c>
      <c r="U83" s="3">
        <v>377</v>
      </c>
      <c r="V83" s="3">
        <v>282</v>
      </c>
      <c r="W83" s="4">
        <v>302638400</v>
      </c>
      <c r="Y83" s="27" t="s">
        <v>4</v>
      </c>
      <c r="Z83" s="3">
        <v>362</v>
      </c>
      <c r="AA83" s="3">
        <v>649</v>
      </c>
      <c r="AB83" s="3">
        <v>263</v>
      </c>
      <c r="AC83" s="3">
        <v>386</v>
      </c>
      <c r="AD83" s="3">
        <v>226</v>
      </c>
      <c r="AE83" s="4">
        <v>289362500</v>
      </c>
      <c r="AG83" s="63" t="s">
        <v>4</v>
      </c>
      <c r="AH83" s="72">
        <v>341</v>
      </c>
      <c r="AI83" s="72">
        <v>589</v>
      </c>
      <c r="AJ83" s="72">
        <v>214</v>
      </c>
      <c r="AK83" s="72">
        <v>375</v>
      </c>
      <c r="AL83" s="72">
        <v>187</v>
      </c>
      <c r="AM83" s="73">
        <v>306637350</v>
      </c>
      <c r="AO83" s="27" t="s">
        <v>4</v>
      </c>
      <c r="AP83" s="75">
        <v>342</v>
      </c>
      <c r="AQ83" s="75">
        <v>562</v>
      </c>
      <c r="AR83" s="75">
        <v>154</v>
      </c>
      <c r="AS83" s="75">
        <v>408</v>
      </c>
      <c r="AT83" s="75">
        <v>166</v>
      </c>
      <c r="AU83" s="69">
        <v>273339200</v>
      </c>
      <c r="AW83" s="27" t="s">
        <v>4</v>
      </c>
      <c r="AX83" s="75">
        <v>315</v>
      </c>
      <c r="AY83" s="75">
        <v>540</v>
      </c>
      <c r="AZ83" s="75">
        <v>122</v>
      </c>
      <c r="BA83" s="75">
        <v>418</v>
      </c>
      <c r="BB83" s="75">
        <v>119</v>
      </c>
      <c r="BC83" s="69">
        <v>152225450</v>
      </c>
    </row>
    <row r="84" spans="2:55" x14ac:dyDescent="0.25">
      <c r="B84" s="18">
        <v>2017</v>
      </c>
      <c r="C84" s="19">
        <v>1395</v>
      </c>
      <c r="D84" s="19">
        <v>2147</v>
      </c>
      <c r="E84" s="19">
        <v>652</v>
      </c>
      <c r="F84" s="19">
        <v>1495</v>
      </c>
      <c r="G84" s="19">
        <v>709</v>
      </c>
      <c r="H84" s="20">
        <v>1122780650</v>
      </c>
      <c r="J84" s="30" t="s">
        <v>5</v>
      </c>
      <c r="K84" s="1">
        <v>100</v>
      </c>
      <c r="L84" s="1">
        <v>181</v>
      </c>
      <c r="M84" s="1">
        <v>81</v>
      </c>
      <c r="N84" s="1">
        <v>100</v>
      </c>
      <c r="O84" s="2">
        <v>68610000</v>
      </c>
      <c r="Q84" s="30" t="s">
        <v>5</v>
      </c>
      <c r="R84" s="3">
        <v>107</v>
      </c>
      <c r="S84" s="3">
        <v>190</v>
      </c>
      <c r="T84" s="3">
        <v>77</v>
      </c>
      <c r="U84" s="3">
        <v>113</v>
      </c>
      <c r="V84" s="3">
        <v>75</v>
      </c>
      <c r="W84" s="4">
        <v>80079400</v>
      </c>
      <c r="Y84" s="30" t="s">
        <v>5</v>
      </c>
      <c r="Z84" s="3">
        <v>105</v>
      </c>
      <c r="AA84" s="3">
        <v>182</v>
      </c>
      <c r="AB84" s="3">
        <v>69</v>
      </c>
      <c r="AC84" s="3">
        <v>113</v>
      </c>
      <c r="AD84" s="3">
        <v>56</v>
      </c>
      <c r="AE84" s="4">
        <v>78378100</v>
      </c>
      <c r="AG84" s="64" t="s">
        <v>5</v>
      </c>
      <c r="AH84" s="72">
        <v>96</v>
      </c>
      <c r="AI84" s="72">
        <v>161</v>
      </c>
      <c r="AJ84" s="72">
        <v>57</v>
      </c>
      <c r="AK84" s="72">
        <v>104</v>
      </c>
      <c r="AL84" s="72">
        <v>48</v>
      </c>
      <c r="AM84" s="73">
        <v>81958050</v>
      </c>
      <c r="AO84" s="30" t="s">
        <v>5</v>
      </c>
      <c r="AP84" s="75">
        <v>97</v>
      </c>
      <c r="AQ84" s="75">
        <v>149</v>
      </c>
      <c r="AR84" s="75">
        <v>42</v>
      </c>
      <c r="AS84" s="75">
        <v>107</v>
      </c>
      <c r="AT84" s="75">
        <v>45</v>
      </c>
      <c r="AU84" s="69">
        <v>75805600</v>
      </c>
      <c r="AW84" s="30" t="s">
        <v>5</v>
      </c>
      <c r="AX84" s="75">
        <v>89</v>
      </c>
      <c r="AY84" s="75">
        <v>137</v>
      </c>
      <c r="AZ84" s="75">
        <v>32</v>
      </c>
      <c r="BA84" s="75">
        <v>105</v>
      </c>
      <c r="BB84" s="75">
        <v>33</v>
      </c>
      <c r="BC84" s="69">
        <v>41919250</v>
      </c>
    </row>
    <row r="85" spans="2:55" x14ac:dyDescent="0.25">
      <c r="B85" s="18">
        <v>2018</v>
      </c>
      <c r="C85" s="34">
        <f>SUM(Tabla1311121323243060[FAMILIAS])</f>
        <v>1363</v>
      </c>
      <c r="D85" s="34">
        <f>SUM(Tabla1311121323243060[TOTAL NNA])</f>
        <v>2075</v>
      </c>
      <c r="E85" s="34">
        <f>SUM(Tabla1311121323243060[NNA NUTRICION])</f>
        <v>574</v>
      </c>
      <c r="F85" s="34">
        <f>SUM(Tabla1311121323243060[[NNA EDUCACIÓN ]])</f>
        <v>1501</v>
      </c>
      <c r="G85" s="34">
        <f>SUM(Tabla1311121323243060[NN 0-5 AÑOS])</f>
        <v>572</v>
      </c>
      <c r="H85" s="57">
        <f>SUM(Tabla1311121323243060[TOTAL VALOR LIQUIDADO])</f>
        <v>677357550</v>
      </c>
      <c r="J85" s="30" t="s">
        <v>26</v>
      </c>
      <c r="K85" s="34">
        <f>SUM(Tabla1102555[FAMILIAS])</f>
        <v>1207</v>
      </c>
      <c r="L85" s="34">
        <f>SUM(Tabla1102555[TOTAL NNA])</f>
        <v>2297</v>
      </c>
      <c r="M85" s="34">
        <f>SUM(Tabla1102555[NNA NUTRICION])</f>
        <v>993</v>
      </c>
      <c r="N85" s="34">
        <f>SUM(Tabla1102555[[NNA EDUCACIÓN ]])</f>
        <v>1304</v>
      </c>
      <c r="O85" s="57">
        <f>SUM(Tabla1102555[TOTAL VALOR LIQUIDADO])</f>
        <v>882590000</v>
      </c>
      <c r="Q85" s="30" t="s">
        <v>26</v>
      </c>
      <c r="R85" s="34">
        <f>SUM(Tabla13112656[FAMILIAS])</f>
        <v>1308</v>
      </c>
      <c r="S85" s="34">
        <f>SUM(Tabla13112656[TOTAL NNA])</f>
        <v>2473</v>
      </c>
      <c r="T85" s="34">
        <f>SUM(Tabla13112656[NNA NUTRICION])</f>
        <v>952</v>
      </c>
      <c r="U85" s="34">
        <f>SUM(Tabla13112656[[NNA EDUCACIÓN ]])</f>
        <v>1521</v>
      </c>
      <c r="V85" s="34">
        <f>SUM(Tabla13112656[NN 0-5 AÑOS])</f>
        <v>936</v>
      </c>
      <c r="W85" s="57">
        <f>SUM(Tabla13112656[TOTAL VALOR LIQUIDADO])</f>
        <v>1044948200</v>
      </c>
      <c r="Y85" s="30" t="s">
        <v>26</v>
      </c>
      <c r="Z85" s="34">
        <f>SUM(Tabla1311122757[FAMILIAS])</f>
        <v>1340</v>
      </c>
      <c r="AA85" s="34">
        <f>SUM(Tabla1311122757[TOTAL NNA])</f>
        <v>2386</v>
      </c>
      <c r="AB85" s="34">
        <f>SUM(Tabla1311122757[NNA NUTRICION])</f>
        <v>871</v>
      </c>
      <c r="AC85" s="34">
        <f>SUM(Tabla1311122757[[NNA EDUCACIÓN ]])</f>
        <v>1515</v>
      </c>
      <c r="AD85" s="34">
        <f>SUM(Tabla1311122757[NN 0-5 AÑOS])</f>
        <v>743</v>
      </c>
      <c r="AE85" s="4">
        <f>SUM(Tabla1311122757[TOTAL VALOR LIQUIDADO])</f>
        <v>1075053300</v>
      </c>
      <c r="AG85" s="64" t="s">
        <v>26</v>
      </c>
      <c r="AH85" s="65">
        <f>SUM(Tabla131112132858[FAMILIAS])</f>
        <v>1326</v>
      </c>
      <c r="AI85" s="65">
        <f>SUM(Tabla131112132858[TOTAL NNA])</f>
        <v>2204</v>
      </c>
      <c r="AJ85" s="65">
        <f>SUM(Tabla131112132858[NNA NUTRICION])</f>
        <v>800</v>
      </c>
      <c r="AK85" s="65">
        <f>SUM(Tabla131112132858[[NNA EDUCACIÓN ]])</f>
        <v>1404</v>
      </c>
      <c r="AL85" s="65">
        <f>SUM(Tabla131112132858[NN 0-5 AÑOS])</f>
        <v>689</v>
      </c>
      <c r="AM85" s="67">
        <f>SUM(Tabla131112132858[TOTAL VALOR LIQUIDADO])</f>
        <v>1194426550</v>
      </c>
      <c r="AO85" s="30" t="s">
        <v>26</v>
      </c>
      <c r="AP85" s="34">
        <f>SUM(Tabla13111213232959[FAMILIAS])</f>
        <v>1395</v>
      </c>
      <c r="AQ85" s="34">
        <f>SUM(Tabla13111213232959[TOTAL NNA])</f>
        <v>2147</v>
      </c>
      <c r="AR85" s="34">
        <f>SUM(Tabla13111213232959[NNA NUTRICION])</f>
        <v>652</v>
      </c>
      <c r="AS85" s="34">
        <f>SUM(Tabla13111213232959[[NNA EDUCACIÓN ]])</f>
        <v>1495</v>
      </c>
      <c r="AT85" s="34">
        <f>SUM(Tabla13111213232959[NN 0-5 AÑOS])</f>
        <v>709</v>
      </c>
      <c r="AU85" s="57">
        <f>SUM(Tabla13111213232959[TOTAL VALOR LIQUIDADO])</f>
        <v>1122780650</v>
      </c>
      <c r="AW85" s="30" t="s">
        <v>26</v>
      </c>
      <c r="AX85" s="34">
        <f>SUM(Tabla1311121323243060[FAMILIAS])</f>
        <v>1363</v>
      </c>
      <c r="AY85" s="34">
        <f>SUM(Tabla1311121323243060[TOTAL NNA])</f>
        <v>2075</v>
      </c>
      <c r="AZ85" s="34">
        <f>SUM(Tabla1311121323243060[NNA NUTRICION])</f>
        <v>574</v>
      </c>
      <c r="BA85" s="34">
        <f>SUM(Tabla1311121323243060[[NNA EDUCACIÓN ]])</f>
        <v>1501</v>
      </c>
      <c r="BB85" s="34">
        <f>SUM(Tabla1311121323243060[NN 0-5 AÑOS])</f>
        <v>572</v>
      </c>
      <c r="BC85" s="57">
        <f>SUM(Tabla1311121323243060[TOTAL VALOR LIQUIDADO])</f>
        <v>677357550</v>
      </c>
    </row>
    <row r="86" spans="2:55" x14ac:dyDescent="0.25">
      <c r="B86" s="9"/>
      <c r="C86" s="15"/>
      <c r="D86" s="15"/>
      <c r="E86" s="15"/>
      <c r="F86" s="15"/>
      <c r="G86" s="15"/>
      <c r="H86" s="15">
        <f>SUM(Tabla35141516171819[TOTAL VALOR LIQUIDADO])</f>
        <v>5997156250</v>
      </c>
      <c r="AW86" s="48" t="s">
        <v>38</v>
      </c>
    </row>
    <row r="87" spans="2:55" x14ac:dyDescent="0.25">
      <c r="C87" s="84"/>
      <c r="D87" s="84"/>
      <c r="E87" s="84"/>
      <c r="F87" s="84"/>
      <c r="G87" s="84"/>
      <c r="H87" s="85"/>
    </row>
    <row r="88" spans="2:55" x14ac:dyDescent="0.25">
      <c r="B88" s="12" t="s">
        <v>1</v>
      </c>
      <c r="C88" s="76" t="s">
        <v>16</v>
      </c>
      <c r="J88" s="12" t="s">
        <v>1</v>
      </c>
      <c r="K88" s="76" t="s">
        <v>16</v>
      </c>
      <c r="L88" s="87"/>
      <c r="M88" s="87"/>
      <c r="N88" s="87"/>
      <c r="O88" s="88"/>
      <c r="Q88" s="12" t="s">
        <v>1</v>
      </c>
      <c r="R88" s="6" t="s">
        <v>16</v>
      </c>
      <c r="S88" s="49"/>
      <c r="T88" s="49"/>
      <c r="U88" s="49"/>
      <c r="V88" s="49"/>
      <c r="W88" s="49"/>
      <c r="X88" s="49"/>
      <c r="Y88" s="12" t="s">
        <v>1</v>
      </c>
      <c r="Z88" s="76" t="s">
        <v>16</v>
      </c>
      <c r="AA88" s="77"/>
      <c r="AB88" s="77"/>
      <c r="AC88" s="77"/>
      <c r="AD88" s="77"/>
      <c r="AE88" s="77"/>
      <c r="AF88" s="40"/>
      <c r="AG88" s="12" t="s">
        <v>1</v>
      </c>
      <c r="AH88" s="76" t="s">
        <v>16</v>
      </c>
      <c r="AI88" s="77"/>
      <c r="AJ88" s="77"/>
      <c r="AK88" s="77"/>
      <c r="AL88" s="77"/>
      <c r="AM88" s="77"/>
      <c r="AN88" s="54"/>
      <c r="AO88" s="12" t="s">
        <v>1</v>
      </c>
      <c r="AP88" s="76" t="s">
        <v>16</v>
      </c>
      <c r="AQ88" s="77"/>
      <c r="AR88" s="77"/>
      <c r="AS88" s="77"/>
      <c r="AT88" s="77"/>
      <c r="AU88" s="77"/>
      <c r="AW88" s="12" t="s">
        <v>1</v>
      </c>
      <c r="AX88" s="76" t="s">
        <v>16</v>
      </c>
      <c r="AY88" s="77"/>
      <c r="AZ88" s="77"/>
      <c r="BA88" s="77"/>
      <c r="BB88" s="77"/>
      <c r="BC88" s="77"/>
    </row>
    <row r="89" spans="2:55" x14ac:dyDescent="0.25">
      <c r="B89" s="7" t="s">
        <v>23</v>
      </c>
      <c r="C89" s="71" t="s">
        <v>6</v>
      </c>
      <c r="D89" s="71" t="s">
        <v>19</v>
      </c>
      <c r="E89" s="71" t="s">
        <v>20</v>
      </c>
      <c r="F89" s="71" t="s">
        <v>21</v>
      </c>
      <c r="G89" s="71" t="s">
        <v>22</v>
      </c>
      <c r="H89" s="71" t="s">
        <v>7</v>
      </c>
      <c r="K89" s="101" t="s">
        <v>25</v>
      </c>
      <c r="L89" s="102"/>
      <c r="M89" s="102"/>
      <c r="N89" s="102"/>
      <c r="O89" s="103"/>
      <c r="R89" s="104" t="s">
        <v>27</v>
      </c>
      <c r="S89" s="105"/>
      <c r="T89" s="105"/>
      <c r="U89" s="105"/>
      <c r="V89" s="105"/>
      <c r="W89" s="106"/>
      <c r="X89" s="25"/>
      <c r="Z89" s="101" t="s">
        <v>28</v>
      </c>
      <c r="AA89" s="102"/>
      <c r="AB89" s="102"/>
      <c r="AC89" s="102"/>
      <c r="AD89" s="102"/>
      <c r="AE89" s="103"/>
      <c r="AF89" s="36"/>
      <c r="AH89" s="101" t="s">
        <v>35</v>
      </c>
      <c r="AI89" s="102"/>
      <c r="AJ89" s="102"/>
      <c r="AK89" s="102"/>
      <c r="AL89" s="102"/>
      <c r="AM89" s="103"/>
      <c r="AN89" s="37"/>
      <c r="AP89" s="101" t="s">
        <v>36</v>
      </c>
      <c r="AQ89" s="102"/>
      <c r="AR89" s="102"/>
      <c r="AS89" s="102"/>
      <c r="AT89" s="102"/>
      <c r="AU89" s="103"/>
      <c r="AX89" s="101" t="s">
        <v>37</v>
      </c>
      <c r="AY89" s="102"/>
      <c r="AZ89" s="102"/>
      <c r="BA89" s="102"/>
      <c r="BB89" s="102"/>
      <c r="BC89" s="103"/>
    </row>
    <row r="90" spans="2:55" x14ac:dyDescent="0.25">
      <c r="B90" s="18">
        <v>2013</v>
      </c>
      <c r="C90" s="19">
        <v>2541</v>
      </c>
      <c r="D90" s="19">
        <v>5170</v>
      </c>
      <c r="E90" s="19">
        <v>2160</v>
      </c>
      <c r="F90" s="19">
        <v>3010</v>
      </c>
      <c r="G90" s="86"/>
      <c r="H90" s="20">
        <v>1975870000</v>
      </c>
      <c r="J90" s="28" t="s">
        <v>24</v>
      </c>
      <c r="K90" s="74" t="s">
        <v>6</v>
      </c>
      <c r="L90" s="74" t="s">
        <v>19</v>
      </c>
      <c r="M90" s="74" t="s">
        <v>20</v>
      </c>
      <c r="N90" s="74" t="s">
        <v>21</v>
      </c>
      <c r="O90" s="74" t="s">
        <v>7</v>
      </c>
      <c r="Q90" s="28" t="s">
        <v>24</v>
      </c>
      <c r="R90" s="28" t="s">
        <v>6</v>
      </c>
      <c r="S90" s="28" t="s">
        <v>19</v>
      </c>
      <c r="T90" s="28" t="s">
        <v>20</v>
      </c>
      <c r="U90" s="28" t="s">
        <v>21</v>
      </c>
      <c r="V90" s="28" t="s">
        <v>22</v>
      </c>
      <c r="W90" s="28" t="s">
        <v>7</v>
      </c>
      <c r="X90" s="23"/>
      <c r="Y90" s="28" t="s">
        <v>24</v>
      </c>
      <c r="Z90" s="74" t="s">
        <v>6</v>
      </c>
      <c r="AA90" s="74" t="s">
        <v>19</v>
      </c>
      <c r="AB90" s="74" t="s">
        <v>20</v>
      </c>
      <c r="AC90" s="74" t="s">
        <v>21</v>
      </c>
      <c r="AD90" s="74" t="s">
        <v>22</v>
      </c>
      <c r="AE90" s="74" t="s">
        <v>7</v>
      </c>
      <c r="AF90" s="23"/>
      <c r="AG90" s="28" t="s">
        <v>24</v>
      </c>
      <c r="AH90" s="74" t="s">
        <v>6</v>
      </c>
      <c r="AI90" s="74" t="s">
        <v>19</v>
      </c>
      <c r="AJ90" s="74" t="s">
        <v>20</v>
      </c>
      <c r="AK90" s="74" t="s">
        <v>21</v>
      </c>
      <c r="AL90" s="74" t="s">
        <v>22</v>
      </c>
      <c r="AM90" s="74" t="s">
        <v>7</v>
      </c>
      <c r="AN90" s="38"/>
      <c r="AO90" s="28" t="s">
        <v>24</v>
      </c>
      <c r="AP90" s="74" t="s">
        <v>6</v>
      </c>
      <c r="AQ90" s="74" t="s">
        <v>19</v>
      </c>
      <c r="AR90" s="74" t="s">
        <v>20</v>
      </c>
      <c r="AS90" s="74" t="s">
        <v>21</v>
      </c>
      <c r="AT90" s="74" t="s">
        <v>22</v>
      </c>
      <c r="AU90" s="74" t="s">
        <v>7</v>
      </c>
      <c r="AW90" s="28" t="s">
        <v>24</v>
      </c>
      <c r="AX90" s="74" t="s">
        <v>6</v>
      </c>
      <c r="AY90" s="74" t="s">
        <v>19</v>
      </c>
      <c r="AZ90" s="74" t="s">
        <v>20</v>
      </c>
      <c r="BA90" s="74" t="s">
        <v>21</v>
      </c>
      <c r="BB90" s="74" t="s">
        <v>22</v>
      </c>
      <c r="BC90" s="74" t="s">
        <v>7</v>
      </c>
    </row>
    <row r="91" spans="2:55" x14ac:dyDescent="0.25">
      <c r="B91" s="18">
        <v>2014</v>
      </c>
      <c r="C91" s="19">
        <v>2716</v>
      </c>
      <c r="D91" s="19">
        <v>5450</v>
      </c>
      <c r="E91" s="19">
        <v>2033</v>
      </c>
      <c r="F91" s="19">
        <v>3417</v>
      </c>
      <c r="G91" s="19">
        <v>2073</v>
      </c>
      <c r="H91" s="20">
        <v>2320880800</v>
      </c>
      <c r="J91" s="27" t="s">
        <v>2</v>
      </c>
      <c r="K91" s="1">
        <v>487</v>
      </c>
      <c r="L91" s="1">
        <v>1044</v>
      </c>
      <c r="M91" s="1">
        <v>397</v>
      </c>
      <c r="N91" s="1">
        <v>647</v>
      </c>
      <c r="O91" s="68">
        <v>387620000</v>
      </c>
      <c r="Q91" s="27" t="s">
        <v>2</v>
      </c>
      <c r="R91" s="3">
        <v>554</v>
      </c>
      <c r="S91" s="3">
        <v>1152</v>
      </c>
      <c r="T91" s="3">
        <v>393</v>
      </c>
      <c r="U91" s="3">
        <v>759</v>
      </c>
      <c r="V91" s="3">
        <v>414</v>
      </c>
      <c r="W91" s="42">
        <v>482347600</v>
      </c>
      <c r="Y91" s="27" t="s">
        <v>2</v>
      </c>
      <c r="Z91" s="3">
        <v>661</v>
      </c>
      <c r="AA91" s="3">
        <v>1268</v>
      </c>
      <c r="AB91" s="3">
        <v>427</v>
      </c>
      <c r="AC91" s="3">
        <v>841</v>
      </c>
      <c r="AD91" s="3">
        <v>376</v>
      </c>
      <c r="AE91" s="42">
        <v>600209850</v>
      </c>
      <c r="AG91" s="63" t="s">
        <v>2</v>
      </c>
      <c r="AH91" s="72">
        <v>719</v>
      </c>
      <c r="AI91" s="72">
        <v>1304</v>
      </c>
      <c r="AJ91" s="72">
        <v>424</v>
      </c>
      <c r="AK91" s="72">
        <v>880</v>
      </c>
      <c r="AL91" s="72">
        <v>368</v>
      </c>
      <c r="AM91" s="73">
        <v>667471050</v>
      </c>
      <c r="AO91" s="27" t="s">
        <v>2</v>
      </c>
      <c r="AP91" s="72">
        <v>816</v>
      </c>
      <c r="AQ91" s="72">
        <v>1343</v>
      </c>
      <c r="AR91" s="72">
        <v>405</v>
      </c>
      <c r="AS91" s="72">
        <v>938</v>
      </c>
      <c r="AT91" s="72">
        <v>438</v>
      </c>
      <c r="AU91" s="69">
        <v>736255200</v>
      </c>
      <c r="AW91" s="27" t="s">
        <v>2</v>
      </c>
      <c r="AX91" s="72">
        <v>842</v>
      </c>
      <c r="AY91" s="72">
        <v>1329</v>
      </c>
      <c r="AZ91" s="72">
        <v>390</v>
      </c>
      <c r="BA91" s="72">
        <v>939</v>
      </c>
      <c r="BB91" s="72">
        <v>388</v>
      </c>
      <c r="BC91" s="69">
        <v>466986300</v>
      </c>
    </row>
    <row r="92" spans="2:55" x14ac:dyDescent="0.25">
      <c r="B92" s="18">
        <v>2015</v>
      </c>
      <c r="C92" s="19">
        <v>2648</v>
      </c>
      <c r="D92" s="19">
        <v>5026</v>
      </c>
      <c r="E92" s="19">
        <v>1777</v>
      </c>
      <c r="F92" s="19">
        <v>3249</v>
      </c>
      <c r="G92" s="19">
        <v>1518</v>
      </c>
      <c r="H92" s="20">
        <v>2304111750</v>
      </c>
      <c r="J92" s="27" t="s">
        <v>3</v>
      </c>
      <c r="K92" s="1">
        <v>0</v>
      </c>
      <c r="L92" s="1">
        <v>0</v>
      </c>
      <c r="M92" s="1">
        <v>0</v>
      </c>
      <c r="N92" s="1">
        <v>0</v>
      </c>
      <c r="O92" s="68">
        <v>0</v>
      </c>
      <c r="Q92" s="27" t="s">
        <v>3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42">
        <v>0</v>
      </c>
      <c r="Y92" s="27" t="s">
        <v>3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42">
        <v>0</v>
      </c>
      <c r="AG92" s="63" t="s">
        <v>3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44">
        <v>0</v>
      </c>
      <c r="AO92" s="27" t="s">
        <v>3</v>
      </c>
      <c r="AP92" s="3">
        <v>0</v>
      </c>
      <c r="AQ92" s="3">
        <v>0</v>
      </c>
      <c r="AR92" s="3">
        <v>0</v>
      </c>
      <c r="AS92" s="3">
        <v>0</v>
      </c>
      <c r="AT92" s="3">
        <v>0</v>
      </c>
      <c r="AU92" s="44">
        <v>0</v>
      </c>
      <c r="AW92" s="27" t="s">
        <v>3</v>
      </c>
      <c r="AX92" s="3">
        <v>0</v>
      </c>
      <c r="AY92" s="3">
        <v>0</v>
      </c>
      <c r="AZ92" s="3">
        <v>0</v>
      </c>
      <c r="BA92" s="3">
        <v>0</v>
      </c>
      <c r="BB92" s="3">
        <v>0</v>
      </c>
      <c r="BC92" s="44">
        <v>0</v>
      </c>
    </row>
    <row r="93" spans="2:55" x14ac:dyDescent="0.25">
      <c r="B93" s="18">
        <v>2016</v>
      </c>
      <c r="C93" s="19">
        <v>2563</v>
      </c>
      <c r="D93" s="19">
        <v>4735</v>
      </c>
      <c r="E93" s="19">
        <v>1493</v>
      </c>
      <c r="F93" s="19">
        <v>3242</v>
      </c>
      <c r="G93" s="19">
        <v>13</v>
      </c>
      <c r="H93" s="20">
        <v>2310057400</v>
      </c>
      <c r="J93" s="27" t="s">
        <v>4</v>
      </c>
      <c r="K93" s="1">
        <v>1500</v>
      </c>
      <c r="L93" s="1">
        <v>3015</v>
      </c>
      <c r="M93" s="1">
        <v>1363</v>
      </c>
      <c r="N93" s="1">
        <v>1652</v>
      </c>
      <c r="O93" s="68">
        <v>1166250000</v>
      </c>
      <c r="Q93" s="27" t="s">
        <v>4</v>
      </c>
      <c r="R93" s="3">
        <v>1580</v>
      </c>
      <c r="S93" s="3">
        <v>3171</v>
      </c>
      <c r="T93" s="3">
        <v>1272</v>
      </c>
      <c r="U93" s="3">
        <v>1899</v>
      </c>
      <c r="V93" s="3">
        <v>1259</v>
      </c>
      <c r="W93" s="42">
        <v>1363854800</v>
      </c>
      <c r="Y93" s="27" t="s">
        <v>4</v>
      </c>
      <c r="Z93" s="3">
        <v>1429</v>
      </c>
      <c r="AA93" s="3">
        <v>2727</v>
      </c>
      <c r="AB93" s="3">
        <v>1031</v>
      </c>
      <c r="AC93" s="3">
        <v>1696</v>
      </c>
      <c r="AD93" s="3">
        <v>873</v>
      </c>
      <c r="AE93" s="42">
        <v>1243856050</v>
      </c>
      <c r="AG93" s="63" t="s">
        <v>4</v>
      </c>
      <c r="AH93" s="72">
        <v>1333</v>
      </c>
      <c r="AI93" s="72">
        <v>2518</v>
      </c>
      <c r="AJ93" s="72">
        <v>814</v>
      </c>
      <c r="AK93" s="72">
        <v>1704</v>
      </c>
      <c r="AL93" s="72">
        <v>680</v>
      </c>
      <c r="AM93" s="73">
        <v>1205479300</v>
      </c>
      <c r="AO93" s="27" t="s">
        <v>4</v>
      </c>
      <c r="AP93" s="75">
        <v>1333</v>
      </c>
      <c r="AQ93" s="75">
        <v>2401</v>
      </c>
      <c r="AR93" s="75">
        <v>595</v>
      </c>
      <c r="AS93" s="75">
        <v>1806</v>
      </c>
      <c r="AT93" s="75">
        <v>622</v>
      </c>
      <c r="AU93" s="69">
        <v>1170439750</v>
      </c>
      <c r="AW93" s="27" t="s">
        <v>4</v>
      </c>
      <c r="AX93" s="75">
        <v>1285</v>
      </c>
      <c r="AY93" s="75">
        <v>2309</v>
      </c>
      <c r="AZ93" s="75">
        <v>482</v>
      </c>
      <c r="BA93" s="75">
        <v>1827</v>
      </c>
      <c r="BB93" s="75">
        <v>478</v>
      </c>
      <c r="BC93" s="69">
        <v>683372650</v>
      </c>
    </row>
    <row r="94" spans="2:55" x14ac:dyDescent="0.25">
      <c r="B94" s="18">
        <v>2017</v>
      </c>
      <c r="C94" s="19">
        <v>2653</v>
      </c>
      <c r="D94" s="19">
        <v>4595</v>
      </c>
      <c r="E94" s="19">
        <v>1183</v>
      </c>
      <c r="F94" s="19">
        <v>3412</v>
      </c>
      <c r="G94" s="19">
        <v>1255</v>
      </c>
      <c r="H94" s="20">
        <v>2317098350</v>
      </c>
      <c r="J94" s="30" t="s">
        <v>5</v>
      </c>
      <c r="K94" s="1">
        <v>554</v>
      </c>
      <c r="L94" s="1">
        <v>1111</v>
      </c>
      <c r="M94" s="1">
        <v>400</v>
      </c>
      <c r="N94" s="1">
        <v>711</v>
      </c>
      <c r="O94" s="68">
        <v>422000000</v>
      </c>
      <c r="Q94" s="30" t="s">
        <v>5</v>
      </c>
      <c r="R94" s="3">
        <v>582</v>
      </c>
      <c r="S94" s="3">
        <v>1127</v>
      </c>
      <c r="T94" s="3">
        <v>368</v>
      </c>
      <c r="U94" s="3">
        <v>759</v>
      </c>
      <c r="V94" s="3">
        <v>400</v>
      </c>
      <c r="W94" s="42">
        <v>474678400</v>
      </c>
      <c r="Y94" s="30" t="s">
        <v>5</v>
      </c>
      <c r="Z94" s="3">
        <v>558</v>
      </c>
      <c r="AA94" s="3">
        <v>1031</v>
      </c>
      <c r="AB94" s="3">
        <v>319</v>
      </c>
      <c r="AC94" s="3">
        <v>712</v>
      </c>
      <c r="AD94" s="3">
        <v>269</v>
      </c>
      <c r="AE94" s="42">
        <v>460045850</v>
      </c>
      <c r="AG94" s="64" t="s">
        <v>5</v>
      </c>
      <c r="AH94" s="72">
        <v>511</v>
      </c>
      <c r="AI94" s="72">
        <v>913</v>
      </c>
      <c r="AJ94" s="72">
        <v>255</v>
      </c>
      <c r="AK94" s="72">
        <v>658</v>
      </c>
      <c r="AL94" s="72">
        <v>221</v>
      </c>
      <c r="AM94" s="73">
        <v>437107050</v>
      </c>
      <c r="AO94" s="30" t="s">
        <v>5</v>
      </c>
      <c r="AP94" s="75">
        <v>504</v>
      </c>
      <c r="AQ94" s="75">
        <v>851</v>
      </c>
      <c r="AR94" s="75">
        <v>183</v>
      </c>
      <c r="AS94" s="75">
        <v>668</v>
      </c>
      <c r="AT94" s="75">
        <v>195</v>
      </c>
      <c r="AU94" s="69">
        <v>410403400</v>
      </c>
      <c r="AW94" s="30" t="s">
        <v>5</v>
      </c>
      <c r="AX94" s="75">
        <v>467</v>
      </c>
      <c r="AY94" s="75">
        <v>784</v>
      </c>
      <c r="AZ94" s="75">
        <v>144</v>
      </c>
      <c r="BA94" s="75">
        <v>640</v>
      </c>
      <c r="BB94" s="75">
        <v>143</v>
      </c>
      <c r="BC94" s="69">
        <v>230827300</v>
      </c>
    </row>
    <row r="95" spans="2:55" x14ac:dyDescent="0.25">
      <c r="B95" s="18">
        <v>2018</v>
      </c>
      <c r="C95" s="34">
        <f>SUM(Tabla1311121323243066[FAMILIAS])</f>
        <v>2594</v>
      </c>
      <c r="D95" s="34">
        <f>SUM(Tabla1311121323243066[TOTAL NNA])</f>
        <v>4422</v>
      </c>
      <c r="E95" s="34">
        <f>SUM(Tabla1311121323243066[NNA NUTRICION])</f>
        <v>1016</v>
      </c>
      <c r="F95" s="34">
        <f>SUM(Tabla1311121323243066[[NNA EDUCACIÓN ]])</f>
        <v>3406</v>
      </c>
      <c r="G95" s="34">
        <f>SUM(Tabla1311121323243066[NN 0-5 AÑOS])</f>
        <v>1009</v>
      </c>
      <c r="H95" s="57">
        <f>SUM(Tabla1311121323243066[TOTAL VALOR LIQUIDADO])</f>
        <v>1381186250</v>
      </c>
      <c r="J95" s="30" t="s">
        <v>26</v>
      </c>
      <c r="K95" s="34">
        <f>SUM(Tabla1102561[FAMILIAS])</f>
        <v>2541</v>
      </c>
      <c r="L95" s="34">
        <f>SUM(Tabla1102561[TOTAL NNA])</f>
        <v>5170</v>
      </c>
      <c r="M95" s="34">
        <f>SUM(Tabla1102561[NNA NUTRICION])</f>
        <v>2160</v>
      </c>
      <c r="N95" s="34">
        <f>SUM(Tabla1102561[[NNA EDUCACIÓN ]])</f>
        <v>3010</v>
      </c>
      <c r="O95" s="57">
        <f>SUM(Tabla1102561[TOTAL VALOR LIQUIDADO])</f>
        <v>1975870000</v>
      </c>
      <c r="Q95" s="30" t="s">
        <v>26</v>
      </c>
      <c r="R95" s="34">
        <f>SUM(Tabla13112662[FAMILIAS])</f>
        <v>2716</v>
      </c>
      <c r="S95" s="34">
        <f>SUM(Tabla13112662[TOTAL NNA])</f>
        <v>5450</v>
      </c>
      <c r="T95" s="34">
        <f>SUM(Tabla13112662[NNA NUTRICION])</f>
        <v>2033</v>
      </c>
      <c r="U95" s="34">
        <f>SUM(Tabla13112662[[NNA EDUCACIÓN ]])</f>
        <v>3417</v>
      </c>
      <c r="V95" s="34">
        <f>SUM(Tabla13112662[NN 0-5 AÑOS])</f>
        <v>2073</v>
      </c>
      <c r="W95" s="57">
        <f>SUM(Tabla13112662[TOTAL VALOR LIQUIDADO])</f>
        <v>2320880800</v>
      </c>
      <c r="Y95" s="30" t="s">
        <v>26</v>
      </c>
      <c r="Z95" s="34">
        <f>SUM(Tabla1311122763[FAMILIAS])</f>
        <v>2648</v>
      </c>
      <c r="AA95" s="34">
        <f>SUM(Tabla1311122763[TOTAL NNA])</f>
        <v>5026</v>
      </c>
      <c r="AB95" s="34">
        <f>SUM(Tabla1311122763[NNA NUTRICION])</f>
        <v>1777</v>
      </c>
      <c r="AC95" s="34">
        <f>SUM(Tabla1311122763[[NNA EDUCACIÓN ]])</f>
        <v>3249</v>
      </c>
      <c r="AD95" s="34">
        <f>SUM(Tabla1311122763[NN 0-5 AÑOS])</f>
        <v>1518</v>
      </c>
      <c r="AE95" s="57">
        <f>SUM(Tabla1311122763[TOTAL VALOR LIQUIDADO])</f>
        <v>2304111750</v>
      </c>
      <c r="AG95" s="30" t="s">
        <v>26</v>
      </c>
      <c r="AH95" s="34">
        <f>SUM(Tabla131112132864[FAMILIAS])</f>
        <v>2563</v>
      </c>
      <c r="AI95" s="34">
        <f>SUM(Tabla131112132864[TOTAL NNA])</f>
        <v>4735</v>
      </c>
      <c r="AJ95" s="34">
        <f>SUM(Tabla131112132864[NNA NUTRICION])</f>
        <v>1493</v>
      </c>
      <c r="AK95" s="34">
        <f>SUM(Tabla131112132864[[NNA EDUCACIÓN ]])</f>
        <v>3242</v>
      </c>
      <c r="AL95" s="34">
        <f>SUM(Tabla131112132864[NN 0-5 AÑOS])</f>
        <v>1269</v>
      </c>
      <c r="AM95" s="57">
        <f>SUM(Tabla131112132864[TOTAL VALOR LIQUIDADO])</f>
        <v>2310057400</v>
      </c>
      <c r="AO95" s="30" t="s">
        <v>26</v>
      </c>
      <c r="AP95" s="34">
        <f>SUM(Tabla13111213232965[FAMILIAS])</f>
        <v>2653</v>
      </c>
      <c r="AQ95" s="34">
        <f>SUM(Tabla13111213232965[TOTAL NNA])</f>
        <v>4595</v>
      </c>
      <c r="AR95" s="34">
        <f>SUM(Tabla13111213232965[NNA NUTRICION])</f>
        <v>1183</v>
      </c>
      <c r="AS95" s="34">
        <f>SUM(Tabla13111213232965[[NNA EDUCACIÓN ]])</f>
        <v>3412</v>
      </c>
      <c r="AT95" s="34">
        <f>SUM(Tabla13111213232965[NN 0-5 AÑOS])</f>
        <v>1255</v>
      </c>
      <c r="AU95" s="57">
        <f>SUM(Tabla13111213232965[TOTAL VALOR LIQUIDADO])</f>
        <v>2317098350</v>
      </c>
      <c r="AW95" s="30" t="s">
        <v>26</v>
      </c>
      <c r="AX95" s="34">
        <f>SUM(Tabla1311121323243066[FAMILIAS])</f>
        <v>2594</v>
      </c>
      <c r="AY95" s="34">
        <f>SUM(Tabla1311121323243066[TOTAL NNA])</f>
        <v>4422</v>
      </c>
      <c r="AZ95" s="34">
        <f>SUM(Tabla1311121323243066[NNA NUTRICION])</f>
        <v>1016</v>
      </c>
      <c r="BA95" s="34">
        <f>SUM(Tabla1311121323243066[[NNA EDUCACIÓN ]])</f>
        <v>3406</v>
      </c>
      <c r="BB95" s="34">
        <f>SUM(Tabla1311121323243066[NN 0-5 AÑOS])</f>
        <v>1009</v>
      </c>
      <c r="BC95" s="57">
        <f>SUM(Tabla1311121323243066[TOTAL VALOR LIQUIDADO])</f>
        <v>1381186250</v>
      </c>
    </row>
    <row r="96" spans="2:55" x14ac:dyDescent="0.25">
      <c r="B96" s="13"/>
      <c r="C96" s="14"/>
      <c r="D96" s="14"/>
      <c r="E96" s="14"/>
      <c r="F96" s="14"/>
      <c r="G96" s="14"/>
      <c r="H96" s="14">
        <f>SUM(Tabla3514151617181920[TOTAL VALOR LIQUIDADO])</f>
        <v>12609204550</v>
      </c>
      <c r="AW96" s="48" t="s">
        <v>38</v>
      </c>
    </row>
    <row r="97" spans="2:55" x14ac:dyDescent="0.25">
      <c r="C97" s="84"/>
      <c r="D97" s="84"/>
      <c r="E97" s="84"/>
      <c r="F97" s="84"/>
      <c r="G97" s="84"/>
      <c r="H97" s="85"/>
    </row>
    <row r="98" spans="2:55" x14ac:dyDescent="0.25">
      <c r="B98" s="12" t="s">
        <v>1</v>
      </c>
      <c r="C98" s="76" t="s">
        <v>17</v>
      </c>
      <c r="J98" s="12" t="s">
        <v>1</v>
      </c>
      <c r="K98" s="76" t="s">
        <v>17</v>
      </c>
      <c r="L98" s="87"/>
      <c r="M98" s="87"/>
      <c r="N98" s="87"/>
      <c r="O98" s="88"/>
      <c r="Q98" s="12" t="s">
        <v>1</v>
      </c>
      <c r="R98" s="6" t="s">
        <v>17</v>
      </c>
      <c r="S98" s="49"/>
      <c r="T98" s="49"/>
      <c r="U98" s="49"/>
      <c r="V98" s="49"/>
      <c r="W98" s="49"/>
      <c r="X98" s="49"/>
      <c r="Y98" s="12" t="s">
        <v>1</v>
      </c>
      <c r="Z98" s="76" t="s">
        <v>17</v>
      </c>
      <c r="AA98" s="77"/>
      <c r="AB98" s="77"/>
      <c r="AC98" s="77"/>
      <c r="AD98" s="77"/>
      <c r="AE98" s="77"/>
      <c r="AF98" s="40"/>
      <c r="AG98" s="12" t="s">
        <v>1</v>
      </c>
      <c r="AH98" s="76" t="s">
        <v>17</v>
      </c>
      <c r="AI98" s="77"/>
      <c r="AJ98" s="77"/>
      <c r="AK98" s="77"/>
      <c r="AL98" s="77"/>
      <c r="AM98" s="77"/>
      <c r="AN98" s="54"/>
      <c r="AO98" s="12" t="s">
        <v>1</v>
      </c>
      <c r="AP98" s="76" t="s">
        <v>17</v>
      </c>
      <c r="AQ98" s="77"/>
      <c r="AR98" s="77"/>
      <c r="AS98" s="77"/>
      <c r="AT98" s="77"/>
      <c r="AU98" s="77"/>
      <c r="AW98" s="12" t="s">
        <v>1</v>
      </c>
      <c r="AX98" s="76" t="s">
        <v>17</v>
      </c>
      <c r="AY98" s="77"/>
      <c r="AZ98" s="77"/>
      <c r="BA98" s="77"/>
      <c r="BB98" s="77"/>
      <c r="BC98" s="77"/>
    </row>
    <row r="99" spans="2:55" x14ac:dyDescent="0.25">
      <c r="B99" s="7" t="s">
        <v>23</v>
      </c>
      <c r="C99" s="71" t="s">
        <v>6</v>
      </c>
      <c r="D99" s="71" t="s">
        <v>19</v>
      </c>
      <c r="E99" s="71" t="s">
        <v>20</v>
      </c>
      <c r="F99" s="71" t="s">
        <v>21</v>
      </c>
      <c r="G99" s="71" t="s">
        <v>22</v>
      </c>
      <c r="H99" s="71" t="s">
        <v>7</v>
      </c>
      <c r="K99" s="101" t="s">
        <v>25</v>
      </c>
      <c r="L99" s="102"/>
      <c r="M99" s="102"/>
      <c r="N99" s="102"/>
      <c r="O99" s="103"/>
      <c r="R99" s="104" t="s">
        <v>27</v>
      </c>
      <c r="S99" s="105"/>
      <c r="T99" s="105"/>
      <c r="U99" s="105"/>
      <c r="V99" s="105"/>
      <c r="W99" s="106"/>
      <c r="X99" s="25"/>
      <c r="Z99" s="101" t="s">
        <v>28</v>
      </c>
      <c r="AA99" s="102"/>
      <c r="AB99" s="102"/>
      <c r="AC99" s="102"/>
      <c r="AD99" s="102"/>
      <c r="AE99" s="103"/>
      <c r="AF99" s="36"/>
      <c r="AH99" s="101" t="s">
        <v>35</v>
      </c>
      <c r="AI99" s="102"/>
      <c r="AJ99" s="102"/>
      <c r="AK99" s="102"/>
      <c r="AL99" s="102"/>
      <c r="AM99" s="103"/>
      <c r="AN99" s="37"/>
      <c r="AP99" s="101" t="s">
        <v>36</v>
      </c>
      <c r="AQ99" s="102"/>
      <c r="AR99" s="102"/>
      <c r="AS99" s="102"/>
      <c r="AT99" s="102"/>
      <c r="AU99" s="103"/>
      <c r="AX99" s="101" t="s">
        <v>37</v>
      </c>
      <c r="AY99" s="102"/>
      <c r="AZ99" s="102"/>
      <c r="BA99" s="102"/>
      <c r="BB99" s="102"/>
      <c r="BC99" s="103"/>
    </row>
    <row r="100" spans="2:55" x14ac:dyDescent="0.25">
      <c r="B100" s="18">
        <v>2013</v>
      </c>
      <c r="C100" s="19">
        <v>1559</v>
      </c>
      <c r="D100" s="19">
        <v>2819</v>
      </c>
      <c r="E100" s="19">
        <v>1289</v>
      </c>
      <c r="F100" s="19">
        <v>1530</v>
      </c>
      <c r="G100" s="86"/>
      <c r="H100" s="20">
        <v>1150960000</v>
      </c>
      <c r="J100" s="28" t="s">
        <v>24</v>
      </c>
      <c r="K100" s="74" t="s">
        <v>6</v>
      </c>
      <c r="L100" s="74" t="s">
        <v>19</v>
      </c>
      <c r="M100" s="74" t="s">
        <v>20</v>
      </c>
      <c r="N100" s="74" t="s">
        <v>21</v>
      </c>
      <c r="O100" s="74" t="s">
        <v>7</v>
      </c>
      <c r="Q100" s="28" t="s">
        <v>24</v>
      </c>
      <c r="R100" s="28" t="s">
        <v>6</v>
      </c>
      <c r="S100" s="28" t="s">
        <v>19</v>
      </c>
      <c r="T100" s="28" t="s">
        <v>20</v>
      </c>
      <c r="U100" s="28" t="s">
        <v>21</v>
      </c>
      <c r="V100" s="28" t="s">
        <v>22</v>
      </c>
      <c r="W100" s="28" t="s">
        <v>7</v>
      </c>
      <c r="X100" s="23"/>
      <c r="Y100" s="28" t="s">
        <v>24</v>
      </c>
      <c r="Z100" s="74" t="s">
        <v>6</v>
      </c>
      <c r="AA100" s="74" t="s">
        <v>19</v>
      </c>
      <c r="AB100" s="74" t="s">
        <v>20</v>
      </c>
      <c r="AC100" s="74" t="s">
        <v>21</v>
      </c>
      <c r="AD100" s="74" t="s">
        <v>22</v>
      </c>
      <c r="AE100" s="74" t="s">
        <v>7</v>
      </c>
      <c r="AF100" s="23"/>
      <c r="AG100" s="28" t="s">
        <v>24</v>
      </c>
      <c r="AH100" s="74" t="s">
        <v>6</v>
      </c>
      <c r="AI100" s="74" t="s">
        <v>19</v>
      </c>
      <c r="AJ100" s="74" t="s">
        <v>20</v>
      </c>
      <c r="AK100" s="74" t="s">
        <v>21</v>
      </c>
      <c r="AL100" s="74" t="s">
        <v>22</v>
      </c>
      <c r="AM100" s="74" t="s">
        <v>7</v>
      </c>
      <c r="AN100" s="38"/>
      <c r="AO100" s="28" t="s">
        <v>24</v>
      </c>
      <c r="AP100" s="74" t="s">
        <v>6</v>
      </c>
      <c r="AQ100" s="74" t="s">
        <v>19</v>
      </c>
      <c r="AR100" s="74" t="s">
        <v>20</v>
      </c>
      <c r="AS100" s="74" t="s">
        <v>21</v>
      </c>
      <c r="AT100" s="74" t="s">
        <v>22</v>
      </c>
      <c r="AU100" s="74" t="s">
        <v>7</v>
      </c>
      <c r="AW100" s="28" t="s">
        <v>24</v>
      </c>
      <c r="AX100" s="74" t="s">
        <v>6</v>
      </c>
      <c r="AY100" s="74" t="s">
        <v>19</v>
      </c>
      <c r="AZ100" s="74" t="s">
        <v>20</v>
      </c>
      <c r="BA100" s="74" t="s">
        <v>21</v>
      </c>
      <c r="BB100" s="74" t="s">
        <v>22</v>
      </c>
      <c r="BC100" s="74" t="s">
        <v>7</v>
      </c>
    </row>
    <row r="101" spans="2:55" x14ac:dyDescent="0.25">
      <c r="B101" s="18">
        <v>2014</v>
      </c>
      <c r="C101" s="19">
        <v>1630</v>
      </c>
      <c r="D101" s="19">
        <v>2787</v>
      </c>
      <c r="E101" s="19">
        <v>1150</v>
      </c>
      <c r="F101" s="19">
        <v>1637</v>
      </c>
      <c r="G101" s="19">
        <v>1153</v>
      </c>
      <c r="H101" s="20">
        <v>1337551400</v>
      </c>
      <c r="J101" s="27" t="s">
        <v>2</v>
      </c>
      <c r="K101" s="1">
        <v>686</v>
      </c>
      <c r="L101" s="1">
        <v>1258</v>
      </c>
      <c r="M101" s="1">
        <v>534</v>
      </c>
      <c r="N101" s="1">
        <v>724</v>
      </c>
      <c r="O101" s="68">
        <v>502590000</v>
      </c>
      <c r="Q101" s="27" t="s">
        <v>2</v>
      </c>
      <c r="R101" s="3">
        <v>735</v>
      </c>
      <c r="S101" s="3">
        <v>1289</v>
      </c>
      <c r="T101" s="3">
        <v>491</v>
      </c>
      <c r="U101" s="3">
        <v>798</v>
      </c>
      <c r="V101" s="3">
        <v>505</v>
      </c>
      <c r="W101" s="42">
        <v>589540000</v>
      </c>
      <c r="Y101" s="27" t="s">
        <v>2</v>
      </c>
      <c r="Z101" s="3">
        <v>888</v>
      </c>
      <c r="AA101" s="3">
        <v>1500</v>
      </c>
      <c r="AB101" s="3">
        <v>552</v>
      </c>
      <c r="AC101" s="3">
        <v>948</v>
      </c>
      <c r="AD101" s="3">
        <v>457</v>
      </c>
      <c r="AE101" s="4">
        <v>729329700</v>
      </c>
      <c r="AG101" s="63" t="s">
        <v>2</v>
      </c>
      <c r="AH101" s="72">
        <v>963</v>
      </c>
      <c r="AI101" s="72">
        <v>1531</v>
      </c>
      <c r="AJ101" s="72">
        <v>580</v>
      </c>
      <c r="AK101" s="72">
        <v>951</v>
      </c>
      <c r="AL101" s="72">
        <v>488</v>
      </c>
      <c r="AM101" s="73">
        <v>896954450</v>
      </c>
      <c r="AO101" s="27" t="s">
        <v>2</v>
      </c>
      <c r="AP101" s="72">
        <v>1126</v>
      </c>
      <c r="AQ101" s="72">
        <v>1684</v>
      </c>
      <c r="AR101" s="72">
        <v>546</v>
      </c>
      <c r="AS101" s="72">
        <v>1138</v>
      </c>
      <c r="AT101" s="72">
        <v>602</v>
      </c>
      <c r="AU101" s="69">
        <v>923086050</v>
      </c>
      <c r="AW101" s="27" t="s">
        <v>2</v>
      </c>
      <c r="AX101" s="72">
        <v>1116</v>
      </c>
      <c r="AY101" s="72">
        <v>1612</v>
      </c>
      <c r="AZ101" s="72">
        <v>514</v>
      </c>
      <c r="BA101" s="72">
        <v>1098</v>
      </c>
      <c r="BB101" s="72">
        <v>517</v>
      </c>
      <c r="BC101" s="69">
        <v>579052450</v>
      </c>
    </row>
    <row r="102" spans="2:55" x14ac:dyDescent="0.25">
      <c r="B102" s="18">
        <v>2015</v>
      </c>
      <c r="C102" s="19">
        <v>1810</v>
      </c>
      <c r="D102" s="19">
        <v>3092</v>
      </c>
      <c r="E102" s="19">
        <v>1203</v>
      </c>
      <c r="F102" s="19">
        <v>1889</v>
      </c>
      <c r="G102" s="19">
        <v>994</v>
      </c>
      <c r="H102" s="20">
        <v>1499954100</v>
      </c>
      <c r="J102" s="27" t="s">
        <v>3</v>
      </c>
      <c r="K102" s="1">
        <v>0</v>
      </c>
      <c r="L102" s="1">
        <v>0</v>
      </c>
      <c r="M102" s="1">
        <v>0</v>
      </c>
      <c r="N102" s="1">
        <v>0</v>
      </c>
      <c r="O102" s="68">
        <v>0</v>
      </c>
      <c r="Q102" s="27" t="s">
        <v>3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42">
        <v>0</v>
      </c>
      <c r="Y102" s="27" t="s">
        <v>3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42">
        <v>0</v>
      </c>
      <c r="AG102" s="63" t="s">
        <v>3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42">
        <v>0</v>
      </c>
      <c r="AO102" s="27" t="s">
        <v>3</v>
      </c>
      <c r="AP102" s="3">
        <v>0</v>
      </c>
      <c r="AQ102" s="3">
        <v>0</v>
      </c>
      <c r="AR102" s="3">
        <v>0</v>
      </c>
      <c r="AS102" s="3">
        <v>0</v>
      </c>
      <c r="AT102" s="3">
        <v>0</v>
      </c>
      <c r="AU102" s="42">
        <v>0</v>
      </c>
      <c r="AW102" s="27" t="s">
        <v>3</v>
      </c>
      <c r="AX102" s="3">
        <v>0</v>
      </c>
      <c r="AY102" s="3">
        <v>0</v>
      </c>
      <c r="AZ102" s="3">
        <v>0</v>
      </c>
      <c r="BA102" s="3">
        <v>0</v>
      </c>
      <c r="BB102" s="3">
        <v>0</v>
      </c>
      <c r="BC102" s="42">
        <v>0</v>
      </c>
    </row>
    <row r="103" spans="2:55" x14ac:dyDescent="0.25">
      <c r="B103" s="18">
        <v>2016</v>
      </c>
      <c r="C103" s="19">
        <v>1836</v>
      </c>
      <c r="D103" s="19">
        <v>2985</v>
      </c>
      <c r="E103" s="19">
        <v>1124</v>
      </c>
      <c r="F103" s="19">
        <v>1861</v>
      </c>
      <c r="G103" s="19">
        <v>7</v>
      </c>
      <c r="H103" s="20">
        <v>1720153050</v>
      </c>
      <c r="J103" s="27" t="s">
        <v>4</v>
      </c>
      <c r="K103" s="1">
        <v>590</v>
      </c>
      <c r="L103" s="1">
        <v>1041</v>
      </c>
      <c r="M103" s="1">
        <v>524</v>
      </c>
      <c r="N103" s="1">
        <v>517</v>
      </c>
      <c r="O103" s="68">
        <v>439280000</v>
      </c>
      <c r="Q103" s="27" t="s">
        <v>4</v>
      </c>
      <c r="R103" s="3">
        <v>613</v>
      </c>
      <c r="S103" s="3">
        <v>1024</v>
      </c>
      <c r="T103" s="3">
        <v>468</v>
      </c>
      <c r="U103" s="3">
        <v>556</v>
      </c>
      <c r="V103" s="3">
        <v>454</v>
      </c>
      <c r="W103" s="42">
        <v>516365200</v>
      </c>
      <c r="Y103" s="27" t="s">
        <v>4</v>
      </c>
      <c r="Z103" s="3">
        <v>619</v>
      </c>
      <c r="AA103" s="3">
        <v>1080</v>
      </c>
      <c r="AB103" s="3">
        <v>458</v>
      </c>
      <c r="AC103" s="3">
        <v>622</v>
      </c>
      <c r="AD103" s="3">
        <v>371</v>
      </c>
      <c r="AE103" s="4">
        <v>529264900</v>
      </c>
      <c r="AG103" s="63" t="s">
        <v>4</v>
      </c>
      <c r="AH103" s="72">
        <v>590</v>
      </c>
      <c r="AI103" s="72">
        <v>990</v>
      </c>
      <c r="AJ103" s="72">
        <v>371</v>
      </c>
      <c r="AK103" s="72">
        <v>619</v>
      </c>
      <c r="AL103" s="72">
        <v>309</v>
      </c>
      <c r="AM103" s="73">
        <v>556826350</v>
      </c>
      <c r="AO103" s="27" t="s">
        <v>4</v>
      </c>
      <c r="AP103" s="75">
        <v>587</v>
      </c>
      <c r="AQ103" s="75">
        <v>950</v>
      </c>
      <c r="AR103" s="75">
        <v>249</v>
      </c>
      <c r="AS103" s="75">
        <v>701</v>
      </c>
      <c r="AT103" s="75">
        <v>269</v>
      </c>
      <c r="AU103" s="69">
        <v>462221650</v>
      </c>
      <c r="AW103" s="27" t="s">
        <v>4</v>
      </c>
      <c r="AX103" s="75">
        <v>539</v>
      </c>
      <c r="AY103" s="75">
        <v>881</v>
      </c>
      <c r="AZ103" s="75">
        <v>190</v>
      </c>
      <c r="BA103" s="75">
        <v>691</v>
      </c>
      <c r="BB103" s="75">
        <v>191</v>
      </c>
      <c r="BC103" s="69">
        <v>257605800</v>
      </c>
    </row>
    <row r="104" spans="2:55" x14ac:dyDescent="0.25">
      <c r="B104" s="18">
        <v>2017</v>
      </c>
      <c r="C104" s="19">
        <v>1995</v>
      </c>
      <c r="D104" s="19">
        <v>3072</v>
      </c>
      <c r="E104" s="19">
        <v>909</v>
      </c>
      <c r="F104" s="19">
        <v>2163</v>
      </c>
      <c r="G104" s="19">
        <v>997</v>
      </c>
      <c r="H104" s="20">
        <v>1604204550</v>
      </c>
      <c r="J104" s="30" t="s">
        <v>5</v>
      </c>
      <c r="K104" s="1">
        <v>283</v>
      </c>
      <c r="L104" s="1">
        <v>520</v>
      </c>
      <c r="M104" s="1">
        <v>231</v>
      </c>
      <c r="N104" s="1">
        <v>289</v>
      </c>
      <c r="O104" s="68">
        <v>209090000</v>
      </c>
      <c r="Q104" s="30" t="s">
        <v>5</v>
      </c>
      <c r="R104" s="3">
        <v>282</v>
      </c>
      <c r="S104" s="3">
        <v>474</v>
      </c>
      <c r="T104" s="3">
        <v>191</v>
      </c>
      <c r="U104" s="3">
        <v>283</v>
      </c>
      <c r="V104" s="3">
        <v>194</v>
      </c>
      <c r="W104" s="42">
        <v>231646200</v>
      </c>
      <c r="Y104" s="30" t="s">
        <v>5</v>
      </c>
      <c r="Z104" s="3">
        <v>303</v>
      </c>
      <c r="AA104" s="3">
        <v>512</v>
      </c>
      <c r="AB104" s="3">
        <v>193</v>
      </c>
      <c r="AC104" s="3">
        <v>319</v>
      </c>
      <c r="AD104" s="3">
        <v>166</v>
      </c>
      <c r="AE104" s="4">
        <v>241359500</v>
      </c>
      <c r="AG104" s="64" t="s">
        <v>5</v>
      </c>
      <c r="AH104" s="72">
        <v>283</v>
      </c>
      <c r="AI104" s="72">
        <v>464</v>
      </c>
      <c r="AJ104" s="72">
        <v>173</v>
      </c>
      <c r="AK104" s="72">
        <v>291</v>
      </c>
      <c r="AL104" s="72">
        <v>147</v>
      </c>
      <c r="AM104" s="73">
        <v>266372250</v>
      </c>
      <c r="AO104" s="30" t="s">
        <v>5</v>
      </c>
      <c r="AP104" s="75">
        <v>282</v>
      </c>
      <c r="AQ104" s="75">
        <v>438</v>
      </c>
      <c r="AR104" s="75">
        <v>114</v>
      </c>
      <c r="AS104" s="75">
        <v>324</v>
      </c>
      <c r="AT104" s="75">
        <v>126</v>
      </c>
      <c r="AU104" s="69">
        <v>218896850</v>
      </c>
      <c r="AW104" s="30" t="s">
        <v>5</v>
      </c>
      <c r="AX104" s="75">
        <v>255</v>
      </c>
      <c r="AY104" s="75">
        <v>407</v>
      </c>
      <c r="AZ104" s="75">
        <v>84</v>
      </c>
      <c r="BA104" s="75">
        <v>323</v>
      </c>
      <c r="BB104" s="75">
        <v>83</v>
      </c>
      <c r="BC104" s="69">
        <v>118182400</v>
      </c>
    </row>
    <row r="105" spans="2:55" x14ac:dyDescent="0.25">
      <c r="B105" s="18">
        <v>2018</v>
      </c>
      <c r="C105" s="34">
        <f>SUM(Tabla1311121323243072[FAMILIAS])</f>
        <v>1910</v>
      </c>
      <c r="D105" s="34">
        <f>SUM(Tabla1311121323243072[TOTAL NNA])</f>
        <v>2900</v>
      </c>
      <c r="E105" s="34">
        <f>SUM(Tabla1311121323243072[NNA NUTRICION])</f>
        <v>788</v>
      </c>
      <c r="F105" s="34">
        <f>SUM(Tabla1311121323243072[[NNA EDUCACIÓN ]])</f>
        <v>2112</v>
      </c>
      <c r="G105" s="34">
        <f>SUM(Tabla1311121323243072[NN 0-5 AÑOS])</f>
        <v>791</v>
      </c>
      <c r="H105" s="57">
        <f>SUM(Tabla1311121323243072[TOTAL VALOR LIQUIDADO])</f>
        <v>954840650</v>
      </c>
      <c r="J105" s="30" t="s">
        <v>26</v>
      </c>
      <c r="K105" s="34">
        <f>SUM(Tabla1102567[FAMILIAS])</f>
        <v>1559</v>
      </c>
      <c r="L105" s="34">
        <f>SUM(Tabla1102567[TOTAL NNA])</f>
        <v>2819</v>
      </c>
      <c r="M105" s="34">
        <f>SUM(Tabla1102567[NNA NUTRICION])</f>
        <v>1289</v>
      </c>
      <c r="N105" s="34">
        <f>SUM(Tabla1102567[[NNA EDUCACIÓN ]])</f>
        <v>1530</v>
      </c>
      <c r="O105" s="57">
        <f>SUM(Tabla1102567[TOTAL VALOR LIQUIDADO])</f>
        <v>1150960000</v>
      </c>
      <c r="Q105" s="30" t="s">
        <v>26</v>
      </c>
      <c r="R105" s="34">
        <f>SUM(Tabla13112668[FAMILIAS])</f>
        <v>1630</v>
      </c>
      <c r="S105" s="34">
        <f>SUM(Tabla13112668[TOTAL NNA])</f>
        <v>2787</v>
      </c>
      <c r="T105" s="34">
        <f>SUM(Tabla13112668[NNA NUTRICION])</f>
        <v>1150</v>
      </c>
      <c r="U105" s="34">
        <f>SUM(Tabla13112668[[NNA EDUCACIÓN ]])</f>
        <v>1637</v>
      </c>
      <c r="V105" s="34">
        <f>SUM(Tabla13112668[NN 0-5 AÑOS])</f>
        <v>1153</v>
      </c>
      <c r="W105" s="57">
        <f>SUM(Tabla13112668[TOTAL VALOR LIQUIDADO])</f>
        <v>1337551400</v>
      </c>
      <c r="Y105" s="30" t="s">
        <v>26</v>
      </c>
      <c r="Z105" s="34">
        <f>SUM(Tabla1311122769[FAMILIAS])</f>
        <v>1810</v>
      </c>
      <c r="AA105" s="34">
        <f>SUM(Tabla1311122769[TOTAL NNA])</f>
        <v>3092</v>
      </c>
      <c r="AB105" s="34">
        <f>SUM(Tabla1311122769[NNA NUTRICION])</f>
        <v>1203</v>
      </c>
      <c r="AC105" s="34">
        <f>SUM(Tabla1311122769[[NNA EDUCACIÓN ]])</f>
        <v>1889</v>
      </c>
      <c r="AD105" s="34">
        <f>SUM(Tabla1311122769[NN 0-5 AÑOS])</f>
        <v>994</v>
      </c>
      <c r="AE105" s="4">
        <f>SUM(Tabla1311122769[TOTAL VALOR LIQUIDADO])</f>
        <v>1499954100</v>
      </c>
      <c r="AG105" s="64" t="s">
        <v>26</v>
      </c>
      <c r="AH105" s="65">
        <f>SUM(Tabla131112132870[FAMILIAS])</f>
        <v>1836</v>
      </c>
      <c r="AI105" s="65">
        <f>SUM(Tabla131112132870[TOTAL NNA])</f>
        <v>2985</v>
      </c>
      <c r="AJ105" s="65">
        <f>SUM(Tabla131112132870[NNA NUTRICION])</f>
        <v>1124</v>
      </c>
      <c r="AK105" s="65">
        <f>SUM(Tabla131112132870[[NNA EDUCACIÓN ]])</f>
        <v>1861</v>
      </c>
      <c r="AL105" s="65">
        <f>SUM(Tabla131112132870[NN 0-5 AÑOS])</f>
        <v>944</v>
      </c>
      <c r="AM105" s="66">
        <f>SUM(Tabla131112132870[TOTAL VALOR LIQUIDADO])</f>
        <v>1720153050</v>
      </c>
      <c r="AO105" s="30" t="s">
        <v>26</v>
      </c>
      <c r="AP105" s="34">
        <f>SUM(Tabla13111213232971[FAMILIAS])</f>
        <v>1995</v>
      </c>
      <c r="AQ105" s="34">
        <f>SUM(Tabla13111213232971[TOTAL NNA])</f>
        <v>3072</v>
      </c>
      <c r="AR105" s="34">
        <f>SUM(Tabla13111213232971[NNA NUTRICION])</f>
        <v>909</v>
      </c>
      <c r="AS105" s="34">
        <f>SUM(Tabla13111213232971[[NNA EDUCACIÓN ]])</f>
        <v>2163</v>
      </c>
      <c r="AT105" s="34">
        <f>SUM(Tabla13111213232971[NN 0-5 AÑOS])</f>
        <v>997</v>
      </c>
      <c r="AU105" s="57">
        <f>SUM(Tabla13111213232971[TOTAL VALOR LIQUIDADO])</f>
        <v>1604204550</v>
      </c>
      <c r="AW105" s="30" t="s">
        <v>26</v>
      </c>
      <c r="AX105" s="34">
        <f>SUM(Tabla1311121323243072[FAMILIAS])</f>
        <v>1910</v>
      </c>
      <c r="AY105" s="34">
        <f>SUM(Tabla1311121323243072[TOTAL NNA])</f>
        <v>2900</v>
      </c>
      <c r="AZ105" s="34">
        <f>SUM(Tabla1311121323243072[NNA NUTRICION])</f>
        <v>788</v>
      </c>
      <c r="BA105" s="34">
        <f>SUM(Tabla1311121323243072[[NNA EDUCACIÓN ]])</f>
        <v>2112</v>
      </c>
      <c r="BB105" s="34">
        <f>SUM(Tabla1311121323243072[NN 0-5 AÑOS])</f>
        <v>791</v>
      </c>
      <c r="BC105" s="57">
        <f>SUM(Tabla1311121323243072[TOTAL VALOR LIQUIDADO])</f>
        <v>954840650</v>
      </c>
    </row>
    <row r="106" spans="2:55" x14ac:dyDescent="0.25">
      <c r="B106" s="13"/>
      <c r="C106" s="14"/>
      <c r="D106" s="14"/>
      <c r="E106" s="14"/>
      <c r="F106" s="14"/>
      <c r="G106" s="14"/>
      <c r="H106" s="14">
        <f>SUM(Tabla3514151617181921[TOTAL VALOR LIQUIDADO])</f>
        <v>8267663750</v>
      </c>
      <c r="AW106" s="48" t="s">
        <v>38</v>
      </c>
    </row>
    <row r="107" spans="2:55" x14ac:dyDescent="0.25">
      <c r="C107" s="84"/>
      <c r="D107" s="84"/>
      <c r="E107" s="84"/>
      <c r="F107" s="84"/>
      <c r="G107" s="84"/>
      <c r="H107" s="85"/>
    </row>
    <row r="108" spans="2:55" x14ac:dyDescent="0.25">
      <c r="B108" s="12" t="s">
        <v>1</v>
      </c>
      <c r="C108" s="76" t="s">
        <v>18</v>
      </c>
      <c r="J108" s="12" t="s">
        <v>1</v>
      </c>
      <c r="K108" s="76" t="s">
        <v>18</v>
      </c>
      <c r="L108" s="87"/>
      <c r="M108" s="87"/>
      <c r="N108" s="87"/>
      <c r="O108" s="88"/>
      <c r="Q108" s="12" t="s">
        <v>1</v>
      </c>
      <c r="R108" s="6" t="s">
        <v>18</v>
      </c>
      <c r="S108" s="49"/>
      <c r="T108" s="49"/>
      <c r="U108" s="49"/>
      <c r="V108" s="49"/>
      <c r="W108" s="49"/>
      <c r="X108" s="49"/>
      <c r="Y108" s="12" t="s">
        <v>1</v>
      </c>
      <c r="Z108" s="76" t="s">
        <v>18</v>
      </c>
      <c r="AA108" s="77"/>
      <c r="AB108" s="77"/>
      <c r="AC108" s="77"/>
      <c r="AD108" s="77"/>
      <c r="AE108" s="77"/>
      <c r="AF108" s="40"/>
      <c r="AG108" s="12" t="s">
        <v>1</v>
      </c>
      <c r="AH108" s="76" t="s">
        <v>18</v>
      </c>
      <c r="AI108" s="77"/>
      <c r="AJ108" s="77"/>
      <c r="AK108" s="77"/>
      <c r="AL108" s="77"/>
      <c r="AM108" s="77"/>
      <c r="AN108" s="54"/>
      <c r="AO108" s="12" t="s">
        <v>1</v>
      </c>
      <c r="AP108" s="76" t="s">
        <v>18</v>
      </c>
      <c r="AQ108" s="77"/>
      <c r="AR108" s="77"/>
      <c r="AS108" s="77"/>
      <c r="AT108" s="77"/>
      <c r="AU108" s="77"/>
      <c r="AW108" s="12" t="s">
        <v>1</v>
      </c>
      <c r="AX108" s="76" t="s">
        <v>18</v>
      </c>
      <c r="AY108" s="77"/>
      <c r="AZ108" s="77"/>
      <c r="BA108" s="77"/>
      <c r="BB108" s="77"/>
      <c r="BC108" s="77"/>
    </row>
    <row r="109" spans="2:55" x14ac:dyDescent="0.25">
      <c r="B109" s="7" t="s">
        <v>23</v>
      </c>
      <c r="C109" s="71" t="s">
        <v>6</v>
      </c>
      <c r="D109" s="71" t="s">
        <v>19</v>
      </c>
      <c r="E109" s="71" t="s">
        <v>20</v>
      </c>
      <c r="F109" s="71" t="s">
        <v>21</v>
      </c>
      <c r="G109" s="71" t="s">
        <v>22</v>
      </c>
      <c r="H109" s="71" t="s">
        <v>7</v>
      </c>
      <c r="K109" s="101" t="s">
        <v>25</v>
      </c>
      <c r="L109" s="102"/>
      <c r="M109" s="102"/>
      <c r="N109" s="102"/>
      <c r="O109" s="103"/>
      <c r="R109" s="104" t="s">
        <v>27</v>
      </c>
      <c r="S109" s="105"/>
      <c r="T109" s="105"/>
      <c r="U109" s="105"/>
      <c r="V109" s="105"/>
      <c r="W109" s="106"/>
      <c r="X109" s="25"/>
      <c r="Z109" s="101" t="s">
        <v>28</v>
      </c>
      <c r="AA109" s="102"/>
      <c r="AB109" s="102"/>
      <c r="AC109" s="102"/>
      <c r="AD109" s="102"/>
      <c r="AE109" s="103"/>
      <c r="AF109" s="36"/>
      <c r="AH109" s="101" t="s">
        <v>35</v>
      </c>
      <c r="AI109" s="102"/>
      <c r="AJ109" s="102"/>
      <c r="AK109" s="102"/>
      <c r="AL109" s="102"/>
      <c r="AM109" s="103"/>
      <c r="AN109" s="37"/>
      <c r="AP109" s="101" t="s">
        <v>36</v>
      </c>
      <c r="AQ109" s="102"/>
      <c r="AR109" s="102"/>
      <c r="AS109" s="102"/>
      <c r="AT109" s="102"/>
      <c r="AU109" s="103"/>
      <c r="AX109" s="101" t="s">
        <v>37</v>
      </c>
      <c r="AY109" s="102"/>
      <c r="AZ109" s="102"/>
      <c r="BA109" s="102"/>
      <c r="BB109" s="102"/>
      <c r="BC109" s="103"/>
    </row>
    <row r="110" spans="2:55" x14ac:dyDescent="0.25">
      <c r="B110" s="18">
        <v>2013</v>
      </c>
      <c r="C110" s="19">
        <v>3726</v>
      </c>
      <c r="D110" s="19">
        <v>7522</v>
      </c>
      <c r="E110" s="19">
        <v>3441</v>
      </c>
      <c r="F110" s="19">
        <v>4081</v>
      </c>
      <c r="G110" s="86"/>
      <c r="H110" s="20">
        <v>3085270000</v>
      </c>
      <c r="J110" s="28" t="s">
        <v>24</v>
      </c>
      <c r="K110" s="74" t="s">
        <v>6</v>
      </c>
      <c r="L110" s="74" t="s">
        <v>19</v>
      </c>
      <c r="M110" s="74" t="s">
        <v>20</v>
      </c>
      <c r="N110" s="74" t="s">
        <v>21</v>
      </c>
      <c r="O110" s="74" t="s">
        <v>7</v>
      </c>
      <c r="Q110" s="28" t="s">
        <v>24</v>
      </c>
      <c r="R110" s="28" t="s">
        <v>6</v>
      </c>
      <c r="S110" s="28" t="s">
        <v>19</v>
      </c>
      <c r="T110" s="28" t="s">
        <v>20</v>
      </c>
      <c r="U110" s="28" t="s">
        <v>21</v>
      </c>
      <c r="V110" s="28" t="s">
        <v>22</v>
      </c>
      <c r="W110" s="28" t="s">
        <v>7</v>
      </c>
      <c r="X110" s="23"/>
      <c r="Y110" s="28" t="s">
        <v>24</v>
      </c>
      <c r="Z110" s="74" t="s">
        <v>6</v>
      </c>
      <c r="AA110" s="74" t="s">
        <v>19</v>
      </c>
      <c r="AB110" s="74" t="s">
        <v>20</v>
      </c>
      <c r="AC110" s="74" t="s">
        <v>21</v>
      </c>
      <c r="AD110" s="74" t="s">
        <v>22</v>
      </c>
      <c r="AE110" s="74" t="s">
        <v>7</v>
      </c>
      <c r="AF110" s="23"/>
      <c r="AG110" s="28" t="s">
        <v>24</v>
      </c>
      <c r="AH110" s="74" t="s">
        <v>6</v>
      </c>
      <c r="AI110" s="74" t="s">
        <v>19</v>
      </c>
      <c r="AJ110" s="74" t="s">
        <v>20</v>
      </c>
      <c r="AK110" s="74" t="s">
        <v>21</v>
      </c>
      <c r="AL110" s="74" t="s">
        <v>22</v>
      </c>
      <c r="AM110" s="74" t="s">
        <v>7</v>
      </c>
      <c r="AN110" s="38"/>
      <c r="AO110" s="28" t="s">
        <v>24</v>
      </c>
      <c r="AP110" s="74" t="s">
        <v>6</v>
      </c>
      <c r="AQ110" s="74" t="s">
        <v>19</v>
      </c>
      <c r="AR110" s="74" t="s">
        <v>20</v>
      </c>
      <c r="AS110" s="74" t="s">
        <v>21</v>
      </c>
      <c r="AT110" s="74" t="s">
        <v>22</v>
      </c>
      <c r="AU110" s="74" t="s">
        <v>7</v>
      </c>
      <c r="AW110" s="28" t="s">
        <v>24</v>
      </c>
      <c r="AX110" s="74" t="s">
        <v>6</v>
      </c>
      <c r="AY110" s="74" t="s">
        <v>19</v>
      </c>
      <c r="AZ110" s="74" t="s">
        <v>20</v>
      </c>
      <c r="BA110" s="74" t="s">
        <v>21</v>
      </c>
      <c r="BB110" s="74" t="s">
        <v>22</v>
      </c>
      <c r="BC110" s="74" t="s">
        <v>7</v>
      </c>
    </row>
    <row r="111" spans="2:55" x14ac:dyDescent="0.25">
      <c r="B111" s="18">
        <v>2014</v>
      </c>
      <c r="C111" s="19">
        <v>4443</v>
      </c>
      <c r="D111" s="19">
        <v>8867</v>
      </c>
      <c r="E111" s="19">
        <v>3436</v>
      </c>
      <c r="F111" s="19">
        <v>5431</v>
      </c>
      <c r="G111" s="19">
        <v>3467</v>
      </c>
      <c r="H111" s="20">
        <v>3856557600</v>
      </c>
      <c r="J111" s="27" t="s">
        <v>2</v>
      </c>
      <c r="K111" s="1">
        <v>1374</v>
      </c>
      <c r="L111" s="1">
        <v>2798</v>
      </c>
      <c r="M111" s="1">
        <v>1219</v>
      </c>
      <c r="N111" s="1">
        <v>1579</v>
      </c>
      <c r="O111" s="2">
        <v>1147550000</v>
      </c>
      <c r="Q111" s="27" t="s">
        <v>2</v>
      </c>
      <c r="R111" s="3">
        <v>1649</v>
      </c>
      <c r="S111" s="3">
        <v>3336</v>
      </c>
      <c r="T111" s="3">
        <v>1234</v>
      </c>
      <c r="U111" s="3">
        <v>2102</v>
      </c>
      <c r="V111" s="3">
        <v>1268</v>
      </c>
      <c r="W111" s="4">
        <v>1446741200</v>
      </c>
      <c r="Y111" s="27" t="s">
        <v>2</v>
      </c>
      <c r="Z111" s="3">
        <v>2015</v>
      </c>
      <c r="AA111" s="3">
        <v>3844</v>
      </c>
      <c r="AB111" s="3">
        <v>1356</v>
      </c>
      <c r="AC111" s="3">
        <v>2488</v>
      </c>
      <c r="AD111" s="3">
        <v>1154</v>
      </c>
      <c r="AE111" s="4">
        <v>1794506400</v>
      </c>
      <c r="AG111" s="63" t="s">
        <v>2</v>
      </c>
      <c r="AH111" s="72">
        <v>2170</v>
      </c>
      <c r="AI111" s="72">
        <v>3857</v>
      </c>
      <c r="AJ111" s="72">
        <v>1310</v>
      </c>
      <c r="AK111" s="72">
        <v>2547</v>
      </c>
      <c r="AL111" s="72">
        <v>1167</v>
      </c>
      <c r="AM111" s="73">
        <v>1935763450</v>
      </c>
      <c r="AO111" s="27" t="s">
        <v>2</v>
      </c>
      <c r="AP111" s="72">
        <v>2450</v>
      </c>
      <c r="AQ111" s="72">
        <v>4029</v>
      </c>
      <c r="AR111" s="72">
        <v>1299</v>
      </c>
      <c r="AS111" s="72">
        <v>2730</v>
      </c>
      <c r="AT111" s="72">
        <v>1415</v>
      </c>
      <c r="AU111" s="69">
        <v>2279276000</v>
      </c>
      <c r="AW111" s="27" t="s">
        <v>2</v>
      </c>
      <c r="AX111" s="72">
        <v>2562</v>
      </c>
      <c r="AY111" s="72">
        <v>4190</v>
      </c>
      <c r="AZ111" s="72">
        <v>1255</v>
      </c>
      <c r="BA111" s="72">
        <v>2935</v>
      </c>
      <c r="BB111" s="72">
        <v>1230</v>
      </c>
      <c r="BC111" s="69">
        <v>1454645650</v>
      </c>
    </row>
    <row r="112" spans="2:55" x14ac:dyDescent="0.25">
      <c r="B112" s="18">
        <v>2015</v>
      </c>
      <c r="C112" s="19">
        <v>4684</v>
      </c>
      <c r="D112" s="19">
        <v>8996</v>
      </c>
      <c r="E112" s="19">
        <v>3222</v>
      </c>
      <c r="F112" s="19">
        <v>5774</v>
      </c>
      <c r="G112" s="19">
        <v>2718</v>
      </c>
      <c r="H112" s="20">
        <v>4146754650</v>
      </c>
      <c r="J112" s="27" t="s">
        <v>3</v>
      </c>
      <c r="K112" s="1">
        <v>0</v>
      </c>
      <c r="L112" s="1">
        <v>0</v>
      </c>
      <c r="M112" s="1">
        <v>0</v>
      </c>
      <c r="N112" s="1">
        <v>0</v>
      </c>
      <c r="O112" s="2">
        <v>0</v>
      </c>
      <c r="Q112" s="27" t="s">
        <v>3</v>
      </c>
      <c r="R112" s="3">
        <v>38</v>
      </c>
      <c r="S112" s="3">
        <v>106</v>
      </c>
      <c r="T112" s="3">
        <v>47</v>
      </c>
      <c r="U112" s="3">
        <v>59</v>
      </c>
      <c r="V112" s="3">
        <v>43</v>
      </c>
      <c r="W112" s="4">
        <v>37334400</v>
      </c>
      <c r="Y112" s="27" t="s">
        <v>3</v>
      </c>
      <c r="Z112" s="3">
        <v>42</v>
      </c>
      <c r="AA112" s="3">
        <v>105</v>
      </c>
      <c r="AB112" s="3">
        <v>43</v>
      </c>
      <c r="AC112" s="3">
        <v>62</v>
      </c>
      <c r="AD112" s="3">
        <v>34</v>
      </c>
      <c r="AE112" s="4">
        <v>45622950</v>
      </c>
      <c r="AG112" s="63" t="s">
        <v>3</v>
      </c>
      <c r="AH112" s="72">
        <v>43</v>
      </c>
      <c r="AI112" s="72">
        <v>107</v>
      </c>
      <c r="AJ112" s="72">
        <v>35</v>
      </c>
      <c r="AK112" s="72">
        <v>72</v>
      </c>
      <c r="AL112" s="72">
        <v>31</v>
      </c>
      <c r="AM112" s="73">
        <v>50445100</v>
      </c>
      <c r="AO112" s="27" t="s">
        <v>3</v>
      </c>
      <c r="AP112" s="75">
        <v>42</v>
      </c>
      <c r="AQ112" s="75">
        <v>104</v>
      </c>
      <c r="AR112" s="75">
        <v>30</v>
      </c>
      <c r="AS112" s="75">
        <v>74</v>
      </c>
      <c r="AT112" s="75">
        <v>32</v>
      </c>
      <c r="AU112" s="69">
        <v>45228750</v>
      </c>
      <c r="AW112" s="27" t="s">
        <v>3</v>
      </c>
      <c r="AX112" s="75">
        <v>35</v>
      </c>
      <c r="AY112" s="75">
        <v>75</v>
      </c>
      <c r="AZ112" s="75">
        <v>22</v>
      </c>
      <c r="BA112" s="75">
        <v>53</v>
      </c>
      <c r="BB112" s="75">
        <v>21</v>
      </c>
      <c r="BC112" s="69">
        <v>21200600</v>
      </c>
    </row>
    <row r="113" spans="2:55" x14ac:dyDescent="0.25">
      <c r="B113" s="18">
        <v>2016</v>
      </c>
      <c r="C113" s="19">
        <v>4669</v>
      </c>
      <c r="D113" s="19">
        <v>8534</v>
      </c>
      <c r="E113" s="19">
        <v>2776</v>
      </c>
      <c r="F113" s="19">
        <v>5758</v>
      </c>
      <c r="G113" s="19">
        <v>26</v>
      </c>
      <c r="H113" s="20">
        <v>4142607350</v>
      </c>
      <c r="J113" s="27" t="s">
        <v>4</v>
      </c>
      <c r="K113" s="1">
        <v>2158</v>
      </c>
      <c r="L113" s="1">
        <v>4329</v>
      </c>
      <c r="M113" s="1">
        <v>2076</v>
      </c>
      <c r="N113" s="1">
        <v>2253</v>
      </c>
      <c r="O113" s="2">
        <v>1784200000</v>
      </c>
      <c r="Q113" s="27" t="s">
        <v>4</v>
      </c>
      <c r="R113" s="3">
        <v>2542</v>
      </c>
      <c r="S113" s="3">
        <v>5005</v>
      </c>
      <c r="T113" s="3">
        <v>2033</v>
      </c>
      <c r="U113" s="3">
        <v>2972</v>
      </c>
      <c r="V113" s="3">
        <v>2014</v>
      </c>
      <c r="W113" s="4">
        <v>2200364400</v>
      </c>
      <c r="Y113" s="27" t="s">
        <v>4</v>
      </c>
      <c r="Z113" s="3">
        <v>2418</v>
      </c>
      <c r="AA113" s="3">
        <v>4638</v>
      </c>
      <c r="AB113" s="3">
        <v>1717</v>
      </c>
      <c r="AC113" s="3">
        <v>2921</v>
      </c>
      <c r="AD113" s="3">
        <v>1445</v>
      </c>
      <c r="AE113" s="4">
        <v>2131132700</v>
      </c>
      <c r="AG113" s="63" t="s">
        <v>4</v>
      </c>
      <c r="AH113" s="72">
        <v>2256</v>
      </c>
      <c r="AI113" s="72">
        <v>4202</v>
      </c>
      <c r="AJ113" s="72">
        <v>1344</v>
      </c>
      <c r="AK113" s="72">
        <v>2858</v>
      </c>
      <c r="AL113" s="72">
        <v>1156</v>
      </c>
      <c r="AM113" s="73">
        <v>1989095100</v>
      </c>
      <c r="AO113" s="27" t="s">
        <v>4</v>
      </c>
      <c r="AP113" s="75">
        <v>2180</v>
      </c>
      <c r="AQ113" s="75">
        <v>3832</v>
      </c>
      <c r="AR113" s="75">
        <v>1002</v>
      </c>
      <c r="AS113" s="75">
        <v>2830</v>
      </c>
      <c r="AT113" s="75">
        <v>1067</v>
      </c>
      <c r="AU113" s="69">
        <v>1945872350</v>
      </c>
      <c r="AW113" s="27" t="s">
        <v>4</v>
      </c>
      <c r="AX113" s="75">
        <v>2160</v>
      </c>
      <c r="AY113" s="75">
        <v>3844</v>
      </c>
      <c r="AZ113" s="75">
        <v>861</v>
      </c>
      <c r="BA113" s="75">
        <v>2983</v>
      </c>
      <c r="BB113" s="75">
        <v>846</v>
      </c>
      <c r="BC113" s="69">
        <v>1164707400</v>
      </c>
    </row>
    <row r="114" spans="2:55" x14ac:dyDescent="0.25">
      <c r="B114" s="18">
        <v>2017</v>
      </c>
      <c r="C114" s="19">
        <v>4859</v>
      </c>
      <c r="D114" s="19">
        <v>8289</v>
      </c>
      <c r="E114" s="19">
        <v>2407</v>
      </c>
      <c r="F114" s="19">
        <v>5882</v>
      </c>
      <c r="G114" s="19">
        <v>2596</v>
      </c>
      <c r="H114" s="20">
        <v>4439831700</v>
      </c>
      <c r="J114" s="30" t="s">
        <v>5</v>
      </c>
      <c r="K114" s="1">
        <v>194</v>
      </c>
      <c r="L114" s="1">
        <v>395</v>
      </c>
      <c r="M114" s="1">
        <v>146</v>
      </c>
      <c r="N114" s="1">
        <v>249</v>
      </c>
      <c r="O114" s="2">
        <v>153520000</v>
      </c>
      <c r="Q114" s="30" t="s">
        <v>5</v>
      </c>
      <c r="R114" s="3">
        <v>214</v>
      </c>
      <c r="S114" s="3">
        <v>420</v>
      </c>
      <c r="T114" s="3">
        <v>122</v>
      </c>
      <c r="U114" s="3">
        <v>298</v>
      </c>
      <c r="V114" s="3">
        <v>142</v>
      </c>
      <c r="W114" s="4">
        <v>172117600</v>
      </c>
      <c r="Y114" s="30" t="s">
        <v>5</v>
      </c>
      <c r="Z114" s="3">
        <v>209</v>
      </c>
      <c r="AA114" s="3">
        <v>409</v>
      </c>
      <c r="AB114" s="3">
        <v>106</v>
      </c>
      <c r="AC114" s="3">
        <v>303</v>
      </c>
      <c r="AD114" s="3">
        <v>85</v>
      </c>
      <c r="AE114" s="4">
        <v>175492600</v>
      </c>
      <c r="AG114" s="64" t="s">
        <v>5</v>
      </c>
      <c r="AH114" s="72">
        <v>200</v>
      </c>
      <c r="AI114" s="72">
        <v>368</v>
      </c>
      <c r="AJ114" s="72">
        <v>87</v>
      </c>
      <c r="AK114" s="72">
        <v>281</v>
      </c>
      <c r="AL114" s="72">
        <v>76</v>
      </c>
      <c r="AM114" s="73">
        <v>167303700</v>
      </c>
      <c r="AO114" s="30" t="s">
        <v>5</v>
      </c>
      <c r="AP114" s="75">
        <v>187</v>
      </c>
      <c r="AQ114" s="75">
        <v>324</v>
      </c>
      <c r="AR114" s="75">
        <v>76</v>
      </c>
      <c r="AS114" s="75">
        <v>248</v>
      </c>
      <c r="AT114" s="75">
        <v>82</v>
      </c>
      <c r="AU114" s="69">
        <v>169454600</v>
      </c>
      <c r="AW114" s="30" t="s">
        <v>5</v>
      </c>
      <c r="AX114" s="75">
        <v>182</v>
      </c>
      <c r="AY114" s="75">
        <v>317</v>
      </c>
      <c r="AZ114" s="75">
        <v>67</v>
      </c>
      <c r="BA114" s="75">
        <v>250</v>
      </c>
      <c r="BB114" s="75">
        <v>66</v>
      </c>
      <c r="BC114" s="69">
        <v>97596150</v>
      </c>
    </row>
    <row r="115" spans="2:55" x14ac:dyDescent="0.25">
      <c r="B115" s="18">
        <v>2018</v>
      </c>
      <c r="C115" s="34">
        <f>SUM(Tabla1311121323243078[FAMILIAS])</f>
        <v>4939</v>
      </c>
      <c r="D115" s="34">
        <f>SUM(Tabla1311121323243078[TOTAL NNA])</f>
        <v>8426</v>
      </c>
      <c r="E115" s="34">
        <f>SUM(Tabla1311121323243078[NNA NUTRICION])</f>
        <v>2205</v>
      </c>
      <c r="F115" s="34">
        <f>SUM(Tabla1311121323243078[[NNA EDUCACIÓN ]])</f>
        <v>6221</v>
      </c>
      <c r="G115" s="34">
        <f>SUM(Tabla1311121323243078[NN 0-5 AÑOS])</f>
        <v>2163</v>
      </c>
      <c r="H115" s="57">
        <f>SUM(Tabla1311121323243078[TOTAL VALOR LIQUIDADO])</f>
        <v>2738149800</v>
      </c>
      <c r="J115" s="30" t="s">
        <v>26</v>
      </c>
      <c r="K115" s="34">
        <f>SUM(Tabla1102573[FAMILIAS])</f>
        <v>3726</v>
      </c>
      <c r="L115" s="34">
        <f>SUM(Tabla1102573[TOTAL NNA])</f>
        <v>7522</v>
      </c>
      <c r="M115" s="34">
        <f>SUM(Tabla1102573[NNA NUTRICION])</f>
        <v>3441</v>
      </c>
      <c r="N115" s="34">
        <f>SUM(Tabla1102573[[NNA EDUCACIÓN ]])</f>
        <v>4081</v>
      </c>
      <c r="O115" s="57">
        <f>SUM(Tabla1102573[TOTAL VALOR LIQUIDADO])</f>
        <v>3085270000</v>
      </c>
      <c r="Q115" s="30" t="s">
        <v>26</v>
      </c>
      <c r="R115" s="34">
        <f>SUM(Tabla13112674[FAMILIAS])</f>
        <v>4443</v>
      </c>
      <c r="S115" s="34">
        <f>SUM(Tabla13112674[TOTAL NNA])</f>
        <v>8867</v>
      </c>
      <c r="T115" s="34">
        <f>SUM(Tabla13112674[NNA NUTRICION])</f>
        <v>3436</v>
      </c>
      <c r="U115" s="34">
        <f>SUM(Tabla13112674[[NNA EDUCACIÓN ]])</f>
        <v>5431</v>
      </c>
      <c r="V115" s="34">
        <f>SUM(Tabla13112674[NN 0-5 AÑOS])</f>
        <v>3467</v>
      </c>
      <c r="W115" s="57">
        <f>SUM(Tabla13112674[TOTAL VALOR LIQUIDADO])</f>
        <v>3856557600</v>
      </c>
      <c r="Y115" s="30" t="s">
        <v>26</v>
      </c>
      <c r="Z115" s="34">
        <f>SUM(Tabla1311122775[FAMILIAS])</f>
        <v>4684</v>
      </c>
      <c r="AA115" s="34">
        <f>SUM(Tabla1311122775[TOTAL NNA])</f>
        <v>8996</v>
      </c>
      <c r="AB115" s="34">
        <f>SUM(Tabla1311122775[NNA NUTRICION])</f>
        <v>3222</v>
      </c>
      <c r="AC115" s="34">
        <f>SUM(Tabla1311122775[[NNA EDUCACIÓN ]])</f>
        <v>5774</v>
      </c>
      <c r="AD115" s="34">
        <f>SUM(Tabla1311122775[NN 0-5 AÑOS])</f>
        <v>2718</v>
      </c>
      <c r="AE115" s="4">
        <f>SUM(Tabla1311122775[TOTAL VALOR LIQUIDADO])</f>
        <v>4146754650</v>
      </c>
      <c r="AG115" s="64" t="s">
        <v>26</v>
      </c>
      <c r="AH115" s="65">
        <f>SUM(Tabla131112132876[FAMILIAS])</f>
        <v>4669</v>
      </c>
      <c r="AI115" s="65">
        <f>SUM(Tabla131112132876[TOTAL NNA])</f>
        <v>8534</v>
      </c>
      <c r="AJ115" s="65">
        <f>SUM(Tabla131112132876[NNA NUTRICION])</f>
        <v>2776</v>
      </c>
      <c r="AK115" s="65">
        <f>SUM(Tabla131112132876[[NNA EDUCACIÓN ]])</f>
        <v>5758</v>
      </c>
      <c r="AL115" s="65">
        <f>SUM(Tabla131112132876[NN 0-5 AÑOS])</f>
        <v>2430</v>
      </c>
      <c r="AM115" s="66">
        <f>SUM(Tabla131112132876[TOTAL VALOR LIQUIDADO])</f>
        <v>4142607350</v>
      </c>
      <c r="AO115" s="30" t="s">
        <v>26</v>
      </c>
      <c r="AP115" s="34">
        <f>SUM(Tabla13111213232977[FAMILIAS])</f>
        <v>4859</v>
      </c>
      <c r="AQ115" s="34">
        <f>SUM(Tabla13111213232977[TOTAL NNA])</f>
        <v>8289</v>
      </c>
      <c r="AR115" s="34">
        <f>SUM(Tabla13111213232977[NNA NUTRICION])</f>
        <v>2407</v>
      </c>
      <c r="AS115" s="34">
        <f>SUM(Tabla13111213232977[[NNA EDUCACIÓN ]])</f>
        <v>5882</v>
      </c>
      <c r="AT115" s="34">
        <f>SUM(Tabla13111213232977[NN 0-5 AÑOS])</f>
        <v>2596</v>
      </c>
      <c r="AU115" s="57">
        <f>SUM(Tabla13111213232977[TOTAL VALOR LIQUIDADO])</f>
        <v>4439831700</v>
      </c>
      <c r="AW115" s="30" t="s">
        <v>26</v>
      </c>
      <c r="AX115" s="34">
        <f>SUM(Tabla1311121323243078[FAMILIAS])</f>
        <v>4939</v>
      </c>
      <c r="AY115" s="34">
        <f>SUM(Tabla1311121323243078[TOTAL NNA])</f>
        <v>8426</v>
      </c>
      <c r="AZ115" s="34">
        <f>SUM(Tabla1311121323243078[NNA NUTRICION])</f>
        <v>2205</v>
      </c>
      <c r="BA115" s="34">
        <f>SUM(Tabla1311121323243078[[NNA EDUCACIÓN ]])</f>
        <v>6221</v>
      </c>
      <c r="BB115" s="34">
        <f>SUM(Tabla1311121323243078[NN 0-5 AÑOS])</f>
        <v>2163</v>
      </c>
      <c r="BC115" s="57">
        <f>SUM(Tabla1311121323243078[TOTAL VALOR LIQUIDADO])</f>
        <v>2738149800</v>
      </c>
    </row>
    <row r="116" spans="2:55" x14ac:dyDescent="0.25">
      <c r="B116" s="13"/>
      <c r="C116" s="14"/>
      <c r="D116" s="14"/>
      <c r="E116" s="14"/>
      <c r="F116" s="14"/>
      <c r="G116" s="14"/>
      <c r="H116" s="14">
        <f>SUM(Tabla3514151617181922[TOTAL VALOR LIQUIDADO])</f>
        <v>22409171100</v>
      </c>
      <c r="AM116" s="81"/>
      <c r="AW116" s="48" t="s">
        <v>38</v>
      </c>
    </row>
    <row r="117" spans="2:55" x14ac:dyDescent="0.25">
      <c r="B117" s="13"/>
      <c r="C117" s="14"/>
      <c r="D117" s="14"/>
      <c r="E117" s="14"/>
      <c r="F117" s="14"/>
      <c r="G117" s="14"/>
      <c r="H117" s="14"/>
      <c r="AM117" s="81"/>
      <c r="AW117" s="48"/>
    </row>
    <row r="118" spans="2:55" x14ac:dyDescent="0.25">
      <c r="B118" s="13"/>
      <c r="C118" s="14"/>
      <c r="D118" s="14"/>
      <c r="E118" s="14"/>
      <c r="F118" s="14"/>
      <c r="G118" s="14"/>
      <c r="H118" s="14"/>
      <c r="AM118" s="81"/>
      <c r="AW118" s="48"/>
    </row>
    <row r="119" spans="2:55" x14ac:dyDescent="0.25">
      <c r="B119" s="13"/>
      <c r="C119" s="14"/>
      <c r="D119" s="14"/>
      <c r="E119" s="14"/>
      <c r="F119" s="14"/>
      <c r="G119" s="14"/>
      <c r="H119" s="14"/>
      <c r="AM119" s="81"/>
      <c r="AW119" s="48"/>
    </row>
    <row r="120" spans="2:55" x14ac:dyDescent="0.25">
      <c r="B120" s="13"/>
      <c r="C120" s="14"/>
      <c r="D120" s="14"/>
      <c r="E120" s="14"/>
      <c r="F120" s="14"/>
      <c r="G120" s="14"/>
      <c r="H120" s="14"/>
      <c r="AM120" s="81"/>
      <c r="AW120" s="48"/>
    </row>
    <row r="124" spans="2:55" x14ac:dyDescent="0.25">
      <c r="I124" s="93"/>
    </row>
    <row r="125" spans="2:55" x14ac:dyDescent="0.25">
      <c r="I125" s="93"/>
    </row>
    <row r="126" spans="2:55" x14ac:dyDescent="0.25">
      <c r="I126" s="93"/>
    </row>
    <row r="127" spans="2:55" x14ac:dyDescent="0.25">
      <c r="I127" s="93"/>
    </row>
    <row r="128" spans="2:55" x14ac:dyDescent="0.25">
      <c r="I128" s="93"/>
    </row>
    <row r="129" spans="9:9" x14ac:dyDescent="0.25">
      <c r="I129" s="93"/>
    </row>
    <row r="130" spans="9:9" x14ac:dyDescent="0.25">
      <c r="I130" s="93"/>
    </row>
    <row r="131" spans="9:9" x14ac:dyDescent="0.25">
      <c r="I131" s="93"/>
    </row>
    <row r="132" spans="9:9" x14ac:dyDescent="0.25">
      <c r="I132" s="93"/>
    </row>
    <row r="133" spans="9:9" x14ac:dyDescent="0.25">
      <c r="I133" s="93"/>
    </row>
    <row r="134" spans="9:9" x14ac:dyDescent="0.25">
      <c r="I134" s="93"/>
    </row>
    <row r="135" spans="9:9" x14ac:dyDescent="0.25">
      <c r="I135" s="93"/>
    </row>
    <row r="136" spans="9:9" x14ac:dyDescent="0.25">
      <c r="I136" s="93"/>
    </row>
    <row r="137" spans="9:9" x14ac:dyDescent="0.25">
      <c r="I137" s="93"/>
    </row>
    <row r="138" spans="9:9" x14ac:dyDescent="0.25">
      <c r="I138" s="93"/>
    </row>
  </sheetData>
  <mergeCells count="69">
    <mergeCell ref="Z7:AE7"/>
    <mergeCell ref="K7:O7"/>
    <mergeCell ref="K17:O17"/>
    <mergeCell ref="R7:W7"/>
    <mergeCell ref="AP7:AU7"/>
    <mergeCell ref="AX7:BC7"/>
    <mergeCell ref="AP19:AU19"/>
    <mergeCell ref="AX19:BC19"/>
    <mergeCell ref="AH7:AM7"/>
    <mergeCell ref="AH19:AM19"/>
    <mergeCell ref="AX29:BC29"/>
    <mergeCell ref="AW17:BE17"/>
    <mergeCell ref="K19:O19"/>
    <mergeCell ref="J27:N27"/>
    <mergeCell ref="R19:W19"/>
    <mergeCell ref="Z19:AE19"/>
    <mergeCell ref="K29:O29"/>
    <mergeCell ref="R29:W29"/>
    <mergeCell ref="Z29:AE29"/>
    <mergeCell ref="AH29:AM29"/>
    <mergeCell ref="AP29:AU29"/>
    <mergeCell ref="AX49:BC49"/>
    <mergeCell ref="K39:O39"/>
    <mergeCell ref="R39:W39"/>
    <mergeCell ref="Z39:AE39"/>
    <mergeCell ref="AH39:AM39"/>
    <mergeCell ref="AP39:AU39"/>
    <mergeCell ref="AX39:BC39"/>
    <mergeCell ref="K49:O49"/>
    <mergeCell ref="R49:W49"/>
    <mergeCell ref="Z49:AE49"/>
    <mergeCell ref="AH49:AM49"/>
    <mergeCell ref="AP49:AU49"/>
    <mergeCell ref="AX69:BC69"/>
    <mergeCell ref="K59:O59"/>
    <mergeCell ref="R59:W59"/>
    <mergeCell ref="Z59:AE59"/>
    <mergeCell ref="AH59:AM59"/>
    <mergeCell ref="AP59:AU59"/>
    <mergeCell ref="AX59:BC59"/>
    <mergeCell ref="K69:O69"/>
    <mergeCell ref="R69:W69"/>
    <mergeCell ref="Z69:AE69"/>
    <mergeCell ref="AH69:AM69"/>
    <mergeCell ref="AP69:AU69"/>
    <mergeCell ref="AX89:BC89"/>
    <mergeCell ref="K79:O79"/>
    <mergeCell ref="R79:W79"/>
    <mergeCell ref="Z79:AE79"/>
    <mergeCell ref="AH79:AM79"/>
    <mergeCell ref="AP79:AU79"/>
    <mergeCell ref="AX79:BC79"/>
    <mergeCell ref="K89:O89"/>
    <mergeCell ref="R89:W89"/>
    <mergeCell ref="Z89:AE89"/>
    <mergeCell ref="AH89:AM89"/>
    <mergeCell ref="AP89:AU89"/>
    <mergeCell ref="AX109:BC109"/>
    <mergeCell ref="K99:O99"/>
    <mergeCell ref="R99:W99"/>
    <mergeCell ref="Z99:AE99"/>
    <mergeCell ref="AH99:AM99"/>
    <mergeCell ref="AP99:AU99"/>
    <mergeCell ref="AX99:BC99"/>
    <mergeCell ref="K109:O109"/>
    <mergeCell ref="R109:W109"/>
    <mergeCell ref="Z109:AE109"/>
    <mergeCell ref="AH109:AM109"/>
    <mergeCell ref="AP109:AU109"/>
  </mergeCells>
  <conditionalFormatting sqref="B6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{1C8082B1-ED5C-42F6-9D16-AA5E13A2BC36}</x14:id>
        </ext>
      </extLst>
    </cfRule>
  </conditionalFormatting>
  <conditionalFormatting sqref="B76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{7D38762F-7BEA-4F4D-B367-76D9F1EEE43B}</x14:id>
        </ext>
      </extLst>
    </cfRule>
  </conditionalFormatting>
  <conditionalFormatting sqref="B86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{5DF0C937-9428-4415-A696-8E6CA281C2F5}</x14:id>
        </ext>
      </extLst>
    </cfRule>
  </conditionalFormatting>
  <pageMargins left="0.7" right="0.7" top="0.75" bottom="0.75" header="0.3" footer="0.3"/>
  <pageSetup orientation="portrait" verticalDpi="0" r:id="rId1"/>
  <tableParts count="7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8082B1-ED5C-42F6-9D16-AA5E13A2BC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B66</xm:sqref>
        </x14:conditionalFormatting>
        <x14:conditionalFormatting xmlns:xm="http://schemas.microsoft.com/office/excel/2006/main">
          <x14:cfRule type="dataBar" id="{7D38762F-7BEA-4F4D-B367-76D9F1EEE4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B76</xm:sqref>
        </x14:conditionalFormatting>
        <x14:conditionalFormatting xmlns:xm="http://schemas.microsoft.com/office/excel/2006/main">
          <x14:cfRule type="dataBar" id="{5DF0C937-9428-4415-A696-8E6CA281C2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B86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workbookViewId="0">
      <selection activeCell="D22" sqref="D22"/>
    </sheetView>
  </sheetViews>
  <sheetFormatPr baseColWidth="10" defaultRowHeight="15" x14ac:dyDescent="0.25"/>
  <sheetData>
    <row r="3" spans="1:7" x14ac:dyDescent="0.25">
      <c r="A3" s="89" t="s">
        <v>63</v>
      </c>
      <c r="B3" s="48"/>
      <c r="C3" s="48"/>
      <c r="D3" s="48"/>
      <c r="E3" s="48"/>
      <c r="F3" s="48"/>
      <c r="G3" s="48"/>
    </row>
    <row r="4" spans="1:7" x14ac:dyDescent="0.25">
      <c r="A4" s="12" t="s">
        <v>64</v>
      </c>
      <c r="B4" s="84"/>
      <c r="C4" s="84"/>
      <c r="D4" s="84"/>
      <c r="E4" s="84"/>
      <c r="F4" s="84"/>
      <c r="G4" s="85"/>
    </row>
    <row r="5" spans="1:7" x14ac:dyDescent="0.25">
      <c r="A5" s="12"/>
      <c r="B5" s="90"/>
      <c r="C5" s="48"/>
      <c r="D5" s="48"/>
      <c r="E5" s="48"/>
      <c r="F5" s="48"/>
      <c r="G5" s="48"/>
    </row>
    <row r="6" spans="1:7" ht="45" x14ac:dyDescent="0.25">
      <c r="A6" s="91" t="s">
        <v>45</v>
      </c>
      <c r="B6" s="91" t="s">
        <v>0</v>
      </c>
      <c r="C6" s="91" t="s">
        <v>46</v>
      </c>
      <c r="D6" s="92" t="s">
        <v>47</v>
      </c>
      <c r="E6" s="92" t="s">
        <v>48</v>
      </c>
      <c r="F6" s="92" t="s">
        <v>49</v>
      </c>
      <c r="G6" s="93"/>
    </row>
    <row r="7" spans="1:7" x14ac:dyDescent="0.25">
      <c r="A7" s="94">
        <v>54003</v>
      </c>
      <c r="B7" s="95" t="s">
        <v>50</v>
      </c>
      <c r="C7" s="95" t="s">
        <v>51</v>
      </c>
      <c r="D7" s="96">
        <v>4714</v>
      </c>
      <c r="E7" s="96">
        <v>4224</v>
      </c>
      <c r="F7" s="97">
        <v>89.69</v>
      </c>
      <c r="G7" s="93"/>
    </row>
    <row r="8" spans="1:7" x14ac:dyDescent="0.25">
      <c r="A8" s="94">
        <v>54206</v>
      </c>
      <c r="B8" s="95" t="s">
        <v>50</v>
      </c>
      <c r="C8" s="95" t="s">
        <v>52</v>
      </c>
      <c r="D8" s="96">
        <v>2580</v>
      </c>
      <c r="E8" s="96">
        <v>2467</v>
      </c>
      <c r="F8" s="97">
        <v>95.740000000000009</v>
      </c>
      <c r="G8" s="93"/>
    </row>
    <row r="9" spans="1:7" x14ac:dyDescent="0.25">
      <c r="A9" s="98">
        <v>54245</v>
      </c>
      <c r="B9" s="95" t="s">
        <v>50</v>
      </c>
      <c r="C9" s="95" t="s">
        <v>53</v>
      </c>
      <c r="D9" s="96">
        <v>2111</v>
      </c>
      <c r="E9" s="96">
        <v>1863</v>
      </c>
      <c r="F9" s="97">
        <v>88.02</v>
      </c>
      <c r="G9" s="93"/>
    </row>
    <row r="10" spans="1:7" x14ac:dyDescent="0.25">
      <c r="A10" s="94">
        <v>54250</v>
      </c>
      <c r="B10" s="95" t="s">
        <v>50</v>
      </c>
      <c r="C10" s="95" t="s">
        <v>54</v>
      </c>
      <c r="D10" s="96">
        <v>2840</v>
      </c>
      <c r="E10" s="96">
        <v>2763</v>
      </c>
      <c r="F10" s="97">
        <v>97.11</v>
      </c>
      <c r="G10" s="93"/>
    </row>
    <row r="11" spans="1:7" x14ac:dyDescent="0.25">
      <c r="A11" s="94">
        <v>54344</v>
      </c>
      <c r="B11" s="95" t="s">
        <v>50</v>
      </c>
      <c r="C11" s="95" t="s">
        <v>55</v>
      </c>
      <c r="D11" s="96">
        <v>1695</v>
      </c>
      <c r="E11" s="96">
        <v>1626</v>
      </c>
      <c r="F11" s="97">
        <v>96.11</v>
      </c>
      <c r="G11" s="93"/>
    </row>
    <row r="12" spans="1:7" x14ac:dyDescent="0.25">
      <c r="A12" s="94">
        <v>54398</v>
      </c>
      <c r="B12" s="95" t="s">
        <v>50</v>
      </c>
      <c r="C12" s="95" t="s">
        <v>56</v>
      </c>
      <c r="D12" s="96">
        <v>1283</v>
      </c>
      <c r="E12" s="96">
        <v>1202</v>
      </c>
      <c r="F12" s="97">
        <v>93.53</v>
      </c>
      <c r="G12" s="93"/>
    </row>
    <row r="13" spans="1:7" x14ac:dyDescent="0.25">
      <c r="A13" s="94">
        <v>54498</v>
      </c>
      <c r="B13" s="95" t="s">
        <v>50</v>
      </c>
      <c r="C13" s="95" t="s">
        <v>57</v>
      </c>
      <c r="D13" s="96">
        <v>13091</v>
      </c>
      <c r="E13" s="96">
        <v>11515</v>
      </c>
      <c r="F13" s="97">
        <v>88</v>
      </c>
      <c r="G13" s="93"/>
    </row>
    <row r="14" spans="1:7" x14ac:dyDescent="0.25">
      <c r="A14" s="94">
        <v>54670</v>
      </c>
      <c r="B14" s="95" t="s">
        <v>50</v>
      </c>
      <c r="C14" s="95" t="s">
        <v>58</v>
      </c>
      <c r="D14" s="96">
        <v>1724</v>
      </c>
      <c r="E14" s="96">
        <v>1608</v>
      </c>
      <c r="F14" s="97">
        <v>93.39</v>
      </c>
      <c r="G14" s="93"/>
    </row>
    <row r="15" spans="1:7" x14ac:dyDescent="0.25">
      <c r="A15" s="94">
        <v>54720</v>
      </c>
      <c r="B15" s="95" t="s">
        <v>50</v>
      </c>
      <c r="C15" s="95" t="s">
        <v>59</v>
      </c>
      <c r="D15" s="96">
        <v>3517</v>
      </c>
      <c r="E15" s="96">
        <v>3137</v>
      </c>
      <c r="F15" s="97">
        <v>89.48</v>
      </c>
      <c r="G15" s="93"/>
    </row>
    <row r="16" spans="1:7" x14ac:dyDescent="0.25">
      <c r="A16" s="94">
        <v>54800</v>
      </c>
      <c r="B16" s="95" t="s">
        <v>50</v>
      </c>
      <c r="C16" s="95" t="s">
        <v>60</v>
      </c>
      <c r="D16" s="96">
        <v>2478</v>
      </c>
      <c r="E16" s="96">
        <v>2286</v>
      </c>
      <c r="F16" s="97">
        <v>92.13</v>
      </c>
      <c r="G16" s="93"/>
    </row>
    <row r="17" spans="1:7" x14ac:dyDescent="0.25">
      <c r="A17" s="94">
        <v>54810</v>
      </c>
      <c r="B17" s="95" t="s">
        <v>50</v>
      </c>
      <c r="C17" s="95" t="s">
        <v>61</v>
      </c>
      <c r="D17" s="96">
        <v>6258</v>
      </c>
      <c r="E17" s="96">
        <v>5789</v>
      </c>
      <c r="F17" s="97">
        <v>92.43</v>
      </c>
      <c r="G17" s="93"/>
    </row>
    <row r="18" spans="1:7" x14ac:dyDescent="0.25">
      <c r="A18" s="93"/>
      <c r="B18" s="110" t="s">
        <v>62</v>
      </c>
      <c r="C18" s="110"/>
      <c r="D18" s="99">
        <f>SUM(D7:D17)</f>
        <v>42291</v>
      </c>
      <c r="E18" s="99">
        <f>SUM(E7:E17)</f>
        <v>38480</v>
      </c>
      <c r="F18" s="100">
        <f>E18/D18*100</f>
        <v>90.988626421697276</v>
      </c>
      <c r="G18" s="93"/>
    </row>
    <row r="19" spans="1:7" x14ac:dyDescent="0.25">
      <c r="A19" s="93"/>
      <c r="B19" s="93"/>
      <c r="C19" s="93"/>
      <c r="D19" s="93"/>
      <c r="E19" s="93"/>
      <c r="F19" s="93"/>
      <c r="G19" s="93"/>
    </row>
    <row r="20" spans="1:7" x14ac:dyDescent="0.25">
      <c r="A20" s="93"/>
      <c r="B20" s="93"/>
      <c r="C20" s="93"/>
      <c r="D20" s="93"/>
      <c r="E20" s="93"/>
      <c r="F20" s="93"/>
      <c r="G20" s="93"/>
    </row>
  </sheetData>
  <mergeCells count="1">
    <mergeCell ref="B18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</vt:lpstr>
      <vt:lpstr>Familias Potenciales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Oriana Salazar Beltran</dc:creator>
  <cp:lastModifiedBy>janeth castaneda</cp:lastModifiedBy>
  <dcterms:created xsi:type="dcterms:W3CDTF">2017-10-25T13:41:21Z</dcterms:created>
  <dcterms:modified xsi:type="dcterms:W3CDTF">2018-10-16T21:15:02Z</dcterms:modified>
</cp:coreProperties>
</file>