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hreadedComments/threadedComment3.xml" ContentType="application/vnd.ms-excel.threadedcomments+xml"/>
  <Override PartName="/xl/comments5.xml" ContentType="application/vnd.openxmlformats-officedocument.spreadsheetml.comments+xml"/>
  <Override PartName="/xl/threadedComments/threadedComment4.xml" ContentType="application/vnd.ms-excel.threadedcomments+xml"/>
  <Override PartName="/xl/comments6.xml" ContentType="application/vnd.openxmlformats-officedocument.spreadsheetml.comments+xml"/>
  <Override PartName="/xl/threadedComments/threadedComment5.xml" ContentType="application/vnd.ms-excel.threadedcomments+xml"/>
  <Override PartName="/xl/tables/table3.xml" ContentType="application/vnd.openxmlformats-officedocument.spreadsheetml.table+xml"/>
  <Override PartName="/xl/comments7.xml" ContentType="application/vnd.openxmlformats-officedocument.spreadsheetml.comments+xml"/>
  <Override PartName="/xl/threadedComments/threadedComment6.xml" ContentType="application/vnd.ms-excel.threadedcomments+xml"/>
  <Override PartName="/xl/tables/table4.xml" ContentType="application/vnd.openxmlformats-officedocument.spreadsheetml.table+xml"/>
  <Override PartName="/xl/comments8.xml" ContentType="application/vnd.openxmlformats-officedocument.spreadsheetml.comments+xml"/>
  <Override PartName="/xl/threadedComments/threadedComment7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ramirez\Downloads\"/>
    </mc:Choice>
  </mc:AlternateContent>
  <xr:revisionPtr revIDLastSave="0" documentId="13_ncr:1_{599F5F91-8BFD-4512-AE2A-84D38B0F4D11}" xr6:coauthVersionLast="47" xr6:coauthVersionMax="47" xr10:uidLastSave="{00000000-0000-0000-0000-000000000000}"/>
  <bookViews>
    <workbookView xWindow="-120" yWindow="-120" windowWidth="29040" windowHeight="15840" tabRatio="758" firstSheet="12" activeTab="29" xr2:uid="{00000000-000D-0000-FFFF-FFFF00000000}"/>
  </bookViews>
  <sheets>
    <sheet name="2023-1" sheetId="12" state="hidden" r:id="rId1"/>
    <sheet name="2023-2" sheetId="13" state="hidden" r:id="rId2"/>
    <sheet name="Giros FSE 2023- (2)" sheetId="31" state="hidden" r:id="rId3"/>
    <sheet name="Disponible FSE" sheetId="46" state="hidden" r:id="rId4"/>
    <sheet name="Hoja4" sheetId="49" state="hidden" r:id="rId5"/>
    <sheet name="LISTAS" sheetId="47" state="hidden" r:id="rId6"/>
    <sheet name="IES 2024" sheetId="40" state="hidden" r:id="rId7"/>
    <sheet name="COMITÉ 15042024" sheetId="34" state="hidden" r:id="rId8"/>
    <sheet name="COMITÉ30082024" sheetId="41" state="hidden" r:id="rId9"/>
    <sheet name="JA26082024" sheetId="48" state="hidden" r:id="rId10"/>
    <sheet name="Decisiones 15042024" sheetId="36" state="hidden" r:id="rId11"/>
    <sheet name="RESUMEN" sheetId="35" state="hidden" r:id="rId12"/>
    <sheet name="Giros FSE 2023-" sheetId="11" r:id="rId13"/>
    <sheet name="Resumen 2023" sheetId="66" state="hidden" r:id="rId14"/>
    <sheet name="Estructura IES" sheetId="74" state="hidden" r:id="rId15"/>
    <sheet name="Comité 29 de nov" sheetId="68" state="hidden" r:id="rId16"/>
    <sheet name="Comité 12 de dic" sheetId="73" state="hidden" r:id="rId17"/>
    <sheet name="Caribe 2023 2024 " sheetId="67" state="hidden" r:id="rId18"/>
    <sheet name="pacifico 2023 2024" sheetId="58" state="hidden" r:id="rId19"/>
    <sheet name="JA 10 DE DIC" sheetId="70" state="hidden" r:id="rId20"/>
    <sheet name="Resu_deuda IES" sheetId="77" state="hidden" r:id="rId21"/>
    <sheet name="JA 24 DE DIC" sheetId="76" state="hidden" r:id="rId22"/>
    <sheet name="COLCARTAGENA" sheetId="72" state="hidden" r:id="rId23"/>
    <sheet name="016390 23 SEP 2024" sheetId="69" state="hidden" r:id="rId24"/>
    <sheet name="Proyección FSE" sheetId="63" state="hidden" r:id="rId25"/>
    <sheet name="Proyecc 2025 ITTU_DAY" sheetId="61" state="hidden" r:id="rId26"/>
    <sheet name="JA 12 DE NOV" sheetId="60" state="hidden" r:id="rId27"/>
    <sheet name="JA 26 DE NOV" sheetId="62" state="hidden" r:id="rId28"/>
    <sheet name="Prox Junta" sheetId="71" state="hidden" r:id="rId29"/>
    <sheet name="Giros FSE - PG 2024" sheetId="32" r:id="rId30"/>
    <sheet name="Hoja1" sheetId="82" r:id="rId31"/>
    <sheet name="Solo Dayi" sheetId="59" state="hidden" r:id="rId32"/>
    <sheet name="Pdte cierre" sheetId="57" state="hidden" r:id="rId33"/>
    <sheet name="xxxx" sheetId="55" state="hidden" r:id="rId34"/>
    <sheet name="Saldo" sheetId="56" state="hidden" r:id="rId35"/>
    <sheet name="DESPACHO" sheetId="54" state="hidden" r:id="rId36"/>
    <sheet name="RESU" sheetId="53" state="hidden" r:id="rId37"/>
    <sheet name="Hoja5" sheetId="52" state="hidden" r:id="rId38"/>
    <sheet name="Hoja3" sheetId="51" state="hidden" r:id="rId39"/>
    <sheet name="Tabla1" sheetId="50" state="hidden" r:id="rId40"/>
    <sheet name="Asignación" sheetId="45" state="hidden" r:id="rId41"/>
    <sheet name="Decisión FSE 2024" sheetId="37" state="hidden" r:id="rId42"/>
    <sheet name="Proyección PAC" sheetId="33" state="hidden" r:id="rId43"/>
    <sheet name="Dominios" sheetId="18" state="hidden" r:id="rId44"/>
    <sheet name="Hoja2" sheetId="14" state="hidden" r:id="rId45"/>
    <sheet name="BORRADOR DAYA" sheetId="16" state="hidden" r:id="rId46"/>
    <sheet name="Giros FSE 2023" sheetId="1" state="hidden" r:id="rId47"/>
    <sheet name="Lista elegible" sheetId="2" state="hidden" r:id="rId48"/>
  </sheets>
  <externalReferences>
    <externalReference r:id="rId49"/>
  </externalReferences>
  <definedNames>
    <definedName name="_xlnm._FilterDatabase" localSheetId="43" hidden="1">Dominios!$A$1:$C$65</definedName>
    <definedName name="_xlnm._FilterDatabase" localSheetId="29" hidden="1">'Giros FSE - PG 2024'!$A$1:$M$68</definedName>
    <definedName name="_xlnm._FilterDatabase" localSheetId="12" hidden="1">'Giros FSE 2023-'!#REF!</definedName>
    <definedName name="_xlnm._FilterDatabase" localSheetId="21" hidden="1">'JA 24 DE DIC'!$A$28:$F$87</definedName>
    <definedName name="_xlnm._FilterDatabase" localSheetId="27" hidden="1">'JA 26 DE NOV'!$A$1:$G$24</definedName>
  </definedNames>
  <calcPr calcId="191028"/>
  <pivotCaches>
    <pivotCache cacheId="5" r:id="rId5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11" l="1"/>
  <c r="O5" i="11"/>
  <c r="O31" i="11"/>
  <c r="O33" i="11"/>
  <c r="O34" i="11"/>
  <c r="O35" i="11"/>
  <c r="O41" i="11"/>
  <c r="O42" i="11"/>
  <c r="O57" i="11"/>
  <c r="C21" i="66"/>
  <c r="C20" i="66"/>
  <c r="E5" i="69" l="1"/>
  <c r="H30" i="73"/>
  <c r="E53" i="73" l="1"/>
  <c r="C12" i="59" l="1"/>
  <c r="C41" i="59" l="1"/>
  <c r="C18" i="59" l="1"/>
  <c r="C13" i="59"/>
  <c r="C43" i="59" s="1"/>
  <c r="E20" i="76"/>
  <c r="B41" i="59" l="1"/>
  <c r="D84" i="76"/>
  <c r="D85" i="76"/>
  <c r="D86" i="76"/>
  <c r="C87" i="76" l="1"/>
  <c r="B87" i="76"/>
  <c r="B20" i="76"/>
  <c r="C20" i="76"/>
  <c r="D20" i="76"/>
  <c r="E19" i="76"/>
  <c r="F19" i="76" s="1"/>
  <c r="C31" i="59"/>
  <c r="C40" i="59" l="1"/>
  <c r="C46" i="59"/>
  <c r="C47" i="59" s="1"/>
  <c r="C51" i="59" s="1"/>
  <c r="C33" i="59"/>
  <c r="E18" i="76"/>
  <c r="F18" i="76" s="1"/>
  <c r="E12" i="77"/>
  <c r="B83" i="77"/>
  <c r="E16" i="76"/>
  <c r="F16" i="76" s="1"/>
  <c r="E17" i="76"/>
  <c r="F17" i="76" s="1"/>
  <c r="E15" i="76"/>
  <c r="F15" i="76" s="1"/>
  <c r="D51" i="59" l="1"/>
  <c r="E14" i="76"/>
  <c r="F14" i="76" s="1"/>
  <c r="D30" i="76"/>
  <c r="D83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2" i="76"/>
  <c r="D63" i="76"/>
  <c r="D64" i="76"/>
  <c r="D65" i="76"/>
  <c r="D66" i="76"/>
  <c r="D67" i="76"/>
  <c r="D68" i="76"/>
  <c r="D69" i="76"/>
  <c r="D70" i="76"/>
  <c r="D71" i="76"/>
  <c r="D72" i="76"/>
  <c r="D73" i="76"/>
  <c r="D74" i="76"/>
  <c r="D75" i="76"/>
  <c r="D76" i="76"/>
  <c r="D77" i="76"/>
  <c r="D78" i="76"/>
  <c r="D79" i="76"/>
  <c r="D80" i="76"/>
  <c r="D81" i="76"/>
  <c r="D82" i="76"/>
  <c r="D29" i="76"/>
  <c r="D4" i="76" l="1"/>
  <c r="G7" i="76" s="1"/>
  <c r="C25" i="76"/>
  <c r="D25" i="76"/>
  <c r="B25" i="76"/>
  <c r="E24" i="76"/>
  <c r="F24" i="76" s="1"/>
  <c r="E9" i="76"/>
  <c r="F9" i="76" s="1"/>
  <c r="E10" i="76"/>
  <c r="F10" i="76" s="1"/>
  <c r="E11" i="76"/>
  <c r="F11" i="76" s="1"/>
  <c r="E12" i="76"/>
  <c r="F12" i="76" s="1"/>
  <c r="E13" i="76"/>
  <c r="F13" i="76" s="1"/>
  <c r="E8" i="76"/>
  <c r="F31" i="76"/>
  <c r="F30" i="76"/>
  <c r="C4" i="76"/>
  <c r="B4" i="76"/>
  <c r="E3" i="76"/>
  <c r="F3" i="76" s="1"/>
  <c r="E2" i="76"/>
  <c r="B40" i="59"/>
  <c r="B12" i="59"/>
  <c r="B33" i="59"/>
  <c r="B24" i="66"/>
  <c r="C24" i="66"/>
  <c r="C22" i="66"/>
  <c r="C17" i="66"/>
  <c r="F8" i="76" l="1"/>
  <c r="C50" i="59"/>
  <c r="E25" i="76"/>
  <c r="E4" i="76"/>
  <c r="F2" i="76"/>
  <c r="F29" i="76"/>
  <c r="E28" i="73" l="1"/>
  <c r="C49" i="73"/>
  <c r="E49" i="73"/>
  <c r="F33" i="73"/>
  <c r="G33" i="73"/>
  <c r="F34" i="73"/>
  <c r="G34" i="73"/>
  <c r="F35" i="73"/>
  <c r="G35" i="73"/>
  <c r="F36" i="73"/>
  <c r="G36" i="73"/>
  <c r="F37" i="73"/>
  <c r="G37" i="73"/>
  <c r="F38" i="73"/>
  <c r="G38" i="73"/>
  <c r="F39" i="73"/>
  <c r="G39" i="73"/>
  <c r="F40" i="73"/>
  <c r="G40" i="73"/>
  <c r="F41" i="73"/>
  <c r="G41" i="73"/>
  <c r="F42" i="73"/>
  <c r="G42" i="73"/>
  <c r="F43" i="73"/>
  <c r="G43" i="73"/>
  <c r="F44" i="73"/>
  <c r="G44" i="73"/>
  <c r="F45" i="73"/>
  <c r="G45" i="73"/>
  <c r="F46" i="73"/>
  <c r="G46" i="73"/>
  <c r="F47" i="73"/>
  <c r="G47" i="73"/>
  <c r="F48" i="73"/>
  <c r="G48" i="73"/>
  <c r="G32" i="73"/>
  <c r="F32" i="73"/>
  <c r="E59" i="73" l="1"/>
  <c r="C59" i="73"/>
  <c r="E58" i="73"/>
  <c r="D58" i="73"/>
  <c r="D59" i="73" s="1"/>
  <c r="D54" i="73"/>
  <c r="C54" i="73"/>
  <c r="D49" i="73"/>
  <c r="D28" i="73"/>
  <c r="C28" i="73"/>
  <c r="F9" i="73"/>
  <c r="G9" i="73" s="1"/>
  <c r="F10" i="73"/>
  <c r="G10" i="73" s="1"/>
  <c r="F11" i="73"/>
  <c r="G11" i="73"/>
  <c r="F12" i="73"/>
  <c r="G12" i="73"/>
  <c r="F13" i="73"/>
  <c r="G13" i="73"/>
  <c r="F14" i="73"/>
  <c r="G14" i="73"/>
  <c r="F15" i="73"/>
  <c r="G15" i="73"/>
  <c r="F16" i="73"/>
  <c r="G16" i="73"/>
  <c r="F17" i="73"/>
  <c r="G17" i="73"/>
  <c r="F18" i="73"/>
  <c r="G18" i="73"/>
  <c r="F19" i="73"/>
  <c r="G19" i="73"/>
  <c r="F20" i="73"/>
  <c r="G20" i="73"/>
  <c r="F21" i="73"/>
  <c r="G21" i="73"/>
  <c r="F22" i="73"/>
  <c r="G22" i="73"/>
  <c r="F23" i="73"/>
  <c r="G23" i="73"/>
  <c r="F24" i="73"/>
  <c r="G24" i="73"/>
  <c r="F25" i="73"/>
  <c r="G25" i="73"/>
  <c r="F26" i="73"/>
  <c r="G26" i="73"/>
  <c r="F27" i="73"/>
  <c r="G27" i="73"/>
  <c r="G8" i="73"/>
  <c r="F8" i="73"/>
  <c r="E4" i="73"/>
  <c r="D4" i="73"/>
  <c r="C4" i="73"/>
  <c r="G3" i="73"/>
  <c r="G2" i="73"/>
  <c r="F3" i="73"/>
  <c r="F2" i="73"/>
  <c r="E9" i="70"/>
  <c r="C10" i="70"/>
  <c r="D10" i="70"/>
  <c r="B10" i="70"/>
  <c r="F58" i="73" l="1"/>
  <c r="F59" i="73" s="1"/>
  <c r="E3" i="70"/>
  <c r="F3" i="70" s="1"/>
  <c r="E2" i="70"/>
  <c r="F2" i="70" s="1"/>
  <c r="E8" i="70"/>
  <c r="F8" i="70" s="1"/>
  <c r="E14" i="70"/>
  <c r="E21" i="70"/>
  <c r="F21" i="70" s="1"/>
  <c r="E20" i="70"/>
  <c r="F20" i="70" s="1"/>
  <c r="E19" i="70"/>
  <c r="E22" i="70" s="1"/>
  <c r="B22" i="70"/>
  <c r="C22" i="70"/>
  <c r="D22" i="70"/>
  <c r="F19" i="70" l="1"/>
  <c r="C4" i="70" l="1"/>
  <c r="D4" i="70"/>
  <c r="G7" i="70" s="1"/>
  <c r="B4" i="70"/>
  <c r="D12" i="71"/>
  <c r="C12" i="71"/>
  <c r="B12" i="71"/>
  <c r="E11" i="71"/>
  <c r="E12" i="71" s="1"/>
  <c r="F7" i="71"/>
  <c r="E7" i="71"/>
  <c r="E6" i="71"/>
  <c r="F6" i="71" s="1"/>
  <c r="E2" i="71"/>
  <c r="F2" i="71" s="1"/>
  <c r="F11" i="71" l="1"/>
  <c r="B15" i="70" l="1"/>
  <c r="D15" i="70"/>
  <c r="C15" i="70"/>
  <c r="E15" i="70"/>
  <c r="H5" i="59"/>
  <c r="G16" i="59"/>
  <c r="G26" i="59"/>
  <c r="B13" i="59"/>
  <c r="G58" i="62"/>
  <c r="H57" i="62"/>
  <c r="E9" i="69"/>
  <c r="D50" i="59" l="1"/>
  <c r="H17" i="59"/>
  <c r="E4" i="70"/>
  <c r="E10" i="70"/>
  <c r="G30" i="59"/>
  <c r="I32" i="62"/>
  <c r="I33" i="62"/>
  <c r="I7" i="68" l="1"/>
  <c r="I9" i="68"/>
  <c r="F58" i="62"/>
  <c r="I28" i="62"/>
  <c r="E11" i="68"/>
  <c r="G16" i="68" l="1"/>
  <c r="G17" i="68"/>
  <c r="G18" i="68"/>
  <c r="G19" i="68"/>
  <c r="F16" i="68"/>
  <c r="F17" i="68"/>
  <c r="F18" i="68"/>
  <c r="F19" i="68"/>
  <c r="F15" i="68"/>
  <c r="G15" i="68" s="1"/>
  <c r="E20" i="68"/>
  <c r="D20" i="68"/>
  <c r="C20" i="68"/>
  <c r="D11" i="68"/>
  <c r="C11" i="68"/>
  <c r="G8" i="68"/>
  <c r="G9" i="68"/>
  <c r="G10" i="68"/>
  <c r="G7" i="68"/>
  <c r="F8" i="68"/>
  <c r="F9" i="68"/>
  <c r="F10" i="68"/>
  <c r="F7" i="68"/>
  <c r="G2" i="68"/>
  <c r="F2" i="68"/>
  <c r="D3" i="68" l="1"/>
  <c r="E3" i="68"/>
  <c r="C3" i="68"/>
  <c r="D58" i="62" l="1"/>
  <c r="E58" i="62"/>
  <c r="G42" i="62"/>
  <c r="F42" i="62"/>
  <c r="H4" i="67"/>
  <c r="H3" i="67"/>
  <c r="F39" i="67"/>
  <c r="G39" i="67"/>
  <c r="H39" i="67"/>
  <c r="I39" i="67"/>
  <c r="E39" i="67"/>
  <c r="C39" i="67"/>
  <c r="B39" i="67"/>
  <c r="D28" i="67" l="1"/>
  <c r="C28" i="67"/>
  <c r="B28" i="67"/>
  <c r="C24" i="62" l="1"/>
  <c r="D24" i="62"/>
  <c r="E24" i="62"/>
  <c r="I29" i="62" s="1"/>
  <c r="C43" i="62"/>
  <c r="D43" i="62"/>
  <c r="E43" i="62"/>
  <c r="C8" i="66" l="1"/>
  <c r="B8" i="66"/>
  <c r="B9" i="63" l="1"/>
  <c r="B6" i="63"/>
  <c r="B5" i="63"/>
  <c r="D14" i="61"/>
  <c r="D11" i="61"/>
  <c r="D9" i="61"/>
  <c r="F7" i="61"/>
  <c r="G7" i="61" s="1"/>
  <c r="G3" i="61"/>
  <c r="G4" i="61"/>
  <c r="G5" i="61"/>
  <c r="G6" i="61"/>
  <c r="G2" i="61"/>
  <c r="F3" i="61"/>
  <c r="F4" i="61"/>
  <c r="F5" i="61"/>
  <c r="F6" i="61"/>
  <c r="F2" i="61"/>
  <c r="E3" i="61"/>
  <c r="E4" i="61"/>
  <c r="E5" i="61"/>
  <c r="E6" i="61"/>
  <c r="E2" i="61"/>
  <c r="D3" i="61"/>
  <c r="D4" i="61"/>
  <c r="D5" i="61"/>
  <c r="D6" i="61"/>
  <c r="D2" i="61"/>
  <c r="D10" i="61"/>
  <c r="I30" i="62"/>
  <c r="F41" i="62"/>
  <c r="G41" i="62" s="1"/>
  <c r="C59" i="62"/>
  <c r="E59" i="62"/>
  <c r="D59" i="62"/>
  <c r="D55" i="62"/>
  <c r="C55" i="62"/>
  <c r="F48" i="62"/>
  <c r="D49" i="62"/>
  <c r="E49" i="62"/>
  <c r="C49" i="62"/>
  <c r="F47" i="62"/>
  <c r="F29" i="62"/>
  <c r="G29" i="62" s="1"/>
  <c r="F30" i="62"/>
  <c r="G30" i="62" s="1"/>
  <c r="F31" i="62"/>
  <c r="G31" i="62" s="1"/>
  <c r="F32" i="62"/>
  <c r="G32" i="62" s="1"/>
  <c r="F33" i="62"/>
  <c r="G33" i="62" s="1"/>
  <c r="F34" i="62"/>
  <c r="G34" i="62" s="1"/>
  <c r="F35" i="62"/>
  <c r="G35" i="62" s="1"/>
  <c r="F36" i="62"/>
  <c r="G36" i="62" s="1"/>
  <c r="F37" i="62"/>
  <c r="G37" i="62" s="1"/>
  <c r="F38" i="62"/>
  <c r="G38" i="62" s="1"/>
  <c r="F39" i="62"/>
  <c r="G39" i="62" s="1"/>
  <c r="F40" i="62"/>
  <c r="G40" i="62" s="1"/>
  <c r="F28" i="62"/>
  <c r="G28" i="62" s="1"/>
  <c r="F3" i="62"/>
  <c r="G3" i="62" s="1"/>
  <c r="F4" i="62"/>
  <c r="G4" i="62" s="1"/>
  <c r="F5" i="62"/>
  <c r="G5" i="62" s="1"/>
  <c r="F6" i="62"/>
  <c r="G6" i="62" s="1"/>
  <c r="F7" i="62"/>
  <c r="G7" i="62" s="1"/>
  <c r="F8" i="62"/>
  <c r="G8" i="62" s="1"/>
  <c r="F9" i="62"/>
  <c r="G9" i="62" s="1"/>
  <c r="F10" i="62"/>
  <c r="G10" i="62" s="1"/>
  <c r="F11" i="62"/>
  <c r="G11" i="62" s="1"/>
  <c r="F12" i="62"/>
  <c r="G12" i="62" s="1"/>
  <c r="F13" i="62"/>
  <c r="G13" i="62" s="1"/>
  <c r="F14" i="62"/>
  <c r="G14" i="62" s="1"/>
  <c r="F15" i="62"/>
  <c r="G15" i="62" s="1"/>
  <c r="F16" i="62"/>
  <c r="G16" i="62" s="1"/>
  <c r="F17" i="62"/>
  <c r="G17" i="62" s="1"/>
  <c r="F18" i="62"/>
  <c r="G18" i="62" s="1"/>
  <c r="F19" i="62"/>
  <c r="G19" i="62" s="1"/>
  <c r="F20" i="62"/>
  <c r="G20" i="62" s="1"/>
  <c r="F21" i="62"/>
  <c r="G21" i="62" s="1"/>
  <c r="F22" i="62"/>
  <c r="G22" i="62" s="1"/>
  <c r="F23" i="62"/>
  <c r="G23" i="62" s="1"/>
  <c r="F2" i="62"/>
  <c r="G2" i="62" s="1"/>
  <c r="F59" i="62" l="1"/>
  <c r="E7" i="61" l="1"/>
  <c r="D7" i="61"/>
  <c r="E50" i="60"/>
  <c r="D50" i="60"/>
  <c r="F50" i="60" s="1"/>
  <c r="D51" i="60"/>
  <c r="F51" i="60"/>
  <c r="E51" i="60"/>
  <c r="C51" i="60"/>
  <c r="D47" i="60"/>
  <c r="C47" i="60"/>
  <c r="E23" i="60"/>
  <c r="E36" i="60"/>
  <c r="H31" i="60"/>
  <c r="D41" i="60"/>
  <c r="E41" i="60"/>
  <c r="C41" i="60"/>
  <c r="D36" i="60"/>
  <c r="C36" i="60"/>
  <c r="C23" i="60"/>
  <c r="D23" i="60"/>
  <c r="F40" i="60"/>
  <c r="F3" i="60"/>
  <c r="F4" i="60"/>
  <c r="F5" i="60"/>
  <c r="F6" i="60"/>
  <c r="F7" i="60"/>
  <c r="F8" i="60"/>
  <c r="F9" i="60"/>
  <c r="F10" i="60"/>
  <c r="F11" i="60"/>
  <c r="F12" i="60"/>
  <c r="F13" i="60"/>
  <c r="F14" i="60"/>
  <c r="F15" i="60"/>
  <c r="F16" i="60"/>
  <c r="F17" i="60"/>
  <c r="F18" i="60"/>
  <c r="F19" i="60"/>
  <c r="F20" i="60"/>
  <c r="F21" i="60"/>
  <c r="F22" i="60"/>
  <c r="F26" i="60"/>
  <c r="F27" i="60"/>
  <c r="F28" i="60"/>
  <c r="F29" i="60"/>
  <c r="F30" i="60"/>
  <c r="F31" i="60"/>
  <c r="F32" i="60"/>
  <c r="F33" i="60"/>
  <c r="F34" i="60"/>
  <c r="F35" i="60"/>
  <c r="F2" i="60"/>
  <c r="H50" i="60" l="1"/>
  <c r="H46" i="58" l="1"/>
  <c r="G46" i="58"/>
  <c r="F46" i="58"/>
  <c r="C46" i="58"/>
  <c r="B46" i="58"/>
  <c r="E34" i="58"/>
  <c r="C34" i="58"/>
  <c r="B34" i="58"/>
  <c r="E22" i="58"/>
  <c r="C22" i="58"/>
  <c r="B22" i="58"/>
  <c r="E10" i="58"/>
  <c r="C10" i="58"/>
  <c r="B10" i="58"/>
  <c r="D40" i="58"/>
  <c r="D41" i="58"/>
  <c r="D42" i="58"/>
  <c r="D45" i="58"/>
  <c r="D38" i="58"/>
  <c r="I46" i="58"/>
  <c r="H34" i="58"/>
  <c r="F34" i="58"/>
  <c r="B7" i="46"/>
  <c r="G3" i="55" l="1"/>
  <c r="G4" i="55"/>
  <c r="G5" i="55"/>
  <c r="G6" i="55"/>
  <c r="G7" i="55"/>
  <c r="G8" i="55"/>
  <c r="G9" i="55"/>
  <c r="I9" i="55" s="1"/>
  <c r="G10" i="55"/>
  <c r="H10" i="55" s="1"/>
  <c r="G11" i="55"/>
  <c r="I11" i="55" s="1"/>
  <c r="G12" i="55"/>
  <c r="I12" i="55" s="1"/>
  <c r="G13" i="55"/>
  <c r="I13" i="55" s="1"/>
  <c r="G14" i="55"/>
  <c r="I14" i="55" s="1"/>
  <c r="G15" i="55"/>
  <c r="H15" i="55" s="1"/>
  <c r="G16" i="55"/>
  <c r="I16" i="55" s="1"/>
  <c r="G17" i="55"/>
  <c r="I17" i="55" s="1"/>
  <c r="G18" i="55"/>
  <c r="I18" i="55" s="1"/>
  <c r="G19" i="55"/>
  <c r="G20" i="55"/>
  <c r="G21" i="55"/>
  <c r="G22" i="55"/>
  <c r="G23" i="55"/>
  <c r="G24" i="55"/>
  <c r="G25" i="55"/>
  <c r="G26" i="55"/>
  <c r="G27" i="55"/>
  <c r="G28" i="55"/>
  <c r="I28" i="55" s="1"/>
  <c r="G29" i="55"/>
  <c r="H29" i="55" s="1"/>
  <c r="G30" i="55"/>
  <c r="H30" i="55" s="1"/>
  <c r="G31" i="55"/>
  <c r="H31" i="55" s="1"/>
  <c r="G32" i="55"/>
  <c r="I32" i="55" s="1"/>
  <c r="G33" i="55"/>
  <c r="H33" i="55" s="1"/>
  <c r="G34" i="55"/>
  <c r="I34" i="55" s="1"/>
  <c r="G35" i="55"/>
  <c r="G36" i="55"/>
  <c r="I36" i="55" s="1"/>
  <c r="G37" i="55"/>
  <c r="G38" i="55"/>
  <c r="G39" i="55"/>
  <c r="G40" i="55"/>
  <c r="G41" i="55"/>
  <c r="H41" i="55" s="1"/>
  <c r="G42" i="55"/>
  <c r="H42" i="55" s="1"/>
  <c r="G43" i="55"/>
  <c r="H43" i="55" s="1"/>
  <c r="G44" i="55"/>
  <c r="I44" i="55" s="1"/>
  <c r="G45" i="55"/>
  <c r="H45" i="55" s="1"/>
  <c r="G46" i="55"/>
  <c r="H46" i="55" s="1"/>
  <c r="G47" i="55"/>
  <c r="I47" i="55" s="1"/>
  <c r="G48" i="55"/>
  <c r="H48" i="55" s="1"/>
  <c r="G49" i="55"/>
  <c r="H49" i="55" s="1"/>
  <c r="G50" i="55"/>
  <c r="H50" i="55" s="1"/>
  <c r="G51" i="55"/>
  <c r="I51" i="55" s="1"/>
  <c r="G52" i="55"/>
  <c r="H52" i="55" s="1"/>
  <c r="G53" i="55"/>
  <c r="G54" i="55"/>
  <c r="G55" i="55"/>
  <c r="G56" i="55"/>
  <c r="G57" i="55"/>
  <c r="G58" i="55"/>
  <c r="G59" i="55"/>
  <c r="G60" i="55"/>
  <c r="G61" i="55"/>
  <c r="G2" i="55"/>
  <c r="H61" i="55"/>
  <c r="H2" i="55"/>
  <c r="I5" i="55"/>
  <c r="I6" i="55"/>
  <c r="I7" i="55"/>
  <c r="I8" i="55"/>
  <c r="H22" i="55"/>
  <c r="H23" i="55"/>
  <c r="I24" i="55"/>
  <c r="H25" i="55"/>
  <c r="H26" i="55"/>
  <c r="I27" i="55"/>
  <c r="H11" i="55"/>
  <c r="H12" i="55"/>
  <c r="H54" i="55"/>
  <c r="H55" i="55"/>
  <c r="H56" i="55"/>
  <c r="I57" i="55"/>
  <c r="I58" i="55"/>
  <c r="H59" i="55"/>
  <c r="H60" i="55"/>
  <c r="D3" i="56"/>
  <c r="E3" i="56" s="1"/>
  <c r="H6" i="55"/>
  <c r="H7" i="55"/>
  <c r="H8" i="55"/>
  <c r="H9" i="55"/>
  <c r="H38" i="55"/>
  <c r="H39" i="55"/>
  <c r="H40" i="55"/>
  <c r="H3" i="55"/>
  <c r="H4" i="55"/>
  <c r="H5" i="55"/>
  <c r="H19" i="55"/>
  <c r="H20" i="55"/>
  <c r="H21" i="55"/>
  <c r="H35" i="55"/>
  <c r="H36" i="55"/>
  <c r="H37" i="55"/>
  <c r="H51" i="55"/>
  <c r="H53" i="55"/>
  <c r="I22" i="55"/>
  <c r="I23" i="55"/>
  <c r="I38" i="55"/>
  <c r="I39" i="55"/>
  <c r="I40" i="55"/>
  <c r="I41" i="55"/>
  <c r="I42" i="55"/>
  <c r="I43" i="55"/>
  <c r="I3" i="55"/>
  <c r="I19" i="55"/>
  <c r="I20" i="55"/>
  <c r="I21" i="55"/>
  <c r="I35" i="55"/>
  <c r="I37" i="55"/>
  <c r="I52" i="55"/>
  <c r="I53" i="55"/>
  <c r="I4" i="55"/>
  <c r="D61" i="55"/>
  <c r="E61" i="55"/>
  <c r="D11" i="41"/>
  <c r="B13" i="53"/>
  <c r="B6" i="53"/>
  <c r="J10" i="41"/>
  <c r="B29" i="41"/>
  <c r="C29" i="41"/>
  <c r="D29" i="41"/>
  <c r="E27" i="41"/>
  <c r="E28" i="41"/>
  <c r="E26" i="41"/>
  <c r="E9" i="41"/>
  <c r="C64" i="50"/>
  <c r="B64" i="50"/>
  <c r="H44" i="55" l="1"/>
  <c r="I46" i="55"/>
  <c r="I29" i="55"/>
  <c r="H27" i="55"/>
  <c r="I25" i="55"/>
  <c r="K25" i="55" s="1"/>
  <c r="H24" i="55"/>
  <c r="H47" i="55"/>
  <c r="H28" i="55"/>
  <c r="I45" i="55"/>
  <c r="K45" i="55" s="1"/>
  <c r="I48" i="55"/>
  <c r="K48" i="55" s="1"/>
  <c r="I26" i="55"/>
  <c r="I10" i="55"/>
  <c r="K10" i="55" s="1"/>
  <c r="I31" i="55"/>
  <c r="I49" i="55"/>
  <c r="K49" i="55" s="1"/>
  <c r="I30" i="55"/>
  <c r="I50" i="55"/>
  <c r="K50" i="55" s="1"/>
  <c r="H34" i="55"/>
  <c r="H18" i="55"/>
  <c r="H13" i="55"/>
  <c r="I60" i="55"/>
  <c r="K60" i="55" s="1"/>
  <c r="H57" i="55"/>
  <c r="I56" i="55"/>
  <c r="K56" i="55" s="1"/>
  <c r="I15" i="55"/>
  <c r="K15" i="55" s="1"/>
  <c r="H16" i="55"/>
  <c r="I2" i="55"/>
  <c r="H14" i="55"/>
  <c r="I59" i="55"/>
  <c r="K59" i="55" s="1"/>
  <c r="H58" i="55"/>
  <c r="I55" i="55"/>
  <c r="K55" i="55" s="1"/>
  <c r="I33" i="55"/>
  <c r="K33" i="55" s="1"/>
  <c r="H17" i="55"/>
  <c r="H32" i="55"/>
  <c r="I54" i="55"/>
  <c r="K54" i="55" s="1"/>
  <c r="K32" i="55"/>
  <c r="K24" i="55"/>
  <c r="K41" i="55"/>
  <c r="K40" i="55"/>
  <c r="K44" i="55"/>
  <c r="K43" i="55"/>
  <c r="K27" i="55"/>
  <c r="K28" i="55"/>
  <c r="K16" i="55"/>
  <c r="K58" i="55"/>
  <c r="K26" i="55"/>
  <c r="K14" i="55"/>
  <c r="K42" i="55"/>
  <c r="K30" i="55"/>
  <c r="K57" i="55"/>
  <c r="K39" i="55"/>
  <c r="K23" i="55"/>
  <c r="K53" i="55"/>
  <c r="K37" i="55"/>
  <c r="K9" i="55"/>
  <c r="K12" i="55"/>
  <c r="K52" i="55"/>
  <c r="K36" i="55"/>
  <c r="K21" i="55"/>
  <c r="K8" i="55"/>
  <c r="K34" i="55"/>
  <c r="K38" i="55"/>
  <c r="K13" i="55"/>
  <c r="K46" i="55"/>
  <c r="K29" i="55"/>
  <c r="K11" i="55"/>
  <c r="K22" i="55"/>
  <c r="K51" i="55"/>
  <c r="K35" i="55"/>
  <c r="K20" i="55"/>
  <c r="K7" i="55"/>
  <c r="K19" i="55"/>
  <c r="K6" i="55"/>
  <c r="K18" i="55"/>
  <c r="K5" i="55"/>
  <c r="K47" i="55"/>
  <c r="K31" i="55"/>
  <c r="K4" i="55"/>
  <c r="K3" i="55"/>
  <c r="K17" i="55"/>
  <c r="B13" i="48"/>
  <c r="C13" i="48"/>
  <c r="D13" i="48"/>
  <c r="E6" i="48"/>
  <c r="E7" i="48"/>
  <c r="E8" i="48"/>
  <c r="E9" i="48"/>
  <c r="E10" i="48"/>
  <c r="E11" i="48"/>
  <c r="E12" i="48"/>
  <c r="E5" i="48"/>
  <c r="E4" i="48"/>
  <c r="E13" i="48" s="1"/>
  <c r="I61" i="55" l="1"/>
  <c r="K2" i="55"/>
  <c r="K61" i="55" s="1"/>
  <c r="B21" i="41"/>
  <c r="C21" i="41"/>
  <c r="C4" i="41" l="1"/>
  <c r="D4" i="41"/>
  <c r="B11" i="41"/>
  <c r="C11" i="41"/>
  <c r="E3" i="41"/>
  <c r="E10" i="41"/>
  <c r="G13" i="41" l="1"/>
  <c r="G11" i="41"/>
  <c r="E11" i="41"/>
  <c r="B66" i="11" l="1"/>
  <c r="B12" i="45"/>
  <c r="O24" i="11" l="1"/>
  <c r="O3" i="11"/>
  <c r="O50" i="11"/>
  <c r="O29" i="11"/>
  <c r="O60" i="11"/>
  <c r="O11" i="11"/>
  <c r="O32" i="11"/>
  <c r="O45" i="11"/>
  <c r="O28" i="11"/>
  <c r="O7" i="11"/>
  <c r="O49" i="11"/>
  <c r="O46" i="11"/>
  <c r="O13" i="11"/>
  <c r="O15" i="11"/>
  <c r="O27" i="11"/>
  <c r="O8" i="11"/>
  <c r="O52" i="11"/>
  <c r="O36" i="11"/>
  <c r="O22" i="11"/>
  <c r="O25" i="11"/>
  <c r="O19" i="11"/>
  <c r="O64" i="11"/>
  <c r="O48" i="11"/>
  <c r="O26" i="11"/>
  <c r="O62" i="11"/>
  <c r="O61" i="11"/>
  <c r="O17" i="11"/>
  <c r="O16" i="11"/>
  <c r="O12" i="11"/>
  <c r="O40" i="11"/>
  <c r="O47" i="11"/>
  <c r="O44" i="11"/>
  <c r="O39" i="11"/>
  <c r="O63" i="11"/>
  <c r="O38" i="11"/>
  <c r="O10" i="11"/>
  <c r="O9" i="11"/>
  <c r="O30" i="11"/>
  <c r="O14" i="11"/>
  <c r="O37" i="11"/>
  <c r="O4" i="11"/>
  <c r="O58" i="11"/>
  <c r="O59" i="11"/>
  <c r="O2" i="11"/>
  <c r="O56" i="11"/>
  <c r="O23" i="11"/>
  <c r="O55" i="11"/>
  <c r="O21" i="11"/>
  <c r="O53" i="11"/>
  <c r="O20" i="11"/>
  <c r="O6" i="11"/>
  <c r="O51" i="11"/>
  <c r="O18" i="11"/>
  <c r="O65" i="11" l="1"/>
  <c r="O54" i="11"/>
  <c r="B4" i="41" l="1"/>
  <c r="E4" i="41"/>
  <c r="E15" i="34"/>
  <c r="E14" i="34"/>
  <c r="D7" i="37" l="1"/>
  <c r="C7" i="37"/>
  <c r="F26" i="34" l="1"/>
  <c r="E18" i="34"/>
  <c r="D18" i="34"/>
  <c r="C18" i="34"/>
  <c r="D26" i="34"/>
  <c r="E26" i="34"/>
  <c r="C26" i="34"/>
  <c r="B12" i="35"/>
  <c r="E6" i="35"/>
  <c r="D5" i="35"/>
  <c r="B11" i="35" s="1"/>
  <c r="B13" i="35" s="1"/>
  <c r="C7" i="35"/>
  <c r="B7" i="35"/>
  <c r="D4" i="34"/>
  <c r="E4" i="34"/>
  <c r="C4" i="34"/>
  <c r="D3" i="33"/>
  <c r="D4" i="33"/>
  <c r="D5" i="33"/>
  <c r="D6" i="33"/>
  <c r="D7" i="33"/>
  <c r="D8" i="33"/>
  <c r="D9" i="33"/>
  <c r="D10" i="33"/>
  <c r="D11" i="33"/>
  <c r="D12" i="33"/>
  <c r="D13" i="33"/>
  <c r="D14" i="33"/>
  <c r="D15" i="33"/>
  <c r="D16" i="33"/>
  <c r="D17" i="33"/>
  <c r="D18" i="33"/>
  <c r="D19" i="33"/>
  <c r="D20" i="33"/>
  <c r="D21" i="33"/>
  <c r="D22" i="33"/>
  <c r="D23" i="33"/>
  <c r="D24" i="33"/>
  <c r="D25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45" i="33"/>
  <c r="D46" i="33"/>
  <c r="D47" i="33"/>
  <c r="D48" i="33"/>
  <c r="D49" i="33"/>
  <c r="D50" i="33"/>
  <c r="D51" i="33"/>
  <c r="D52" i="33"/>
  <c r="D53" i="33"/>
  <c r="D54" i="33"/>
  <c r="D55" i="33"/>
  <c r="D56" i="33"/>
  <c r="D57" i="33"/>
  <c r="D58" i="33"/>
  <c r="D59" i="33"/>
  <c r="D60" i="33"/>
  <c r="D2" i="33"/>
  <c r="C61" i="33"/>
  <c r="D61" i="33" l="1"/>
  <c r="K9" i="34"/>
  <c r="AA6" i="31" l="1"/>
  <c r="AA8" i="31" s="1"/>
  <c r="AA21" i="31" s="1"/>
  <c r="AA34" i="31" s="1"/>
  <c r="AA35" i="31" s="1"/>
  <c r="AA41" i="31" s="1"/>
  <c r="AA47" i="31" s="1"/>
  <c r="AA48" i="31" s="1"/>
  <c r="AA50" i="31" s="1"/>
  <c r="AA53" i="31" s="1"/>
  <c r="AA54" i="31" s="1"/>
  <c r="AA57" i="31" s="1"/>
  <c r="AA58" i="31" s="1"/>
  <c r="AA59" i="31" s="1"/>
  <c r="AA62" i="31" s="1"/>
  <c r="AA65" i="31" s="1"/>
  <c r="Q65" i="31"/>
  <c r="Z65" i="31" s="1"/>
  <c r="P65" i="31"/>
  <c r="O65" i="31"/>
  <c r="Q64" i="31"/>
  <c r="R64" i="31" s="1"/>
  <c r="P64" i="31"/>
  <c r="O64" i="31"/>
  <c r="M64" i="31"/>
  <c r="Q63" i="31"/>
  <c r="Y63" i="31" s="1"/>
  <c r="P63" i="31"/>
  <c r="O63" i="31"/>
  <c r="Q62" i="31"/>
  <c r="Y62" i="31" s="1"/>
  <c r="P62" i="31"/>
  <c r="O62" i="31"/>
  <c r="L62" i="31"/>
  <c r="Q61" i="31"/>
  <c r="Z61" i="31" s="1"/>
  <c r="P61" i="31"/>
  <c r="O61" i="31"/>
  <c r="Q60" i="31"/>
  <c r="Z60" i="31" s="1"/>
  <c r="P60" i="31"/>
  <c r="O60" i="31"/>
  <c r="Q59" i="31"/>
  <c r="Y59" i="31" s="1"/>
  <c r="P59" i="31"/>
  <c r="O59" i="31"/>
  <c r="Q58" i="31"/>
  <c r="P58" i="31"/>
  <c r="O58" i="31"/>
  <c r="Q57" i="31"/>
  <c r="R57" i="31" s="1"/>
  <c r="S57" i="31" s="1"/>
  <c r="P57" i="31"/>
  <c r="O57" i="31"/>
  <c r="L57" i="31"/>
  <c r="Q56" i="31"/>
  <c r="Y56" i="31" s="1"/>
  <c r="P56" i="31"/>
  <c r="O56" i="31"/>
  <c r="E56" i="31"/>
  <c r="Q55" i="31"/>
  <c r="Y55" i="31" s="1"/>
  <c r="P55" i="31"/>
  <c r="O55" i="31"/>
  <c r="L55" i="31"/>
  <c r="E55" i="31"/>
  <c r="Q54" i="31"/>
  <c r="P54" i="31"/>
  <c r="O54" i="31"/>
  <c r="L54" i="31"/>
  <c r="E54" i="31"/>
  <c r="Q53" i="31"/>
  <c r="Z53" i="31" s="1"/>
  <c r="P53" i="31"/>
  <c r="O53" i="31"/>
  <c r="E53" i="31"/>
  <c r="Q52" i="31"/>
  <c r="P52" i="31"/>
  <c r="O52" i="31"/>
  <c r="L52" i="31"/>
  <c r="E52" i="31"/>
  <c r="Q51" i="31"/>
  <c r="Y51" i="31" s="1"/>
  <c r="P51" i="31"/>
  <c r="O51" i="31"/>
  <c r="E51" i="31"/>
  <c r="Q50" i="31"/>
  <c r="Z50" i="31" s="1"/>
  <c r="P50" i="31"/>
  <c r="O50" i="31"/>
  <c r="L50" i="31"/>
  <c r="E50" i="31"/>
  <c r="Q49" i="31"/>
  <c r="Y49" i="31" s="1"/>
  <c r="P49" i="31"/>
  <c r="O49" i="31"/>
  <c r="L49" i="31"/>
  <c r="E49" i="31"/>
  <c r="Q48" i="31"/>
  <c r="Z48" i="31" s="1"/>
  <c r="P48" i="31"/>
  <c r="O48" i="31"/>
  <c r="L48" i="31"/>
  <c r="E48" i="31"/>
  <c r="Q47" i="31"/>
  <c r="R47" i="31" s="1"/>
  <c r="P47" i="31"/>
  <c r="O47" i="31"/>
  <c r="L47" i="31"/>
  <c r="E47" i="31"/>
  <c r="Q46" i="31"/>
  <c r="Y46" i="31" s="1"/>
  <c r="P46" i="31"/>
  <c r="O46" i="31"/>
  <c r="E46" i="31"/>
  <c r="Q45" i="31"/>
  <c r="R45" i="31" s="1"/>
  <c r="P45" i="31"/>
  <c r="O45" i="31"/>
  <c r="E45" i="31"/>
  <c r="M68" i="31" s="1"/>
  <c r="Q44" i="31"/>
  <c r="Y44" i="31" s="1"/>
  <c r="P44" i="31"/>
  <c r="O44" i="31"/>
  <c r="E44" i="31"/>
  <c r="Q43" i="31"/>
  <c r="Y43" i="31" s="1"/>
  <c r="P43" i="31"/>
  <c r="O43" i="31"/>
  <c r="E43" i="31"/>
  <c r="Q42" i="31"/>
  <c r="Y42" i="31" s="1"/>
  <c r="P42" i="31"/>
  <c r="O42" i="31"/>
  <c r="E42" i="31"/>
  <c r="L42" i="31" s="1"/>
  <c r="Q41" i="31"/>
  <c r="Z41" i="31" s="1"/>
  <c r="P41" i="31"/>
  <c r="O41" i="31"/>
  <c r="L41" i="31"/>
  <c r="E41" i="31"/>
  <c r="Q40" i="31"/>
  <c r="Z40" i="31" s="1"/>
  <c r="P40" i="31"/>
  <c r="O40" i="31"/>
  <c r="L40" i="31"/>
  <c r="Q39" i="31"/>
  <c r="Z39" i="31" s="1"/>
  <c r="P39" i="31"/>
  <c r="O39" i="31"/>
  <c r="E39" i="31"/>
  <c r="L39" i="31" s="1"/>
  <c r="Q38" i="31"/>
  <c r="Z38" i="31" s="1"/>
  <c r="P38" i="31"/>
  <c r="O38" i="31"/>
  <c r="F38" i="31"/>
  <c r="E38" i="31"/>
  <c r="M38" i="31" s="1"/>
  <c r="Q37" i="31"/>
  <c r="Y37" i="31" s="1"/>
  <c r="P37" i="31"/>
  <c r="O37" i="31"/>
  <c r="F37" i="31"/>
  <c r="E37" i="31"/>
  <c r="Q36" i="31"/>
  <c r="R36" i="31" s="1"/>
  <c r="P36" i="31"/>
  <c r="O36" i="31"/>
  <c r="F36" i="31"/>
  <c r="E36" i="31"/>
  <c r="Q35" i="31"/>
  <c r="Y35" i="31" s="1"/>
  <c r="P35" i="31"/>
  <c r="O35" i="31"/>
  <c r="F35" i="31"/>
  <c r="E35" i="31"/>
  <c r="Q34" i="31"/>
  <c r="P34" i="31"/>
  <c r="O34" i="31"/>
  <c r="F34" i="31"/>
  <c r="E34" i="31"/>
  <c r="Q33" i="31"/>
  <c r="Z33" i="31" s="1"/>
  <c r="P33" i="31"/>
  <c r="O33" i="31"/>
  <c r="F33" i="31"/>
  <c r="Q32" i="31"/>
  <c r="Z32" i="31" s="1"/>
  <c r="N32" i="31"/>
  <c r="P32" i="31" s="1"/>
  <c r="F32" i="31"/>
  <c r="Q31" i="31"/>
  <c r="Z31" i="31" s="1"/>
  <c r="P31" i="31"/>
  <c r="O31" i="31"/>
  <c r="F31" i="31"/>
  <c r="Q30" i="31"/>
  <c r="R30" i="31" s="1"/>
  <c r="P30" i="31"/>
  <c r="O30" i="31"/>
  <c r="F30" i="31"/>
  <c r="Q29" i="31"/>
  <c r="N29" i="31"/>
  <c r="P29" i="31" s="1"/>
  <c r="F29" i="31"/>
  <c r="Q28" i="31"/>
  <c r="P28" i="31"/>
  <c r="O28" i="31"/>
  <c r="F28" i="31"/>
  <c r="Q27" i="31"/>
  <c r="Y27" i="31" s="1"/>
  <c r="P27" i="31"/>
  <c r="O27" i="31"/>
  <c r="F27" i="31"/>
  <c r="Q26" i="31"/>
  <c r="R26" i="31" s="1"/>
  <c r="P26" i="31"/>
  <c r="O26" i="31"/>
  <c r="F26" i="31"/>
  <c r="Q25" i="31"/>
  <c r="Y25" i="31" s="1"/>
  <c r="P25" i="31"/>
  <c r="O25" i="31"/>
  <c r="F25" i="31"/>
  <c r="Q24" i="31"/>
  <c r="P24" i="31"/>
  <c r="O24" i="31"/>
  <c r="E24" i="31"/>
  <c r="L24" i="31" s="1"/>
  <c r="Q23" i="31"/>
  <c r="Z23" i="31" s="1"/>
  <c r="P23" i="31"/>
  <c r="O23" i="31"/>
  <c r="E23" i="31"/>
  <c r="L23" i="31" s="1"/>
  <c r="Q22" i="31"/>
  <c r="Z22" i="31" s="1"/>
  <c r="P22" i="31"/>
  <c r="O22" i="31"/>
  <c r="E22" i="31"/>
  <c r="L22" i="31" s="1"/>
  <c r="Q21" i="31"/>
  <c r="P21" i="31"/>
  <c r="O21" i="31"/>
  <c r="L21" i="31"/>
  <c r="E21" i="31"/>
  <c r="Q20" i="31"/>
  <c r="Y20" i="31" s="1"/>
  <c r="P20" i="31"/>
  <c r="O20" i="31"/>
  <c r="L20" i="31"/>
  <c r="E20" i="31"/>
  <c r="Q19" i="31"/>
  <c r="Y19" i="31" s="1"/>
  <c r="P19" i="31"/>
  <c r="O19" i="31"/>
  <c r="L19" i="31"/>
  <c r="E19" i="31"/>
  <c r="Q18" i="31"/>
  <c r="Z18" i="31" s="1"/>
  <c r="O18" i="31"/>
  <c r="L18" i="31"/>
  <c r="AC17" i="31"/>
  <c r="AC30" i="31" s="1"/>
  <c r="AC52" i="31" s="1"/>
  <c r="AC56" i="31" s="1"/>
  <c r="Q17" i="31"/>
  <c r="Y17" i="31" s="1"/>
  <c r="P17" i="31"/>
  <c r="O17" i="31"/>
  <c r="L17" i="31"/>
  <c r="E17" i="31"/>
  <c r="Q16" i="31"/>
  <c r="P16" i="31"/>
  <c r="O16" i="31"/>
  <c r="E16" i="31"/>
  <c r="Q15" i="31"/>
  <c r="P15" i="31"/>
  <c r="O15" i="31"/>
  <c r="L15" i="31"/>
  <c r="E15" i="31"/>
  <c r="Q14" i="31"/>
  <c r="Z14" i="31" s="1"/>
  <c r="P14" i="31"/>
  <c r="O14" i="31"/>
  <c r="L14" i="31"/>
  <c r="Q13" i="31"/>
  <c r="Y13" i="31" s="1"/>
  <c r="P13" i="31"/>
  <c r="O13" i="31"/>
  <c r="L13" i="31"/>
  <c r="E13" i="31"/>
  <c r="Q12" i="31"/>
  <c r="P12" i="31"/>
  <c r="O12" i="31"/>
  <c r="L12" i="31"/>
  <c r="E12" i="31"/>
  <c r="Q11" i="31"/>
  <c r="R11" i="31" s="1"/>
  <c r="S11" i="31" s="1"/>
  <c r="P11" i="31"/>
  <c r="O11" i="31"/>
  <c r="E11" i="31"/>
  <c r="F11" i="31" s="1"/>
  <c r="Q10" i="31"/>
  <c r="Z10" i="31" s="1"/>
  <c r="P10" i="31"/>
  <c r="O10" i="31"/>
  <c r="E10" i="31"/>
  <c r="F10" i="31" s="1"/>
  <c r="Q9" i="31"/>
  <c r="Z9" i="31" s="1"/>
  <c r="P9" i="31"/>
  <c r="O9" i="31"/>
  <c r="E9" i="31"/>
  <c r="F9" i="31" s="1"/>
  <c r="Q8" i="31"/>
  <c r="Z8" i="31" s="1"/>
  <c r="P8" i="31"/>
  <c r="O8" i="31"/>
  <c r="E8" i="31"/>
  <c r="L8" i="31" s="1"/>
  <c r="Q7" i="31"/>
  <c r="Z7" i="31" s="1"/>
  <c r="P7" i="31"/>
  <c r="O7" i="31"/>
  <c r="E7" i="31"/>
  <c r="F7" i="31" s="1"/>
  <c r="Q6" i="31"/>
  <c r="R6" i="31" s="1"/>
  <c r="S6" i="31" s="1"/>
  <c r="P6" i="31"/>
  <c r="O6" i="31"/>
  <c r="E6" i="31"/>
  <c r="F6" i="31" s="1"/>
  <c r="Q5" i="31"/>
  <c r="R5" i="31" s="1"/>
  <c r="P5" i="31"/>
  <c r="O5" i="31"/>
  <c r="E5" i="31"/>
  <c r="Q4" i="31"/>
  <c r="Z4" i="31" s="1"/>
  <c r="P4" i="31"/>
  <c r="O4" i="31"/>
  <c r="L4" i="31"/>
  <c r="E4" i="31"/>
  <c r="Q3" i="31"/>
  <c r="Z3" i="31" s="1"/>
  <c r="P3" i="31"/>
  <c r="O3" i="31"/>
  <c r="Q2" i="31"/>
  <c r="Z2" i="31" s="1"/>
  <c r="P2" i="31"/>
  <c r="O2" i="31"/>
  <c r="E2" i="31"/>
  <c r="D66" i="16"/>
  <c r="N66" i="16"/>
  <c r="R66" i="16"/>
  <c r="Q65" i="16"/>
  <c r="P65" i="16"/>
  <c r="Y65" i="16" s="1"/>
  <c r="O65" i="16"/>
  <c r="N65" i="16"/>
  <c r="Q64" i="16"/>
  <c r="P64" i="16"/>
  <c r="X64" i="16" s="1"/>
  <c r="O64" i="16"/>
  <c r="N64" i="16"/>
  <c r="L64" i="16"/>
  <c r="Q63" i="16"/>
  <c r="P63" i="16"/>
  <c r="Y63" i="16" s="1"/>
  <c r="O63" i="16"/>
  <c r="N63" i="16"/>
  <c r="Q62" i="16"/>
  <c r="P62" i="16"/>
  <c r="O62" i="16"/>
  <c r="N62" i="16"/>
  <c r="K62" i="16"/>
  <c r="Q61" i="16"/>
  <c r="P61" i="16"/>
  <c r="X61" i="16" s="1"/>
  <c r="O61" i="16"/>
  <c r="N61" i="16"/>
  <c r="Q60" i="16"/>
  <c r="P60" i="16"/>
  <c r="O60" i="16"/>
  <c r="N60" i="16"/>
  <c r="Q59" i="16"/>
  <c r="P59" i="16"/>
  <c r="Y59" i="16" s="1"/>
  <c r="O59" i="16"/>
  <c r="N59" i="16"/>
  <c r="Q58" i="16"/>
  <c r="P58" i="16"/>
  <c r="Y58" i="16" s="1"/>
  <c r="O58" i="16"/>
  <c r="N58" i="16"/>
  <c r="Q57" i="16"/>
  <c r="P57" i="16"/>
  <c r="Y57" i="16" s="1"/>
  <c r="O57" i="16"/>
  <c r="N57" i="16"/>
  <c r="K57" i="16"/>
  <c r="Q56" i="16"/>
  <c r="P56" i="16"/>
  <c r="X56" i="16" s="1"/>
  <c r="O56" i="16"/>
  <c r="N56" i="16"/>
  <c r="D56" i="16"/>
  <c r="Q55" i="16"/>
  <c r="P55" i="16"/>
  <c r="O55" i="16"/>
  <c r="N55" i="16"/>
  <c r="K55" i="16"/>
  <c r="D55" i="16"/>
  <c r="Q54" i="16"/>
  <c r="P54" i="16"/>
  <c r="Y54" i="16" s="1"/>
  <c r="O54" i="16"/>
  <c r="N54" i="16"/>
  <c r="K54" i="16"/>
  <c r="D54" i="16"/>
  <c r="Q53" i="16"/>
  <c r="P53" i="16"/>
  <c r="X53" i="16" s="1"/>
  <c r="O53" i="16"/>
  <c r="N53" i="16"/>
  <c r="D53" i="16"/>
  <c r="Q52" i="16"/>
  <c r="P52" i="16"/>
  <c r="Y52" i="16" s="1"/>
  <c r="O52" i="16"/>
  <c r="N52" i="16"/>
  <c r="K52" i="16"/>
  <c r="D52" i="16"/>
  <c r="Q51" i="16"/>
  <c r="P51" i="16"/>
  <c r="O51" i="16"/>
  <c r="N51" i="16"/>
  <c r="D51" i="16"/>
  <c r="L51" i="16" s="1"/>
  <c r="Q50" i="16"/>
  <c r="P50" i="16"/>
  <c r="O50" i="16"/>
  <c r="N50" i="16"/>
  <c r="K50" i="16"/>
  <c r="D50" i="16"/>
  <c r="Q49" i="16"/>
  <c r="P49" i="16"/>
  <c r="Y49" i="16" s="1"/>
  <c r="O49" i="16"/>
  <c r="N49" i="16"/>
  <c r="K49" i="16"/>
  <c r="D49" i="16"/>
  <c r="Q48" i="16"/>
  <c r="P48" i="16"/>
  <c r="Y48" i="16" s="1"/>
  <c r="O48" i="16"/>
  <c r="N48" i="16"/>
  <c r="K48" i="16"/>
  <c r="D48" i="16"/>
  <c r="Q47" i="16"/>
  <c r="P47" i="16"/>
  <c r="O47" i="16"/>
  <c r="N47" i="16"/>
  <c r="K47" i="16"/>
  <c r="D47" i="16"/>
  <c r="Q46" i="16"/>
  <c r="P46" i="16"/>
  <c r="Y46" i="16" s="1"/>
  <c r="O46" i="16"/>
  <c r="N46" i="16"/>
  <c r="K46" i="16"/>
  <c r="D46" i="16"/>
  <c r="Q45" i="16"/>
  <c r="P45" i="16"/>
  <c r="Y45" i="16" s="1"/>
  <c r="O45" i="16"/>
  <c r="N45" i="16"/>
  <c r="D45" i="16"/>
  <c r="K45" i="16" s="1"/>
  <c r="Q44" i="16"/>
  <c r="P44" i="16"/>
  <c r="Y44" i="16" s="1"/>
  <c r="O44" i="16"/>
  <c r="N44" i="16"/>
  <c r="D44" i="16"/>
  <c r="Q43" i="16"/>
  <c r="P43" i="16"/>
  <c r="Y43" i="16" s="1"/>
  <c r="O43" i="16"/>
  <c r="N43" i="16"/>
  <c r="D43" i="16"/>
  <c r="K43" i="16" s="1"/>
  <c r="Q42" i="16"/>
  <c r="P42" i="16"/>
  <c r="O42" i="16"/>
  <c r="N42" i="16"/>
  <c r="D42" i="16"/>
  <c r="K42" i="16" s="1"/>
  <c r="Q41" i="16"/>
  <c r="P41" i="16"/>
  <c r="X41" i="16" s="1"/>
  <c r="O41" i="16"/>
  <c r="N41" i="16"/>
  <c r="K41" i="16"/>
  <c r="D41" i="16"/>
  <c r="Q40" i="16"/>
  <c r="P40" i="16"/>
  <c r="Y40" i="16" s="1"/>
  <c r="O40" i="16"/>
  <c r="N40" i="16"/>
  <c r="K40" i="16"/>
  <c r="Q39" i="16"/>
  <c r="P39" i="16"/>
  <c r="Y39" i="16" s="1"/>
  <c r="O39" i="16"/>
  <c r="N39" i="16"/>
  <c r="D39" i="16"/>
  <c r="K39" i="16" s="1"/>
  <c r="Q38" i="16"/>
  <c r="P38" i="16"/>
  <c r="O38" i="16"/>
  <c r="N38" i="16"/>
  <c r="E38" i="16"/>
  <c r="D38" i="16"/>
  <c r="L38" i="16" s="1"/>
  <c r="Q37" i="16"/>
  <c r="P37" i="16"/>
  <c r="Y37" i="16" s="1"/>
  <c r="O37" i="16"/>
  <c r="N37" i="16"/>
  <c r="E37" i="16"/>
  <c r="D37" i="16"/>
  <c r="K37" i="16" s="1"/>
  <c r="Q36" i="16"/>
  <c r="P36" i="16"/>
  <c r="Y36" i="16" s="1"/>
  <c r="O36" i="16"/>
  <c r="N36" i="16"/>
  <c r="E36" i="16"/>
  <c r="D36" i="16"/>
  <c r="K36" i="16" s="1"/>
  <c r="Q35" i="16"/>
  <c r="P35" i="16"/>
  <c r="X35" i="16" s="1"/>
  <c r="O35" i="16"/>
  <c r="N35" i="16"/>
  <c r="E35" i="16"/>
  <c r="D35" i="16"/>
  <c r="Q34" i="16"/>
  <c r="P34" i="16"/>
  <c r="E34" i="16"/>
  <c r="D34" i="16"/>
  <c r="M34" i="16" s="1"/>
  <c r="L34" i="16" s="1"/>
  <c r="Q33" i="16"/>
  <c r="P33" i="16"/>
  <c r="X33" i="16" s="1"/>
  <c r="E33" i="16"/>
  <c r="K33" i="16" s="1"/>
  <c r="M33" i="16" s="1"/>
  <c r="Q32" i="16"/>
  <c r="P32" i="16"/>
  <c r="X32" i="16" s="1"/>
  <c r="E32" i="16"/>
  <c r="K32" i="16" s="1"/>
  <c r="M32" i="16" s="1"/>
  <c r="Q31" i="16"/>
  <c r="P31" i="16"/>
  <c r="X31" i="16" s="1"/>
  <c r="O31" i="16"/>
  <c r="N31" i="16"/>
  <c r="E31" i="16"/>
  <c r="Q30" i="16"/>
  <c r="P30" i="16"/>
  <c r="X30" i="16" s="1"/>
  <c r="O30" i="16"/>
  <c r="N30" i="16"/>
  <c r="E30" i="16"/>
  <c r="Q29" i="16"/>
  <c r="P29" i="16"/>
  <c r="X29" i="16" s="1"/>
  <c r="M29" i="16"/>
  <c r="O29" i="16" s="1"/>
  <c r="E29" i="16"/>
  <c r="Q28" i="16"/>
  <c r="P28" i="16"/>
  <c r="Y28" i="16" s="1"/>
  <c r="O28" i="16"/>
  <c r="N28" i="16"/>
  <c r="E28" i="16"/>
  <c r="Q27" i="16"/>
  <c r="P27" i="16"/>
  <c r="M27" i="16"/>
  <c r="N27" i="16" s="1"/>
  <c r="E27" i="16"/>
  <c r="Q26" i="16"/>
  <c r="P26" i="16"/>
  <c r="X26" i="16" s="1"/>
  <c r="M26" i="16"/>
  <c r="O26" i="16" s="1"/>
  <c r="E26" i="16"/>
  <c r="K26" i="16" s="1"/>
  <c r="Q25" i="16"/>
  <c r="P25" i="16"/>
  <c r="X25" i="16" s="1"/>
  <c r="O25" i="16"/>
  <c r="N25" i="16"/>
  <c r="E25" i="16"/>
  <c r="Q24" i="16"/>
  <c r="P24" i="16"/>
  <c r="X24" i="16" s="1"/>
  <c r="O24" i="16"/>
  <c r="N24" i="16"/>
  <c r="D24" i="16"/>
  <c r="K24" i="16" s="1"/>
  <c r="Q23" i="16"/>
  <c r="P23" i="16"/>
  <c r="Y23" i="16" s="1"/>
  <c r="O23" i="16"/>
  <c r="N23" i="16"/>
  <c r="D23" i="16"/>
  <c r="K23" i="16" s="1"/>
  <c r="Q22" i="16"/>
  <c r="P22" i="16"/>
  <c r="O22" i="16"/>
  <c r="N22" i="16"/>
  <c r="D22" i="16"/>
  <c r="K22" i="16" s="1"/>
  <c r="Q21" i="16"/>
  <c r="P21" i="16"/>
  <c r="O21" i="16"/>
  <c r="N21" i="16"/>
  <c r="K21" i="16"/>
  <c r="D21" i="16"/>
  <c r="Q20" i="16"/>
  <c r="P20" i="16"/>
  <c r="O20" i="16"/>
  <c r="N20" i="16"/>
  <c r="K20" i="16"/>
  <c r="D20" i="16"/>
  <c r="Q19" i="16"/>
  <c r="P19" i="16"/>
  <c r="Y19" i="16" s="1"/>
  <c r="O19" i="16"/>
  <c r="N19" i="16"/>
  <c r="K19" i="16"/>
  <c r="D19" i="16"/>
  <c r="Q18" i="16"/>
  <c r="P18" i="16"/>
  <c r="Y18" i="16" s="1"/>
  <c r="N18" i="16"/>
  <c r="K18" i="16"/>
  <c r="Q17" i="16"/>
  <c r="P17" i="16"/>
  <c r="Y17" i="16" s="1"/>
  <c r="O17" i="16"/>
  <c r="N17" i="16"/>
  <c r="K17" i="16"/>
  <c r="D17" i="16"/>
  <c r="Q16" i="16"/>
  <c r="P16" i="16"/>
  <c r="Y16" i="16" s="1"/>
  <c r="O16" i="16"/>
  <c r="N16" i="16"/>
  <c r="K16" i="16"/>
  <c r="D16" i="16"/>
  <c r="Q15" i="16"/>
  <c r="P15" i="16"/>
  <c r="Y15" i="16" s="1"/>
  <c r="O15" i="16"/>
  <c r="N15" i="16"/>
  <c r="K15" i="16"/>
  <c r="D15" i="16"/>
  <c r="Q14" i="16"/>
  <c r="P14" i="16"/>
  <c r="O14" i="16"/>
  <c r="N14" i="16"/>
  <c r="K14" i="16"/>
  <c r="Q13" i="16"/>
  <c r="P13" i="16"/>
  <c r="X13" i="16" s="1"/>
  <c r="O13" i="16"/>
  <c r="N13" i="16"/>
  <c r="K13" i="16"/>
  <c r="D13" i="16"/>
  <c r="Q12" i="16"/>
  <c r="P12" i="16"/>
  <c r="X12" i="16" s="1"/>
  <c r="O12" i="16"/>
  <c r="N12" i="16"/>
  <c r="K12" i="16"/>
  <c r="D12" i="16"/>
  <c r="Q11" i="16"/>
  <c r="P11" i="16"/>
  <c r="Y11" i="16" s="1"/>
  <c r="O11" i="16"/>
  <c r="N11" i="16"/>
  <c r="D11" i="16"/>
  <c r="E11" i="16" s="1"/>
  <c r="Q10" i="16"/>
  <c r="P10" i="16"/>
  <c r="O10" i="16"/>
  <c r="N10" i="16"/>
  <c r="D10" i="16"/>
  <c r="K10" i="16" s="1"/>
  <c r="Q9" i="16"/>
  <c r="P9" i="16"/>
  <c r="Y9" i="16" s="1"/>
  <c r="O9" i="16"/>
  <c r="N9" i="16"/>
  <c r="D9" i="16"/>
  <c r="E9" i="16" s="1"/>
  <c r="Q8" i="16"/>
  <c r="P8" i="16"/>
  <c r="Y8" i="16" s="1"/>
  <c r="O8" i="16"/>
  <c r="N8" i="16"/>
  <c r="D8" i="16"/>
  <c r="K8" i="16" s="1"/>
  <c r="Q7" i="16"/>
  <c r="P7" i="16"/>
  <c r="X7" i="16" s="1"/>
  <c r="O7" i="16"/>
  <c r="N7" i="16"/>
  <c r="D7" i="16"/>
  <c r="E7" i="16" s="1"/>
  <c r="Q6" i="16"/>
  <c r="P6" i="16"/>
  <c r="O6" i="16"/>
  <c r="N6" i="16"/>
  <c r="D6" i="16"/>
  <c r="E6" i="16" s="1"/>
  <c r="Q5" i="16"/>
  <c r="P5" i="16"/>
  <c r="X5" i="16" s="1"/>
  <c r="O5" i="16"/>
  <c r="N5" i="16"/>
  <c r="D5" i="16"/>
  <c r="K5" i="16" s="1"/>
  <c r="Q4" i="16"/>
  <c r="P4" i="16"/>
  <c r="Y4" i="16" s="1"/>
  <c r="O4" i="16"/>
  <c r="N4" i="16"/>
  <c r="K4" i="16"/>
  <c r="D4" i="16"/>
  <c r="Q3" i="16"/>
  <c r="P3" i="16"/>
  <c r="Y3" i="16" s="1"/>
  <c r="M3" i="16"/>
  <c r="N3" i="16" s="1"/>
  <c r="Q2" i="16"/>
  <c r="P2" i="16"/>
  <c r="O2" i="16"/>
  <c r="N2" i="16"/>
  <c r="D2" i="16"/>
  <c r="K2" i="16" s="1"/>
  <c r="Z35" i="31" l="1"/>
  <c r="R61" i="31"/>
  <c r="S61" i="31" s="1"/>
  <c r="Y6" i="31"/>
  <c r="R22" i="31"/>
  <c r="S22" i="31" s="1"/>
  <c r="R48" i="31"/>
  <c r="S48" i="31" s="1"/>
  <c r="Y48" i="31"/>
  <c r="Y22" i="31"/>
  <c r="Z42" i="31"/>
  <c r="Y4" i="31"/>
  <c r="Z20" i="31"/>
  <c r="Z46" i="31"/>
  <c r="Z55" i="31"/>
  <c r="Z11" i="31"/>
  <c r="Y31" i="31"/>
  <c r="Z37" i="31"/>
  <c r="Y18" i="31"/>
  <c r="Z59" i="31"/>
  <c r="Y11" i="31"/>
  <c r="R37" i="31"/>
  <c r="S37" i="31" s="1"/>
  <c r="R40" i="31"/>
  <c r="S40" i="31" s="1"/>
  <c r="R31" i="31"/>
  <c r="S31" i="31" s="1"/>
  <c r="Y40" i="31"/>
  <c r="R18" i="31"/>
  <c r="S18" i="31" s="1"/>
  <c r="Y2" i="31"/>
  <c r="Z44" i="31"/>
  <c r="Y57" i="31"/>
  <c r="Z57" i="31"/>
  <c r="Z6" i="31"/>
  <c r="R13" i="31"/>
  <c r="S13" i="31" s="1"/>
  <c r="R8" i="31"/>
  <c r="S8" i="31" s="1"/>
  <c r="L10" i="31"/>
  <c r="R15" i="31"/>
  <c r="S15" i="31" s="1"/>
  <c r="S26" i="31"/>
  <c r="Y24" i="31"/>
  <c r="Y26" i="31"/>
  <c r="Y28" i="31"/>
  <c r="S30" i="31"/>
  <c r="Z13" i="31"/>
  <c r="Z28" i="31"/>
  <c r="Z30" i="31"/>
  <c r="R34" i="31"/>
  <c r="S34" i="31" s="1"/>
  <c r="Y39" i="31"/>
  <c r="R43" i="31"/>
  <c r="S43" i="31" s="1"/>
  <c r="Y52" i="31"/>
  <c r="Z17" i="31"/>
  <c r="R21" i="31"/>
  <c r="S21" i="31" s="1"/>
  <c r="Y32" i="31"/>
  <c r="Z52" i="31"/>
  <c r="R56" i="31"/>
  <c r="S56" i="31" s="1"/>
  <c r="Y60" i="31"/>
  <c r="Z62" i="31"/>
  <c r="Y3" i="31"/>
  <c r="S5" i="31"/>
  <c r="Y21" i="31"/>
  <c r="Z21" i="31"/>
  <c r="R25" i="31"/>
  <c r="S25" i="31" s="1"/>
  <c r="R27" i="31"/>
  <c r="S27" i="31" s="1"/>
  <c r="Y36" i="31"/>
  <c r="Z45" i="31"/>
  <c r="Y47" i="31"/>
  <c r="R49" i="31"/>
  <c r="S49" i="31" s="1"/>
  <c r="Z56" i="31"/>
  <c r="Z58" i="31"/>
  <c r="R65" i="31"/>
  <c r="S65" i="31" s="1"/>
  <c r="Y7" i="31"/>
  <c r="Y12" i="31"/>
  <c r="R16" i="31"/>
  <c r="S16" i="31" s="1"/>
  <c r="Y23" i="31"/>
  <c r="R29" i="31"/>
  <c r="S29" i="31" s="1"/>
  <c r="Z36" i="31"/>
  <c r="R38" i="31"/>
  <c r="S38" i="31" s="1"/>
  <c r="Z47" i="31"/>
  <c r="R51" i="31"/>
  <c r="S51" i="31" s="1"/>
  <c r="R63" i="31"/>
  <c r="S63" i="31" s="1"/>
  <c r="L45" i="31"/>
  <c r="R50" i="31"/>
  <c r="S50" i="31" s="1"/>
  <c r="R39" i="31"/>
  <c r="S39" i="31" s="1"/>
  <c r="S64" i="31"/>
  <c r="Y8" i="31"/>
  <c r="Y15" i="31"/>
  <c r="R19" i="31"/>
  <c r="S19" i="31" s="1"/>
  <c r="Z24" i="31"/>
  <c r="Z26" i="31"/>
  <c r="Y30" i="31"/>
  <c r="R32" i="31"/>
  <c r="S32" i="31" s="1"/>
  <c r="R60" i="31"/>
  <c r="S60" i="31" s="1"/>
  <c r="Y64" i="31"/>
  <c r="R3" i="31"/>
  <c r="S3" i="31" s="1"/>
  <c r="Z64" i="31"/>
  <c r="O29" i="31"/>
  <c r="Y34" i="31"/>
  <c r="S45" i="31"/>
  <c r="R7" i="31"/>
  <c r="S7" i="31" s="1"/>
  <c r="Y10" i="31"/>
  <c r="R23" i="31"/>
  <c r="S23" i="31" s="1"/>
  <c r="Z34" i="31"/>
  <c r="S36" i="31"/>
  <c r="Z43" i="31"/>
  <c r="Y45" i="31"/>
  <c r="S47" i="31"/>
  <c r="Z54" i="31"/>
  <c r="Y58" i="31"/>
  <c r="Z5" i="31"/>
  <c r="R14" i="31"/>
  <c r="S14" i="31" s="1"/>
  <c r="Z25" i="31"/>
  <c r="Z27" i="31"/>
  <c r="Y29" i="31"/>
  <c r="R33" i="31"/>
  <c r="S33" i="31" s="1"/>
  <c r="Y38" i="31"/>
  <c r="F8" i="31"/>
  <c r="Z16" i="31"/>
  <c r="R20" i="31"/>
  <c r="S20" i="31" s="1"/>
  <c r="Z29" i="31"/>
  <c r="R42" i="31"/>
  <c r="S42" i="31" s="1"/>
  <c r="R44" i="31"/>
  <c r="S44" i="31" s="1"/>
  <c r="Z51" i="31"/>
  <c r="R59" i="31"/>
  <c r="S59" i="31" s="1"/>
  <c r="Y61" i="31"/>
  <c r="Z63" i="31"/>
  <c r="R24" i="31"/>
  <c r="S24" i="31" s="1"/>
  <c r="R28" i="31"/>
  <c r="S28" i="31" s="1"/>
  <c r="O32" i="31"/>
  <c r="R17" i="31"/>
  <c r="S17" i="31" s="1"/>
  <c r="Z15" i="31"/>
  <c r="Y41" i="31"/>
  <c r="R58" i="31"/>
  <c r="S58" i="31" s="1"/>
  <c r="Z19" i="31"/>
  <c r="Y54" i="31"/>
  <c r="Y5" i="31"/>
  <c r="M9" i="31"/>
  <c r="R12" i="31"/>
  <c r="S12" i="31" s="1"/>
  <c r="Z12" i="31"/>
  <c r="Y14" i="31"/>
  <c r="Y65" i="31"/>
  <c r="R9" i="31"/>
  <c r="S9" i="31" s="1"/>
  <c r="Y16" i="31"/>
  <c r="Z49" i="31"/>
  <c r="R53" i="31"/>
  <c r="S53" i="31" s="1"/>
  <c r="R2" i="31"/>
  <c r="S2" i="31" s="1"/>
  <c r="R4" i="31"/>
  <c r="S4" i="31" s="1"/>
  <c r="Y9" i="31"/>
  <c r="Y33" i="31"/>
  <c r="R35" i="31"/>
  <c r="S35" i="31" s="1"/>
  <c r="R46" i="31"/>
  <c r="S46" i="31" s="1"/>
  <c r="Y53" i="31"/>
  <c r="R55" i="31"/>
  <c r="S55" i="31" s="1"/>
  <c r="R52" i="31"/>
  <c r="S52" i="31" s="1"/>
  <c r="R62" i="31"/>
  <c r="S62" i="31" s="1"/>
  <c r="R41" i="31"/>
  <c r="S41" i="31" s="1"/>
  <c r="Y50" i="31"/>
  <c r="R54" i="31"/>
  <c r="S54" i="31" s="1"/>
  <c r="R10" i="31"/>
  <c r="S10" i="31" s="1"/>
  <c r="R10" i="16"/>
  <c r="R55" i="16"/>
  <c r="R51" i="16"/>
  <c r="R22" i="16"/>
  <c r="R62" i="16"/>
  <c r="R38" i="16"/>
  <c r="R47" i="16"/>
  <c r="Y30" i="16"/>
  <c r="Y12" i="16"/>
  <c r="Y66" i="16"/>
  <c r="X66" i="16"/>
  <c r="R60" i="16"/>
  <c r="R20" i="16"/>
  <c r="R6" i="16"/>
  <c r="X38" i="16"/>
  <c r="Y33" i="16"/>
  <c r="Y38" i="16"/>
  <c r="R12" i="16"/>
  <c r="R34" i="16"/>
  <c r="R42" i="16"/>
  <c r="R19" i="16"/>
  <c r="R7" i="16"/>
  <c r="R21" i="16"/>
  <c r="Y7" i="16"/>
  <c r="Y24" i="16"/>
  <c r="X19" i="16"/>
  <c r="R3" i="16"/>
  <c r="X17" i="16"/>
  <c r="Y53" i="16"/>
  <c r="X51" i="16"/>
  <c r="X8" i="16"/>
  <c r="X44" i="16"/>
  <c r="Y13" i="16"/>
  <c r="X49" i="16"/>
  <c r="K7" i="16"/>
  <c r="L9" i="16"/>
  <c r="X21" i="16"/>
  <c r="Y26" i="16"/>
  <c r="Y32" i="16"/>
  <c r="Y35" i="16"/>
  <c r="R14" i="16"/>
  <c r="Y21" i="16"/>
  <c r="R40" i="16"/>
  <c r="Y61" i="16"/>
  <c r="Y5" i="16"/>
  <c r="X10" i="16"/>
  <c r="X3" i="16"/>
  <c r="R8" i="16"/>
  <c r="R44" i="16"/>
  <c r="R49" i="16"/>
  <c r="X23" i="16"/>
  <c r="X40" i="16"/>
  <c r="R50" i="16"/>
  <c r="R17" i="16"/>
  <c r="R53" i="16"/>
  <c r="Y10" i="16"/>
  <c r="R15" i="16"/>
  <c r="R28" i="16"/>
  <c r="X15" i="16"/>
  <c r="X28" i="16"/>
  <c r="Y51" i="16"/>
  <c r="Y56" i="16"/>
  <c r="R23" i="16"/>
  <c r="R26" i="16"/>
  <c r="R32" i="16"/>
  <c r="X42" i="16"/>
  <c r="X47" i="16"/>
  <c r="Y42" i="16"/>
  <c r="Y47" i="16"/>
  <c r="R2" i="16"/>
  <c r="R27" i="16"/>
  <c r="O33" i="16"/>
  <c r="N33" i="16"/>
  <c r="O32" i="16"/>
  <c r="N32" i="16"/>
  <c r="N29" i="16"/>
  <c r="Y2" i="16"/>
  <c r="X20" i="16"/>
  <c r="X50" i="16"/>
  <c r="Y64" i="16"/>
  <c r="N26" i="16"/>
  <c r="Y29" i="16"/>
  <c r="Y31" i="16"/>
  <c r="R36" i="16"/>
  <c r="X60" i="16"/>
  <c r="Y62" i="16"/>
  <c r="O3" i="16"/>
  <c r="Y6" i="16"/>
  <c r="E10" i="16"/>
  <c r="X11" i="16"/>
  <c r="X22" i="16"/>
  <c r="X36" i="16"/>
  <c r="X43" i="16"/>
  <c r="R45" i="16"/>
  <c r="X52" i="16"/>
  <c r="R54" i="16"/>
  <c r="R58" i="16"/>
  <c r="Y60" i="16"/>
  <c r="R59" i="16"/>
  <c r="X59" i="16"/>
  <c r="R25" i="16"/>
  <c r="O27" i="16"/>
  <c r="O34" i="16"/>
  <c r="R37" i="16"/>
  <c r="R46" i="16"/>
  <c r="R57" i="16"/>
  <c r="X55" i="16"/>
  <c r="X57" i="16"/>
  <c r="Y14" i="16"/>
  <c r="R16" i="16"/>
  <c r="R18" i="16"/>
  <c r="Y25" i="16"/>
  <c r="X2" i="16"/>
  <c r="E8" i="16"/>
  <c r="R9" i="16"/>
  <c r="X16" i="16"/>
  <c r="X18" i="16"/>
  <c r="R39" i="16"/>
  <c r="X9" i="16"/>
  <c r="X27" i="16"/>
  <c r="R29" i="16"/>
  <c r="R31" i="16"/>
  <c r="X34" i="16"/>
  <c r="Y27" i="16"/>
  <c r="Y34" i="16"/>
  <c r="X62" i="16"/>
  <c r="X6" i="16"/>
  <c r="R11" i="16"/>
  <c r="Y20" i="16"/>
  <c r="Y41" i="16"/>
  <c r="R43" i="16"/>
  <c r="Y50" i="16"/>
  <c r="R52" i="16"/>
  <c r="R13" i="16"/>
  <c r="Y22" i="16"/>
  <c r="R24" i="16"/>
  <c r="R33" i="16"/>
  <c r="X45" i="16"/>
  <c r="X54" i="16"/>
  <c r="R56" i="16"/>
  <c r="X58" i="16"/>
  <c r="X14" i="16"/>
  <c r="X37" i="16"/>
  <c r="X46" i="16"/>
  <c r="R48" i="16"/>
  <c r="Y55" i="16"/>
  <c r="R4" i="16"/>
  <c r="X48" i="16"/>
  <c r="R64" i="16"/>
  <c r="X4" i="16"/>
  <c r="X39" i="16"/>
  <c r="R41" i="16"/>
  <c r="R65" i="16"/>
  <c r="R63" i="16"/>
  <c r="X65" i="16"/>
  <c r="R61" i="16"/>
  <c r="X63" i="16"/>
  <c r="N34" i="16"/>
  <c r="R5" i="16"/>
  <c r="R30" i="16"/>
  <c r="R35" i="16"/>
  <c r="C3" i="14"/>
  <c r="B3" i="14"/>
  <c r="D3" i="14"/>
  <c r="S66" i="31" l="1"/>
  <c r="O25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G6" i="1" l="1"/>
  <c r="G12" i="1"/>
  <c r="G50" i="1"/>
  <c r="O27" i="1"/>
  <c r="Q27" i="1" s="1"/>
  <c r="H30" i="1"/>
  <c r="O26" i="1"/>
  <c r="Q26" i="1" s="1"/>
  <c r="O28" i="1"/>
  <c r="Q28" i="1" s="1"/>
  <c r="O29" i="1"/>
  <c r="Q29" i="1" s="1"/>
  <c r="O30" i="1"/>
  <c r="Q30" i="1" s="1"/>
  <c r="O31" i="1"/>
  <c r="Q31" i="1" s="1"/>
  <c r="O32" i="1"/>
  <c r="P32" i="1" s="1"/>
  <c r="O33" i="1"/>
  <c r="Q33" i="1" s="1"/>
  <c r="Q25" i="1"/>
  <c r="H29" i="1"/>
  <c r="H31" i="1"/>
  <c r="M31" i="1" s="1"/>
  <c r="H32" i="1"/>
  <c r="M32" i="1" s="1"/>
  <c r="H28" i="1"/>
  <c r="M28" i="1" s="1"/>
  <c r="H33" i="1"/>
  <c r="M33" i="1" s="1"/>
  <c r="H27" i="1"/>
  <c r="M27" i="1" s="1"/>
  <c r="H26" i="1"/>
  <c r="M26" i="1" s="1"/>
  <c r="H25" i="1"/>
  <c r="G53" i="1"/>
  <c r="M4" i="1"/>
  <c r="M5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4" i="1"/>
  <c r="M55" i="1"/>
  <c r="G2" i="1"/>
  <c r="G4" i="1"/>
  <c r="G5" i="1"/>
  <c r="G7" i="1"/>
  <c r="G8" i="1"/>
  <c r="G9" i="1"/>
  <c r="G10" i="1"/>
  <c r="G11" i="1"/>
  <c r="G13" i="1"/>
  <c r="G14" i="1"/>
  <c r="G15" i="1"/>
  <c r="G16" i="1"/>
  <c r="G17" i="1"/>
  <c r="G19" i="1"/>
  <c r="G20" i="1"/>
  <c r="G21" i="1"/>
  <c r="G22" i="1"/>
  <c r="G23" i="1"/>
  <c r="G24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4" i="1"/>
  <c r="G55" i="1"/>
  <c r="G56" i="1"/>
  <c r="M6" i="1" l="1"/>
  <c r="H6" i="1"/>
  <c r="M11" i="1"/>
  <c r="H11" i="1"/>
  <c r="M9" i="1"/>
  <c r="H9" i="1"/>
  <c r="M7" i="1"/>
  <c r="H7" i="1"/>
  <c r="M10" i="1"/>
  <c r="H10" i="1"/>
  <c r="M8" i="1"/>
  <c r="H8" i="1"/>
  <c r="O23" i="1"/>
  <c r="O24" i="1"/>
  <c r="Q32" i="1"/>
  <c r="P26" i="1"/>
  <c r="P28" i="1"/>
  <c r="P27" i="1"/>
  <c r="P31" i="1"/>
  <c r="P30" i="1"/>
  <c r="P29" i="1"/>
  <c r="P33" i="1"/>
  <c r="P25" i="1"/>
  <c r="O3" i="1"/>
  <c r="O4" i="1"/>
  <c r="O5" i="1"/>
  <c r="Q5" i="1" s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S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R2" i="1"/>
  <c r="R3" i="1"/>
  <c r="R4" i="1"/>
  <c r="R5" i="1"/>
  <c r="R6" i="1"/>
  <c r="Z6" i="1" s="1"/>
  <c r="R7" i="1"/>
  <c r="R8" i="1"/>
  <c r="R9" i="1"/>
  <c r="R10" i="1"/>
  <c r="R11" i="1"/>
  <c r="R12" i="1"/>
  <c r="Z12" i="1" s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T25" i="1" s="1"/>
  <c r="R26" i="1"/>
  <c r="T26" i="1" s="1"/>
  <c r="R27" i="1"/>
  <c r="T27" i="1" s="1"/>
  <c r="R28" i="1"/>
  <c r="T28" i="1" s="1"/>
  <c r="R29" i="1"/>
  <c r="R30" i="1"/>
  <c r="R31" i="1"/>
  <c r="R32" i="1"/>
  <c r="R33" i="1"/>
  <c r="R34" i="1"/>
  <c r="R35" i="1"/>
  <c r="R36" i="1"/>
  <c r="R37" i="1"/>
  <c r="R38" i="1"/>
  <c r="R39" i="1"/>
  <c r="R40" i="1"/>
  <c r="T40" i="1" s="1"/>
  <c r="R41" i="1"/>
  <c r="R42" i="1"/>
  <c r="R43" i="1"/>
  <c r="R44" i="1"/>
  <c r="R45" i="1"/>
  <c r="R46" i="1"/>
  <c r="R47" i="1"/>
  <c r="R48" i="1"/>
  <c r="R49" i="1"/>
  <c r="T49" i="1" s="1"/>
  <c r="R50" i="1"/>
  <c r="R51" i="1"/>
  <c r="R52" i="1"/>
  <c r="R53" i="1"/>
  <c r="R54" i="1"/>
  <c r="R55" i="1"/>
  <c r="R56" i="1"/>
  <c r="R57" i="1"/>
  <c r="R58" i="1"/>
  <c r="T58" i="1" s="1"/>
  <c r="R59" i="1"/>
  <c r="R60" i="1"/>
  <c r="R61" i="1"/>
  <c r="R62" i="1"/>
  <c r="R63" i="1"/>
  <c r="T63" i="1" s="1"/>
  <c r="R64" i="1"/>
  <c r="R65" i="1"/>
  <c r="T52" i="1" l="1"/>
  <c r="T64" i="1"/>
  <c r="T34" i="1"/>
  <c r="T39" i="1"/>
  <c r="T37" i="1"/>
  <c r="P65" i="1"/>
  <c r="Q65" i="1"/>
  <c r="P49" i="1"/>
  <c r="Q49" i="1"/>
  <c r="P24" i="1"/>
  <c r="Q24" i="1"/>
  <c r="Q8" i="1"/>
  <c r="P64" i="1"/>
  <c r="Q64" i="1"/>
  <c r="P48" i="1"/>
  <c r="Q48" i="1"/>
  <c r="P23" i="1"/>
  <c r="Q23" i="1"/>
  <c r="P7" i="1"/>
  <c r="Q7" i="1"/>
  <c r="P63" i="1"/>
  <c r="Q63" i="1"/>
  <c r="P47" i="1"/>
  <c r="Q47" i="1"/>
  <c r="Q22" i="1"/>
  <c r="P6" i="1"/>
  <c r="Q6" i="1"/>
  <c r="P62" i="1"/>
  <c r="Q62" i="1"/>
  <c r="P46" i="1"/>
  <c r="Q46" i="1"/>
  <c r="Q21" i="1"/>
  <c r="P61" i="1"/>
  <c r="Q61" i="1"/>
  <c r="P45" i="1"/>
  <c r="Q45" i="1"/>
  <c r="Q20" i="1"/>
  <c r="P4" i="1"/>
  <c r="Q4" i="1"/>
  <c r="P60" i="1"/>
  <c r="Q60" i="1"/>
  <c r="P44" i="1"/>
  <c r="Q44" i="1"/>
  <c r="Q19" i="1"/>
  <c r="P3" i="1"/>
  <c r="Q3" i="1"/>
  <c r="P59" i="1"/>
  <c r="Q59" i="1"/>
  <c r="P43" i="1"/>
  <c r="Q43" i="1"/>
  <c r="P58" i="1"/>
  <c r="Q58" i="1"/>
  <c r="P42" i="1"/>
  <c r="Q42" i="1"/>
  <c r="Q17" i="1"/>
  <c r="P57" i="1"/>
  <c r="Q57" i="1"/>
  <c r="P41" i="1"/>
  <c r="Q41" i="1"/>
  <c r="Q16" i="1"/>
  <c r="P56" i="1"/>
  <c r="Q56" i="1"/>
  <c r="P40" i="1"/>
  <c r="Q40" i="1"/>
  <c r="Q15" i="1"/>
  <c r="P55" i="1"/>
  <c r="Q55" i="1"/>
  <c r="P39" i="1"/>
  <c r="Q39" i="1"/>
  <c r="Q14" i="1"/>
  <c r="P54" i="1"/>
  <c r="Q54" i="1"/>
  <c r="P38" i="1"/>
  <c r="Q38" i="1"/>
  <c r="Q13" i="1"/>
  <c r="P53" i="1"/>
  <c r="Q53" i="1"/>
  <c r="P37" i="1"/>
  <c r="Q37" i="1"/>
  <c r="Q12" i="1"/>
  <c r="P52" i="1"/>
  <c r="Q52" i="1"/>
  <c r="P36" i="1"/>
  <c r="Q36" i="1"/>
  <c r="Q11" i="1"/>
  <c r="P51" i="1"/>
  <c r="Q51" i="1"/>
  <c r="P35" i="1"/>
  <c r="Q35" i="1"/>
  <c r="Q10" i="1"/>
  <c r="P50" i="1"/>
  <c r="Q50" i="1"/>
  <c r="P34" i="1"/>
  <c r="Q34" i="1"/>
  <c r="Q9" i="1"/>
  <c r="P5" i="1"/>
  <c r="T51" i="1"/>
  <c r="T62" i="1"/>
  <c r="T22" i="1"/>
  <c r="T50" i="1"/>
  <c r="T38" i="1"/>
  <c r="T46" i="1"/>
  <c r="T4" i="1"/>
  <c r="T45" i="1"/>
  <c r="T21" i="1"/>
  <c r="T56" i="1"/>
  <c r="T44" i="1"/>
  <c r="T32" i="1"/>
  <c r="T20" i="1"/>
  <c r="T55" i="1"/>
  <c r="T43" i="1"/>
  <c r="T31" i="1"/>
  <c r="T19" i="1"/>
  <c r="T57" i="1"/>
  <c r="T65" i="1"/>
  <c r="T53" i="1"/>
  <c r="T41" i="1"/>
  <c r="T29" i="1"/>
  <c r="T17" i="1"/>
  <c r="T36" i="1"/>
  <c r="T24" i="1"/>
  <c r="T60" i="1"/>
  <c r="T48" i="1"/>
  <c r="T59" i="1"/>
  <c r="T47" i="1"/>
  <c r="T35" i="1"/>
  <c r="T23" i="1"/>
  <c r="T54" i="1"/>
  <c r="T42" i="1"/>
  <c r="T30" i="1"/>
  <c r="T18" i="1"/>
  <c r="T3" i="1"/>
  <c r="T14" i="1"/>
  <c r="T11" i="1"/>
  <c r="T2" i="1"/>
  <c r="T15" i="1"/>
  <c r="T16" i="1"/>
  <c r="T13" i="1"/>
  <c r="T10" i="1"/>
  <c r="T7" i="1"/>
  <c r="T9" i="1"/>
  <c r="T8" i="1"/>
  <c r="T61" i="1"/>
  <c r="T33" i="1"/>
  <c r="T5" i="1"/>
  <c r="AA65" i="1"/>
  <c r="AA57" i="1"/>
  <c r="AA49" i="1"/>
  <c r="AA41" i="1"/>
  <c r="AA33" i="1"/>
  <c r="AA25" i="1"/>
  <c r="AA17" i="1"/>
  <c r="AA9" i="1"/>
  <c r="Z65" i="1"/>
  <c r="Z57" i="1"/>
  <c r="Z49" i="1"/>
  <c r="Z41" i="1"/>
  <c r="Z33" i="1"/>
  <c r="Z25" i="1"/>
  <c r="Z17" i="1"/>
  <c r="Z9" i="1"/>
  <c r="AA64" i="1"/>
  <c r="AA56" i="1"/>
  <c r="AA48" i="1"/>
  <c r="AA40" i="1"/>
  <c r="AA32" i="1"/>
  <c r="AA24" i="1"/>
  <c r="AA16" i="1"/>
  <c r="AA8" i="1"/>
  <c r="Z64" i="1"/>
  <c r="Z56" i="1"/>
  <c r="Z48" i="1"/>
  <c r="Z40" i="1"/>
  <c r="Z32" i="1"/>
  <c r="Z24" i="1"/>
  <c r="Z16" i="1"/>
  <c r="Z8" i="1"/>
  <c r="AA63" i="1"/>
  <c r="AA55" i="1"/>
  <c r="AA47" i="1"/>
  <c r="AA39" i="1"/>
  <c r="AA31" i="1"/>
  <c r="AA23" i="1"/>
  <c r="AA15" i="1"/>
  <c r="AA7" i="1"/>
  <c r="Z63" i="1"/>
  <c r="Z55" i="1"/>
  <c r="Z47" i="1"/>
  <c r="Z39" i="1"/>
  <c r="Z31" i="1"/>
  <c r="Z23" i="1"/>
  <c r="Z15" i="1"/>
  <c r="Z7" i="1"/>
  <c r="AA62" i="1"/>
  <c r="AA54" i="1"/>
  <c r="AA46" i="1"/>
  <c r="AA38" i="1"/>
  <c r="AA30" i="1"/>
  <c r="AA22" i="1"/>
  <c r="AA14" i="1"/>
  <c r="AA6" i="1"/>
  <c r="Z62" i="1"/>
  <c r="Z54" i="1"/>
  <c r="Z46" i="1"/>
  <c r="Z38" i="1"/>
  <c r="Z30" i="1"/>
  <c r="Z22" i="1"/>
  <c r="Z14" i="1"/>
  <c r="AA61" i="1"/>
  <c r="AA53" i="1"/>
  <c r="AA45" i="1"/>
  <c r="AA37" i="1"/>
  <c r="AA29" i="1"/>
  <c r="AA21" i="1"/>
  <c r="AA13" i="1"/>
  <c r="AA5" i="1"/>
  <c r="Z61" i="1"/>
  <c r="Z53" i="1"/>
  <c r="Z45" i="1"/>
  <c r="Z37" i="1"/>
  <c r="Z29" i="1"/>
  <c r="Z21" i="1"/>
  <c r="Z13" i="1"/>
  <c r="Z5" i="1"/>
  <c r="T6" i="1"/>
  <c r="AA60" i="1"/>
  <c r="AA52" i="1"/>
  <c r="AA44" i="1"/>
  <c r="AA36" i="1"/>
  <c r="AA28" i="1"/>
  <c r="AA20" i="1"/>
  <c r="AA12" i="1"/>
  <c r="AA4" i="1"/>
  <c r="Z60" i="1"/>
  <c r="Z52" i="1"/>
  <c r="Z44" i="1"/>
  <c r="Z36" i="1"/>
  <c r="Z28" i="1"/>
  <c r="Z20" i="1"/>
  <c r="Z4" i="1"/>
  <c r="AA59" i="1"/>
  <c r="AA51" i="1"/>
  <c r="AA43" i="1"/>
  <c r="AA35" i="1"/>
  <c r="AA27" i="1"/>
  <c r="AA19" i="1"/>
  <c r="AA11" i="1"/>
  <c r="AA3" i="1"/>
  <c r="Z59" i="1"/>
  <c r="Z51" i="1"/>
  <c r="Z43" i="1"/>
  <c r="Z35" i="1"/>
  <c r="Z27" i="1"/>
  <c r="Z19" i="1"/>
  <c r="Z11" i="1"/>
  <c r="Z3" i="1"/>
  <c r="AA58" i="1"/>
  <c r="AA50" i="1"/>
  <c r="AA42" i="1"/>
  <c r="AA34" i="1"/>
  <c r="AA26" i="1"/>
  <c r="AA18" i="1"/>
  <c r="AA10" i="1"/>
  <c r="AA2" i="1"/>
  <c r="Z58" i="1"/>
  <c r="Z50" i="1"/>
  <c r="Z42" i="1"/>
  <c r="Z34" i="1"/>
  <c r="Z26" i="1"/>
  <c r="Z18" i="1"/>
  <c r="Z10" i="1"/>
  <c r="Z2" i="1"/>
  <c r="T12" i="1"/>
  <c r="O2" i="1" l="1"/>
  <c r="P2" i="1" s="1"/>
  <c r="Q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tc={3DB8662A-97E6-457D-A239-1DCA884C96C5}</author>
    <author>tc={AF1E9A3E-DE95-465D-8271-B5A4664D659F}</author>
    <author>tc={07D38680-CAD7-4F08-B413-66FD55E9205B}</author>
    <author>tc={85195D2D-F982-4865-8EB3-60EC1B1B8CA6}</author>
    <author>tc={4260C4D8-4BE4-43B9-8956-64E989CFFD49}</author>
    <author>tc={3130ACC3-6702-4EF1-A2C7-A047A872B4CE}</author>
    <author>tc={63540209-7604-4E60-A339-057CE2C009B7}</author>
  </authors>
  <commentList>
    <comment ref="D1" authorId="0" shapeId="0" xr:uid="{00000000-0006-0000-0200-000001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cada enlace
</t>
      </text>
    </comment>
    <comment ref="E1" authorId="1" shapeId="0" xr:uid="{00000000-0006-0000-0200-000002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</t>
      </text>
    </comment>
    <comment ref="F1" authorId="2" shapeId="0" xr:uid="{00000000-0006-0000-0200-000003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
</t>
      </text>
    </comment>
    <comment ref="L1" authorId="3" shapeId="0" xr:uid="{00000000-0006-0000-0200-000004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Relacionar el total una vez este conciliada la información</t>
      </text>
    </comment>
    <comment ref="M1" authorId="4" shapeId="0" xr:uid="{00000000-0006-0000-02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Si la IES/MEN debe reintegrar recursos</t>
      </text>
    </comment>
    <comment ref="N1" authorId="5" shapeId="0" xr:uid="{00000000-0006-0000-0200-000006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 acuerdo con la base con la que validamos</t>
      </text>
    </comment>
    <comment ref="S1" authorId="6" shapeId="0" xr:uid="{00000000-0006-0000-0200-000007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Cambia una vez se vayan diligenciando las demas columnas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tc={8B0F5E52-9213-4DFE-B2B7-E021732AD139}</author>
  </authors>
  <commentList>
    <comment ref="B1" authorId="0" shapeId="0" xr:uid="{00000000-0006-0000-0C00-000002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
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Dayana Mora</author>
  </authors>
  <commentList>
    <comment ref="B32" authorId="0" shapeId="0" xr:uid="{EE06F829-1701-41B5-81E2-B9CF97B5DF06}">
      <text>
        <r>
          <rPr>
            <b/>
            <sz val="9"/>
            <color indexed="81"/>
            <rFont val="Tahoma"/>
            <family val="2"/>
          </rPr>
          <t>Dayana Mora:</t>
        </r>
        <r>
          <rPr>
            <sz val="9"/>
            <color indexed="81"/>
            <rFont val="Tahoma"/>
            <family val="2"/>
          </rPr>
          <t xml:space="preserve">
Acta de cierre sin generar por la IES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tc={76BC3085-C641-4349-9F60-2F3A492F9F09}</author>
    <author>tc={EE382AB9-000A-4D94-B64E-36F20FA35D04}</author>
    <author>tc={3DA40EDA-E78C-4D94-BD8B-E3DC635D36E1}</author>
    <author>tc={0D019765-E6EF-4C1C-BF2F-29265516FA1F}</author>
  </authors>
  <commentList>
    <comment ref="H1" authorId="0" shapeId="0" xr:uid="{00000000-0006-0000-1000-000001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Cada enlace confirmar si corresponde al valor del concepto</t>
      </text>
    </comment>
    <comment ref="S1" authorId="1" shapeId="0" xr:uid="{00000000-0006-0000-1000-000002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Si la IES/MEN debe reintegrar recursos</t>
      </text>
    </comment>
    <comment ref="Y1" authorId="2" shapeId="0" xr:uid="{00000000-0006-0000-1000-000003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Cada enlace confirmar si corresponde al valor del concepto</t>
      </text>
    </comment>
    <comment ref="AJ1" authorId="3" shapeId="0" xr:uid="{00000000-0006-0000-1000-000004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Si la IES/MEN debe reintegrar recursos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tc={83E1B123-7121-4C3E-8FB8-37E74CFDFD27}</author>
    <author>tc={DD361419-A615-4F39-8137-821EFA7BD10D}</author>
  </authors>
  <commentList>
    <comment ref="C1" authorId="0" shapeId="0" xr:uid="{00000000-0006-0000-1400-000001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Cada enlace confirmar si corresponde al valor del concepto</t>
      </text>
    </comment>
    <comment ref="G1" authorId="1" shapeId="0" xr:uid="{00000000-0006-0000-1400-000002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Cada enlace confirmar si corresponde al valor del concepto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tc={B075EA24-F37B-4AA0-97AF-4834C6B30C36}</author>
  </authors>
  <commentList>
    <comment ref="D1" authorId="0" shapeId="0" xr:uid="{00000000-0006-0000-1700-000001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Cada enlace confirmar si corresponde al valor del concepto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tc={CDDDC5AE-4C2D-4271-9B28-126E3B988E72}</author>
    <author>tc={8BCB38E9-1D31-4A25-A983-0B9BFBA61CEC}</author>
    <author>tc={6909D854-6653-4208-9F97-3E0D12EF9DBE}</author>
    <author>tc={B4265C72-B089-495E-AC5A-C4CB51430379}</author>
    <author>tc={6BA4375A-7C69-4A5B-8E67-85BB42F5A27A}</author>
    <author>tc={2E8888F0-01B2-4E7A-A3E9-BBA1DD2E42C3}</author>
    <author>tc={BD220FC1-C4E6-4971-986E-5A09B5EE90BF}</author>
  </authors>
  <commentList>
    <comment ref="C1" authorId="0" shapeId="0" xr:uid="{00000000-0006-0000-1A00-000001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cada enlace
</t>
      </text>
    </comment>
    <comment ref="D1" authorId="1" shapeId="0" xr:uid="{00000000-0006-0000-1A00-000002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</t>
      </text>
    </comment>
    <comment ref="E1" authorId="2" shapeId="0" xr:uid="{00000000-0006-0000-1A00-000003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
</t>
      </text>
    </comment>
    <comment ref="K1" authorId="3" shapeId="0" xr:uid="{00000000-0006-0000-1A00-000004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Relacionar el total una vez este conciliada la información</t>
      </text>
    </comment>
    <comment ref="L1" authorId="4" shapeId="0" xr:uid="{00000000-0006-0000-1A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Si la IES/MEN debe reintegrar recursos</t>
      </text>
    </comment>
    <comment ref="M1" authorId="5" shapeId="0" xr:uid="{00000000-0006-0000-1A00-000006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 acuerdo con la base con la que validamos</t>
      </text>
    </comment>
    <comment ref="R1" authorId="6" shapeId="0" xr:uid="{00000000-0006-0000-1A00-000007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Cambia una vez se vayan diligenciando las demas columnas
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tc={9E07F294-6F7F-4172-B322-8AC1B7B22708}</author>
    <author>tc={A7C34309-E5BA-42F2-8F78-4B7D1CC84D46}</author>
    <author>tc={771C3B82-A8DD-1C48-8176-54DABAC3AB03}</author>
    <author>tc={F617E5A2-864A-471E-9C3C-E54125BA47B3}</author>
    <author>tc={6E339FAD-87EB-4E42-9AC7-B958D4AF4BCD}</author>
    <author>tc={1D95D2C6-5EA5-4C76-B46B-B6B3053EB223}</author>
    <author>tc={D0E51A97-1F2D-8047-9895-EA30954D5E84}</author>
  </authors>
  <commentList>
    <comment ref="F1" authorId="0" shapeId="0" xr:uid="{00000000-0006-0000-1B00-000001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cada enlace
</t>
      </text>
    </comment>
    <comment ref="G1" authorId="1" shapeId="0" xr:uid="{00000000-0006-0000-1B00-000002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</t>
      </text>
    </comment>
    <comment ref="H1" authorId="2" shapeId="0" xr:uid="{00000000-0006-0000-1B00-000003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Enlace
</t>
      </text>
    </comment>
    <comment ref="M1" authorId="3" shapeId="0" xr:uid="{00000000-0006-0000-1B00-000004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Relacionar el total una vez este conciliada la información</t>
      </text>
    </comment>
    <comment ref="N1" authorId="4" shapeId="0" xr:uid="{00000000-0006-0000-1B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Si la IES/MEN debe reintegrar recursos</t>
      </text>
    </comment>
    <comment ref="O1" authorId="5" shapeId="0" xr:uid="{00000000-0006-0000-1B00-000006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 acuerdo con la base con la que validamos</t>
      </text>
    </comment>
    <comment ref="T1" authorId="6" shapeId="0" xr:uid="{00000000-0006-0000-1B00-000007000000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Cambia una vez se vayan diligenciando las demas columnas
</t>
      </text>
    </comment>
  </commentList>
</comments>
</file>

<file path=xl/sharedStrings.xml><?xml version="1.0" encoding="utf-8"?>
<sst xmlns="http://schemas.openxmlformats.org/spreadsheetml/2006/main" count="4435" uniqueCount="752">
  <si>
    <t>VALOR A GIRAR
CIERRE 2023-1_</t>
  </si>
  <si>
    <t>ESTADO DE CERTIFICACIONES Y PROGRAMACIÓN GIRO</t>
  </si>
  <si>
    <t>Sin generar</t>
  </si>
  <si>
    <t>Total Sin generar</t>
  </si>
  <si>
    <t>Total general</t>
  </si>
  <si>
    <t>IES</t>
  </si>
  <si>
    <t>PROGRAMACIÓN GIRO Diciembre 2023</t>
  </si>
  <si>
    <t>UNIVERSIDAD DE NARIÑO</t>
  </si>
  <si>
    <t>VALOR ESTIMADO  POR DESEMBOLSAR 2023-2 
(20%)_</t>
  </si>
  <si>
    <t>ESTADO DE CERTIFICACIONES Y PROGRAMACIÓN DE GIRO</t>
  </si>
  <si>
    <t>Enero 2024</t>
  </si>
  <si>
    <t>No</t>
  </si>
  <si>
    <t>NOMBRE IES</t>
  </si>
  <si>
    <t>ENLACE 2023</t>
  </si>
  <si>
    <t>VALOR PROYECTADO 2023-1</t>
  </si>
  <si>
    <t>VALOR DESEMBOLSADO 2023-1 
80% (Concepto técnico)</t>
  </si>
  <si>
    <t>VALOR ESTIMADO  POR DESEMBOLSAR 2023-1 
(20%)</t>
  </si>
  <si>
    <t xml:space="preserve">ESTADO DE ACTA DE CIERRE 2023-1 </t>
  </si>
  <si>
    <t>PROYECIÓN MES DE GIRO 2023</t>
  </si>
  <si>
    <t>¿FIRMADO?</t>
  </si>
  <si>
    <t>FECHA DE COMITÉ</t>
  </si>
  <si>
    <t>COMENTARIOS GIROS</t>
  </si>
  <si>
    <t xml:space="preserve">VALOR A GIRAR
CIERRE 2023-1 </t>
  </si>
  <si>
    <t>VALOR A REINTEGRAR
CIERRE 2023-1</t>
  </si>
  <si>
    <t>VALOR EJECUTADO 2023-1</t>
  </si>
  <si>
    <t>DIFERENCIAS 2023-1 
(proyectado - ejecutado)</t>
  </si>
  <si>
    <t>PORCENTAJE DE EJECUCIÓN 2023-1
(ejecutado/proyectado)</t>
  </si>
  <si>
    <t>VALOR PROYECTADO 2023-2</t>
  </si>
  <si>
    <t>VALOR DESEMBOLSADO 2023-2 
80%3</t>
  </si>
  <si>
    <t>VALOR ESTIMADO  POR DESEMBOLSAR 2023-2 
(20%)4</t>
  </si>
  <si>
    <t>PROYECCIÓN MES DE GIRO</t>
  </si>
  <si>
    <t>ESTADO DE ACTA DE CIERRE 2023-2</t>
  </si>
  <si>
    <t>VALOR A GIRAR
CIERRE 2023-2</t>
  </si>
  <si>
    <t>VALOR A REINTEGRAR
CIERRE 2023-2</t>
  </si>
  <si>
    <t>VALOR EJECUTADO 2023-2</t>
  </si>
  <si>
    <t>DIFERENCIAS 2023-2 
(proyectado - ejecutado)</t>
  </si>
  <si>
    <t>PORCENTAJE DE EJECUCIÓN 2023-2
(ejecutado/proyectado)</t>
  </si>
  <si>
    <t>PROYECIÓN MES DE GIRO 20232</t>
  </si>
  <si>
    <t>¿FIRMADO?2</t>
  </si>
  <si>
    <t>FECHA DE COMITÉ2</t>
  </si>
  <si>
    <t>Comentarios</t>
  </si>
  <si>
    <t>UNIVERSIDAD PEDAGOGICA Y TECNOLOGICA DE COLOMBIA</t>
  </si>
  <si>
    <t>Ana Francisca Ussa</t>
  </si>
  <si>
    <t>Aprobada</t>
  </si>
  <si>
    <t>Diciembre</t>
  </si>
  <si>
    <t>SI</t>
  </si>
  <si>
    <t>Enero</t>
  </si>
  <si>
    <t>INFOTEP - HUMBERTO VELASQUEZ GARCIA</t>
  </si>
  <si>
    <t>En proceso de OP para girar en diciembre</t>
  </si>
  <si>
    <t>La IES no cargo acta de cierre</t>
  </si>
  <si>
    <t>UNIVERSIDAD DE LA GUAJIRA</t>
  </si>
  <si>
    <t>Noviembre</t>
  </si>
  <si>
    <t>UNIVERSIDAD DEL MAGDALENA</t>
  </si>
  <si>
    <t>ESCUELA TECNOLOGICA INSTITUTO TECNICO CENTRAL</t>
  </si>
  <si>
    <t>Dayana Mora Redondo</t>
  </si>
  <si>
    <t>Girado</t>
  </si>
  <si>
    <t>No aplica</t>
  </si>
  <si>
    <t>UNIVERSIDAD COLEGIO MAYOR DE CUNDINAMARCA</t>
  </si>
  <si>
    <t>INFOTEP DE SAN JUAN DEL CESAR</t>
  </si>
  <si>
    <t>Las IES no presentarón acta de cierre</t>
  </si>
  <si>
    <t>UNIVERSIDAD POPULAR DEL CESAR</t>
  </si>
  <si>
    <t>UNIVERSIDAD NACIONAL DE COLOMBIA</t>
  </si>
  <si>
    <t>UNIVERSIDAD INTERNACIONAL DEL TRÓPICO AMERICANO</t>
  </si>
  <si>
    <t>INSTITUTO UNIVERSITARIO DE LA PAZ</t>
  </si>
  <si>
    <t>Diana Guerrero</t>
  </si>
  <si>
    <t>En espera de la OP, programación de giro diciembre</t>
  </si>
  <si>
    <t>UNIDADES TECNOLOGICAS DE SANTANDER</t>
  </si>
  <si>
    <t>Cargada</t>
  </si>
  <si>
    <t>Programación de giro en enero de 2024</t>
  </si>
  <si>
    <t>UNIVERSIDAD INDUSTRIAL DE SANTANDER</t>
  </si>
  <si>
    <t>UNIVERSIDAD DISTRITAL-FRANCISCO JOSE DE CALDAS</t>
  </si>
  <si>
    <t>UNIVERSIDAD PEDAGOGICA NACIONAL</t>
  </si>
  <si>
    <t>UNIVERSIDAD TECNOLOGICA DEL CHOCO-DIEGO LUIS CORDOBA</t>
  </si>
  <si>
    <t>INFOTEP DE SAN ANDRES</t>
  </si>
  <si>
    <t>UNIVERSIDAD DEL QUINDIO</t>
  </si>
  <si>
    <t xml:space="preserve">Fredy Peñuela </t>
  </si>
  <si>
    <t>UNIVERSIDAD DE CALDAS</t>
  </si>
  <si>
    <t>COLEGIO INTEGRADO NACIONAL ORIENTE DE CALDAS</t>
  </si>
  <si>
    <t>UNIVERSIDAD TECNOLOGICA DE PEREIRA</t>
  </si>
  <si>
    <t>UNIVERSIDAD DE LOS LLANOS</t>
  </si>
  <si>
    <t>INSTITUCION UNIVERSITARIA DE ENVIGADO</t>
  </si>
  <si>
    <t>Gustavo Montero Sanchez</t>
  </si>
  <si>
    <t>TECNOLÓGICO DE ARTES DÉBORA ARANGO INSTITUCIÓN REDEFINIDA</t>
  </si>
  <si>
    <t>COLEGIO MAYOR DE ANTIOQUIA</t>
  </si>
  <si>
    <t>INSTITUCION UNIVERSITARIA DIGITAL DE ANTIOQUIA</t>
  </si>
  <si>
    <t>INSTITUCIÓN UNIVERSITARIA PASCUAL BRAVO</t>
  </si>
  <si>
    <t>INSTITUTO TECNOLOGICO METROPOLITANO</t>
  </si>
  <si>
    <t>TECNOLOGICO DE ANTIOQUIA</t>
  </si>
  <si>
    <t>UNIVERSIDAD DE ANTIOQUIA</t>
  </si>
  <si>
    <t>POLITECNICO COLOMBIANO JAIME ISAZA CADAVID</t>
  </si>
  <si>
    <t>INSTITUTO TOLIMENSE DE FORMACION TECNICA PROFESIONAL</t>
  </si>
  <si>
    <t>Jorge Espinosa</t>
  </si>
  <si>
    <t>CONSERVATORIO DEL TOLIMA</t>
  </si>
  <si>
    <t>UNIVERSIDAD DEL TOLIMA</t>
  </si>
  <si>
    <t>UNIVERSIDAD SURCOLOMBIANA</t>
  </si>
  <si>
    <t>UNIVERSIDAD DE CUNDINAMARCA</t>
  </si>
  <si>
    <t>UNIVERSIDAD DE CORDOBA</t>
  </si>
  <si>
    <t>Juan Carlos Gonzalez</t>
  </si>
  <si>
    <t>UNIVERSIDAD DE SUCRE</t>
  </si>
  <si>
    <t>INSTITUTO SUPERIOR DE EDUCACION RURAL</t>
  </si>
  <si>
    <t>UNIVERSIDAD DE PAMPLONA</t>
  </si>
  <si>
    <t>UNIVERSIDAD FRANCISCO DE PAULA SANTANDER - OCAÑA</t>
  </si>
  <si>
    <t>UNIVERSIDAD FRANCISCO DE PAULA SANTANDER - CÚCUTA</t>
  </si>
  <si>
    <t>UNIVERSIDAD NACIONAL ABIERTA Y A DISTANCIA</t>
  </si>
  <si>
    <t>UNIVERSIDAD DEL PACIFICO</t>
  </si>
  <si>
    <t>Juan Paulo Ortiz Vallejo</t>
  </si>
  <si>
    <t>ESCUELA NACIONAL DEL DEPORTE</t>
  </si>
  <si>
    <t>INSTITUCION UNIVERSITARIA ANTONIO JOSE CAMACHO</t>
  </si>
  <si>
    <t>INSTITUTO DEPARTAMENTAL DE BELLAS ARTES</t>
  </si>
  <si>
    <t>INSTITUTO TECNICO NACIONAL DE COMERCIO SIMON RODRIGUEZ</t>
  </si>
  <si>
    <t>Generada</t>
  </si>
  <si>
    <t>UNIVERSIDAD DEL VALLE</t>
  </si>
  <si>
    <t>INSTITUTO TECNICO AGRICOLA</t>
  </si>
  <si>
    <t>UNIDAD CENTRAL DEL VALLE DEL CAUCA</t>
  </si>
  <si>
    <t>INSTITUTO DE EDUCACION TECNICA PROFESIONAL DE ROLDANILLO</t>
  </si>
  <si>
    <t>UNIVERSIDAD MILITAR-NUEVA GRANADA</t>
  </si>
  <si>
    <t>UNIVERSIDAD DE LA AMAZONIA</t>
  </si>
  <si>
    <t>INSTITUCIÓN UNIVERSITARIA DE BARRANQUILLA</t>
  </si>
  <si>
    <t>Karen Liseth Rincón</t>
  </si>
  <si>
    <t>INSTITUCION DE EDUCACION SUPERIOR DE CARTAGENA</t>
  </si>
  <si>
    <t>INSTITUCION UNIVERSITARIA BELLAS ARTES Y CIENCIAS DE BOLIVAR</t>
  </si>
  <si>
    <t>UNIVERSIDAD DE CARTAGENA</t>
  </si>
  <si>
    <t>UNIVERSIDAD DEL ATLANTICO</t>
  </si>
  <si>
    <t>COLEGIO MAYOR DEL CAUCA</t>
  </si>
  <si>
    <t>UNIVERSIDAD AUTÓNOMA INDÍGENA INTERCULTURAL</t>
  </si>
  <si>
    <t>UNIVERSIDAD DEL CAUCA</t>
  </si>
  <si>
    <t>INSTITUTO TECNOLOGICO DEL PUTUMAYO</t>
  </si>
  <si>
    <t>DISPONIBLE FSE AGOSTO - ESTADO DE CUENTA</t>
  </si>
  <si>
    <t>PROYECCIÓN DE RECURSOS IES PENDIENTE CIERRE 2023-1</t>
  </si>
  <si>
    <t>PROYECCIÓN DE RECURSOS IES PENDIENTES CIERRE 2023-2</t>
  </si>
  <si>
    <t>PROYECCIÓN DE RECURSOS IES ADSCRITAS 2024-1</t>
  </si>
  <si>
    <t>PROYECCIÓN DE RECURSOS IES ADSCRITAS 2024-2</t>
  </si>
  <si>
    <t>TOTAL</t>
  </si>
  <si>
    <t>No.</t>
  </si>
  <si>
    <t>Solicitud</t>
  </si>
  <si>
    <t>Decisión (Sí / No)</t>
  </si>
  <si>
    <t>Aprueban los giros adicionales para el pago de casos especiales por $525.881.904 para 115 estudiantes de la Universidad Militar Nueva Granada, periodo 2022-1</t>
  </si>
  <si>
    <t>Aprueban los giros adicionales para el pago de tutela por $5.920,000 para  la estudiante ADRIANA MARCELA PARRA BUSTOS del Tecnológico de Antioquia</t>
  </si>
  <si>
    <t>Aprueban el reintegro que se debe realizar a la Universidad Popular del Cesar por valor de $482.804.546 para un número de 551 estudiantes, como se detalla en la comunicación adjunta por la Universidad.</t>
  </si>
  <si>
    <t>Aprueban giro a una (1) IES pública la suma de $10.872.841.851  para el mes de septiembre de 2024, correspondientes al segundo y último desembolso de los recursos restantes del Fondo Solidario para la Educación requeridos para financiar la matrícula neta de los estudiantes que cumplieron requisitos en el 2023-1 .</t>
  </si>
  <si>
    <t xml:space="preserve">Aprueban los giros a 9 IES públicas la suma de de $3.807.531.183 para el mes de septiembre de 2024 correspondientes al segundo y último desembolso de los recursos restantes del Fondo Solidario para la Educación requeridos para financiar la matrícula neta de los estudiantes que cumplieron requisitos en el 2023-2 </t>
  </si>
  <si>
    <t>Aprueban los giros a 5 IES públicas la suma de $ 11.166.890.588,00  para el mes de septiembre de 2024 correspondientes al primer desembolso del 80% de los recursos asignados para el financiamiento de la política de gratuidad en la matrícula 2024-2</t>
  </si>
  <si>
    <t>Aprueban la presentación al Comité de Seguimiento y Criterios de Asignación de los Beneficios de los giros adicionales para el pago de las tutelas por $14.834.600 para los dos (2) estudiantes de la Universidad Militar Nueva Granada</t>
  </si>
  <si>
    <t>Aprueban la presentación al Comité de Seguimiento y Criterios de Asignación de los Beneficios de los giros adicionales para el pago de las tutelas por $5.920,000 para  la estudiante ADRIANA MARCELA PARRA BUSTOS del Tecnológico de Antioquia</t>
  </si>
  <si>
    <t>Aprueban la presentación al Comité de Seguimiento y Criterios de Asignación de los Beneficios del reintegro a realizar a la Univerisidad Popular del Cesar por valor de $482.804.546 para un número de 551 estudiantes, como se detalla en la comunicación adjunta por la Universidad.</t>
  </si>
  <si>
    <t>Aprueban la presentación al Comité de Seguimiento y Criterios de Asignación de los Beneficios del giro a una (1) IES pública la suma de $10.872.841.851  para el mes de septiembre de 2024, correspondientes al segundo y último desembolso de los recursos restantes del Fondo Solidario para la Educación requeridos para financiar la matrícula neta de los estudiantes que cumplieron requisitos en el 2023-1 .</t>
  </si>
  <si>
    <t>Aprueban la presentación al Comité de Seguimiento y Criterios de Asignación de los Beneficios de los giros a 2 IES públicas la suma de $3.807.531.183 para el mes de septiembre de 2024 correspondientes al segundo y último desembolso de los recursos restantes del Fondo Solidario para la Educación requeridos para financiar la matrícula neta de los estudiantes que cumplieron requisitos en el 2023-2 </t>
  </si>
  <si>
    <t>Aprueban la presentación al Comité de Seguimiento y Criterios de Asignación de los Beneficios de los giros a 5 IES públicas la suma de $ 11.166.890.588,00  para el mes de septiembre de 2024 correspondientes al primer desembolso del 80% de los recursos asignados para el financiamiento de la politica de gratuidad en la matricula 2024-2</t>
  </si>
  <si>
    <t>Giro de recursos</t>
  </si>
  <si>
    <t>Reintegro de Recursos IES</t>
  </si>
  <si>
    <t>MEN</t>
  </si>
  <si>
    <t>ICETEX</t>
  </si>
  <si>
    <t>JULIO</t>
  </si>
  <si>
    <t>AGOSTO</t>
  </si>
  <si>
    <t>SEPTIEMBRE</t>
  </si>
  <si>
    <t>OCTUBRE</t>
  </si>
  <si>
    <t>NOVIEMBRE</t>
  </si>
  <si>
    <t>DICIEMBRE</t>
  </si>
  <si>
    <t>APROBADA</t>
  </si>
  <si>
    <t>GENERADA</t>
  </si>
  <si>
    <t>CARGADA</t>
  </si>
  <si>
    <t>SIN GENERAR</t>
  </si>
  <si>
    <t>APLAZADA</t>
  </si>
  <si>
    <t>2023-1</t>
  </si>
  <si>
    <t>REINTEGRO</t>
  </si>
  <si>
    <t>2023-2</t>
  </si>
  <si>
    <t>INSTITUCIÓN UNIVERSITARIA MAYOR DE CARTAGENA</t>
  </si>
  <si>
    <t>VALOR REQUERIDO FSE</t>
  </si>
  <si>
    <t>TOTAL GIRADO FSE</t>
  </si>
  <si>
    <t>POR GIRAR</t>
  </si>
  <si>
    <t>PERIODO</t>
  </si>
  <si>
    <t>VALOR DESEMBOLSADO 2023-2  (80%)</t>
  </si>
  <si>
    <t>VALOR A GIRAR CIERRE 2023-1</t>
  </si>
  <si>
    <t>PRUEBA</t>
  </si>
  <si>
    <t>VALOR A GIRAR CIERRE 2023-2</t>
  </si>
  <si>
    <t>80% 2024-2 adscritras</t>
  </si>
  <si>
    <t>Proyección 2024-1 adscritas</t>
  </si>
  <si>
    <t>Proyección 2024-2 Adscritas</t>
  </si>
  <si>
    <t>Proyección 20% 2024-1 y 2024-2</t>
  </si>
  <si>
    <t>UNIVERSIDAD TECNOLOGICA DE PEREIRA - UTP</t>
  </si>
  <si>
    <t>Proyección valor neto matricula total</t>
  </si>
  <si>
    <t>VALOR DESEMBOLSADO 2024-2</t>
  </si>
  <si>
    <t>2024-2</t>
  </si>
  <si>
    <t>80% (Concepto técnico)</t>
  </si>
  <si>
    <t>INSTITUTO NACIONAL DE FORMACION TECNICA PROFESIONAL DE SAN ANDRES Y PROVIDENCIA - INFOTEP</t>
  </si>
  <si>
    <t>INSTITUTO NACIONAL DE FORMACION TECNICA PROFESIONAL DE SAN JUAN DEL CESAR</t>
  </si>
  <si>
    <t>INSTITUTO TECNICO NACIONAL DE COMERCIO SIMON RODRIGUEZ - INTENALCO</t>
  </si>
  <si>
    <t>VALOR EJECUTADO</t>
  </si>
  <si>
    <t>VALOR DESEMBOLSADO 2024-1</t>
  </si>
  <si>
    <t>VALOR A GIRAR CIERRE 2024-1</t>
  </si>
  <si>
    <t>AUN NO</t>
  </si>
  <si>
    <t>2024-1</t>
  </si>
  <si>
    <t>20% (Concepto técnico)</t>
  </si>
  <si>
    <t>VALOR EJECUTADO 2024-1</t>
  </si>
  <si>
    <t>VALOR DESEMBOLSADO 2024-1  (80%)</t>
  </si>
  <si>
    <t>COLEGIO INTEGRADO NACIONAL ORIENTE DE CALDAS - IES CINOC</t>
  </si>
  <si>
    <t>INSTITUTO TECNICO AGRICOLA ITA</t>
  </si>
  <si>
    <r>
      <t xml:space="preserve">Aprueban la presentación al Comité de Seguimiento y Criterios de Asignación de los Beneficios de los </t>
    </r>
    <r>
      <rPr>
        <b/>
        <sz val="13"/>
        <color rgb="FF000000"/>
        <rFont val="Helvetica"/>
        <family val="2"/>
      </rPr>
      <t xml:space="preserve">giros adicionales para el pago de las tutelas por $14.834.600 </t>
    </r>
    <r>
      <rPr>
        <sz val="13"/>
        <color rgb="FF000000"/>
        <rFont val="Helvetica"/>
        <family val="2"/>
      </rPr>
      <t>para los dos (2) estudiantes de la Universidad Militar Nueva Granada</t>
    </r>
  </si>
  <si>
    <t>Aprueban la presentación al Comité de Seguimiento y Criterios de Asignación de los Beneficios del giro adicional caso especial de la Institución Universitaria Digital de Antioquia por la suma de $4.204.000</t>
  </si>
  <si>
    <r>
      <t xml:space="preserve">Aprueban la presentación al Comité de Seguimiento y Criterios de Asignación de los Beneficios del </t>
    </r>
    <r>
      <rPr>
        <b/>
        <u/>
        <sz val="13"/>
        <color rgb="FF000000"/>
        <rFont val="Helvetica"/>
        <family val="2"/>
      </rPr>
      <t>giro a una (1) IES pública la suma de $213.235.117 para el mes de abril de 2024</t>
    </r>
    <r>
      <rPr>
        <sz val="13"/>
        <color rgb="FF000000"/>
        <rFont val="Helvetica"/>
        <family val="2"/>
      </rPr>
      <t>, correspondientes al segundo y último desembolso de los recursos restantes del Fondo Solidario para la Educación requeridos para financiar la matrícula neta de los estudiantes que cumplieron requisitos en el 2023-1 .</t>
    </r>
  </si>
  <si>
    <r>
      <t xml:space="preserve">Aprueban la presentación al Comité de Seguimiento y Criterios de Asignación de los Beneficios de los </t>
    </r>
    <r>
      <rPr>
        <b/>
        <u/>
        <sz val="13"/>
        <color rgb="FF000000"/>
        <rFont val="Helvetica"/>
        <family val="2"/>
      </rPr>
      <t xml:space="preserve">giros a 9 IES públicas la suma de $13.573.126.018 para el mes de abril de 2024 correspondientes al segundo y último desembolso de los recursos restantes del Fondo Solidario para la Educación requeridos para financiar la matrícula neta de los estudiantes que cumplieron requisitos en el 2023-2 </t>
    </r>
  </si>
  <si>
    <r>
      <t xml:space="preserve">Aprueban la presentación al Comité de Seguimiento y Criterios de Asignación de los Beneficios de los </t>
    </r>
    <r>
      <rPr>
        <b/>
        <u/>
        <sz val="13"/>
        <color rgb="FF000000"/>
        <rFont val="Helvetica"/>
        <family val="2"/>
      </rPr>
      <t>giros a 5 IES públicas la suma de $10.013.823.126  para el mes de abril de 2024 correspondientes al primer desembolso del 80% de los recursos asignados para el financiamiento de la politica de gratuidad en la matricula 2024-1</t>
    </r>
  </si>
  <si>
    <t>Aprueban los giros adicionales para el pago de las tutelas por $14.834.600 para los dos (2) estudiantes de la Universidad Militar Nueva Granada</t>
  </si>
  <si>
    <t xml:space="preserve"> Aprueban el giro adicional caso especial de la Institución Universitaria Digital de Antioquia por la suma de $4.204.000</t>
  </si>
  <si>
    <r>
      <t xml:space="preserve">Aprueban </t>
    </r>
    <r>
      <rPr>
        <b/>
        <u/>
        <sz val="13"/>
        <color rgb="FF000000"/>
        <rFont val="Helvetica"/>
        <family val="2"/>
      </rPr>
      <t>giro a una (1) IES pública la suma de $213.235.117 para el mes de abril de 2024</t>
    </r>
    <r>
      <rPr>
        <sz val="13"/>
        <color rgb="FF000000"/>
        <rFont val="Helvetica"/>
        <family val="2"/>
      </rPr>
      <t>, correspondientes al segundo y último desembolso de los recursos restantes del Fondo Solidario para la Educación requeridos para financiar la matrícula neta de los estudiantes que cumplieron requisitos en el 2023-1 .</t>
    </r>
  </si>
  <si>
    <r>
      <t xml:space="preserve">Aprueban </t>
    </r>
    <r>
      <rPr>
        <b/>
        <u/>
        <sz val="13"/>
        <color rgb="FF000000"/>
        <rFont val="Helvetica"/>
        <family val="2"/>
      </rPr>
      <t>los giros a 9 IES públicas la suma de $13.573.126.018   para el mes de abril de 2024</t>
    </r>
    <r>
      <rPr>
        <sz val="13"/>
        <color rgb="FF000000"/>
        <rFont val="Helvetica"/>
        <family val="2"/>
      </rPr>
      <t xml:space="preserve"> correspondientes al segundo y último desembolso de los recursos restantes del Fondo Solidario para la Educación requeridos para financiar la matrícula neta de los estudiantes que cumplieron requisitos en el 2023-2 </t>
    </r>
  </si>
  <si>
    <r>
      <t xml:space="preserve">Aprueban </t>
    </r>
    <r>
      <rPr>
        <b/>
        <u/>
        <sz val="13"/>
        <color rgb="FF000000"/>
        <rFont val="Helvetica"/>
        <family val="2"/>
      </rPr>
      <t>los giros a 5 IES públicas la suma de $10.013.823.126  para el mes de abril de 2024</t>
    </r>
    <r>
      <rPr>
        <sz val="13"/>
        <color rgb="FF000000"/>
        <rFont val="Helvetica"/>
        <family val="2"/>
      </rPr>
      <t xml:space="preserve"> correspondientes al primer desembolso del 80% de los recursos asignados para el financiamiento de la politica de gratuidad en la matricula 2024-1</t>
    </r>
  </si>
  <si>
    <t>ESTADO</t>
  </si>
  <si>
    <t>TOTALES</t>
  </si>
  <si>
    <t>Lo que se va a girar</t>
  </si>
  <si>
    <t>Lo que esta pendiente por girar</t>
  </si>
  <si>
    <t>Total</t>
  </si>
  <si>
    <t>SALDO FSE</t>
  </si>
  <si>
    <t>GIRO 2024</t>
  </si>
  <si>
    <t>PDTE FSE 2023</t>
  </si>
  <si>
    <t>LO QUE SE VA AGIRAR</t>
  </si>
  <si>
    <t>ESTADO DE PAGO 80% 2023-1</t>
  </si>
  <si>
    <t>FECHA DE PAGO DEL 80% - 2023-1</t>
  </si>
  <si>
    <t>ESTADO DE PAGO 20% 2023-1</t>
  </si>
  <si>
    <t>FECHA DE GIRO DEL 20% - 2023-1</t>
  </si>
  <si>
    <t>¿GIRO O REINTEGRO?</t>
  </si>
  <si>
    <t xml:space="preserve">Observaciones 
(Explique brevemente porque la IES no ha generado el acta) </t>
  </si>
  <si>
    <t xml:space="preserve">Fecha de cargue del acta firmada por la IES 
(coloque la fecha en la cual la IES cargará el acta firmada) 
</t>
  </si>
  <si>
    <t>VALOR DESEMBOLSADO 2023-2 
80%</t>
  </si>
  <si>
    <t>ESTADO DE PAGO 80% 2023-2</t>
  </si>
  <si>
    <t>FECHA DE PAGO DEL 80% - 2023-2</t>
  </si>
  <si>
    <t>ESTADO DE PAGO 20% 2023-2</t>
  </si>
  <si>
    <t>FECHA DE GIRO DEL 20% - 2023-2</t>
  </si>
  <si>
    <t>TOTAL GIRADO 2023-2</t>
  </si>
  <si>
    <t>INSTITUTO NACIONAL DE FORMACION TECNICA PROFESIONAL - HUMBERTO VELASQUEZ GARCIA</t>
  </si>
  <si>
    <t>PAGADO</t>
  </si>
  <si>
    <t>UNIVERSIDAD DEL MAGDALENA - UNIMAGDALENA</t>
  </si>
  <si>
    <t>Ajustes 2022 no se han finalizado</t>
  </si>
  <si>
    <t>REINTEGRO DE RECURSO POR PARTE DE LA IES</t>
  </si>
  <si>
    <t>proceso de firmas</t>
  </si>
  <si>
    <t>LA IES NO REQUIRIÓ RECURSOS 20%</t>
  </si>
  <si>
    <t>Faltan casos del 2022 por resolver</t>
  </si>
  <si>
    <t>9-04.2024</t>
  </si>
  <si>
    <t>UNIVERSIDAD INTERNACIONAL DEL TRÓPICO AMERICANO - UNITRÓPICO</t>
  </si>
  <si>
    <t>INSTITUCION UNIVERSITARIA DIGITAL DE ANTIOQUIA -IU. DIGITAL</t>
  </si>
  <si>
    <t>UNIVERSIDAD-COLEGIO MAYOR DE CUNDINAMARCA</t>
  </si>
  <si>
    <t>UNIVERSIDAD DE CUNDINAMARCA-UDEC</t>
  </si>
  <si>
    <t>INSTITUTO SUPERIOR DE EDUCACION RURAL-ISER-</t>
  </si>
  <si>
    <t>UNIVERSIDAD NACIONAL ABIERTA Y A DISTANCIA UNAD</t>
  </si>
  <si>
    <t>En revisión por parte de la IES</t>
  </si>
  <si>
    <t>REINTEGRO DE RECURSOS POR PARTE DE LA IES</t>
  </si>
  <si>
    <t>20/02/2023 / 28/03/2023</t>
  </si>
  <si>
    <t>Acta de cierre sin generar por la IES</t>
  </si>
  <si>
    <t>UNIVERSIDAD PEDAGOGICA Y TECNOLOGICA DE COLOMBIA - UPTC</t>
  </si>
  <si>
    <t>INSTITUCIÓN UNIVERSITARIA DE BARRANQUILLA - IUB</t>
  </si>
  <si>
    <t>N/A</t>
  </si>
  <si>
    <t>Se encuentran ajustando periodo 2022-1 y 2022-2</t>
  </si>
  <si>
    <t>UNIVERSIDAD AUTÓNOMA INDÍGENA INTERCULTURAL - UAIIN</t>
  </si>
  <si>
    <t>Concepto</t>
  </si>
  <si>
    <t>No IES</t>
  </si>
  <si>
    <t>Valor</t>
  </si>
  <si>
    <t>Observación</t>
  </si>
  <si>
    <t xml:space="preserve">CUANTO SE GIRO DEL 80% 2023-1 </t>
  </si>
  <si>
    <t xml:space="preserve">CUANTO SE GIRO DEL 20% </t>
  </si>
  <si>
    <t>IES CON EXCEPCIÓN</t>
  </si>
  <si>
    <t>INFOTEP SAN ANDRES / SOLO SE APROBÓ UN GIRO DE 52 M</t>
  </si>
  <si>
    <t>CUANTO ESTA PENDIENTE POR GIRAR DEL 20%</t>
  </si>
  <si>
    <t>CUANTOS REINTEGROS SE IDENTIFICARON</t>
  </si>
  <si>
    <t>TOTAL GIRADO</t>
  </si>
  <si>
    <t>CUANTO SE GIRO DEL 80% 2023-2</t>
  </si>
  <si>
    <t>TOTAL GIRADO 2023-1</t>
  </si>
  <si>
    <t>TOTAL GIRADO 2023</t>
  </si>
  <si>
    <t>Actualizado el 15 de diciembre de 2024</t>
  </si>
  <si>
    <t>Pendiente por cubrir 2023-2 20%</t>
  </si>
  <si>
    <t>2024-1 80%</t>
  </si>
  <si>
    <t>2024-1 20%</t>
  </si>
  <si>
    <t>2024-2  80%</t>
  </si>
  <si>
    <t>GIRADO</t>
  </si>
  <si>
    <t>GIRADO POR ICETEX</t>
  </si>
  <si>
    <t>UNIVERSIDAD NACIONAL ABIERTA Y A DISTANCIA - UNAD</t>
  </si>
  <si>
    <t>NO HA CERRADO IES</t>
  </si>
  <si>
    <t xml:space="preserve">30% DEL 80% </t>
  </si>
  <si>
    <t>PENDIENTE 50% RESTANTE</t>
  </si>
  <si>
    <t>En proceso de Gestión</t>
  </si>
  <si>
    <t>2023-1 80%</t>
  </si>
  <si>
    <t>2023-1 20%</t>
  </si>
  <si>
    <t>2023-2  80%</t>
  </si>
  <si>
    <t>2023-2  20%</t>
  </si>
  <si>
    <t>*Valor estimado* No ha cerrado el periodo la IES, a la espera que sea contratado el operador SOFINCER para realizar el proceso</t>
  </si>
  <si>
    <t>2024-2 20%</t>
  </si>
  <si>
    <t>2024-2  20%</t>
  </si>
  <si>
    <t>* Valor estimado* No ha cerrado el periodo la IES, a la espera que sea contratado el operador SOFINCER para realizar el proceso</t>
  </si>
  <si>
    <t xml:space="preserve">*Valor estimado* pero aun les hace falta por cerrar </t>
  </si>
  <si>
    <t>Pertenencia</t>
  </si>
  <si>
    <t>VALOR DESEMBOLSADO 2023-1
80% (Concepto técnico)</t>
  </si>
  <si>
    <t>VALOR A GIRAR 2023-1</t>
  </si>
  <si>
    <t>Prueba</t>
  </si>
  <si>
    <t>SUE</t>
  </si>
  <si>
    <t>VALOR DESEMBOLSADO 2023-2
80% (Concepto técnico)</t>
  </si>
  <si>
    <t>VALOR A GIRAR 2023-2</t>
  </si>
  <si>
    <t>VALOR DESEMBOLSADO 2024-1
80% (Concepto técnico)</t>
  </si>
  <si>
    <t>VALOR A GIRAR 2024-1</t>
  </si>
  <si>
    <t>ITTU</t>
  </si>
  <si>
    <t>ESCUELA SUPERIOR TECNOLOGICA DE ARTES DEBORA ARANGO</t>
  </si>
  <si>
    <t>VALOR PROYECTADO 2024-2</t>
  </si>
  <si>
    <t>VALOR A GIRAR 2024-2
80% (Concepto técnico)</t>
  </si>
  <si>
    <t>UNIVERSIDAD DE CUNDINAMARCA - UDEC</t>
  </si>
  <si>
    <t>VALOR CORRESPONDIENTE AL 80%</t>
  </si>
  <si>
    <t>VALOR  APROBADO SESIÓN 26 DE AGOSTO (30%)</t>
  </si>
  <si>
    <t>VALOR  PENDIENTE POR APROBAR (50%)</t>
  </si>
  <si>
    <r>
      <t>Concepto</t>
    </r>
    <r>
      <rPr>
        <sz val="9"/>
        <color theme="0"/>
        <rFont val="Aptos"/>
        <family val="2"/>
      </rPr>
      <t> </t>
    </r>
  </si>
  <si>
    <t>Bellas Artes Bolivar</t>
  </si>
  <si>
    <t>IUB</t>
  </si>
  <si>
    <t>M Cartagena</t>
  </si>
  <si>
    <t>INFOTEP Cienaga</t>
  </si>
  <si>
    <t>Infotep San Juan</t>
  </si>
  <si>
    <t xml:space="preserve"> INFOTEP SAN ANDRES</t>
  </si>
  <si>
    <t>Total  </t>
  </si>
  <si>
    <r>
      <t>Matrícula 2023-1 </t>
    </r>
    <r>
      <rPr>
        <sz val="9"/>
        <rFont val="Aptos"/>
        <family val="2"/>
      </rPr>
      <t> </t>
    </r>
  </si>
  <si>
    <r>
      <t>Beneficiarios 2023-1 </t>
    </r>
    <r>
      <rPr>
        <sz val="9"/>
        <rFont val="Aptos"/>
        <family val="2"/>
      </rPr>
      <t> </t>
    </r>
  </si>
  <si>
    <t> % beneficiarios 2023-1  </t>
  </si>
  <si>
    <r>
      <t>Inversión 2023-1 </t>
    </r>
    <r>
      <rPr>
        <sz val="11"/>
        <rFont val="Aptos"/>
        <family val="2"/>
      </rPr>
      <t> </t>
    </r>
  </si>
  <si>
    <r>
      <t>Matrícula 2023-2</t>
    </r>
    <r>
      <rPr>
        <sz val="9"/>
        <rFont val="Aptos"/>
        <family val="2"/>
      </rPr>
      <t> </t>
    </r>
  </si>
  <si>
    <r>
      <t>Beneficiarios 2023-2</t>
    </r>
    <r>
      <rPr>
        <sz val="9"/>
        <rFont val="Aptos"/>
        <family val="2"/>
      </rPr>
      <t> </t>
    </r>
  </si>
  <si>
    <r>
      <t> % beneficiarios 2023-2</t>
    </r>
    <r>
      <rPr>
        <sz val="9"/>
        <rFont val="Aptos"/>
        <family val="2"/>
      </rPr>
      <t> </t>
    </r>
  </si>
  <si>
    <r>
      <t>Inversión 2023-2</t>
    </r>
    <r>
      <rPr>
        <sz val="9"/>
        <rFont val="Aptos"/>
        <family val="2"/>
      </rPr>
      <t> </t>
    </r>
  </si>
  <si>
    <r>
      <t>Matrícula 2024-1
 (parcial 1 oct) </t>
    </r>
    <r>
      <rPr>
        <sz val="9"/>
        <rFont val="Aptos"/>
        <family val="2"/>
      </rPr>
      <t> </t>
    </r>
  </si>
  <si>
    <r>
      <t>Beneficiarios 2024-1 </t>
    </r>
    <r>
      <rPr>
        <sz val="9"/>
        <rFont val="Aptos"/>
        <family val="2"/>
      </rPr>
      <t> </t>
    </r>
  </si>
  <si>
    <r>
      <t> % beneficiarios 2024-1 </t>
    </r>
    <r>
      <rPr>
        <sz val="9"/>
        <rFont val="Aptos"/>
        <family val="2"/>
      </rPr>
      <t> </t>
    </r>
  </si>
  <si>
    <r>
      <t>Inversión 2024-1 </t>
    </r>
    <r>
      <rPr>
        <sz val="9"/>
        <rFont val="Aptos"/>
        <family val="2"/>
      </rPr>
      <t> </t>
    </r>
  </si>
  <si>
    <r>
      <t> Total inversión</t>
    </r>
    <r>
      <rPr>
        <sz val="11"/>
        <color rgb="FFFFFFFF"/>
        <rFont val="Aptos"/>
        <family val="2"/>
      </rPr>
      <t> </t>
    </r>
  </si>
  <si>
    <t>Total Proyectado Matricula 2024-1</t>
  </si>
  <si>
    <t>VALOR DESEMBOLSADO 2024-1 - 80%</t>
  </si>
  <si>
    <t>VALOR RESTANTE</t>
  </si>
  <si>
    <t>Diferencia entre ejecutado y proyectado</t>
  </si>
  <si>
    <t>Incremento percapita</t>
  </si>
  <si>
    <t>Incremento cobertura</t>
  </si>
  <si>
    <t xml:space="preserve">ESTADO DE ACTA DE CIERRE 2024-1 </t>
  </si>
  <si>
    <t>Pendiente aprobación Junta Administradora</t>
  </si>
  <si>
    <t>Institución Universitaria de Barranquilla</t>
  </si>
  <si>
    <t>No ha generado cierre 2024-1</t>
  </si>
  <si>
    <t>En proceso de revisión - Equipo Técnico</t>
  </si>
  <si>
    <t>Matricula</t>
  </si>
  <si>
    <t>Beneficiarios</t>
  </si>
  <si>
    <t>% Beneficiarios</t>
  </si>
  <si>
    <t>Proyectado Inicialmente</t>
  </si>
  <si>
    <t>Desembolso inicial (80%)</t>
  </si>
  <si>
    <t>Primer Giro</t>
  </si>
  <si>
    <t>Segundo Giro (2 Oct)</t>
  </si>
  <si>
    <t>Tercer Giro (Nov)</t>
  </si>
  <si>
    <t>(30 Sept)</t>
  </si>
  <si>
    <t>Sin reporte</t>
  </si>
  <si>
    <t>Total Matricula 2023-1</t>
  </si>
  <si>
    <t>Total Beneficiarios 2023-1</t>
  </si>
  <si>
    <t>% de beneficiarios 2023-1</t>
  </si>
  <si>
    <t>Total Matricula Financiada 2023-1</t>
  </si>
  <si>
    <t>UNIDAD TÉCNICA PARA EL DESARROLLO PROFESIONAL - UTEDÉ</t>
  </si>
  <si>
    <t>Total Matricula 2023-2</t>
  </si>
  <si>
    <t>Total Beneficiarios 2023-2</t>
  </si>
  <si>
    <t>% de beneficiarios 2023-2</t>
  </si>
  <si>
    <t>Total Matricula Financiada 2023-2</t>
  </si>
  <si>
    <t>Total Matricula 2024-1</t>
  </si>
  <si>
    <t>Total Beneficiarios 2024-1</t>
  </si>
  <si>
    <t>% de beneficiarios 2024-1</t>
  </si>
  <si>
    <t>Total Proyectado Matricula 2024-2</t>
  </si>
  <si>
    <t>Observaciones</t>
  </si>
  <si>
    <t>Se aprobó en sesión de junta administradora del 26 de agosto de 2024 un porcentaje del total de cierre 2024-1 correspondiente a $6.430.267.096,80. El restante se presentará en la proxima sesión de Junta Administradora para aprobación.</t>
  </si>
  <si>
    <t>Pendiente de ajuste en la caracterización por parte de la IES</t>
  </si>
  <si>
    <t>Total Matricula 2024-2 (Preliminar)</t>
  </si>
  <si>
    <t>Total Beneficiarios 2024-2 (Preliminar)</t>
  </si>
  <si>
    <t>% de beneficiarios 2024-2 (Preliminar)</t>
  </si>
  <si>
    <t xml:space="preserve">VALOR TOTAL A DESEMBOLSAR 2024-2
80% </t>
  </si>
  <si>
    <t>Primer Giro SEPT</t>
  </si>
  <si>
    <t>Segundo Giro OCT</t>
  </si>
  <si>
    <t>Tercer Giro NOV</t>
  </si>
  <si>
    <t>SALDO RESTANTE</t>
  </si>
  <si>
    <t>Se desembolsó en un 100% desde ICETEX</t>
  </si>
  <si>
    <t>VALOR A REINTEGRAR 2024-1</t>
  </si>
  <si>
    <t>VALOR EJECUTADO 2024-2</t>
  </si>
  <si>
    <t>VALOR DESEMBOLSADO 2024-2
80% (Concepto técnico)</t>
  </si>
  <si>
    <t>VALOR A GIRAR 2024-2</t>
  </si>
  <si>
    <t>VALORES ESTIMADOS Y DEF</t>
  </si>
  <si>
    <t>se gira por ICETEX</t>
  </si>
  <si>
    <t>UNIVERSIDAD AUTÓNOMA INDÍGENA INTERCULTURAL - UAIIN*</t>
  </si>
  <si>
    <t>Sin generar - datos estimados</t>
  </si>
  <si>
    <t>Cargadas a presentar en Prox JA</t>
  </si>
  <si>
    <t>Sin generar - Datos estimados</t>
  </si>
  <si>
    <t>Cargdas - a presentar en Prox JA</t>
  </si>
  <si>
    <t>Aprobadas y pendientes de giro</t>
  </si>
  <si>
    <t>Con estimaciones porque no todas han cerrado</t>
  </si>
  <si>
    <t>VALOR A REINTEGRAR 2024-2</t>
  </si>
  <si>
    <t>VALOR PROYECTADO 2025-1</t>
  </si>
  <si>
    <t>VALOR A DESEMBOLSAR 2025-1 (80%)</t>
  </si>
  <si>
    <t>Proceso de matrículas: del 01/01/2025 al 14/02/2025</t>
  </si>
  <si>
    <t>Proceso de matrículas: del 10 de diciembre de 2024 al 31 de enero de 2025</t>
  </si>
  <si>
    <t xml:space="preserve"> Proceso de matrículas: del 19 de diciembre de 2024 al 17 de febrero de 2025.</t>
  </si>
  <si>
    <t>La fecha de matrícula es entre el 16 y 31 de enero</t>
  </si>
  <si>
    <t>UNIVERSIDAD FRANCISCO DE PAULA SANTANDER - SAN JOSÉ DE CUCUTA</t>
  </si>
  <si>
    <t>80% 2024-1</t>
  </si>
  <si>
    <t>girado</t>
  </si>
  <si>
    <t>20% 2024-1</t>
  </si>
  <si>
    <t>aprobado pero no girado</t>
  </si>
  <si>
    <t>80% 2024-2</t>
  </si>
  <si>
    <t>En tramite</t>
  </si>
  <si>
    <t>016390 23 SEP 2024</t>
  </si>
  <si>
    <t>NIT ENTIDAD</t>
  </si>
  <si>
    <t>DESCRIPCIÓN ENTIDAD</t>
  </si>
  <si>
    <t>APROPIACIÓN</t>
  </si>
  <si>
    <t>INSTITUCIÓN UNIVERSITARIA ANTONIO JOSÉ CAMACHO</t>
  </si>
  <si>
    <t>UNIDAD TECNICA PARA EL DESARROLLO PROFESIONAL -UTEDE</t>
  </si>
  <si>
    <t>INSTITUTO TECNOLÓGICO METROPOLITANO ITM</t>
  </si>
  <si>
    <t>DISPONIBLE A 31 DE OCTUBRE</t>
  </si>
  <si>
    <t>GIROS PENDIENTES 2023-1</t>
  </si>
  <si>
    <t>GIROS PENDIENTES 2023-2</t>
  </si>
  <si>
    <t>GIROS PENDIENTES 20% 2024-1</t>
  </si>
  <si>
    <t>GIROS PENDIENTES 20% 2024-2</t>
  </si>
  <si>
    <t>PROYECCIÓN GIRO 2025 - ADSCRITAS</t>
  </si>
  <si>
    <t>IMPREVISTOS CASOS ESPECIALES 2022</t>
  </si>
  <si>
    <t>Valor Proyectado redondeado 2025-1</t>
  </si>
  <si>
    <t>Valor Proyectado redondeado 2025-2</t>
  </si>
  <si>
    <t>Valor Proyectado redondeado 2026-1</t>
  </si>
  <si>
    <t>Valor Proyectado redondeado 2026-2</t>
  </si>
  <si>
    <t>2025 y 2026</t>
  </si>
  <si>
    <t>Esta diferencia surge porque en el acta de cierre en el 2024-1 se reporta 14.454.940.992 pero realmente y mediante soporte de pago se giro 14.454.940.991, ya que su proyectado fue de $18.068.676.239</t>
  </si>
  <si>
    <t>En la proyección que me paso paulo el 26 de julio el valor proyectado 2024-2 correspondia a 2.542.664.385 y el 80% correspondia a 2.034.131.508 como aparece en la tabla… pero en el acta de cierre no se si el SNIES hizo aproximación aunque cabe aclarar que no se ameritaba aproximar,</t>
  </si>
  <si>
    <t>En la proyección que me paso paulo el 26 de julio el valor proyectado 2024-2 correspondia a 22.172.104.761 y el 80% correspondia a 17.737.683.809 como aparece en la tabla… pero en el acta de cierre no se si el SNIES hizo aproximación aunque cabe aclarar que no se ameritaba aproximar,</t>
  </si>
  <si>
    <t>Diferencia entre el proyectado del acta de cierre y el del 26 de julio de paulo</t>
  </si>
  <si>
    <t>En la proyección que me paso paulo el 26 de julio el valor proyectado 2024-2 correspondia a 2.305.977.513 y el 80% correspondia a 1.844.782.010 como aparece en la tabla… pero en el acta de cierre no se si el SNIES hizo aproximación aunque cabe aclarar que no se ameritaba aproximar,</t>
  </si>
  <si>
    <t>Valor Proyectado redondeado 2024-1</t>
  </si>
  <si>
    <t>ESTADO DE PAGO 80% 2024-1</t>
  </si>
  <si>
    <t>FECHA DE COMITÉ Y/O JUNTAADM GIRO DEL 80% 2024-1</t>
  </si>
  <si>
    <t>FECHA DE GIRO 2024-1 80%</t>
  </si>
  <si>
    <t>RESOLUCION/OP 2024-1 80%</t>
  </si>
  <si>
    <t>VALOR ESTIMADO  POR DESEMBOLSAR 2024-1 
(20%)</t>
  </si>
  <si>
    <t>ESTADO DE PAGO</t>
  </si>
  <si>
    <t>FECHA GIRO DEL 20% 2024-1</t>
  </si>
  <si>
    <t>VALOR A REINTEGRAR
CIERRE 2024-1</t>
  </si>
  <si>
    <t>FECHA  GIRO 80% 2024-2 1° PAGO</t>
  </si>
  <si>
    <t>FECHA GIRO 80% 2024-2 2° PAGO</t>
  </si>
  <si>
    <t>FECHA GIRO 80% 2024-2 3° PAGO</t>
  </si>
  <si>
    <t>FECHA GIRO 80% 2024-2 4° PAGO</t>
  </si>
  <si>
    <t>FECHA GIRO 80% 2024-2 5° PAGO</t>
  </si>
  <si>
    <t>VALOR ESTIMADO  POR DESEMBOLSAR 2024-2
(20%)</t>
  </si>
  <si>
    <t>ESTADO DE ACTA DE CIERRE 2024-2</t>
  </si>
  <si>
    <t>VALOR A GIRAR 20% 2024-2</t>
  </si>
  <si>
    <t>VALOR A REINTEGRAR
CIERRE 2024-2</t>
  </si>
  <si>
    <t>OP2024-29607</t>
  </si>
  <si>
    <t xml:space="preserve">En proceso de GIRO </t>
  </si>
  <si>
    <t>En programación de PAC - MARZO</t>
  </si>
  <si>
    <t>agosto 27-24</t>
  </si>
  <si>
    <t>CUANTO SE GIRO DEL 80% 2024-1 (Para 59 IES)</t>
  </si>
  <si>
    <t>IES GIRADAS POR ICETEX - ADSCRITAS (80%)</t>
  </si>
  <si>
    <t xml:space="preserve">IES APROBADAS CIERRE 2024-1 </t>
  </si>
  <si>
    <r>
      <t xml:space="preserve">A la IES antonio jose camacho en Junta Administrador del 26 de agosto de aprobó lo correspondiente a 6.430.267.096,80 </t>
    </r>
    <r>
      <rPr>
        <b/>
        <sz val="11"/>
        <color rgb="FFC00000"/>
        <rFont val="Calibri"/>
        <family val="2"/>
        <scheme val="minor"/>
      </rPr>
      <t>por lo cual se encuentra restante por aprobar 8.834.602.226,2</t>
    </r>
  </si>
  <si>
    <t>TOTAL GIRADO 2024-1</t>
  </si>
  <si>
    <t>IES GIRADAS POR ICETEX - ADSCRITAS (20%)</t>
  </si>
  <si>
    <t>IES GIRADAS POR ICETEX - 261124</t>
  </si>
  <si>
    <r>
      <t xml:space="preserve">Aprobadas - 2 son reintegro - 37 giros </t>
    </r>
    <r>
      <rPr>
        <b/>
        <sz val="11"/>
        <color rgb="FFC00000"/>
        <rFont val="Calibri"/>
        <family val="2"/>
        <scheme val="minor"/>
      </rPr>
      <t>por ICETEX</t>
    </r>
  </si>
  <si>
    <t>IES CARGADA PARA PRESENTAR EN JA 24122024</t>
  </si>
  <si>
    <t>(Probabilidad que se gire con traslado)</t>
  </si>
  <si>
    <t>Traslado - MEN</t>
  </si>
  <si>
    <t>IES PENDIENTES DE AJUSTE 2024-1</t>
  </si>
  <si>
    <t>En reuniones</t>
  </si>
  <si>
    <t>IES PENDIENTES POR CERRAR 2024-1</t>
  </si>
  <si>
    <t>Valor estimado ***</t>
  </si>
  <si>
    <t>PENDIENTE EL 58% DE LA CAMACHO</t>
  </si>
  <si>
    <t>(Probabilidad que se gire con traslado) 2 pesos</t>
  </si>
  <si>
    <t>TOTAL POR GIRAR 2024-1 EN ESTE SEMESTRE CON TRASLADO</t>
  </si>
  <si>
    <t>TOTAL POR GIRAR 2024-1 EN EL 2025</t>
  </si>
  <si>
    <t>TOTAL GIRADO PARA EL 2024</t>
  </si>
  <si>
    <t>Sin adscritas</t>
  </si>
  <si>
    <t>IES APROBADAS GIRO 80% 2024-2</t>
  </si>
  <si>
    <r>
      <t>Cabe aclarar que en sesión de Junta Administradora y resolución, por el MEN solo se giran 57 IES por valor de $725.128.759.674,20 y</t>
    </r>
    <r>
      <rPr>
        <b/>
        <sz val="11"/>
        <color rgb="FF00B050"/>
        <rFont val="Calibri"/>
        <family val="2"/>
        <scheme val="minor"/>
      </rPr>
      <t xml:space="preserve"> las 5 restantes se giran desde ICETEX por valor de $11.166.890.587,40 y no se le adeuda nada a las 5 IES giradas por ICETEX</t>
    </r>
  </si>
  <si>
    <t>OK</t>
  </si>
  <si>
    <t>con adscritas</t>
  </si>
  <si>
    <t>IES GIRADAS POR EL MEN</t>
  </si>
  <si>
    <t>PRIMER GIRO SEPTIEMBRE (80%)</t>
  </si>
  <si>
    <t>Girado a 57 IES y distribuido de forma igual: 16,55%</t>
  </si>
  <si>
    <t>Adscritas</t>
  </si>
  <si>
    <t>SEGUNDO GIRO OCTUBRE (80%)</t>
  </si>
  <si>
    <t>Girado a 57 IES y distribuido de forma igual: 19,83%</t>
  </si>
  <si>
    <t>2024-1 (80%)</t>
  </si>
  <si>
    <t xml:space="preserve">TERCER GIRO NOVIEMBRE 80% - SOLO ITTU </t>
  </si>
  <si>
    <t xml:space="preserve">CUARTO GIRO NOVIEMBRE 80% </t>
  </si>
  <si>
    <t>20 MM a las ITTU - 136.159.633.071 SUE</t>
  </si>
  <si>
    <t>2024-2 (80%)</t>
  </si>
  <si>
    <t>QUINTO GIRO DICIEMBRE 80%</t>
  </si>
  <si>
    <t>Restante del 80%</t>
  </si>
  <si>
    <t>IES GIRADAS POR ICETEX - ADSCRITAS</t>
  </si>
  <si>
    <t>CUANTO SE LE HA GIRADO A LAS ITTU (Incuyendo Nov)</t>
  </si>
  <si>
    <t>CUANTO QUEDA PENDIENTE POR GIRAR ITTU DEL 80%</t>
  </si>
  <si>
    <t>CUANTO SE LE HA GIRADO A LAS UNIVERSIDADES</t>
  </si>
  <si>
    <t>CUANTO QUEDA PENDIENTE POR GIRAR UNIV</t>
  </si>
  <si>
    <t>PENDIENTE POR GIRAR U. CUNDINAMARCA 80%</t>
  </si>
  <si>
    <t>PDTE</t>
  </si>
  <si>
    <t>PENDIENTE POR GIRAR U.NACIONAL 80%</t>
  </si>
  <si>
    <t>Traslado</t>
  </si>
  <si>
    <t>PENDIENTE POR GIRAR 50% RESTANTE DEL 80% UNAD</t>
  </si>
  <si>
    <t>Abono UNAD POR ICETEX - 12122024</t>
  </si>
  <si>
    <t>TOTAL POR GIRAR 2024-2 (80%)</t>
  </si>
  <si>
    <t>IES CARGADAS APROBADAS EN JA 10122024 (20%)</t>
  </si>
  <si>
    <t>*No giradas* Probabilidad que se gire con traslado</t>
  </si>
  <si>
    <t>Adscrita - Se gira por ICETEX</t>
  </si>
  <si>
    <t>2025 por ICETEX</t>
  </si>
  <si>
    <t>IES CARGADAS PARA PRESENTAR EN JA 24122024</t>
  </si>
  <si>
    <t>TOTAL POR GIRAR 2024-2 (20%) ESTIMADO (Incluida U cundinamarca y U nacional) SIN ADSCRITAS</t>
  </si>
  <si>
    <t xml:space="preserve">Valor estimado *** </t>
  </si>
  <si>
    <t>TOTAL POR GIRAR 2024-2 (20%) Adscritas - Se gira por ICETEX en 2025 (No ha cerrado)</t>
  </si>
  <si>
    <t>* No ha cerrado - Valor estimado *</t>
  </si>
  <si>
    <t>TOTAL A GIRAR 4 IES APROBADAS EN JA 24122024</t>
  </si>
  <si>
    <t>Adscrita - Se gira por ICETEX es del periodo 2025-1</t>
  </si>
  <si>
    <t>TOTAL POR GIRAR 2024-2 EN ESTE SEMESTRE CON TRASLADO</t>
  </si>
  <si>
    <t>TOTAL POR GIRAR 2024-2 EN EL 2025 SIN ADSCRITAS</t>
  </si>
  <si>
    <t>TOTAL DE RECURSOS A NECESITAR SIN ADSCRITAS</t>
  </si>
  <si>
    <t>Valor estimado para el 20% del 2024-2 y las que no han cerrado 2024-1 y las que estan pendiente por revisar 2024-1… En conlusión, puede que sea menor valor.</t>
  </si>
  <si>
    <t>TRASLADO PROYECTOS A FSE</t>
  </si>
  <si>
    <t>TOTAL 2024-1 Y 2024-2 APROBADO - Politica de Gratuidad</t>
  </si>
  <si>
    <t>*Valores Estimados</t>
  </si>
  <si>
    <t>RESTANTE -POSIBLE EJECUCIÓN 2025</t>
  </si>
  <si>
    <t>* Valores Estimados</t>
  </si>
  <si>
    <t>¿Cuánto cuesta la PG 80% 2025-1?</t>
  </si>
  <si>
    <t>Opción 1 - Todas las IES envien CI</t>
  </si>
  <si>
    <t xml:space="preserve"> </t>
  </si>
  <si>
    <t>Opción 2 - Para 54 de 58 IES (4 adscritas)</t>
  </si>
  <si>
    <t>REDTTU</t>
  </si>
  <si>
    <t>Sistema Universitario Estatal o SUE</t>
  </si>
  <si>
    <t>Enlace MEN</t>
  </si>
  <si>
    <t>Valor Proyectado redondeado 2024-2</t>
  </si>
  <si>
    <t>VALOR TOTAL A DESEMBOLSAR 2024-2
80% (Concepto técnico)</t>
  </si>
  <si>
    <t>%</t>
  </si>
  <si>
    <t>16,54% (Primer Giro)</t>
  </si>
  <si>
    <t>Redondeado</t>
  </si>
  <si>
    <t>(Segundo Giro)</t>
  </si>
  <si>
    <t>SALDO FINAL</t>
  </si>
  <si>
    <t>Fredy Peñuela</t>
  </si>
  <si>
    <t>Karen Liseth Rincón Moreno</t>
  </si>
  <si>
    <t>Jorge Espinoza</t>
  </si>
  <si>
    <t>SIN ADSCRITAS</t>
  </si>
  <si>
    <t>SUPUESTO 1</t>
  </si>
  <si>
    <t>PAC</t>
  </si>
  <si>
    <t>VALOR A GIRAR</t>
  </si>
  <si>
    <t>Quedan</t>
  </si>
  <si>
    <t>Proyección valor matrícula 2024-1 
percapita</t>
  </si>
  <si>
    <t>Proyección valor neto matricula total
2024-1</t>
  </si>
  <si>
    <t>INDICE</t>
  </si>
  <si>
    <t>Valor indice</t>
  </si>
  <si>
    <t>MES DE GIRO 2024-1 80%</t>
  </si>
  <si>
    <t>GIRADO POR</t>
  </si>
  <si>
    <t>OBSERVACIONES AL REVISAR</t>
  </si>
  <si>
    <t>MES DE GIRO 2024-1 20%</t>
  </si>
  <si>
    <t>FECHA DE COMITÉ GIRO DEL 20% 2024-1</t>
  </si>
  <si>
    <t>DIFERENCIAS 2024-1
(proyectado - ejecutado)</t>
  </si>
  <si>
    <t>PORCENTAJE DE EJECUCIÓN 2024-1
(ejecutado/proyectado)</t>
  </si>
  <si>
    <t>Observaciones revisión Despacho VES</t>
  </si>
  <si>
    <t>MES DE GIRO 2024-2 80%</t>
  </si>
  <si>
    <t>FECHA DE COMITÉ Y/O JUNTAADM</t>
  </si>
  <si>
    <t>RESOLUCION/OP 2024-2 80%</t>
  </si>
  <si>
    <t>FECHA DE COMITÉ GIRO DEL 20% 2024-2</t>
  </si>
  <si>
    <t>DIFERENCIAS 2024-2
(proyectado - ejecutado)</t>
  </si>
  <si>
    <t>PORCENTAJE DE EJECUCIÓN 2024-2
(ejecutado/proyectado)</t>
  </si>
  <si>
    <t>smmlv</t>
  </si>
  <si>
    <t>Abril - Comité 19 de abril</t>
  </si>
  <si>
    <t>OP2024-29608</t>
  </si>
  <si>
    <t>ok</t>
  </si>
  <si>
    <t>IPC</t>
  </si>
  <si>
    <t>OP2024-29606</t>
  </si>
  <si>
    <t>OP2024-29602</t>
  </si>
  <si>
    <t>OP2024-29603</t>
  </si>
  <si>
    <t>ITTU - CORTE 29 DE SEPTIEMBRE</t>
  </si>
  <si>
    <t>APROBADAS</t>
  </si>
  <si>
    <t>CARGADAS Y EN PROCESO DE PRESENTAR JA</t>
  </si>
  <si>
    <t>NO CARGADAS</t>
  </si>
  <si>
    <t>SUE - CORTE 29 DE SEPTIEMBRE</t>
  </si>
  <si>
    <t xml:space="preserve">Aprueban los giros a 2 IES públicas la suma de de $3.807.531.183 para el mes de septiembre de 2024 correspondientes al segundo y último desembolso de los recursos restantes del Fondo Solidario para la Educación requeridos para financiar la matrícula neta de los estudiantes que cumplieron requisitos en el 2023-2 </t>
  </si>
  <si>
    <t>Aprueban los giros adicionales para el pago de tutela por $5.920,000 para  la estudiante ADRIANA MARCELA PARRA BUSTOS del Tecnológico de Antioquia, equivalente al valor de matrícula neta de los semestres 2022-2, 2023-1 y 2023-2</t>
  </si>
  <si>
    <t>Aprueban el recalculo del valor a reintegrar por la Universidad Popular del Cesar, estableciendo en $482.804.546 el valor a devolver al FSE, para el 2022-2</t>
  </si>
  <si>
    <t xml:space="preserve">Aprueban los giros a 9 IES públicas la suma de $3.807.531.183 para el mes de septiembre de 2024 correspondientes al segundo y último desembolso de los recursos restantes del Fondo Solidario para la Educación requeridos para financiar la matrícula neta de los estudiantes que cumplieron requisitos en el 2023-2 </t>
  </si>
  <si>
    <t>Aprueban los giros a las 3 ITTU públicas adscritas el MEN, por la suma de $1.272.835.734  para el mes de septiembre de 2024, correspondientes al segundo y ultimo desembolso del 20% de los recursos asignados para financiar la política de gratuidad en la matrícula 2024-1</t>
  </si>
  <si>
    <t>Aprueban los giros a las 5 ITTU públicas adscritas el MEN, por la suma de  $11.166.890.587,40 para el mes de septiembre de 2024, correspondientes al primer desembolso del 80% de los recursos asignados para financiar la política de gratuidad en la matrícula 2024-2</t>
  </si>
  <si>
    <t>ENLACES</t>
  </si>
  <si>
    <t>IES A CARGO 2024 (Sin actualización)</t>
  </si>
  <si>
    <t>Asignación</t>
  </si>
  <si>
    <t>NUEVA IES</t>
  </si>
  <si>
    <t>NOVEDAD</t>
  </si>
  <si>
    <t>1 IES  NUEVA</t>
  </si>
  <si>
    <t>INSTITUCIÓN UNIVERSITARIA POLITÉCNICO DISTRITAL DE SANTA MARTA</t>
  </si>
  <si>
    <t>IES nueva - sin iniciar, notificar a los enlaces</t>
  </si>
  <si>
    <t>INSTITUCIÓN UNIVERSITARIA PÚBLICA DE BELLO</t>
  </si>
  <si>
    <t>INSTITUCIÓN UNIVERSITARIA DE LAS CULTURAS Y LAS ARTES POPULARES - IPC</t>
  </si>
  <si>
    <t>Sandra Rojas</t>
  </si>
  <si>
    <t>(Guajira - San juan del Cesar - Colegio Mayor de Cundinamarca)</t>
  </si>
  <si>
    <t>Valor redondeado total 2024-1</t>
  </si>
  <si>
    <t>VALOR PARA DESEMBOLSO 2024-1
80% (Concepto técnico)</t>
  </si>
  <si>
    <t>DOMINIO (EJ: @UNAL)</t>
  </si>
  <si>
    <t>uptc.edu.co</t>
  </si>
  <si>
    <t>infotephvg.edu.co</t>
  </si>
  <si>
    <t>uniguajira.edu.co</t>
  </si>
  <si>
    <t>unimagdalena.edu.co</t>
  </si>
  <si>
    <t>NOTA</t>
  </si>
  <si>
    <t>itc.edu.co</t>
  </si>
  <si>
    <t>solo diligenciar el dominio sin el @ por ejemplo; UNAD.edu.co</t>
  </si>
  <si>
    <t>unicolmayor.edu.co</t>
  </si>
  <si>
    <t>infotep.edu.co</t>
  </si>
  <si>
    <t>unicesar.edu.co</t>
  </si>
  <si>
    <t>unal.edu.co</t>
  </si>
  <si>
    <t>unitropico.edu.co</t>
  </si>
  <si>
    <t>unipaz</t>
  </si>
  <si>
    <t>correo.uts.edu.co</t>
  </si>
  <si>
    <t>uis.edu.co</t>
  </si>
  <si>
    <t>udistrital.edu.co</t>
  </si>
  <si>
    <t>upn.edu.co</t>
  </si>
  <si>
    <t>utch.edu.co</t>
  </si>
  <si>
    <t>infotepsai.edu.co</t>
  </si>
  <si>
    <t>uniquindio.edu.co</t>
  </si>
  <si>
    <t>ucaldas.edu.co</t>
  </si>
  <si>
    <t>iescinoc.edu.co</t>
  </si>
  <si>
    <t>utp.edu.co</t>
  </si>
  <si>
    <t>udenar.edu.co</t>
  </si>
  <si>
    <t>unillanos.edu.co</t>
  </si>
  <si>
    <t>iue.edu.co</t>
  </si>
  <si>
    <t>deboraarango.edu.co</t>
  </si>
  <si>
    <t>colmayor.edu.co</t>
  </si>
  <si>
    <t>iudigital.edu.co</t>
  </si>
  <si>
    <t>pascualbravo.edu.co</t>
  </si>
  <si>
    <t>itm.edu.co</t>
  </si>
  <si>
    <t>tdea.edu.co</t>
  </si>
  <si>
    <t>udea.edu.co</t>
  </si>
  <si>
    <t>elpoli.edu.co</t>
  </si>
  <si>
    <t>itfip.edu.co</t>
  </si>
  <si>
    <t>conservatoriodeltolima.edu.co</t>
  </si>
  <si>
    <t>ut.edu.co</t>
  </si>
  <si>
    <t>usco.edu.co</t>
  </si>
  <si>
    <t>ucundinamarca.edu.co</t>
  </si>
  <si>
    <t>unicordoba.edu.co</t>
  </si>
  <si>
    <t>unisucre.edu.co</t>
  </si>
  <si>
    <t>iser.edu.co</t>
  </si>
  <si>
    <t>unipamplona.edu.co</t>
  </si>
  <si>
    <t>ufpso.edu.co</t>
  </si>
  <si>
    <t>ufps.edu.co</t>
  </si>
  <si>
    <t>unad.edu.co</t>
  </si>
  <si>
    <t>unipacifico.edu.co</t>
  </si>
  <si>
    <t>endeporte.edu.co</t>
  </si>
  <si>
    <t>admon.uniajc.edu.co</t>
  </si>
  <si>
    <t>bellasartes.edu.co</t>
  </si>
  <si>
    <t>intenalco.edu.co</t>
  </si>
  <si>
    <t>correounivalle.edu.co</t>
  </si>
  <si>
    <t>ita.edu.co</t>
  </si>
  <si>
    <t>uceva.edu.co</t>
  </si>
  <si>
    <t>intep.edu.co</t>
  </si>
  <si>
    <t>unimilitar.edu.co</t>
  </si>
  <si>
    <t>uniamazonia.edu.co</t>
  </si>
  <si>
    <t>unibarranquilla.edu.co</t>
  </si>
  <si>
    <t>umayor.edu.co</t>
  </si>
  <si>
    <t>unibac.edu.co</t>
  </si>
  <si>
    <t>unicartagena.edu.co</t>
  </si>
  <si>
    <t>uniatlantico.edu.co</t>
  </si>
  <si>
    <t>unimayor.edu.co</t>
  </si>
  <si>
    <t xml:space="preserve">uaiinpebi-cric.edu.co </t>
  </si>
  <si>
    <t>unicauca.edu.co</t>
  </si>
  <si>
    <t>itp.edu.co</t>
  </si>
  <si>
    <t>Mes de giro desde FSE</t>
  </si>
  <si>
    <t>No. de IES</t>
  </si>
  <si>
    <t>$ Monto Consolidado a Girar desde  FSE</t>
  </si>
  <si>
    <t>2do Desembolso Universidades</t>
  </si>
  <si>
    <t>Faltan casos del 2022 estudiantes por resolver</t>
  </si>
  <si>
    <t>Faltan casos del 2023 estudiantes por resolver</t>
  </si>
  <si>
    <t>Pendiente revisión del corte de esta semana para validar plantilla</t>
  </si>
  <si>
    <t>Esperando respuesta de la IES</t>
  </si>
  <si>
    <t>En revisión de la IES</t>
  </si>
  <si>
    <t>Falta resolver 422 casos de periodos adicionales</t>
  </si>
  <si>
    <t xml:space="preserve">Falta resolver 204 casos  de financiación periodos adicionales </t>
  </si>
  <si>
    <t>Está en revisión del Rector para firma</t>
  </si>
  <si>
    <t xml:space="preserve">Se presenta un problema con 2.500 estudiantes en 2022-1 y 2022-2 que debe resolverse para que no se queden sin el beneficio y poder cerrar 2023-1. Ya se está en proceso de solución, pero como deben abrirse candados, se requiere un proceso de verificación. </t>
  </si>
  <si>
    <t>la IES realizó un cambio en caracterización, debe esperar al siguiente corte para generar el acta y proceder a firmas</t>
  </si>
  <si>
    <t>Esta pendiente la actualización del rector en Vumen para proceder a cargarla firmada</t>
  </si>
  <si>
    <t>Se encuentra realizando revisiones finales de casos especiales que tienen</t>
  </si>
  <si>
    <t>DEPARTAMENTO</t>
  </si>
  <si>
    <t>MUNICIPIO</t>
  </si>
  <si>
    <t>Boyacá</t>
  </si>
  <si>
    <t>Tunja</t>
  </si>
  <si>
    <t>Magdalena</t>
  </si>
  <si>
    <t>Ciénaga</t>
  </si>
  <si>
    <t>La Guajira</t>
  </si>
  <si>
    <t>Riohacha</t>
  </si>
  <si>
    <t>Santa Marta</t>
  </si>
  <si>
    <t>Bogotá</t>
  </si>
  <si>
    <t>Cesar</t>
  </si>
  <si>
    <t>San Juan del Cesar</t>
  </si>
  <si>
    <t>Valledupar</t>
  </si>
  <si>
    <t>Pendiente cierre 2022</t>
  </si>
  <si>
    <t>Casanare</t>
  </si>
  <si>
    <t>Yopal</t>
  </si>
  <si>
    <t>Santander</t>
  </si>
  <si>
    <t>Barrancabermeja</t>
  </si>
  <si>
    <t>Bucaramanga</t>
  </si>
  <si>
    <t>Chocó</t>
  </si>
  <si>
    <t>Quibdó</t>
  </si>
  <si>
    <t>San Andrés</t>
  </si>
  <si>
    <t>Quindio</t>
  </si>
  <si>
    <t>Armenia</t>
  </si>
  <si>
    <t>Caldas</t>
  </si>
  <si>
    <t>Manizales</t>
  </si>
  <si>
    <t>Pensilvania</t>
  </si>
  <si>
    <t>Risaralda</t>
  </si>
  <si>
    <t>Pereira</t>
  </si>
  <si>
    <t>Nariño</t>
  </si>
  <si>
    <t>Pasto</t>
  </si>
  <si>
    <t>Meta</t>
  </si>
  <si>
    <t>Villavicencio</t>
  </si>
  <si>
    <t>Antioquia</t>
  </si>
  <si>
    <t>Envigado</t>
  </si>
  <si>
    <t>Medellín</t>
  </si>
  <si>
    <t>Cargó plantilla el 25 de octubre para validación de ajustes</t>
  </si>
  <si>
    <t>Tolima</t>
  </si>
  <si>
    <t>Espinal</t>
  </si>
  <si>
    <t>Ibagué</t>
  </si>
  <si>
    <t>Huila</t>
  </si>
  <si>
    <t>Neiva</t>
  </si>
  <si>
    <t>Cundinamarca</t>
  </si>
  <si>
    <t>Fusagasugá</t>
  </si>
  <si>
    <t>Córdoba</t>
  </si>
  <si>
    <t>Montería</t>
  </si>
  <si>
    <t>Demoras en validación SISBEN el viernes 27 de octubre hacen el cierre</t>
  </si>
  <si>
    <t>Sucre</t>
  </si>
  <si>
    <t>Sincelejo</t>
  </si>
  <si>
    <t>Falta validar unos estudiantes que son beneficiarios de GE pero no aparecen aun</t>
  </si>
  <si>
    <t>Norte de Santander</t>
  </si>
  <si>
    <t>Pamplona</t>
  </si>
  <si>
    <t xml:space="preserve">Se requirió que la IES enváiara por mesa de ayuda un ajuste para 200 estudiantes de derecho por error de  la IES en el calculo de los periodos a financiar, eso hizo que se demorará el cierre. </t>
  </si>
  <si>
    <t>Ocaña</t>
  </si>
  <si>
    <t>Cierran lunes 30 de octubre</t>
  </si>
  <si>
    <t>San José de Cúcuta</t>
  </si>
  <si>
    <t xml:space="preserve">Muchos estudiantes protestaron porque se quedaron sin el beneficio y se tuvo que revisar con la IES los casos. </t>
  </si>
  <si>
    <t>Valle del Cauca</t>
  </si>
  <si>
    <t>Buenaventura</t>
  </si>
  <si>
    <t>Cali</t>
  </si>
  <si>
    <t>Guadalajara de Buga</t>
  </si>
  <si>
    <t>Roldanillo</t>
  </si>
  <si>
    <t>Tuluá</t>
  </si>
  <si>
    <t>Esta pendiente la actualización del rector en Vumen para proceder a generarla y cargarla firmada</t>
  </si>
  <si>
    <t>Caquetá</t>
  </si>
  <si>
    <t>Florencia</t>
  </si>
  <si>
    <t>Atlántico</t>
  </si>
  <si>
    <t>Barranquilla</t>
  </si>
  <si>
    <t>Bolívar</t>
  </si>
  <si>
    <t>Cartagena de Indias</t>
  </si>
  <si>
    <t>Puerto Colombia</t>
  </si>
  <si>
    <t>Cauca</t>
  </si>
  <si>
    <t>Popayán</t>
  </si>
  <si>
    <t>Putumayo</t>
  </si>
  <si>
    <t>Mocoa</t>
  </si>
  <si>
    <t>Cargada y no se generó concepto desde el MEN porque se cargó concepto posterior al inicio de firmas</t>
  </si>
  <si>
    <t>Pdte por corregir concepto</t>
  </si>
  <si>
    <t>Se elimina acta y por ende concepto. Ajuste en Caracterización</t>
  </si>
  <si>
    <t>El proceso se realizó en diferentes meses teniendo en cuenta la disponibilidad presupuestal</t>
  </si>
  <si>
    <t>AMBOS</t>
  </si>
  <si>
    <t>FECHA DE GIRO VIG 2024-2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</si>
</sst>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\ #,##0;[Red]\-&quot;$&quot;\ #,##0"/>
    <numFmt numFmtId="8" formatCode="&quot;$&quot;\ #,##0.00;[Red]\-&quot;$&quot;\ #,##0.00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409]* #,##0_ ;_-[$$-409]* \-#,##0\ ;_-[$$-409]* &quot;-&quot;??_ ;_-@_ "/>
    <numFmt numFmtId="167" formatCode="&quot;$&quot;\ #,##0.00"/>
    <numFmt numFmtId="168" formatCode="0.0%"/>
    <numFmt numFmtId="169" formatCode="_-[$$-240A]\ * #,##0_-;\-[$$-240A]\ * #,##0_-;_-[$$-240A]\ * &quot;-&quot;_-;_-@_-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8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212121"/>
      <name val="Calibri"/>
      <family val="2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8"/>
      <name val="Arial"/>
      <family val="2"/>
    </font>
    <font>
      <b/>
      <sz val="13"/>
      <color rgb="FFFFFFFF"/>
      <name val="Helvetica"/>
      <family val="2"/>
    </font>
    <font>
      <b/>
      <sz val="13"/>
      <color rgb="FF000000"/>
      <name val="Helvetica"/>
      <family val="2"/>
    </font>
    <font>
      <sz val="13"/>
      <color rgb="FF000000"/>
      <name val="Helvetica"/>
      <family val="2"/>
    </font>
    <font>
      <b/>
      <u/>
      <sz val="13"/>
      <color rgb="FF000000"/>
      <name val="Helvetica"/>
      <family val="2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FFFF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b/>
      <sz val="10"/>
      <color rgb="FFFFFFFF"/>
      <name val="Calibri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7030A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theme="0"/>
      <name val="Aptos"/>
      <family val="2"/>
    </font>
    <font>
      <b/>
      <sz val="9"/>
      <color rgb="FFFFFFFF"/>
      <name val="Aptos"/>
      <family val="2"/>
    </font>
    <font>
      <sz val="9"/>
      <color rgb="FF000000"/>
      <name val="Aptos"/>
      <family val="2"/>
    </font>
    <font>
      <b/>
      <sz val="9"/>
      <color rgb="FF000000"/>
      <name val="Aptos"/>
      <family val="2"/>
    </font>
    <font>
      <b/>
      <sz val="9"/>
      <color theme="0"/>
      <name val="Aptos"/>
      <family val="2"/>
    </font>
    <font>
      <sz val="9"/>
      <color theme="0"/>
      <name val="Aptos"/>
      <family val="2"/>
    </font>
    <font>
      <b/>
      <sz val="9"/>
      <name val="Aptos"/>
      <family val="2"/>
    </font>
    <font>
      <sz val="9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2"/>
      <name val="Aptos"/>
      <family val="2"/>
    </font>
    <font>
      <b/>
      <sz val="11"/>
      <color theme="0"/>
      <name val="Aptos"/>
      <family val="2"/>
    </font>
    <font>
      <sz val="11"/>
      <color rgb="FFFFFFFF"/>
      <name val="Aptos"/>
      <family val="2"/>
    </font>
    <font>
      <b/>
      <sz val="12"/>
      <color theme="0"/>
      <name val="Aptos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  <font>
      <b/>
      <sz val="11"/>
      <color rgb="FF7900CC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900CC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4707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theme="8"/>
      </patternFill>
    </fill>
    <fill>
      <patternFill patternType="solid">
        <fgColor rgb="FFC61C1C"/>
        <bgColor theme="8"/>
      </patternFill>
    </fill>
    <fill>
      <patternFill patternType="solid">
        <fgColor rgb="FFE5320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131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1C1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53F5E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theme="8"/>
      </patternFill>
    </fill>
    <fill>
      <patternFill patternType="solid">
        <fgColor rgb="FFD20000"/>
        <bgColor indexed="64"/>
      </patternFill>
    </fill>
    <fill>
      <patternFill patternType="solid">
        <fgColor rgb="FFFEECFD"/>
        <bgColor indexed="64"/>
      </patternFill>
    </fill>
    <fill>
      <patternFill patternType="solid">
        <fgColor rgb="FFFEECFD"/>
        <bgColor rgb="FF000000"/>
      </patternFill>
    </fill>
    <fill>
      <patternFill patternType="solid">
        <fgColor rgb="FF7900CC"/>
        <bgColor indexed="64"/>
      </patternFill>
    </fill>
    <fill>
      <patternFill patternType="solid">
        <fgColor rgb="FFFDAB91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9933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2D5"/>
        <bgColor indexed="64"/>
      </patternFill>
    </fill>
    <fill>
      <patternFill patternType="solid">
        <fgColor rgb="FFDAF2D0"/>
        <bgColor indexed="64"/>
      </patternFill>
    </fill>
    <fill>
      <patternFill patternType="solid">
        <fgColor rgb="FFF7C7A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D96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0"/>
        <bgColor rgb="FF00000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E53201"/>
      </bottom>
      <diagonal/>
    </border>
    <border>
      <left style="thin">
        <color rgb="FFE53201"/>
      </left>
      <right style="thin">
        <color rgb="FFE53201"/>
      </right>
      <top style="thin">
        <color rgb="FFE53201"/>
      </top>
      <bottom style="thin">
        <color rgb="FFE532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E53201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 style="thin">
        <color rgb="FF00B05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61C1C"/>
      </left>
      <right style="thin">
        <color rgb="FFC61C1C"/>
      </right>
      <top style="thin">
        <color rgb="FFC61C1C"/>
      </top>
      <bottom style="thin">
        <color rgb="FFC61C1C"/>
      </bottom>
      <diagonal/>
    </border>
    <border>
      <left/>
      <right style="thin">
        <color rgb="FFC61C1C"/>
      </right>
      <top style="thin">
        <color rgb="FFC61C1C"/>
      </top>
      <bottom style="thin">
        <color rgb="FFC61C1C"/>
      </bottom>
      <diagonal/>
    </border>
    <border>
      <left style="thin">
        <color rgb="FFC61C1C"/>
      </left>
      <right style="thin">
        <color rgb="FFC61C1C"/>
      </right>
      <top/>
      <bottom/>
      <diagonal/>
    </border>
    <border>
      <left/>
      <right style="thin">
        <color rgb="FFC61C1C"/>
      </right>
      <top/>
      <bottom/>
      <diagonal/>
    </border>
    <border>
      <left/>
      <right/>
      <top/>
      <bottom style="thin">
        <color rgb="FFC61C1C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 style="medium">
        <color rgb="FFC00000"/>
      </right>
      <top/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theme="1"/>
      </top>
      <bottom style="medium">
        <color theme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4" fontId="1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1" fontId="1" fillId="0" borderId="0" applyFont="0" applyFill="0" applyBorder="0" applyAlignment="0" applyProtection="0"/>
  </cellStyleXfs>
  <cellXfs count="751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0" xfId="0" applyFont="1" applyFill="1" applyAlignment="1">
      <alignment horizontal="center"/>
    </xf>
    <xf numFmtId="164" fontId="1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164" fontId="3" fillId="0" borderId="0" xfId="1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44" fontId="3" fillId="0" borderId="0" xfId="1" applyFont="1" applyAlignment="1">
      <alignment horizontal="center"/>
    </xf>
    <xf numFmtId="44" fontId="8" fillId="0" borderId="0" xfId="1" applyFont="1" applyAlignment="1">
      <alignment horizontal="center"/>
    </xf>
    <xf numFmtId="165" fontId="3" fillId="0" borderId="0" xfId="0" applyNumberFormat="1" applyFont="1" applyAlignment="1">
      <alignment horizontal="center"/>
    </xf>
    <xf numFmtId="15" fontId="7" fillId="0" borderId="0" xfId="0" applyNumberFormat="1" applyFont="1" applyAlignment="1">
      <alignment horizontal="center"/>
    </xf>
    <xf numFmtId="44" fontId="4" fillId="0" borderId="0" xfId="1" applyFont="1" applyAlignment="1">
      <alignment horizontal="center" vertical="center" wrapText="1"/>
    </xf>
    <xf numFmtId="164" fontId="3" fillId="2" borderId="0" xfId="0" applyNumberFormat="1" applyFont="1" applyFill="1" applyAlignment="1">
      <alignment horizontal="center"/>
    </xf>
    <xf numFmtId="164" fontId="3" fillId="3" borderId="0" xfId="0" applyNumberFormat="1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44" fontId="3" fillId="4" borderId="0" xfId="1" applyFont="1" applyFill="1" applyAlignment="1">
      <alignment horizontal="center"/>
    </xf>
    <xf numFmtId="44" fontId="3" fillId="5" borderId="0" xfId="1" applyFont="1" applyFill="1" applyAlignment="1">
      <alignment horizontal="center"/>
    </xf>
    <xf numFmtId="9" fontId="3" fillId="5" borderId="0" xfId="2" applyFont="1" applyFill="1" applyAlignment="1">
      <alignment horizontal="center"/>
    </xf>
    <xf numFmtId="0" fontId="4" fillId="6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44" fontId="0" fillId="0" borderId="0" xfId="1" applyFont="1"/>
    <xf numFmtId="164" fontId="3" fillId="0" borderId="0" xfId="1" applyNumberFormat="1" applyFont="1" applyFill="1" applyAlignment="1">
      <alignment horizontal="center"/>
    </xf>
    <xf numFmtId="44" fontId="0" fillId="2" borderId="0" xfId="1" applyFont="1" applyFill="1"/>
    <xf numFmtId="164" fontId="8" fillId="0" borderId="0" xfId="1" applyNumberFormat="1" applyFont="1" applyAlignment="1">
      <alignment horizontal="center"/>
    </xf>
    <xf numFmtId="44" fontId="3" fillId="0" borderId="0" xfId="0" applyNumberFormat="1" applyFont="1" applyAlignment="1">
      <alignment horizontal="center"/>
    </xf>
    <xf numFmtId="164" fontId="3" fillId="7" borderId="0" xfId="0" applyNumberFormat="1" applyFont="1" applyFill="1" applyAlignment="1">
      <alignment horizontal="center"/>
    </xf>
    <xf numFmtId="164" fontId="3" fillId="7" borderId="0" xfId="1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wrapText="1"/>
    </xf>
    <xf numFmtId="0" fontId="0" fillId="9" borderId="0" xfId="0" applyFill="1" applyAlignment="1">
      <alignment horizontal="center"/>
    </xf>
    <xf numFmtId="0" fontId="4" fillId="9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44" fontId="10" fillId="2" borderId="0" xfId="4" applyFont="1" applyFill="1"/>
    <xf numFmtId="164" fontId="3" fillId="8" borderId="0" xfId="1" applyNumberFormat="1" applyFont="1" applyFill="1" applyAlignment="1">
      <alignment horizontal="center"/>
    </xf>
    <xf numFmtId="164" fontId="3" fillId="8" borderId="0" xfId="0" applyNumberFormat="1" applyFont="1" applyFill="1" applyAlignment="1">
      <alignment horizontal="center"/>
    </xf>
    <xf numFmtId="164" fontId="3" fillId="2" borderId="0" xfId="1" applyNumberFormat="1" applyFont="1" applyFill="1" applyAlignment="1">
      <alignment horizontal="center"/>
    </xf>
    <xf numFmtId="44" fontId="1" fillId="2" borderId="0" xfId="1" applyFont="1" applyFill="1" applyAlignment="1">
      <alignment horizontal="center"/>
    </xf>
    <xf numFmtId="164" fontId="12" fillId="0" borderId="0" xfId="0" applyNumberFormat="1" applyFont="1" applyAlignment="1">
      <alignment horizontal="center"/>
    </xf>
    <xf numFmtId="0" fontId="0" fillId="0" borderId="0" xfId="0" pivotButton="1" applyAlignment="1">
      <alignment horizontal="center"/>
    </xf>
    <xf numFmtId="0" fontId="3" fillId="0" borderId="0" xfId="0" pivotButton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8" fillId="0" borderId="0" xfId="0" applyNumberFormat="1" applyFont="1" applyAlignment="1">
      <alignment horizontal="center"/>
    </xf>
    <xf numFmtId="0" fontId="4" fillId="17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13" fillId="18" borderId="1" xfId="0" applyFont="1" applyFill="1" applyBorder="1" applyAlignment="1">
      <alignment horizontal="center"/>
    </xf>
    <xf numFmtId="0" fontId="13" fillId="18" borderId="2" xfId="0" applyFont="1" applyFill="1" applyBorder="1" applyAlignment="1">
      <alignment horizontal="center"/>
    </xf>
    <xf numFmtId="0" fontId="13" fillId="18" borderId="3" xfId="0" applyFont="1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164" fontId="13" fillId="19" borderId="6" xfId="1" applyNumberFormat="1" applyFont="1" applyFill="1" applyBorder="1" applyAlignment="1">
      <alignment horizontal="center"/>
    </xf>
    <xf numFmtId="0" fontId="3" fillId="15" borderId="7" xfId="0" applyFont="1" applyFill="1" applyBorder="1" applyAlignment="1">
      <alignment horizontal="center"/>
    </xf>
    <xf numFmtId="0" fontId="3" fillId="15" borderId="8" xfId="0" applyFont="1" applyFill="1" applyBorder="1" applyAlignment="1">
      <alignment horizontal="center"/>
    </xf>
    <xf numFmtId="164" fontId="13" fillId="19" borderId="9" xfId="1" applyNumberFormat="1" applyFont="1" applyFill="1" applyBorder="1" applyAlignment="1">
      <alignment horizontal="center"/>
    </xf>
    <xf numFmtId="44" fontId="3" fillId="0" borderId="0" xfId="1" applyFont="1" applyFill="1" applyAlignment="1">
      <alignment horizontal="center"/>
    </xf>
    <xf numFmtId="44" fontId="15" fillId="0" borderId="0" xfId="4" applyFont="1" applyFill="1"/>
    <xf numFmtId="44" fontId="0" fillId="0" borderId="0" xfId="1" applyFont="1" applyFill="1"/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3" fillId="16" borderId="0" xfId="0" applyFont="1" applyFill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7" fillId="16" borderId="0" xfId="0" applyFont="1" applyFill="1" applyAlignment="1">
      <alignment horizontal="center"/>
    </xf>
    <xf numFmtId="164" fontId="3" fillId="16" borderId="0" xfId="1" applyNumberFormat="1" applyFont="1" applyFill="1" applyAlignment="1">
      <alignment horizontal="center"/>
    </xf>
    <xf numFmtId="44" fontId="8" fillId="16" borderId="0" xfId="1" applyFont="1" applyFill="1" applyAlignment="1">
      <alignment horizontal="center"/>
    </xf>
    <xf numFmtId="164" fontId="1" fillId="0" borderId="0" xfId="1" applyNumberFormat="1" applyFont="1" applyFill="1" applyAlignment="1">
      <alignment horizontal="left"/>
    </xf>
    <xf numFmtId="164" fontId="16" fillId="0" borderId="0" xfId="4" applyNumberFormat="1" applyFont="1" applyFill="1" applyAlignment="1">
      <alignment horizontal="left"/>
    </xf>
    <xf numFmtId="0" fontId="3" fillId="9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14" fontId="7" fillId="5" borderId="0" xfId="0" applyNumberFormat="1" applyFont="1" applyFill="1" applyAlignment="1">
      <alignment horizontal="center"/>
    </xf>
    <xf numFmtId="0" fontId="0" fillId="2" borderId="0" xfId="0" applyFill="1"/>
    <xf numFmtId="0" fontId="17" fillId="0" borderId="0" xfId="0" applyFont="1"/>
    <xf numFmtId="164" fontId="1" fillId="0" borderId="0" xfId="1" applyNumberFormat="1" applyFont="1" applyFill="1" applyAlignment="1">
      <alignment horizontal="center"/>
    </xf>
    <xf numFmtId="164" fontId="1" fillId="8" borderId="0" xfId="1" applyNumberFormat="1" applyFont="1" applyFill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21" borderId="0" xfId="0" applyNumberFormat="1" applyFill="1" applyAlignment="1">
      <alignment horizontal="center"/>
    </xf>
    <xf numFmtId="0" fontId="14" fillId="22" borderId="11" xfId="0" applyFont="1" applyFill="1" applyBorder="1" applyAlignment="1">
      <alignment horizontal="center" vertical="center" wrapText="1"/>
    </xf>
    <xf numFmtId="9" fontId="3" fillId="0" borderId="0" xfId="2" applyFont="1" applyAlignment="1">
      <alignment horizontal="center"/>
    </xf>
    <xf numFmtId="0" fontId="0" fillId="0" borderId="12" xfId="0" applyBorder="1" applyAlignment="1">
      <alignment horizontal="center"/>
    </xf>
    <xf numFmtId="0" fontId="14" fillId="23" borderId="13" xfId="0" applyFont="1" applyFill="1" applyBorder="1" applyAlignment="1">
      <alignment horizontal="center" vertical="center" wrapText="1"/>
    </xf>
    <xf numFmtId="164" fontId="3" fillId="11" borderId="0" xfId="0" applyNumberFormat="1" applyFont="1" applyFill="1" applyAlignment="1">
      <alignment horizontal="center"/>
    </xf>
    <xf numFmtId="164" fontId="16" fillId="11" borderId="0" xfId="4" applyNumberFormat="1" applyFont="1" applyFill="1" applyAlignment="1">
      <alignment horizontal="left"/>
    </xf>
    <xf numFmtId="4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 wrapText="1"/>
    </xf>
    <xf numFmtId="164" fontId="0" fillId="11" borderId="0" xfId="0" applyNumberFormat="1" applyFill="1" applyAlignment="1">
      <alignment horizontal="center"/>
    </xf>
    <xf numFmtId="164" fontId="1" fillId="2" borderId="0" xfId="1" applyNumberFormat="1" applyFont="1" applyFill="1" applyAlignment="1">
      <alignment horizontal="center"/>
    </xf>
    <xf numFmtId="14" fontId="3" fillId="0" borderId="0" xfId="2" applyNumberFormat="1" applyFont="1" applyAlignment="1">
      <alignment horizontal="center"/>
    </xf>
    <xf numFmtId="14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4" fillId="24" borderId="0" xfId="0" applyFont="1" applyFill="1" applyAlignment="1">
      <alignment horizontal="center" vertical="center" wrapText="1"/>
    </xf>
    <xf numFmtId="44" fontId="0" fillId="0" borderId="12" xfId="1" applyFont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4" fillId="25" borderId="0" xfId="0" applyFont="1" applyFill="1" applyAlignment="1">
      <alignment horizontal="center" vertical="center" wrapText="1"/>
    </xf>
    <xf numFmtId="14" fontId="7" fillId="2" borderId="0" xfId="0" applyNumberFormat="1" applyFont="1" applyFill="1" applyAlignment="1">
      <alignment horizontal="center"/>
    </xf>
    <xf numFmtId="0" fontId="7" fillId="26" borderId="0" xfId="0" applyFont="1" applyFill="1" applyAlignment="1">
      <alignment horizontal="center"/>
    </xf>
    <xf numFmtId="9" fontId="4" fillId="10" borderId="0" xfId="2" applyFont="1" applyFill="1" applyAlignment="1">
      <alignment horizontal="center" vertical="center" wrapText="1"/>
    </xf>
    <xf numFmtId="17" fontId="3" fillId="0" borderId="0" xfId="0" applyNumberFormat="1" applyFont="1" applyAlignment="1">
      <alignment horizontal="center"/>
    </xf>
    <xf numFmtId="17" fontId="3" fillId="26" borderId="0" xfId="0" applyNumberFormat="1" applyFont="1" applyFill="1" applyAlignment="1">
      <alignment horizontal="center"/>
    </xf>
    <xf numFmtId="14" fontId="3" fillId="2" borderId="0" xfId="2" applyNumberFormat="1" applyFont="1" applyFill="1" applyAlignment="1">
      <alignment horizontal="center"/>
    </xf>
    <xf numFmtId="0" fontId="3" fillId="24" borderId="0" xfId="0" applyFont="1" applyFill="1" applyAlignment="1">
      <alignment horizontal="center"/>
    </xf>
    <xf numFmtId="0" fontId="0" fillId="0" borderId="5" xfId="0" applyBorder="1"/>
    <xf numFmtId="44" fontId="0" fillId="0" borderId="5" xfId="1" applyFont="1" applyBorder="1"/>
    <xf numFmtId="10" fontId="0" fillId="0" borderId="5" xfId="2" applyNumberFormat="1" applyFont="1" applyBorder="1"/>
    <xf numFmtId="164" fontId="0" fillId="0" borderId="5" xfId="1" applyNumberFormat="1" applyFont="1" applyBorder="1"/>
    <xf numFmtId="164" fontId="0" fillId="0" borderId="5" xfId="0" applyNumberFormat="1" applyBorder="1"/>
    <xf numFmtId="0" fontId="0" fillId="0" borderId="0" xfId="0" applyAlignment="1">
      <alignment wrapText="1"/>
    </xf>
    <xf numFmtId="10" fontId="0" fillId="0" borderId="0" xfId="2" applyNumberFormat="1" applyFont="1"/>
    <xf numFmtId="0" fontId="7" fillId="6" borderId="0" xfId="0" applyFont="1" applyFill="1" applyAlignment="1">
      <alignment horizontal="center"/>
    </xf>
    <xf numFmtId="0" fontId="0" fillId="15" borderId="5" xfId="0" applyFill="1" applyBorder="1" applyAlignment="1">
      <alignment wrapText="1"/>
    </xf>
    <xf numFmtId="0" fontId="0" fillId="2" borderId="5" xfId="0" applyFill="1" applyBorder="1"/>
    <xf numFmtId="0" fontId="14" fillId="27" borderId="5" xfId="0" applyFont="1" applyFill="1" applyBorder="1" applyAlignment="1">
      <alignment horizontal="center" vertical="center" wrapText="1"/>
    </xf>
    <xf numFmtId="164" fontId="14" fillId="7" borderId="5" xfId="1" applyNumberFormat="1" applyFont="1" applyFill="1" applyBorder="1" applyAlignment="1">
      <alignment horizontal="center" vertical="center" wrapText="1"/>
    </xf>
    <xf numFmtId="0" fontId="14" fillId="20" borderId="5" xfId="0" applyFont="1" applyFill="1" applyBorder="1" applyAlignment="1">
      <alignment horizontal="center" vertical="center" wrapText="1"/>
    </xf>
    <xf numFmtId="0" fontId="5" fillId="0" borderId="0" xfId="0" applyFont="1"/>
    <xf numFmtId="0" fontId="5" fillId="6" borderId="5" xfId="0" applyFont="1" applyFill="1" applyBorder="1" applyAlignment="1">
      <alignment wrapText="1"/>
    </xf>
    <xf numFmtId="164" fontId="5" fillId="0" borderId="5" xfId="1" applyNumberFormat="1" applyFont="1" applyBorder="1"/>
    <xf numFmtId="164" fontId="5" fillId="28" borderId="5" xfId="0" applyNumberFormat="1" applyFont="1" applyFill="1" applyBorder="1"/>
    <xf numFmtId="164" fontId="4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44" fontId="0" fillId="0" borderId="0" xfId="0" applyNumberFormat="1"/>
    <xf numFmtId="0" fontId="20" fillId="22" borderId="0" xfId="0" applyFont="1" applyFill="1" applyAlignment="1">
      <alignment horizontal="center" vertical="center" wrapText="1"/>
    </xf>
    <xf numFmtId="44" fontId="20" fillId="22" borderId="0" xfId="1" applyFont="1" applyFill="1" applyBorder="1" applyAlignment="1">
      <alignment horizontal="center" vertical="center" wrapText="1"/>
    </xf>
    <xf numFmtId="44" fontId="0" fillId="0" borderId="14" xfId="1" applyFont="1" applyBorder="1" applyAlignment="1">
      <alignment horizontal="center"/>
    </xf>
    <xf numFmtId="44" fontId="13" fillId="23" borderId="13" xfId="1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 readingOrder="1"/>
    </xf>
    <xf numFmtId="0" fontId="24" fillId="0" borderId="20" xfId="0" applyFont="1" applyBorder="1" applyAlignment="1">
      <alignment horizontal="center" vertical="center" wrapText="1" readingOrder="1"/>
    </xf>
    <xf numFmtId="0" fontId="25" fillId="0" borderId="20" xfId="0" applyFont="1" applyBorder="1" applyAlignment="1">
      <alignment horizontal="justify" vertical="center" wrapText="1" readingOrder="1"/>
    </xf>
    <xf numFmtId="0" fontId="22" fillId="0" borderId="20" xfId="0" applyFont="1" applyBorder="1" applyAlignment="1">
      <alignment horizontal="center" vertical="center" wrapText="1"/>
    </xf>
    <xf numFmtId="0" fontId="3" fillId="7" borderId="0" xfId="0" applyFont="1" applyFill="1" applyAlignment="1">
      <alignment horizontal="center"/>
    </xf>
    <xf numFmtId="0" fontId="0" fillId="0" borderId="5" xfId="0" applyBorder="1" applyAlignment="1">
      <alignment horizontal="center"/>
    </xf>
    <xf numFmtId="0" fontId="0" fillId="8" borderId="5" xfId="0" applyFill="1" applyBorder="1"/>
    <xf numFmtId="44" fontId="3" fillId="0" borderId="5" xfId="1" applyFont="1" applyFill="1" applyBorder="1" applyAlignment="1">
      <alignment horizontal="center"/>
    </xf>
    <xf numFmtId="44" fontId="0" fillId="0" borderId="5" xfId="1" applyFont="1" applyFill="1" applyBorder="1" applyAlignment="1">
      <alignment horizontal="center"/>
    </xf>
    <xf numFmtId="44" fontId="0" fillId="0" borderId="5" xfId="0" applyNumberFormat="1" applyBorder="1"/>
    <xf numFmtId="0" fontId="3" fillId="29" borderId="5" xfId="0" applyFont="1" applyFill="1" applyBorder="1"/>
    <xf numFmtId="0" fontId="0" fillId="8" borderId="5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4" fontId="0" fillId="2" borderId="5" xfId="1" applyFont="1" applyFill="1" applyBorder="1"/>
    <xf numFmtId="0" fontId="24" fillId="0" borderId="0" xfId="0" applyFont="1" applyAlignment="1">
      <alignment horizontal="center" vertical="center" wrapText="1" readingOrder="1"/>
    </xf>
    <xf numFmtId="0" fontId="25" fillId="0" borderId="0" xfId="0" applyFont="1" applyAlignment="1">
      <alignment horizontal="justify" vertical="center" wrapText="1" readingOrder="1"/>
    </xf>
    <xf numFmtId="0" fontId="22" fillId="0" borderId="0" xfId="0" applyFont="1" applyAlignment="1">
      <alignment horizontal="center" vertical="center" wrapText="1"/>
    </xf>
    <xf numFmtId="0" fontId="20" fillId="22" borderId="11" xfId="0" applyFont="1" applyFill="1" applyBorder="1" applyAlignment="1">
      <alignment horizontal="center" vertical="center" wrapText="1"/>
    </xf>
    <xf numFmtId="44" fontId="20" fillId="22" borderId="11" xfId="0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0" xfId="0" applyAlignment="1">
      <alignment vertical="center"/>
    </xf>
    <xf numFmtId="44" fontId="0" fillId="0" borderId="12" xfId="1" applyFon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/>
    </xf>
    <xf numFmtId="0" fontId="13" fillId="31" borderId="5" xfId="0" applyFont="1" applyFill="1" applyBorder="1" applyAlignment="1">
      <alignment horizontal="center"/>
    </xf>
    <xf numFmtId="14" fontId="13" fillId="31" borderId="5" xfId="0" applyNumberFormat="1" applyFont="1" applyFill="1" applyBorder="1" applyAlignment="1">
      <alignment horizontal="center"/>
    </xf>
    <xf numFmtId="14" fontId="0" fillId="0" borderId="5" xfId="0" applyNumberFormat="1" applyBorder="1"/>
    <xf numFmtId="14" fontId="0" fillId="8" borderId="5" xfId="0" applyNumberFormat="1" applyFill="1" applyBorder="1"/>
    <xf numFmtId="0" fontId="27" fillId="0" borderId="0" xfId="0" applyFont="1"/>
    <xf numFmtId="0" fontId="28" fillId="7" borderId="0" xfId="0" applyFont="1" applyFill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13" fillId="18" borderId="5" xfId="0" applyFont="1" applyFill="1" applyBorder="1" applyAlignment="1">
      <alignment horizontal="center" vertical="center"/>
    </xf>
    <xf numFmtId="0" fontId="13" fillId="18" borderId="5" xfId="0" applyFont="1" applyFill="1" applyBorder="1" applyAlignment="1">
      <alignment horizontal="center" vertical="center" wrapText="1"/>
    </xf>
    <xf numFmtId="0" fontId="13" fillId="18" borderId="5" xfId="0" applyFont="1" applyFill="1" applyBorder="1"/>
    <xf numFmtId="0" fontId="13" fillId="18" borderId="5" xfId="0" applyFont="1" applyFill="1" applyBorder="1" applyAlignment="1">
      <alignment horizontal="center"/>
    </xf>
    <xf numFmtId="0" fontId="13" fillId="18" borderId="15" xfId="0" applyFont="1" applyFill="1" applyBorder="1" applyAlignment="1">
      <alignment horizontal="center" vertical="center"/>
    </xf>
    <xf numFmtId="0" fontId="0" fillId="33" borderId="5" xfId="0" applyFill="1" applyBorder="1" applyAlignment="1">
      <alignment horizontal="center" vertical="center"/>
    </xf>
    <xf numFmtId="0" fontId="0" fillId="33" borderId="5" xfId="0" applyFill="1" applyBorder="1" applyAlignment="1">
      <alignment vertical="center"/>
    </xf>
    <xf numFmtId="0" fontId="0" fillId="33" borderId="5" xfId="0" applyFill="1" applyBorder="1"/>
    <xf numFmtId="0" fontId="0" fillId="2" borderId="5" xfId="0" applyFill="1" applyBorder="1" applyAlignment="1">
      <alignment horizontal="center" vertical="center"/>
    </xf>
    <xf numFmtId="0" fontId="3" fillId="33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6" borderId="0" xfId="0" applyFill="1"/>
    <xf numFmtId="0" fontId="20" fillId="27" borderId="5" xfId="0" applyFont="1" applyFill="1" applyBorder="1" applyAlignment="1">
      <alignment horizontal="center" vertical="center" wrapText="1"/>
    </xf>
    <xf numFmtId="10" fontId="20" fillId="27" borderId="5" xfId="2" applyNumberFormat="1" applyFont="1" applyFill="1" applyBorder="1" applyAlignment="1">
      <alignment horizontal="center" vertical="center" wrapText="1"/>
    </xf>
    <xf numFmtId="0" fontId="30" fillId="0" borderId="0" xfId="0" applyFont="1"/>
    <xf numFmtId="14" fontId="0" fillId="0" borderId="5" xfId="0" applyNumberFormat="1" applyBorder="1" applyAlignment="1">
      <alignment horizontal="center"/>
    </xf>
    <xf numFmtId="9" fontId="0" fillId="0" borderId="5" xfId="2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0" fontId="4" fillId="36" borderId="0" xfId="0" applyFont="1" applyFill="1" applyAlignment="1">
      <alignment horizontal="center" vertical="center" wrapText="1"/>
    </xf>
    <xf numFmtId="0" fontId="4" fillId="35" borderId="0" xfId="0" applyFont="1" applyFill="1" applyAlignment="1">
      <alignment horizontal="center" vertical="center" wrapText="1"/>
    </xf>
    <xf numFmtId="0" fontId="0" fillId="33" borderId="0" xfId="0" applyFill="1"/>
    <xf numFmtId="0" fontId="0" fillId="30" borderId="0" xfId="0" applyFill="1"/>
    <xf numFmtId="0" fontId="0" fillId="17" borderId="0" xfId="0" applyFill="1"/>
    <xf numFmtId="0" fontId="4" fillId="36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164" fontId="27" fillId="0" borderId="0" xfId="0" applyNumberFormat="1" applyFont="1"/>
    <xf numFmtId="0" fontId="27" fillId="0" borderId="5" xfId="0" applyFont="1" applyBorder="1" applyAlignment="1">
      <alignment horizontal="center"/>
    </xf>
    <xf numFmtId="164" fontId="27" fillId="0" borderId="5" xfId="0" applyNumberFormat="1" applyFont="1" applyBorder="1" applyAlignment="1">
      <alignment horizontal="center"/>
    </xf>
    <xf numFmtId="164" fontId="27" fillId="0" borderId="5" xfId="1" applyNumberFormat="1" applyFont="1" applyFill="1" applyBorder="1" applyAlignment="1">
      <alignment horizontal="center"/>
    </xf>
    <xf numFmtId="44" fontId="27" fillId="0" borderId="5" xfId="1" applyFont="1" applyFill="1" applyBorder="1" applyAlignment="1">
      <alignment horizontal="center"/>
    </xf>
    <xf numFmtId="8" fontId="27" fillId="0" borderId="0" xfId="0" applyNumberFormat="1" applyFont="1"/>
    <xf numFmtId="0" fontId="27" fillId="0" borderId="5" xfId="0" applyFont="1" applyBorder="1"/>
    <xf numFmtId="164" fontId="27" fillId="0" borderId="5" xfId="1" applyNumberFormat="1" applyFont="1" applyBorder="1"/>
    <xf numFmtId="164" fontId="27" fillId="0" borderId="5" xfId="0" applyNumberFormat="1" applyFont="1" applyBorder="1"/>
    <xf numFmtId="44" fontId="27" fillId="0" borderId="0" xfId="0" applyNumberFormat="1" applyFont="1"/>
    <xf numFmtId="0" fontId="28" fillId="23" borderId="11" xfId="0" applyFont="1" applyFill="1" applyBorder="1" applyAlignment="1">
      <alignment horizontal="center" vertical="center" wrapText="1"/>
    </xf>
    <xf numFmtId="44" fontId="28" fillId="23" borderId="5" xfId="1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25" xfId="0" applyBorder="1"/>
    <xf numFmtId="0" fontId="0" fillId="0" borderId="24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0" xfId="0" applyBorder="1"/>
    <xf numFmtId="0" fontId="20" fillId="22" borderId="31" xfId="0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31" xfId="0" applyBorder="1"/>
    <xf numFmtId="0" fontId="0" fillId="0" borderId="0" xfId="0" applyAlignment="1">
      <alignment horizontal="center" vertical="center"/>
    </xf>
    <xf numFmtId="44" fontId="0" fillId="0" borderId="5" xfId="0" applyNumberFormat="1" applyBorder="1" applyAlignment="1">
      <alignment vertical="center" wrapText="1"/>
    </xf>
    <xf numFmtId="10" fontId="0" fillId="0" borderId="5" xfId="0" applyNumberFormat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 wrapText="1"/>
    </xf>
    <xf numFmtId="167" fontId="0" fillId="32" borderId="5" xfId="1" applyNumberFormat="1" applyFont="1" applyFill="1" applyBorder="1" applyAlignment="1">
      <alignment horizontal="right" vertical="center" wrapText="1"/>
    </xf>
    <xf numFmtId="0" fontId="3" fillId="0" borderId="5" xfId="0" applyFont="1" applyBorder="1"/>
    <xf numFmtId="0" fontId="3" fillId="0" borderId="0" xfId="0" applyFont="1"/>
    <xf numFmtId="167" fontId="0" fillId="32" borderId="5" xfId="0" applyNumberFormat="1" applyFill="1" applyBorder="1" applyAlignment="1">
      <alignment horizontal="right" vertical="center" wrapText="1"/>
    </xf>
    <xf numFmtId="0" fontId="14" fillId="4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/>
    </xf>
    <xf numFmtId="44" fontId="27" fillId="37" borderId="5" xfId="1" applyFont="1" applyFill="1" applyBorder="1" applyAlignment="1">
      <alignment horizontal="center"/>
    </xf>
    <xf numFmtId="0" fontId="31" fillId="0" borderId="5" xfId="0" applyFont="1" applyBorder="1"/>
    <xf numFmtId="44" fontId="14" fillId="4" borderId="5" xfId="1" applyFont="1" applyFill="1" applyBorder="1" applyAlignment="1">
      <alignment horizontal="center" vertical="center" wrapText="1"/>
    </xf>
    <xf numFmtId="44" fontId="0" fillId="0" borderId="5" xfId="1" applyFont="1" applyFill="1" applyBorder="1" applyAlignment="1">
      <alignment horizontal="right" vertical="center" wrapText="1"/>
    </xf>
    <xf numFmtId="44" fontId="31" fillId="0" borderId="5" xfId="1" applyFont="1" applyFill="1" applyBorder="1" applyAlignment="1">
      <alignment horizontal="right" vertical="center" wrapText="1"/>
    </xf>
    <xf numFmtId="44" fontId="13" fillId="4" borderId="5" xfId="1" applyFont="1" applyFill="1" applyBorder="1" applyAlignment="1">
      <alignment horizontal="center"/>
    </xf>
    <xf numFmtId="44" fontId="0" fillId="0" borderId="5" xfId="1" applyFont="1" applyBorder="1" applyAlignment="1">
      <alignment horizontal="right" vertical="center" wrapText="1"/>
    </xf>
    <xf numFmtId="8" fontId="7" fillId="2" borderId="0" xfId="0" applyNumberFormat="1" applyFont="1" applyFill="1"/>
    <xf numFmtId="44" fontId="27" fillId="0" borderId="0" xfId="1" applyFont="1"/>
    <xf numFmtId="0" fontId="7" fillId="35" borderId="0" xfId="0" applyFont="1" applyFill="1" applyAlignment="1">
      <alignment horizontal="center"/>
    </xf>
    <xf numFmtId="44" fontId="7" fillId="2" borderId="0" xfId="0" applyNumberFormat="1" applyFont="1" applyFill="1"/>
    <xf numFmtId="0" fontId="14" fillId="4" borderId="5" xfId="0" applyFont="1" applyFill="1" applyBorder="1"/>
    <xf numFmtId="0" fontId="14" fillId="0" borderId="0" xfId="0" applyFont="1"/>
    <xf numFmtId="8" fontId="0" fillId="0" borderId="0" xfId="0" applyNumberFormat="1"/>
    <xf numFmtId="44" fontId="5" fillId="0" borderId="5" xfId="1" applyFont="1" applyBorder="1"/>
    <xf numFmtId="0" fontId="0" fillId="0" borderId="5" xfId="0" applyBorder="1" applyAlignment="1">
      <alignment horizontal="left" wrapText="1"/>
    </xf>
    <xf numFmtId="44" fontId="27" fillId="0" borderId="5" xfId="1" applyFont="1" applyBorder="1"/>
    <xf numFmtId="0" fontId="32" fillId="6" borderId="31" xfId="0" applyFont="1" applyFill="1" applyBorder="1" applyAlignment="1">
      <alignment horizontal="center" vertical="center" wrapText="1" readingOrder="1"/>
    </xf>
    <xf numFmtId="0" fontId="33" fillId="0" borderId="24" xfId="0" applyFont="1" applyBorder="1" applyAlignment="1">
      <alignment horizontal="center" wrapText="1" readingOrder="1"/>
    </xf>
    <xf numFmtId="0" fontId="33" fillId="0" borderId="24" xfId="0" applyFont="1" applyBorder="1" applyAlignment="1">
      <alignment horizontal="justify" wrapText="1" readingOrder="1"/>
    </xf>
    <xf numFmtId="0" fontId="34" fillId="0" borderId="24" xfId="0" applyFont="1" applyBorder="1" applyAlignment="1">
      <alignment vertical="center" wrapText="1"/>
    </xf>
    <xf numFmtId="164" fontId="0" fillId="32" borderId="5" xfId="0" applyNumberFormat="1" applyFill="1" applyBorder="1"/>
    <xf numFmtId="0" fontId="28" fillId="39" borderId="11" xfId="0" applyFont="1" applyFill="1" applyBorder="1" applyAlignment="1">
      <alignment horizontal="center" vertical="center" wrapText="1"/>
    </xf>
    <xf numFmtId="44" fontId="28" fillId="39" borderId="11" xfId="1" applyFont="1" applyFill="1" applyBorder="1" applyAlignment="1">
      <alignment horizontal="center" vertical="center" wrapText="1"/>
    </xf>
    <xf numFmtId="44" fontId="28" fillId="39" borderId="5" xfId="1" applyFont="1" applyFill="1" applyBorder="1" applyAlignment="1">
      <alignment horizontal="center" vertical="center" wrapText="1"/>
    </xf>
    <xf numFmtId="0" fontId="28" fillId="39" borderId="5" xfId="0" applyFont="1" applyFill="1" applyBorder="1" applyAlignment="1">
      <alignment horizontal="center" vertical="center" wrapText="1"/>
    </xf>
    <xf numFmtId="0" fontId="28" fillId="39" borderId="5" xfId="0" applyFont="1" applyFill="1" applyBorder="1" applyAlignment="1">
      <alignment vertical="center" wrapText="1"/>
    </xf>
    <xf numFmtId="44" fontId="28" fillId="39" borderId="5" xfId="1" applyFont="1" applyFill="1" applyBorder="1" applyAlignment="1">
      <alignment vertical="center" wrapText="1"/>
    </xf>
    <xf numFmtId="0" fontId="37" fillId="0" borderId="33" xfId="0" applyFont="1" applyBorder="1" applyAlignment="1">
      <alignment horizontal="left" vertical="center" wrapText="1" readingOrder="1"/>
    </xf>
    <xf numFmtId="0" fontId="37" fillId="0" borderId="35" xfId="0" applyFont="1" applyBorder="1" applyAlignment="1">
      <alignment horizontal="left" vertical="center" wrapText="1" readingOrder="1"/>
    </xf>
    <xf numFmtId="0" fontId="36" fillId="0" borderId="34" xfId="0" applyFont="1" applyBorder="1" applyAlignment="1">
      <alignment horizontal="justify" wrapText="1" readingOrder="1"/>
    </xf>
    <xf numFmtId="0" fontId="36" fillId="0" borderId="36" xfId="0" applyFont="1" applyBorder="1" applyAlignment="1">
      <alignment horizontal="justify" wrapText="1" readingOrder="1"/>
    </xf>
    <xf numFmtId="0" fontId="36" fillId="0" borderId="33" xfId="0" applyFont="1" applyBorder="1" applyAlignment="1">
      <alignment horizontal="center" wrapText="1" readingOrder="1"/>
    </xf>
    <xf numFmtId="0" fontId="35" fillId="4" borderId="0" xfId="0" applyFont="1" applyFill="1" applyAlignment="1">
      <alignment horizontal="center" vertical="center" wrapText="1" readingOrder="1"/>
    </xf>
    <xf numFmtId="0" fontId="0" fillId="0" borderId="37" xfId="0" applyBorder="1"/>
    <xf numFmtId="0" fontId="20" fillId="2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29" borderId="23" xfId="0" applyFill="1" applyBorder="1" applyAlignment="1">
      <alignment vertical="center" wrapText="1"/>
    </xf>
    <xf numFmtId="0" fontId="13" fillId="34" borderId="5" xfId="0" applyFont="1" applyFill="1" applyBorder="1"/>
    <xf numFmtId="0" fontId="38" fillId="0" borderId="23" xfId="0" applyFont="1" applyBorder="1" applyAlignment="1">
      <alignment vertical="center" wrapText="1"/>
    </xf>
    <xf numFmtId="0" fontId="28" fillId="27" borderId="5" xfId="0" applyFont="1" applyFill="1" applyBorder="1" applyAlignment="1">
      <alignment horizontal="center" vertical="center" wrapText="1"/>
    </xf>
    <xf numFmtId="0" fontId="28" fillId="27" borderId="23" xfId="0" applyFont="1" applyFill="1" applyBorder="1" applyAlignment="1">
      <alignment horizontal="center" vertical="center" wrapText="1"/>
    </xf>
    <xf numFmtId="10" fontId="28" fillId="27" borderId="5" xfId="2" applyNumberFormat="1" applyFont="1" applyFill="1" applyBorder="1" applyAlignment="1">
      <alignment horizontal="center" vertical="center" wrapText="1"/>
    </xf>
    <xf numFmtId="10" fontId="28" fillId="5" borderId="5" xfId="2" applyNumberFormat="1" applyFont="1" applyFill="1" applyBorder="1" applyAlignment="1">
      <alignment horizontal="center" vertical="center" wrapText="1"/>
    </xf>
    <xf numFmtId="0" fontId="28" fillId="5" borderId="11" xfId="0" applyFont="1" applyFill="1" applyBorder="1" applyAlignment="1">
      <alignment horizontal="center" vertical="center" wrapText="1"/>
    </xf>
    <xf numFmtId="0" fontId="28" fillId="34" borderId="5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8" fillId="38" borderId="0" xfId="0" applyFont="1" applyFill="1" applyAlignment="1">
      <alignment horizontal="center" vertical="center" wrapText="1"/>
    </xf>
    <xf numFmtId="0" fontId="28" fillId="27" borderId="22" xfId="0" applyFont="1" applyFill="1" applyBorder="1" applyAlignment="1">
      <alignment horizontal="center" vertical="center" wrapText="1"/>
    </xf>
    <xf numFmtId="10" fontId="28" fillId="35" borderId="22" xfId="2" applyNumberFormat="1" applyFont="1" applyFill="1" applyBorder="1" applyAlignment="1">
      <alignment horizontal="center" vertical="center" wrapText="1"/>
    </xf>
    <xf numFmtId="10" fontId="28" fillId="5" borderId="22" xfId="2" applyNumberFormat="1" applyFont="1" applyFill="1" applyBorder="1" applyAlignment="1">
      <alignment horizontal="center" vertical="center" wrapText="1"/>
    </xf>
    <xf numFmtId="0" fontId="28" fillId="34" borderId="22" xfId="0" applyFont="1" applyFill="1" applyBorder="1" applyAlignment="1">
      <alignment horizontal="center" vertical="center" wrapText="1"/>
    </xf>
    <xf numFmtId="0" fontId="28" fillId="35" borderId="0" xfId="0" applyFont="1" applyFill="1" applyAlignment="1">
      <alignment horizontal="center" vertical="center" wrapText="1"/>
    </xf>
    <xf numFmtId="0" fontId="28" fillId="35" borderId="22" xfId="0" applyFont="1" applyFill="1" applyBorder="1" applyAlignment="1">
      <alignment horizontal="center" vertical="center" wrapText="1"/>
    </xf>
    <xf numFmtId="44" fontId="28" fillId="35" borderId="22" xfId="1" applyFont="1" applyFill="1" applyBorder="1" applyAlignment="1">
      <alignment horizontal="center" vertical="center" wrapText="1"/>
    </xf>
    <xf numFmtId="164" fontId="2" fillId="0" borderId="5" xfId="0" applyNumberFormat="1" applyFont="1" applyBorder="1"/>
    <xf numFmtId="9" fontId="0" fillId="0" borderId="0" xfId="2" applyFont="1"/>
    <xf numFmtId="9" fontId="0" fillId="0" borderId="5" xfId="2" applyFont="1" applyBorder="1"/>
    <xf numFmtId="0" fontId="20" fillId="6" borderId="5" xfId="0" applyFont="1" applyFill="1" applyBorder="1" applyAlignment="1">
      <alignment horizontal="center" vertical="center" wrapText="1"/>
    </xf>
    <xf numFmtId="6" fontId="0" fillId="0" borderId="5" xfId="0" applyNumberFormat="1" applyBorder="1"/>
    <xf numFmtId="0" fontId="3" fillId="29" borderId="5" xfId="0" applyFont="1" applyFill="1" applyBorder="1" applyAlignment="1">
      <alignment horizontal="center"/>
    </xf>
    <xf numFmtId="6" fontId="39" fillId="29" borderId="5" xfId="0" applyNumberFormat="1" applyFont="1" applyFill="1" applyBorder="1"/>
    <xf numFmtId="44" fontId="3" fillId="32" borderId="5" xfId="0" applyNumberFormat="1" applyFont="1" applyFill="1" applyBorder="1"/>
    <xf numFmtId="0" fontId="20" fillId="4" borderId="5" xfId="0" applyFont="1" applyFill="1" applyBorder="1" applyAlignment="1">
      <alignment horizontal="center" vertical="center" wrapText="1"/>
    </xf>
    <xf numFmtId="10" fontId="20" fillId="11" borderId="5" xfId="2" applyNumberFormat="1" applyFont="1" applyFill="1" applyBorder="1" applyAlignment="1">
      <alignment horizontal="center" vertical="center" wrapText="1"/>
    </xf>
    <xf numFmtId="0" fontId="0" fillId="40" borderId="23" xfId="0" applyFill="1" applyBorder="1" applyAlignment="1">
      <alignment vertical="center" wrapText="1"/>
    </xf>
    <xf numFmtId="0" fontId="0" fillId="40" borderId="5" xfId="0" applyFill="1" applyBorder="1"/>
    <xf numFmtId="44" fontId="0" fillId="40" borderId="5" xfId="1" applyFont="1" applyFill="1" applyBorder="1"/>
    <xf numFmtId="9" fontId="0" fillId="40" borderId="5" xfId="2" applyFont="1" applyFill="1" applyBorder="1"/>
    <xf numFmtId="44" fontId="0" fillId="40" borderId="5" xfId="0" applyNumberFormat="1" applyFill="1" applyBorder="1"/>
    <xf numFmtId="10" fontId="3" fillId="0" borderId="5" xfId="0" applyNumberFormat="1" applyFont="1" applyBorder="1" applyAlignment="1">
      <alignment horizontal="center"/>
    </xf>
    <xf numFmtId="6" fontId="39" fillId="29" borderId="5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8" fontId="8" fillId="0" borderId="5" xfId="0" applyNumberFormat="1" applyFont="1" applyBorder="1"/>
    <xf numFmtId="44" fontId="0" fillId="41" borderId="5" xfId="0" applyNumberFormat="1" applyFill="1" applyBorder="1"/>
    <xf numFmtId="10" fontId="0" fillId="0" borderId="0" xfId="0" applyNumberFormat="1"/>
    <xf numFmtId="44" fontId="21" fillId="0" borderId="5" xfId="1" applyFont="1" applyBorder="1" applyAlignment="1">
      <alignment horizontal="center"/>
    </xf>
    <xf numFmtId="3" fontId="10" fillId="42" borderId="5" xfId="0" applyNumberFormat="1" applyFont="1" applyFill="1" applyBorder="1"/>
    <xf numFmtId="44" fontId="4" fillId="7" borderId="5" xfId="1" applyFont="1" applyFill="1" applyBorder="1"/>
    <xf numFmtId="164" fontId="0" fillId="0" borderId="0" xfId="0" applyNumberFormat="1"/>
    <xf numFmtId="0" fontId="0" fillId="0" borderId="5" xfId="0" applyBorder="1" applyAlignment="1">
      <alignment horizontal="left"/>
    </xf>
    <xf numFmtId="0" fontId="4" fillId="0" borderId="5" xfId="0" applyFont="1" applyBorder="1"/>
    <xf numFmtId="44" fontId="4" fillId="0" borderId="5" xfId="0" applyNumberFormat="1" applyFont="1" applyBorder="1"/>
    <xf numFmtId="44" fontId="5" fillId="0" borderId="5" xfId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44" fontId="5" fillId="0" borderId="5" xfId="0" applyNumberFormat="1" applyFont="1" applyBorder="1" applyAlignment="1">
      <alignment vertical="center"/>
    </xf>
    <xf numFmtId="44" fontId="5" fillId="0" borderId="5" xfId="1" applyFont="1" applyBorder="1" applyAlignment="1">
      <alignment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5" xfId="0" applyFont="1" applyBorder="1" applyAlignment="1">
      <alignment vertical="center"/>
    </xf>
    <xf numFmtId="44" fontId="27" fillId="0" borderId="5" xfId="1" applyFont="1" applyBorder="1" applyAlignment="1">
      <alignment vertical="center"/>
    </xf>
    <xf numFmtId="44" fontId="27" fillId="0" borderId="5" xfId="1" applyFont="1" applyBorder="1" applyAlignment="1">
      <alignment vertical="center" wrapText="1"/>
    </xf>
    <xf numFmtId="44" fontId="27" fillId="0" borderId="5" xfId="0" applyNumberFormat="1" applyFont="1" applyBorder="1" applyAlignment="1">
      <alignment vertical="center"/>
    </xf>
    <xf numFmtId="44" fontId="27" fillId="0" borderId="5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5" fillId="0" borderId="0" xfId="1" applyFont="1" applyBorder="1"/>
    <xf numFmtId="44" fontId="4" fillId="0" borderId="0" xfId="0" applyNumberFormat="1" applyFont="1"/>
    <xf numFmtId="44" fontId="27" fillId="0" borderId="32" xfId="1" applyFont="1" applyBorder="1" applyAlignment="1">
      <alignment vertical="center" wrapText="1"/>
    </xf>
    <xf numFmtId="44" fontId="27" fillId="0" borderId="38" xfId="1" applyFont="1" applyBorder="1" applyAlignment="1">
      <alignment vertical="center"/>
    </xf>
    <xf numFmtId="44" fontId="27" fillId="0" borderId="23" xfId="1" applyFont="1" applyFill="1" applyBorder="1" applyAlignment="1">
      <alignment horizontal="center" vertical="center" wrapText="1"/>
    </xf>
    <xf numFmtId="0" fontId="27" fillId="0" borderId="39" xfId="0" applyFont="1" applyBorder="1" applyAlignment="1">
      <alignment vertical="center"/>
    </xf>
    <xf numFmtId="44" fontId="27" fillId="0" borderId="39" xfId="1" applyFont="1" applyBorder="1" applyAlignment="1">
      <alignment vertical="center"/>
    </xf>
    <xf numFmtId="0" fontId="27" fillId="0" borderId="39" xfId="0" applyFont="1" applyBorder="1" applyAlignment="1">
      <alignment vertical="center" wrapText="1"/>
    </xf>
    <xf numFmtId="44" fontId="27" fillId="0" borderId="39" xfId="1" applyFont="1" applyBorder="1" applyAlignment="1">
      <alignment vertical="center" wrapText="1"/>
    </xf>
    <xf numFmtId="0" fontId="5" fillId="0" borderId="32" xfId="0" applyFont="1" applyBorder="1" applyAlignment="1">
      <alignment vertical="center"/>
    </xf>
    <xf numFmtId="0" fontId="5" fillId="0" borderId="32" xfId="0" applyFont="1" applyBorder="1" applyAlignment="1">
      <alignment vertical="center" wrapText="1"/>
    </xf>
    <xf numFmtId="44" fontId="5" fillId="0" borderId="23" xfId="1" applyFont="1" applyBorder="1" applyAlignment="1">
      <alignment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2" xfId="0" applyFont="1" applyBorder="1"/>
    <xf numFmtId="0" fontId="5" fillId="0" borderId="32" xfId="0" applyFont="1" applyBorder="1" applyAlignment="1">
      <alignment wrapText="1"/>
    </xf>
    <xf numFmtId="44" fontId="5" fillId="0" borderId="23" xfId="0" applyNumberFormat="1" applyFont="1" applyBorder="1"/>
    <xf numFmtId="3" fontId="41" fillId="0" borderId="39" xfId="0" applyNumberFormat="1" applyFont="1" applyBorder="1" applyAlignment="1">
      <alignment horizontal="center"/>
    </xf>
    <xf numFmtId="9" fontId="41" fillId="0" borderId="39" xfId="0" applyNumberFormat="1" applyFont="1" applyBorder="1" applyAlignment="1">
      <alignment horizontal="center"/>
    </xf>
    <xf numFmtId="0" fontId="41" fillId="0" borderId="39" xfId="0" applyFont="1" applyBorder="1" applyAlignment="1">
      <alignment horizontal="center"/>
    </xf>
    <xf numFmtId="168" fontId="5" fillId="0" borderId="39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40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41" fillId="0" borderId="39" xfId="0" applyFont="1" applyBorder="1" applyAlignment="1">
      <alignment horizontal="center" vertical="center"/>
    </xf>
    <xf numFmtId="9" fontId="41" fillId="0" borderId="39" xfId="0" applyNumberFormat="1" applyFont="1" applyBorder="1" applyAlignment="1">
      <alignment horizontal="center" vertical="center"/>
    </xf>
    <xf numFmtId="44" fontId="0" fillId="0" borderId="5" xfId="1" applyFont="1" applyBorder="1" applyAlignment="1">
      <alignment vertical="center"/>
    </xf>
    <xf numFmtId="10" fontId="0" fillId="0" borderId="5" xfId="2" applyNumberFormat="1" applyFont="1" applyBorder="1" applyAlignment="1">
      <alignment vertical="center"/>
    </xf>
    <xf numFmtId="10" fontId="5" fillId="0" borderId="5" xfId="2" applyNumberFormat="1" applyFont="1" applyBorder="1" applyAlignment="1">
      <alignment vertical="center" wrapText="1"/>
    </xf>
    <xf numFmtId="0" fontId="36" fillId="0" borderId="39" xfId="0" applyFont="1" applyBorder="1" applyAlignment="1">
      <alignment horizontal="center" vertical="center"/>
    </xf>
    <xf numFmtId="0" fontId="28" fillId="25" borderId="5" xfId="0" applyFont="1" applyFill="1" applyBorder="1" applyAlignment="1">
      <alignment horizontal="center" vertical="center" wrapText="1"/>
    </xf>
    <xf numFmtId="44" fontId="28" fillId="25" borderId="5" xfId="1" applyFont="1" applyFill="1" applyBorder="1" applyAlignment="1">
      <alignment horizontal="center" vertical="center" wrapText="1"/>
    </xf>
    <xf numFmtId="0" fontId="14" fillId="25" borderId="5" xfId="0" applyFont="1" applyFill="1" applyBorder="1" applyAlignment="1">
      <alignment horizontal="center" vertical="center" wrapText="1"/>
    </xf>
    <xf numFmtId="0" fontId="14" fillId="25" borderId="22" xfId="0" applyFont="1" applyFill="1" applyBorder="1" applyAlignment="1">
      <alignment horizontal="center" vertical="center" wrapText="1"/>
    </xf>
    <xf numFmtId="0" fontId="14" fillId="25" borderId="5" xfId="0" applyFont="1" applyFill="1" applyBorder="1" applyAlignment="1">
      <alignment vertical="center"/>
    </xf>
    <xf numFmtId="44" fontId="14" fillId="25" borderId="5" xfId="1" applyFont="1" applyFill="1" applyBorder="1" applyAlignment="1">
      <alignment horizontal="center" vertical="center" wrapText="1"/>
    </xf>
    <xf numFmtId="0" fontId="13" fillId="25" borderId="5" xfId="0" applyFont="1" applyFill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0" fontId="13" fillId="25" borderId="5" xfId="0" applyFont="1" applyFill="1" applyBorder="1" applyAlignment="1">
      <alignment horizontal="center"/>
    </xf>
    <xf numFmtId="44" fontId="31" fillId="0" borderId="38" xfId="1" applyFont="1" applyBorder="1" applyAlignment="1">
      <alignment horizontal="center"/>
    </xf>
    <xf numFmtId="0" fontId="31" fillId="0" borderId="5" xfId="0" applyFont="1" applyBorder="1" applyAlignment="1">
      <alignment wrapText="1"/>
    </xf>
    <xf numFmtId="0" fontId="31" fillId="0" borderId="5" xfId="0" applyFont="1" applyBorder="1" applyAlignment="1">
      <alignment vertical="center" wrapText="1"/>
    </xf>
    <xf numFmtId="0" fontId="31" fillId="0" borderId="5" xfId="0" applyFont="1" applyBorder="1" applyAlignment="1">
      <alignment horizontal="center" vertical="center"/>
    </xf>
    <xf numFmtId="44" fontId="31" fillId="0" borderId="5" xfId="1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0" fontId="3" fillId="32" borderId="5" xfId="0" applyFont="1" applyFill="1" applyBorder="1" applyAlignment="1">
      <alignment horizontal="left"/>
    </xf>
    <xf numFmtId="0" fontId="3" fillId="32" borderId="5" xfId="0" applyFont="1" applyFill="1" applyBorder="1" applyAlignment="1">
      <alignment horizontal="center"/>
    </xf>
    <xf numFmtId="44" fontId="3" fillId="32" borderId="5" xfId="1" applyFont="1" applyFill="1" applyBorder="1" applyAlignment="1">
      <alignment horizontal="center"/>
    </xf>
    <xf numFmtId="0" fontId="5" fillId="0" borderId="5" xfId="0" applyFont="1" applyBorder="1"/>
    <xf numFmtId="0" fontId="14" fillId="43" borderId="5" xfId="0" applyFont="1" applyFill="1" applyBorder="1" applyAlignment="1">
      <alignment horizontal="center" vertical="center" wrapText="1"/>
    </xf>
    <xf numFmtId="44" fontId="14" fillId="43" borderId="5" xfId="1" applyFont="1" applyFill="1" applyBorder="1" applyAlignment="1">
      <alignment horizontal="center" vertical="center" wrapText="1"/>
    </xf>
    <xf numFmtId="44" fontId="13" fillId="43" borderId="5" xfId="1" applyFont="1" applyFill="1" applyBorder="1" applyAlignment="1">
      <alignment horizontal="center" vertical="center" wrapText="1"/>
    </xf>
    <xf numFmtId="44" fontId="14" fillId="43" borderId="5" xfId="1" applyFont="1" applyFill="1" applyBorder="1"/>
    <xf numFmtId="44" fontId="20" fillId="43" borderId="5" xfId="1" applyFont="1" applyFill="1" applyBorder="1"/>
    <xf numFmtId="44" fontId="13" fillId="43" borderId="0" xfId="0" applyNumberFormat="1" applyFont="1" applyFill="1"/>
    <xf numFmtId="0" fontId="5" fillId="13" borderId="5" xfId="0" applyFont="1" applyFill="1" applyBorder="1"/>
    <xf numFmtId="44" fontId="5" fillId="13" borderId="5" xfId="1" applyFont="1" applyFill="1" applyBorder="1"/>
    <xf numFmtId="44" fontId="0" fillId="13" borderId="0" xfId="0" applyNumberFormat="1" applyFill="1"/>
    <xf numFmtId="44" fontId="5" fillId="0" borderId="5" xfId="1" applyFont="1" applyFill="1" applyBorder="1"/>
    <xf numFmtId="0" fontId="0" fillId="13" borderId="5" xfId="0" applyFill="1" applyBorder="1" applyAlignment="1">
      <alignment horizontal="center"/>
    </xf>
    <xf numFmtId="44" fontId="0" fillId="13" borderId="5" xfId="1" applyFont="1" applyFill="1" applyBorder="1" applyAlignment="1">
      <alignment horizontal="center"/>
    </xf>
    <xf numFmtId="44" fontId="13" fillId="43" borderId="23" xfId="1" applyFont="1" applyFill="1" applyBorder="1" applyAlignment="1">
      <alignment horizontal="center" vertical="center" wrapText="1"/>
    </xf>
    <xf numFmtId="0" fontId="28" fillId="43" borderId="5" xfId="0" applyFont="1" applyFill="1" applyBorder="1" applyAlignment="1">
      <alignment horizontal="center" vertical="center" wrapText="1"/>
    </xf>
    <xf numFmtId="44" fontId="28" fillId="43" borderId="5" xfId="1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/>
    </xf>
    <xf numFmtId="44" fontId="0" fillId="44" borderId="0" xfId="0" applyNumberFormat="1" applyFill="1"/>
    <xf numFmtId="44" fontId="0" fillId="0" borderId="0" xfId="2" applyNumberFormat="1" applyFont="1"/>
    <xf numFmtId="0" fontId="20" fillId="31" borderId="5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wrapText="1"/>
    </xf>
    <xf numFmtId="44" fontId="30" fillId="0" borderId="5" xfId="1" applyFont="1" applyBorder="1" applyAlignment="1">
      <alignment wrapText="1"/>
    </xf>
    <xf numFmtId="0" fontId="20" fillId="31" borderId="23" xfId="0" applyFont="1" applyFill="1" applyBorder="1" applyAlignment="1">
      <alignment horizontal="center"/>
    </xf>
    <xf numFmtId="164" fontId="30" fillId="0" borderId="5" xfId="1" applyNumberFormat="1" applyFont="1" applyBorder="1" applyAlignment="1">
      <alignment vertical="center"/>
    </xf>
    <xf numFmtId="164" fontId="30" fillId="0" borderId="5" xfId="0" applyNumberFormat="1" applyFont="1" applyBorder="1" applyAlignment="1">
      <alignment vertical="center"/>
    </xf>
    <xf numFmtId="164" fontId="20" fillId="31" borderId="5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32" borderId="0" xfId="0" applyFill="1" applyAlignment="1">
      <alignment horizontal="right" wrapText="1"/>
    </xf>
    <xf numFmtId="0" fontId="0" fillId="32" borderId="0" xfId="0" applyFill="1" applyAlignment="1">
      <alignment wrapText="1"/>
    </xf>
    <xf numFmtId="44" fontId="0" fillId="32" borderId="0" xfId="0" applyNumberFormat="1" applyFill="1"/>
    <xf numFmtId="0" fontId="13" fillId="31" borderId="5" xfId="0" applyFont="1" applyFill="1" applyBorder="1"/>
    <xf numFmtId="164" fontId="0" fillId="45" borderId="5" xfId="0" applyNumberFormat="1" applyFill="1" applyBorder="1" applyAlignment="1">
      <alignment horizontal="center"/>
    </xf>
    <xf numFmtId="0" fontId="3" fillId="32" borderId="5" xfId="0" applyFont="1" applyFill="1" applyBorder="1"/>
    <xf numFmtId="0" fontId="8" fillId="0" borderId="5" xfId="0" applyFont="1" applyBorder="1"/>
    <xf numFmtId="44" fontId="8" fillId="0" borderId="5" xfId="1" applyFont="1" applyBorder="1"/>
    <xf numFmtId="0" fontId="0" fillId="46" borderId="0" xfId="0" applyFill="1"/>
    <xf numFmtId="44" fontId="3" fillId="2" borderId="5" xfId="0" applyNumberFormat="1" applyFont="1" applyFill="1" applyBorder="1"/>
    <xf numFmtId="0" fontId="3" fillId="2" borderId="5" xfId="0" applyFont="1" applyFill="1" applyBorder="1"/>
    <xf numFmtId="44" fontId="5" fillId="0" borderId="5" xfId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vertical="center"/>
    </xf>
    <xf numFmtId="10" fontId="5" fillId="0" borderId="5" xfId="2" applyNumberFormat="1" applyFont="1" applyBorder="1" applyAlignment="1">
      <alignment horizontal="center" vertical="center"/>
    </xf>
    <xf numFmtId="10" fontId="5" fillId="0" borderId="5" xfId="2" applyNumberFormat="1" applyFont="1" applyBorder="1" applyAlignment="1">
      <alignment horizontal="center" vertical="center" wrapText="1"/>
    </xf>
    <xf numFmtId="0" fontId="42" fillId="4" borderId="5" xfId="0" applyFont="1" applyFill="1" applyBorder="1" applyAlignment="1">
      <alignment horizontal="center" vertical="center" wrapText="1"/>
    </xf>
    <xf numFmtId="44" fontId="42" fillId="4" borderId="5" xfId="1" applyFont="1" applyFill="1" applyBorder="1" applyAlignment="1">
      <alignment horizontal="center" vertical="center" wrapText="1"/>
    </xf>
    <xf numFmtId="44" fontId="5" fillId="47" borderId="5" xfId="1" applyFont="1" applyFill="1" applyBorder="1" applyAlignment="1">
      <alignment vertical="center" wrapText="1"/>
    </xf>
    <xf numFmtId="44" fontId="5" fillId="47" borderId="5" xfId="1" applyFont="1" applyFill="1" applyBorder="1" applyAlignment="1">
      <alignment vertical="center"/>
    </xf>
    <xf numFmtId="44" fontId="5" fillId="47" borderId="5" xfId="1" applyFont="1" applyFill="1" applyBorder="1" applyAlignment="1">
      <alignment horizontal="center" vertical="center" wrapText="1"/>
    </xf>
    <xf numFmtId="0" fontId="5" fillId="47" borderId="5" xfId="0" applyFont="1" applyFill="1" applyBorder="1" applyAlignment="1">
      <alignment vertical="center" wrapText="1"/>
    </xf>
    <xf numFmtId="0" fontId="43" fillId="4" borderId="43" xfId="0" applyFont="1" applyFill="1" applyBorder="1" applyAlignment="1">
      <alignment horizontal="center" vertical="center" wrapText="1"/>
    </xf>
    <xf numFmtId="0" fontId="43" fillId="4" borderId="44" xfId="0" applyFont="1" applyFill="1" applyBorder="1" applyAlignment="1">
      <alignment horizontal="center" vertical="center" wrapText="1"/>
    </xf>
    <xf numFmtId="0" fontId="44" fillId="0" borderId="42" xfId="0" applyFont="1" applyBorder="1" applyAlignment="1">
      <alignment vertical="center" wrapText="1"/>
    </xf>
    <xf numFmtId="3" fontId="44" fillId="0" borderId="44" xfId="0" applyNumberFormat="1" applyFont="1" applyBorder="1" applyAlignment="1">
      <alignment horizontal="center" vertical="center" wrapText="1"/>
    </xf>
    <xf numFmtId="6" fontId="44" fillId="49" borderId="44" xfId="0" applyNumberFormat="1" applyFont="1" applyFill="1" applyBorder="1" applyAlignment="1">
      <alignment horizontal="right" vertical="center" wrapText="1"/>
    </xf>
    <xf numFmtId="0" fontId="44" fillId="0" borderId="44" xfId="0" applyFont="1" applyBorder="1" applyAlignment="1">
      <alignment horizontal="center" vertical="center" wrapText="1"/>
    </xf>
    <xf numFmtId="0" fontId="43" fillId="4" borderId="42" xfId="0" applyFont="1" applyFill="1" applyBorder="1" applyAlignment="1">
      <alignment vertical="center" wrapText="1"/>
    </xf>
    <xf numFmtId="3" fontId="43" fillId="4" borderId="44" xfId="0" applyNumberFormat="1" applyFont="1" applyFill="1" applyBorder="1" applyAlignment="1">
      <alignment horizontal="center" vertical="center" wrapText="1"/>
    </xf>
    <xf numFmtId="10" fontId="43" fillId="4" borderId="44" xfId="0" applyNumberFormat="1" applyFont="1" applyFill="1" applyBorder="1" applyAlignment="1">
      <alignment horizontal="center" vertical="center" wrapText="1"/>
    </xf>
    <xf numFmtId="6" fontId="45" fillId="48" borderId="44" xfId="0" applyNumberFormat="1" applyFont="1" applyFill="1" applyBorder="1" applyAlignment="1">
      <alignment horizontal="center" vertical="center" wrapText="1"/>
    </xf>
    <xf numFmtId="6" fontId="44" fillId="0" borderId="44" xfId="0" applyNumberFormat="1" applyFont="1" applyBorder="1" applyAlignment="1">
      <alignment horizontal="center" vertical="center" wrapText="1"/>
    </xf>
    <xf numFmtId="6" fontId="44" fillId="49" borderId="44" xfId="0" applyNumberFormat="1" applyFont="1" applyFill="1" applyBorder="1" applyAlignment="1">
      <alignment horizontal="center" vertical="center" wrapText="1"/>
    </xf>
    <xf numFmtId="6" fontId="45" fillId="50" borderId="44" xfId="0" applyNumberFormat="1" applyFont="1" applyFill="1" applyBorder="1" applyAlignment="1">
      <alignment horizontal="center" vertical="center" wrapText="1"/>
    </xf>
    <xf numFmtId="9" fontId="44" fillId="0" borderId="44" xfId="2" applyFont="1" applyBorder="1" applyAlignment="1">
      <alignment horizontal="center" vertical="center" wrapText="1"/>
    </xf>
    <xf numFmtId="9" fontId="44" fillId="0" borderId="44" xfId="0" applyNumberFormat="1" applyFont="1" applyBorder="1" applyAlignment="1">
      <alignment horizontal="center" vertical="center" wrapText="1"/>
    </xf>
    <xf numFmtId="6" fontId="43" fillId="4" borderId="44" xfId="0" applyNumberFormat="1" applyFont="1" applyFill="1" applyBorder="1" applyAlignment="1">
      <alignment horizontal="center" vertical="center" wrapText="1"/>
    </xf>
    <xf numFmtId="0" fontId="46" fillId="4" borderId="5" xfId="0" applyFont="1" applyFill="1" applyBorder="1" applyAlignment="1">
      <alignment horizontal="center" vertical="center"/>
    </xf>
    <xf numFmtId="0" fontId="46" fillId="4" borderId="5" xfId="0" applyFont="1" applyFill="1" applyBorder="1" applyAlignment="1">
      <alignment horizontal="center" vertical="center" wrapText="1"/>
    </xf>
    <xf numFmtId="0" fontId="48" fillId="0" borderId="5" xfId="0" applyFont="1" applyBorder="1"/>
    <xf numFmtId="41" fontId="30" fillId="0" borderId="5" xfId="6" applyFont="1" applyBorder="1"/>
    <xf numFmtId="0" fontId="49" fillId="0" borderId="5" xfId="0" applyFont="1" applyBorder="1"/>
    <xf numFmtId="9" fontId="30" fillId="0" borderId="5" xfId="2" applyFont="1" applyBorder="1"/>
    <xf numFmtId="0" fontId="50" fillId="33" borderId="5" xfId="0" applyFont="1" applyFill="1" applyBorder="1"/>
    <xf numFmtId="41" fontId="52" fillId="33" borderId="5" xfId="6" applyFont="1" applyFill="1" applyBorder="1"/>
    <xf numFmtId="0" fontId="49" fillId="0" borderId="0" xfId="0" applyFont="1"/>
    <xf numFmtId="0" fontId="48" fillId="0" borderId="5" xfId="0" applyFont="1" applyBorder="1" applyAlignment="1">
      <alignment wrapText="1"/>
    </xf>
    <xf numFmtId="0" fontId="53" fillId="4" borderId="45" xfId="0" applyFont="1" applyFill="1" applyBorder="1" applyAlignment="1">
      <alignment horizontal="center"/>
    </xf>
    <xf numFmtId="41" fontId="55" fillId="4" borderId="45" xfId="6" applyFont="1" applyFill="1" applyBorder="1" applyAlignment="1">
      <alignment horizontal="center"/>
    </xf>
    <xf numFmtId="0" fontId="5" fillId="13" borderId="5" xfId="0" applyFont="1" applyFill="1" applyBorder="1" applyAlignment="1">
      <alignment horizontal="center"/>
    </xf>
    <xf numFmtId="0" fontId="5" fillId="13" borderId="5" xfId="0" applyFont="1" applyFill="1" applyBorder="1" applyAlignment="1">
      <alignment horizontal="left"/>
    </xf>
    <xf numFmtId="44" fontId="5" fillId="13" borderId="5" xfId="1" applyFont="1" applyFill="1" applyBorder="1" applyAlignment="1">
      <alignment horizontal="center"/>
    </xf>
    <xf numFmtId="44" fontId="5" fillId="13" borderId="0" xfId="0" applyNumberFormat="1" applyFont="1" applyFill="1" applyAlignment="1">
      <alignment horizontal="center"/>
    </xf>
    <xf numFmtId="44" fontId="5" fillId="13" borderId="0" xfId="0" applyNumberFormat="1" applyFont="1" applyFill="1"/>
    <xf numFmtId="0" fontId="30" fillId="13" borderId="5" xfId="0" applyFont="1" applyFill="1" applyBorder="1" applyAlignment="1">
      <alignment horizontal="center"/>
    </xf>
    <xf numFmtId="0" fontId="30" fillId="13" borderId="5" xfId="0" applyFont="1" applyFill="1" applyBorder="1"/>
    <xf numFmtId="44" fontId="30" fillId="13" borderId="5" xfId="1" applyFont="1" applyFill="1" applyBorder="1"/>
    <xf numFmtId="0" fontId="30" fillId="13" borderId="23" xfId="0" applyFont="1" applyFill="1" applyBorder="1"/>
    <xf numFmtId="44" fontId="0" fillId="13" borderId="5" xfId="1" applyFont="1" applyFill="1" applyBorder="1"/>
    <xf numFmtId="0" fontId="0" fillId="12" borderId="0" xfId="0" applyFill="1"/>
    <xf numFmtId="0" fontId="0" fillId="12" borderId="0" xfId="0" applyFill="1" applyAlignment="1">
      <alignment wrapText="1"/>
    </xf>
    <xf numFmtId="0" fontId="0" fillId="9" borderId="0" xfId="0" applyFill="1"/>
    <xf numFmtId="0" fontId="0" fillId="14" borderId="0" xfId="0" applyFill="1"/>
    <xf numFmtId="0" fontId="3" fillId="0" borderId="0" xfId="0" pivotButton="1" applyFont="1" applyAlignment="1">
      <alignment horizontal="center" wrapText="1"/>
    </xf>
    <xf numFmtId="0" fontId="3" fillId="5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0" fillId="16" borderId="0" xfId="0" applyFill="1"/>
    <xf numFmtId="0" fontId="3" fillId="0" borderId="0" xfId="0" pivotButton="1" applyFont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4" fontId="5" fillId="0" borderId="5" xfId="1" applyFont="1" applyBorder="1" applyAlignment="1">
      <alignment horizontal="center"/>
    </xf>
    <xf numFmtId="44" fontId="27" fillId="0" borderId="5" xfId="1" applyFont="1" applyBorder="1" applyAlignment="1">
      <alignment horizontal="center"/>
    </xf>
    <xf numFmtId="44" fontId="28" fillId="43" borderId="5" xfId="1" applyFont="1" applyFill="1" applyBorder="1" applyAlignment="1">
      <alignment horizontal="center"/>
    </xf>
    <xf numFmtId="0" fontId="5" fillId="0" borderId="5" xfId="0" applyFont="1" applyBorder="1" applyAlignment="1">
      <alignment horizontal="left"/>
    </xf>
    <xf numFmtId="44" fontId="5" fillId="0" borderId="5" xfId="1" applyFont="1" applyFill="1" applyBorder="1" applyAlignment="1">
      <alignment horizontal="center"/>
    </xf>
    <xf numFmtId="44" fontId="14" fillId="43" borderId="5" xfId="0" applyNumberFormat="1" applyFont="1" applyFill="1" applyBorder="1"/>
    <xf numFmtId="0" fontId="5" fillId="9" borderId="5" xfId="0" applyFont="1" applyFill="1" applyBorder="1" applyAlignment="1">
      <alignment horizontal="left"/>
    </xf>
    <xf numFmtId="44" fontId="0" fillId="2" borderId="0" xfId="0" applyNumberFormat="1" applyFill="1"/>
    <xf numFmtId="0" fontId="0" fillId="29" borderId="5" xfId="0" applyFill="1" applyBorder="1"/>
    <xf numFmtId="44" fontId="0" fillId="29" borderId="5" xfId="0" applyNumberFormat="1" applyFill="1" applyBorder="1"/>
    <xf numFmtId="44" fontId="3" fillId="29" borderId="0" xfId="0" applyNumberFormat="1" applyFont="1" applyFill="1"/>
    <xf numFmtId="0" fontId="3" fillId="5" borderId="0" xfId="0" applyFont="1" applyFill="1" applyAlignment="1">
      <alignment horizontal="center"/>
    </xf>
    <xf numFmtId="0" fontId="13" fillId="25" borderId="15" xfId="0" applyFont="1" applyFill="1" applyBorder="1" applyAlignment="1">
      <alignment horizontal="center"/>
    </xf>
    <xf numFmtId="44" fontId="0" fillId="33" borderId="5" xfId="0" applyNumberFormat="1" applyFill="1" applyBorder="1" applyAlignment="1">
      <alignment horizontal="center" vertical="center"/>
    </xf>
    <xf numFmtId="44" fontId="3" fillId="33" borderId="0" xfId="0" applyNumberFormat="1" applyFont="1" applyFill="1"/>
    <xf numFmtId="0" fontId="3" fillId="33" borderId="5" xfId="0" applyFont="1" applyFill="1" applyBorder="1" applyAlignment="1">
      <alignment vertical="center"/>
    </xf>
    <xf numFmtId="44" fontId="3" fillId="32" borderId="0" xfId="0" applyNumberFormat="1" applyFont="1" applyFill="1"/>
    <xf numFmtId="0" fontId="56" fillId="0" borderId="46" xfId="0" applyFont="1" applyBorder="1" applyAlignment="1">
      <alignment horizontal="center" vertical="center"/>
    </xf>
    <xf numFmtId="0" fontId="56" fillId="0" borderId="47" xfId="0" applyFont="1" applyBorder="1" applyAlignment="1">
      <alignment horizontal="center" vertical="center" wrapText="1"/>
    </xf>
    <xf numFmtId="0" fontId="56" fillId="0" borderId="47" xfId="0" applyFont="1" applyBorder="1" applyAlignment="1">
      <alignment horizontal="center" vertical="center"/>
    </xf>
    <xf numFmtId="0" fontId="57" fillId="0" borderId="48" xfId="0" applyFont="1" applyBorder="1" applyAlignment="1">
      <alignment horizontal="center" vertical="center"/>
    </xf>
    <xf numFmtId="0" fontId="57" fillId="0" borderId="49" xfId="0" applyFont="1" applyBorder="1" applyAlignment="1">
      <alignment vertical="center" wrapText="1"/>
    </xf>
    <xf numFmtId="4" fontId="57" fillId="0" borderId="49" xfId="0" applyNumberFormat="1" applyFont="1" applyBorder="1" applyAlignment="1">
      <alignment horizontal="right" vertical="center"/>
    </xf>
    <xf numFmtId="4" fontId="56" fillId="2" borderId="49" xfId="0" applyNumberFormat="1" applyFont="1" applyFill="1" applyBorder="1" applyAlignment="1">
      <alignment horizontal="right" vertical="center"/>
    </xf>
    <xf numFmtId="0" fontId="58" fillId="0" borderId="48" xfId="0" applyFont="1" applyBorder="1" applyAlignment="1">
      <alignment horizontal="center" vertical="center"/>
    </xf>
    <xf numFmtId="0" fontId="58" fillId="0" borderId="49" xfId="0" applyFont="1" applyBorder="1" applyAlignment="1">
      <alignment vertical="center" wrapText="1"/>
    </xf>
    <xf numFmtId="4" fontId="58" fillId="0" borderId="49" xfId="0" applyNumberFormat="1" applyFont="1" applyBorder="1" applyAlignment="1">
      <alignment horizontal="right" vertical="center"/>
    </xf>
    <xf numFmtId="4" fontId="59" fillId="0" borderId="0" xfId="0" applyNumberFormat="1" applyFont="1" applyAlignment="1">
      <alignment vertical="center"/>
    </xf>
    <xf numFmtId="4" fontId="0" fillId="51" borderId="0" xfId="0" applyNumberFormat="1" applyFill="1"/>
    <xf numFmtId="0" fontId="3" fillId="0" borderId="0" xfId="0" applyFont="1" applyAlignment="1">
      <alignment vertical="center"/>
    </xf>
    <xf numFmtId="0" fontId="3" fillId="32" borderId="5" xfId="0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/>
    </xf>
    <xf numFmtId="44" fontId="31" fillId="0" borderId="5" xfId="1" applyFont="1" applyBorder="1"/>
    <xf numFmtId="0" fontId="3" fillId="32" borderId="5" xfId="0" applyFont="1" applyFill="1" applyBorder="1" applyAlignment="1">
      <alignment vertical="center"/>
    </xf>
    <xf numFmtId="44" fontId="3" fillId="32" borderId="5" xfId="1" applyFont="1" applyFill="1" applyBorder="1" applyAlignment="1">
      <alignment vertical="center"/>
    </xf>
    <xf numFmtId="44" fontId="31" fillId="0" borderId="5" xfId="1" applyFont="1" applyBorder="1" applyAlignment="1">
      <alignment horizontal="center"/>
    </xf>
    <xf numFmtId="0" fontId="13" fillId="0" borderId="0" xfId="0" applyFont="1" applyAlignment="1">
      <alignment horizontal="center"/>
    </xf>
    <xf numFmtId="9" fontId="0" fillId="0" borderId="5" xfId="0" applyNumberFormat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10" fontId="31" fillId="0" borderId="5" xfId="2" applyNumberFormat="1" applyFont="1" applyBorder="1" applyAlignment="1">
      <alignment horizontal="center"/>
    </xf>
    <xf numFmtId="0" fontId="13" fillId="31" borderId="5" xfId="0" applyFont="1" applyFill="1" applyBorder="1" applyAlignment="1">
      <alignment horizontal="center" vertical="center"/>
    </xf>
    <xf numFmtId="0" fontId="0" fillId="32" borderId="5" xfId="0" applyFill="1" applyBorder="1" applyAlignment="1">
      <alignment vertical="center" wrapText="1"/>
    </xf>
    <xf numFmtId="0" fontId="3" fillId="32" borderId="5" xfId="0" applyFont="1" applyFill="1" applyBorder="1" applyAlignment="1">
      <alignment vertical="center" wrapText="1"/>
    </xf>
    <xf numFmtId="0" fontId="13" fillId="35" borderId="5" xfId="0" applyFont="1" applyFill="1" applyBorder="1"/>
    <xf numFmtId="0" fontId="13" fillId="35" borderId="5" xfId="0" applyFont="1" applyFill="1" applyBorder="1" applyAlignment="1">
      <alignment horizontal="center"/>
    </xf>
    <xf numFmtId="44" fontId="13" fillId="35" borderId="5" xfId="0" applyNumberFormat="1" applyFont="1" applyFill="1" applyBorder="1"/>
    <xf numFmtId="0" fontId="0" fillId="35" borderId="5" xfId="0" applyFill="1" applyBorder="1"/>
    <xf numFmtId="44" fontId="13" fillId="35" borderId="5" xfId="1" applyFont="1" applyFill="1" applyBorder="1"/>
    <xf numFmtId="0" fontId="0" fillId="35" borderId="0" xfId="0" applyFill="1"/>
    <xf numFmtId="0" fontId="3" fillId="35" borderId="5" xfId="0" applyFont="1" applyFill="1" applyBorder="1"/>
    <xf numFmtId="0" fontId="0" fillId="35" borderId="5" xfId="0" applyFill="1" applyBorder="1" applyAlignment="1">
      <alignment horizontal="center"/>
    </xf>
    <xf numFmtId="44" fontId="13" fillId="31" borderId="5" xfId="0" applyNumberFormat="1" applyFont="1" applyFill="1" applyBorder="1" applyAlignment="1">
      <alignment vertical="center"/>
    </xf>
    <xf numFmtId="0" fontId="13" fillId="35" borderId="5" xfId="0" applyFont="1" applyFill="1" applyBorder="1" applyAlignment="1">
      <alignment vertical="center" wrapText="1"/>
    </xf>
    <xf numFmtId="0" fontId="13" fillId="35" borderId="5" xfId="0" applyFont="1" applyFill="1" applyBorder="1" applyAlignment="1">
      <alignment horizontal="center" vertical="center"/>
    </xf>
    <xf numFmtId="44" fontId="13" fillId="35" borderId="5" xfId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0" fontId="13" fillId="0" borderId="0" xfId="0" applyFont="1"/>
    <xf numFmtId="44" fontId="13" fillId="0" borderId="0" xfId="1" applyFont="1" applyFill="1" applyBorder="1"/>
    <xf numFmtId="0" fontId="3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44" fontId="13" fillId="0" borderId="0" xfId="0" applyNumberFormat="1" applyFont="1" applyAlignment="1">
      <alignment vertical="center"/>
    </xf>
    <xf numFmtId="44" fontId="13" fillId="31" borderId="0" xfId="1" applyFont="1" applyFill="1"/>
    <xf numFmtId="0" fontId="60" fillId="31" borderId="5" xfId="0" applyFont="1" applyFill="1" applyBorder="1" applyAlignment="1">
      <alignment horizontal="center" vertical="center"/>
    </xf>
    <xf numFmtId="44" fontId="0" fillId="0" borderId="0" xfId="1" applyFont="1" applyAlignment="1">
      <alignment vertical="center"/>
    </xf>
    <xf numFmtId="0" fontId="20" fillId="43" borderId="5" xfId="0" applyFont="1" applyFill="1" applyBorder="1" applyAlignment="1">
      <alignment horizontal="center"/>
    </xf>
    <xf numFmtId="44" fontId="20" fillId="43" borderId="5" xfId="0" applyNumberFormat="1" applyFont="1" applyFill="1" applyBorder="1"/>
    <xf numFmtId="0" fontId="0" fillId="52" borderId="0" xfId="0" applyFill="1" applyAlignment="1">
      <alignment wrapText="1"/>
    </xf>
    <xf numFmtId="44" fontId="0" fillId="52" borderId="0" xfId="0" applyNumberFormat="1" applyFill="1"/>
    <xf numFmtId="44" fontId="0" fillId="0" borderId="5" xfId="0" applyNumberFormat="1" applyBorder="1" applyAlignment="1">
      <alignment vertical="center"/>
    </xf>
    <xf numFmtId="44" fontId="0" fillId="6" borderId="0" xfId="0" applyNumberFormat="1" applyFill="1"/>
    <xf numFmtId="44" fontId="0" fillId="0" borderId="5" xfId="1" applyFont="1" applyBorder="1" applyAlignment="1">
      <alignment vertical="center" wrapText="1"/>
    </xf>
    <xf numFmtId="0" fontId="0" fillId="29" borderId="0" xfId="0" applyFill="1"/>
    <xf numFmtId="0" fontId="0" fillId="13" borderId="5" xfId="0" applyFill="1" applyBorder="1" applyAlignment="1">
      <alignment vertical="center" wrapText="1"/>
    </xf>
    <xf numFmtId="44" fontId="0" fillId="13" borderId="5" xfId="1" applyFont="1" applyFill="1" applyBorder="1" applyAlignment="1">
      <alignment vertical="center"/>
    </xf>
    <xf numFmtId="44" fontId="0" fillId="13" borderId="0" xfId="0" applyNumberFormat="1" applyFill="1" applyAlignment="1">
      <alignment vertical="center"/>
    </xf>
    <xf numFmtId="44" fontId="0" fillId="13" borderId="5" xfId="0" applyNumberFormat="1" applyFill="1" applyBorder="1" applyAlignment="1">
      <alignment vertical="center"/>
    </xf>
    <xf numFmtId="0" fontId="0" fillId="13" borderId="5" xfId="0" applyFill="1" applyBorder="1" applyAlignment="1">
      <alignment vertical="center"/>
    </xf>
    <xf numFmtId="44" fontId="13" fillId="43" borderId="5" xfId="1" applyFont="1" applyFill="1" applyBorder="1"/>
    <xf numFmtId="44" fontId="28" fillId="0" borderId="0" xfId="1" applyFont="1" applyFill="1" applyBorder="1" applyAlignment="1">
      <alignment horizontal="center" vertical="center" wrapText="1"/>
    </xf>
    <xf numFmtId="44" fontId="0" fillId="0" borderId="5" xfId="1" applyFont="1" applyFill="1" applyBorder="1"/>
    <xf numFmtId="0" fontId="0" fillId="17" borderId="5" xfId="0" applyFill="1" applyBorder="1" applyAlignment="1">
      <alignment horizontal="center"/>
    </xf>
    <xf numFmtId="0" fontId="0" fillId="13" borderId="5" xfId="0" applyFill="1" applyBorder="1"/>
    <xf numFmtId="0" fontId="13" fillId="31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2" borderId="5" xfId="0" applyNumberFormat="1" applyFill="1" applyBorder="1"/>
    <xf numFmtId="0" fontId="59" fillId="0" borderId="5" xfId="0" applyFont="1" applyBorder="1"/>
    <xf numFmtId="0" fontId="62" fillId="0" borderId="5" xfId="0" applyFont="1" applyBorder="1" applyAlignment="1">
      <alignment horizontal="center"/>
    </xf>
    <xf numFmtId="44" fontId="59" fillId="0" borderId="5" xfId="1" applyFont="1" applyBorder="1" applyAlignment="1">
      <alignment horizontal="center"/>
    </xf>
    <xf numFmtId="44" fontId="13" fillId="31" borderId="5" xfId="0" applyNumberFormat="1" applyFont="1" applyFill="1" applyBorder="1"/>
    <xf numFmtId="10" fontId="0" fillId="0" borderId="5" xfId="2" applyNumberFormat="1" applyFont="1" applyBorder="1" applyAlignment="1">
      <alignment horizontal="center"/>
    </xf>
    <xf numFmtId="10" fontId="59" fillId="32" borderId="5" xfId="2" applyNumberFormat="1" applyFont="1" applyFill="1" applyBorder="1" applyAlignment="1">
      <alignment horizontal="center"/>
    </xf>
    <xf numFmtId="0" fontId="31" fillId="15" borderId="5" xfId="0" applyFont="1" applyFill="1" applyBorder="1"/>
    <xf numFmtId="0" fontId="31" fillId="15" borderId="5" xfId="0" applyFont="1" applyFill="1" applyBorder="1" applyAlignment="1">
      <alignment horizontal="center"/>
    </xf>
    <xf numFmtId="44" fontId="31" fillId="15" borderId="5" xfId="1" applyFont="1" applyFill="1" applyBorder="1"/>
    <xf numFmtId="0" fontId="21" fillId="15" borderId="5" xfId="0" applyFont="1" applyFill="1" applyBorder="1"/>
    <xf numFmtId="0" fontId="31" fillId="15" borderId="5" xfId="0" applyFont="1" applyFill="1" applyBorder="1" applyAlignment="1">
      <alignment horizontal="left" vertical="center" wrapText="1"/>
    </xf>
    <xf numFmtId="0" fontId="31" fillId="15" borderId="5" xfId="0" applyFont="1" applyFill="1" applyBorder="1" applyAlignment="1">
      <alignment horizontal="center" vertical="center"/>
    </xf>
    <xf numFmtId="44" fontId="31" fillId="15" borderId="5" xfId="1" applyFont="1" applyFill="1" applyBorder="1" applyAlignment="1">
      <alignment vertical="center"/>
    </xf>
    <xf numFmtId="44" fontId="31" fillId="15" borderId="5" xfId="1" applyFont="1" applyFill="1" applyBorder="1" applyAlignment="1">
      <alignment horizontal="center"/>
    </xf>
    <xf numFmtId="44" fontId="31" fillId="15" borderId="38" xfId="0" applyNumberFormat="1" applyFont="1" applyFill="1" applyBorder="1"/>
    <xf numFmtId="0" fontId="3" fillId="15" borderId="5" xfId="0" applyFont="1" applyFill="1" applyBorder="1"/>
    <xf numFmtId="0" fontId="3" fillId="15" borderId="5" xfId="0" applyFont="1" applyFill="1" applyBorder="1" applyAlignment="1">
      <alignment horizontal="center"/>
    </xf>
    <xf numFmtId="44" fontId="3" fillId="15" borderId="5" xfId="0" applyNumberFormat="1" applyFont="1" applyFill="1" applyBorder="1"/>
    <xf numFmtId="0" fontId="0" fillId="15" borderId="5" xfId="0" applyFill="1" applyBorder="1"/>
    <xf numFmtId="44" fontId="28" fillId="43" borderId="32" xfId="1" applyFont="1" applyFill="1" applyBorder="1" applyAlignment="1">
      <alignment horizontal="center" vertical="center" wrapText="1"/>
    </xf>
    <xf numFmtId="44" fontId="13" fillId="0" borderId="0" xfId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44" fontId="0" fillId="5" borderId="5" xfId="1" applyFont="1" applyFill="1" applyBorder="1" applyAlignment="1">
      <alignment vertical="center"/>
    </xf>
    <xf numFmtId="44" fontId="0" fillId="5" borderId="5" xfId="0" applyNumberFormat="1" applyFill="1" applyBorder="1" applyAlignment="1">
      <alignment vertical="center"/>
    </xf>
    <xf numFmtId="44" fontId="0" fillId="5" borderId="0" xfId="0" applyNumberFormat="1" applyFill="1" applyAlignment="1">
      <alignment vertical="center"/>
    </xf>
    <xf numFmtId="0" fontId="0" fillId="5" borderId="5" xfId="0" applyFill="1" applyBorder="1"/>
    <xf numFmtId="44" fontId="0" fillId="5" borderId="5" xfId="1" applyFont="1" applyFill="1" applyBorder="1"/>
    <xf numFmtId="10" fontId="0" fillId="5" borderId="0" xfId="1" applyNumberFormat="1" applyFont="1" applyFill="1" applyAlignment="1">
      <alignment vertical="center"/>
    </xf>
    <xf numFmtId="0" fontId="0" fillId="5" borderId="5" xfId="0" applyFill="1" applyBorder="1" applyAlignment="1">
      <alignment vertical="center"/>
    </xf>
    <xf numFmtId="10" fontId="0" fillId="5" borderId="0" xfId="1" applyNumberFormat="1" applyFont="1" applyFill="1" applyBorder="1" applyAlignment="1">
      <alignment vertical="center"/>
    </xf>
    <xf numFmtId="44" fontId="0" fillId="5" borderId="0" xfId="0" applyNumberFormat="1" applyFill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0" xfId="0" applyFill="1"/>
    <xf numFmtId="0" fontId="3" fillId="9" borderId="0" xfId="0" applyFont="1" applyFill="1"/>
    <xf numFmtId="44" fontId="3" fillId="9" borderId="0" xfId="1" applyFont="1" applyFill="1"/>
    <xf numFmtId="44" fontId="3" fillId="9" borderId="0" xfId="0" applyNumberFormat="1" applyFont="1" applyFill="1"/>
    <xf numFmtId="44" fontId="31" fillId="15" borderId="38" xfId="1" applyFont="1" applyFill="1" applyBorder="1"/>
    <xf numFmtId="0" fontId="0" fillId="32" borderId="0" xfId="0" applyFill="1"/>
    <xf numFmtId="44" fontId="0" fillId="32" borderId="0" xfId="1" applyFont="1" applyFill="1"/>
    <xf numFmtId="0" fontId="0" fillId="53" borderId="0" xfId="0" applyFill="1"/>
    <xf numFmtId="44" fontId="0" fillId="53" borderId="0" xfId="1" applyFont="1" applyFill="1"/>
    <xf numFmtId="0" fontId="0" fillId="38" borderId="0" xfId="0" applyFill="1"/>
    <xf numFmtId="44" fontId="0" fillId="38" borderId="0" xfId="1" applyFont="1" applyFill="1"/>
    <xf numFmtId="0" fontId="0" fillId="30" borderId="5" xfId="0" applyFill="1" applyBorder="1" applyAlignment="1">
      <alignment vertical="center" wrapText="1"/>
    </xf>
    <xf numFmtId="44" fontId="0" fillId="30" borderId="5" xfId="1" applyFont="1" applyFill="1" applyBorder="1" applyAlignment="1">
      <alignment vertical="center"/>
    </xf>
    <xf numFmtId="44" fontId="0" fillId="30" borderId="5" xfId="0" applyNumberForma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54" borderId="5" xfId="0" applyFill="1" applyBorder="1"/>
    <xf numFmtId="0" fontId="31" fillId="15" borderId="22" xfId="0" applyFont="1" applyFill="1" applyBorder="1" applyAlignment="1">
      <alignment horizontal="left" vertical="center"/>
    </xf>
    <xf numFmtId="10" fontId="0" fillId="2" borderId="0" xfId="2" applyNumberFormat="1" applyFont="1" applyFill="1"/>
    <xf numFmtId="0" fontId="0" fillId="32" borderId="5" xfId="0" applyFill="1" applyBorder="1"/>
    <xf numFmtId="0" fontId="0" fillId="32" borderId="5" xfId="0" applyFill="1" applyBorder="1" applyAlignment="1">
      <alignment horizontal="center"/>
    </xf>
    <xf numFmtId="44" fontId="0" fillId="32" borderId="5" xfId="1" applyFont="1" applyFill="1" applyBorder="1"/>
    <xf numFmtId="44" fontId="3" fillId="32" borderId="5" xfId="1" applyFont="1" applyFill="1" applyBorder="1"/>
    <xf numFmtId="44" fontId="0" fillId="33" borderId="0" xfId="0" applyNumberFormat="1" applyFill="1" applyAlignment="1">
      <alignment horizontal="center" vertical="center"/>
    </xf>
    <xf numFmtId="0" fontId="3" fillId="33" borderId="0" xfId="0" applyFont="1" applyFill="1" applyAlignment="1">
      <alignment vertical="center"/>
    </xf>
    <xf numFmtId="0" fontId="0" fillId="32" borderId="5" xfId="0" applyFill="1" applyBorder="1" applyAlignment="1">
      <alignment wrapText="1"/>
    </xf>
    <xf numFmtId="0" fontId="40" fillId="32" borderId="5" xfId="0" applyFont="1" applyFill="1" applyBorder="1"/>
    <xf numFmtId="0" fontId="40" fillId="32" borderId="5" xfId="0" applyFont="1" applyFill="1" applyBorder="1" applyAlignment="1">
      <alignment horizontal="center"/>
    </xf>
    <xf numFmtId="44" fontId="40" fillId="32" borderId="5" xfId="1" applyFont="1" applyFill="1" applyBorder="1"/>
    <xf numFmtId="0" fontId="61" fillId="32" borderId="5" xfId="0" applyFont="1" applyFill="1" applyBorder="1"/>
    <xf numFmtId="43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Fill="1" applyAlignment="1">
      <alignment horizontal="center"/>
    </xf>
    <xf numFmtId="10" fontId="0" fillId="0" borderId="0" xfId="2" applyNumberFormat="1" applyFont="1" applyFill="1"/>
    <xf numFmtId="44" fontId="0" fillId="0" borderId="5" xfId="1" applyFont="1" applyFill="1" applyBorder="1" applyAlignment="1">
      <alignment vertical="center"/>
    </xf>
    <xf numFmtId="0" fontId="31" fillId="20" borderId="5" xfId="0" applyFont="1" applyFill="1" applyBorder="1"/>
    <xf numFmtId="0" fontId="31" fillId="20" borderId="5" xfId="0" applyFont="1" applyFill="1" applyBorder="1" applyAlignment="1">
      <alignment horizontal="center"/>
    </xf>
    <xf numFmtId="44" fontId="31" fillId="20" borderId="5" xfId="1" applyFont="1" applyFill="1" applyBorder="1"/>
    <xf numFmtId="44" fontId="31" fillId="20" borderId="38" xfId="0" applyNumberFormat="1" applyFont="1" applyFill="1" applyBorder="1"/>
    <xf numFmtId="0" fontId="3" fillId="20" borderId="5" xfId="0" applyFont="1" applyFill="1" applyBorder="1"/>
    <xf numFmtId="44" fontId="13" fillId="5" borderId="5" xfId="0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4" fontId="0" fillId="0" borderId="0" xfId="0" applyNumberFormat="1"/>
    <xf numFmtId="0" fontId="8" fillId="0" borderId="5" xfId="0" applyFont="1" applyBorder="1" applyAlignment="1">
      <alignment horizontal="center" vertical="center" wrapText="1"/>
    </xf>
    <xf numFmtId="44" fontId="0" fillId="6" borderId="5" xfId="1" applyFont="1" applyFill="1" applyBorder="1" applyAlignment="1">
      <alignment horizontal="center" vertical="center"/>
    </xf>
    <xf numFmtId="44" fontId="0" fillId="6" borderId="5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164" fontId="3" fillId="6" borderId="5" xfId="0" applyNumberFormat="1" applyFont="1" applyFill="1" applyBorder="1" applyAlignment="1">
      <alignment horizontal="center" vertical="center"/>
    </xf>
    <xf numFmtId="0" fontId="0" fillId="17" borderId="5" xfId="0" applyFill="1" applyBorder="1" applyAlignment="1">
      <alignment horizontal="center" vertical="center" wrapText="1"/>
    </xf>
    <xf numFmtId="0" fontId="0" fillId="29" borderId="5" xfId="0" applyFill="1" applyBorder="1" applyAlignment="1">
      <alignment horizontal="center" vertical="center" wrapText="1"/>
    </xf>
    <xf numFmtId="164" fontId="2" fillId="45" borderId="0" xfId="0" applyNumberFormat="1" applyFont="1" applyFill="1" applyAlignment="1">
      <alignment horizontal="center"/>
    </xf>
    <xf numFmtId="9" fontId="3" fillId="0" borderId="53" xfId="0" applyNumberFormat="1" applyFont="1" applyBorder="1" applyAlignment="1">
      <alignment horizontal="center"/>
    </xf>
    <xf numFmtId="9" fontId="14" fillId="29" borderId="5" xfId="2" applyFont="1" applyFill="1" applyBorder="1" applyAlignment="1">
      <alignment horizontal="center" vertical="center" wrapText="1"/>
    </xf>
    <xf numFmtId="0" fontId="20" fillId="18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0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wrapText="1"/>
    </xf>
    <xf numFmtId="14" fontId="3" fillId="0" borderId="0" xfId="1" applyNumberFormat="1" applyFont="1" applyFill="1" applyAlignment="1">
      <alignment horizontal="center" wrapText="1"/>
    </xf>
    <xf numFmtId="14" fontId="29" fillId="0" borderId="0" xfId="1" applyNumberFormat="1" applyFont="1" applyFill="1" applyAlignment="1">
      <alignment horizontal="center" wrapText="1"/>
    </xf>
    <xf numFmtId="14" fontId="3" fillId="0" borderId="0" xfId="1" applyNumberFormat="1" applyFont="1" applyFill="1" applyAlignment="1">
      <alignment horizontal="left" wrapText="1"/>
    </xf>
    <xf numFmtId="0" fontId="4" fillId="20" borderId="0" xfId="0" applyFont="1" applyFill="1" applyAlignment="1">
      <alignment horizontal="center" vertical="center" wrapText="1"/>
    </xf>
    <xf numFmtId="14" fontId="4" fillId="20" borderId="0" xfId="0" applyNumberFormat="1" applyFont="1" applyFill="1" applyAlignment="1">
      <alignment horizontal="center" vertical="center" wrapText="1"/>
    </xf>
    <xf numFmtId="14" fontId="7" fillId="30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 wrapText="1"/>
    </xf>
    <xf numFmtId="14" fontId="3" fillId="0" borderId="0" xfId="2" applyNumberFormat="1" applyFont="1" applyFill="1" applyAlignment="1">
      <alignment horizontal="center"/>
    </xf>
    <xf numFmtId="14" fontId="30" fillId="0" borderId="5" xfId="0" applyNumberFormat="1" applyFont="1" applyBorder="1" applyAlignment="1">
      <alignment horizontal="center" vertical="center"/>
    </xf>
    <xf numFmtId="14" fontId="30" fillId="53" borderId="5" xfId="0" applyNumberFormat="1" applyFont="1" applyFill="1" applyBorder="1" applyAlignment="1">
      <alignment horizontal="right" vertical="center"/>
    </xf>
    <xf numFmtId="14" fontId="30" fillId="53" borderId="5" xfId="0" applyNumberFormat="1" applyFont="1" applyFill="1" applyBorder="1" applyAlignment="1">
      <alignment vertical="center" wrapText="1"/>
    </xf>
    <xf numFmtId="44" fontId="30" fillId="53" borderId="5" xfId="0" applyNumberFormat="1" applyFont="1" applyFill="1" applyBorder="1" applyAlignment="1">
      <alignment vertical="center" wrapText="1"/>
    </xf>
    <xf numFmtId="169" fontId="30" fillId="0" borderId="0" xfId="0" applyNumberFormat="1" applyFont="1" applyAlignment="1">
      <alignment horizontal="right" vertical="center"/>
    </xf>
    <xf numFmtId="44" fontId="30" fillId="0" borderId="0" xfId="0" applyNumberFormat="1" applyFont="1" applyAlignment="1">
      <alignment vertical="center" wrapText="1"/>
    </xf>
    <xf numFmtId="44" fontId="1" fillId="6" borderId="5" xfId="1" applyFont="1" applyFill="1" applyBorder="1" applyAlignment="1">
      <alignment horizontal="center" vertical="center" wrapText="1"/>
    </xf>
    <xf numFmtId="44" fontId="5" fillId="6" borderId="5" xfId="1" applyFont="1" applyFill="1" applyBorder="1" applyAlignment="1">
      <alignment horizontal="center" vertical="center" wrapText="1"/>
    </xf>
    <xf numFmtId="44" fontId="4" fillId="29" borderId="5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9" borderId="5" xfId="0" applyFont="1" applyFill="1" applyBorder="1" applyAlignment="1">
      <alignment vertical="center" wrapText="1"/>
    </xf>
    <xf numFmtId="0" fontId="5" fillId="47" borderId="5" xfId="0" applyFont="1" applyFill="1" applyBorder="1" applyAlignment="1">
      <alignment horizontal="center" vertical="center" wrapText="1"/>
    </xf>
    <xf numFmtId="164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7" fillId="6" borderId="0" xfId="0" applyFont="1" applyFill="1" applyAlignment="1">
      <alignment horizontal="center" wrapText="1"/>
    </xf>
    <xf numFmtId="0" fontId="13" fillId="31" borderId="5" xfId="0" applyFont="1" applyFill="1" applyBorder="1" applyAlignment="1">
      <alignment horizontal="center"/>
    </xf>
    <xf numFmtId="0" fontId="3" fillId="30" borderId="10" xfId="0" applyFont="1" applyFill="1" applyBorder="1" applyAlignment="1">
      <alignment horizontal="center"/>
    </xf>
    <xf numFmtId="44" fontId="14" fillId="23" borderId="18" xfId="1" applyFont="1" applyFill="1" applyBorder="1" applyAlignment="1">
      <alignment horizontal="center" vertical="center" wrapText="1"/>
    </xf>
    <xf numFmtId="0" fontId="7" fillId="30" borderId="10" xfId="0" applyFont="1" applyFill="1" applyBorder="1" applyAlignment="1">
      <alignment horizontal="center"/>
    </xf>
    <xf numFmtId="0" fontId="28" fillId="39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13" fillId="25" borderId="5" xfId="0" applyFont="1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/>
    </xf>
    <xf numFmtId="0" fontId="14" fillId="43" borderId="5" xfId="0" applyFont="1" applyFill="1" applyBorder="1" applyAlignment="1">
      <alignment horizontal="center"/>
    </xf>
    <xf numFmtId="0" fontId="28" fillId="43" borderId="5" xfId="0" applyFont="1" applyFill="1" applyBorder="1" applyAlignment="1">
      <alignment horizontal="center"/>
    </xf>
    <xf numFmtId="0" fontId="28" fillId="43" borderId="5" xfId="0" applyFont="1" applyFill="1" applyBorder="1" applyAlignment="1">
      <alignment horizontal="center" vertical="center" wrapText="1"/>
    </xf>
    <xf numFmtId="0" fontId="14" fillId="43" borderId="32" xfId="0" applyFont="1" applyFill="1" applyBorder="1" applyAlignment="1">
      <alignment horizontal="center"/>
    </xf>
    <xf numFmtId="0" fontId="14" fillId="43" borderId="23" xfId="0" applyFont="1" applyFill="1" applyBorder="1" applyAlignment="1">
      <alignment horizontal="center"/>
    </xf>
    <xf numFmtId="0" fontId="43" fillId="4" borderId="41" xfId="0" applyFont="1" applyFill="1" applyBorder="1" applyAlignment="1">
      <alignment horizontal="center" vertical="center" wrapText="1"/>
    </xf>
    <xf numFmtId="0" fontId="43" fillId="4" borderId="42" xfId="0" applyFont="1" applyFill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0" fillId="53" borderId="0" xfId="0" applyFill="1" applyAlignment="1">
      <alignment horizontal="center" vertical="center" wrapText="1"/>
    </xf>
    <xf numFmtId="0" fontId="0" fillId="32" borderId="0" xfId="0" applyFill="1" applyAlignment="1">
      <alignment horizontal="center" wrapText="1"/>
    </xf>
    <xf numFmtId="0" fontId="3" fillId="9" borderId="0" xfId="0" applyFont="1" applyFill="1" applyAlignment="1">
      <alignment horizontal="center"/>
    </xf>
    <xf numFmtId="0" fontId="0" fillId="29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6" fillId="2" borderId="50" xfId="0" applyFont="1" applyFill="1" applyBorder="1" applyAlignment="1">
      <alignment horizontal="center" vertical="center"/>
    </xf>
    <xf numFmtId="0" fontId="56" fillId="2" borderId="47" xfId="0" applyFont="1" applyFill="1" applyBorder="1" applyAlignment="1">
      <alignment horizontal="center" vertical="center"/>
    </xf>
    <xf numFmtId="0" fontId="13" fillId="36" borderId="51" xfId="0" applyFont="1" applyFill="1" applyBorder="1" applyAlignment="1">
      <alignment horizontal="center"/>
    </xf>
    <xf numFmtId="0" fontId="20" fillId="31" borderId="32" xfId="0" applyFont="1" applyFill="1" applyBorder="1" applyAlignment="1">
      <alignment horizontal="center"/>
    </xf>
    <xf numFmtId="0" fontId="20" fillId="31" borderId="23" xfId="0" applyFont="1" applyFill="1" applyBorder="1" applyAlignment="1">
      <alignment horizontal="center"/>
    </xf>
    <xf numFmtId="0" fontId="20" fillId="43" borderId="32" xfId="0" applyFont="1" applyFill="1" applyBorder="1" applyAlignment="1">
      <alignment horizontal="center"/>
    </xf>
    <xf numFmtId="0" fontId="20" fillId="43" borderId="23" xfId="0" applyFont="1" applyFill="1" applyBorder="1" applyAlignment="1">
      <alignment horizontal="center"/>
    </xf>
    <xf numFmtId="0" fontId="13" fillId="31" borderId="5" xfId="0" applyFont="1" applyFill="1" applyBorder="1" applyAlignment="1">
      <alignment horizontal="center" vertical="center"/>
    </xf>
    <xf numFmtId="0" fontId="19" fillId="31" borderId="52" xfId="0" applyFont="1" applyFill="1" applyBorder="1" applyAlignment="1">
      <alignment horizontal="center"/>
    </xf>
    <xf numFmtId="0" fontId="19" fillId="31" borderId="0" xfId="0" applyFont="1" applyFill="1" applyAlignment="1">
      <alignment horizontal="center"/>
    </xf>
    <xf numFmtId="0" fontId="13" fillId="5" borderId="5" xfId="0" applyFont="1" applyFill="1" applyBorder="1" applyAlignment="1">
      <alignment horizontal="center" vertical="center"/>
    </xf>
    <xf numFmtId="9" fontId="3" fillId="32" borderId="32" xfId="0" applyNumberFormat="1" applyFont="1" applyFill="1" applyBorder="1" applyAlignment="1">
      <alignment horizontal="center"/>
    </xf>
    <xf numFmtId="0" fontId="3" fillId="32" borderId="38" xfId="0" applyFont="1" applyFill="1" applyBorder="1" applyAlignment="1">
      <alignment horizontal="center"/>
    </xf>
    <xf numFmtId="0" fontId="3" fillId="32" borderId="23" xfId="0" applyFont="1" applyFill="1" applyBorder="1" applyAlignment="1">
      <alignment horizontal="center"/>
    </xf>
    <xf numFmtId="9" fontId="31" fillId="0" borderId="32" xfId="2" applyFont="1" applyBorder="1" applyAlignment="1">
      <alignment horizontal="center"/>
    </xf>
    <xf numFmtId="9" fontId="31" fillId="0" borderId="38" xfId="2" applyFont="1" applyBorder="1" applyAlignment="1">
      <alignment horizontal="center"/>
    </xf>
    <xf numFmtId="9" fontId="31" fillId="0" borderId="23" xfId="2" applyFont="1" applyBorder="1" applyAlignment="1">
      <alignment horizontal="center"/>
    </xf>
    <xf numFmtId="0" fontId="31" fillId="15" borderId="22" xfId="0" applyFont="1" applyFill="1" applyBorder="1" applyAlignment="1">
      <alignment horizontal="left" vertical="center"/>
    </xf>
    <xf numFmtId="0" fontId="31" fillId="15" borderId="4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/>
    </xf>
    <xf numFmtId="0" fontId="13" fillId="34" borderId="5" xfId="0" applyFont="1" applyFill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14" fontId="0" fillId="0" borderId="5" xfId="1" applyNumberFormat="1" applyFont="1" applyBorder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center" wrapText="1"/>
    </xf>
    <xf numFmtId="10" fontId="66" fillId="35" borderId="5" xfId="2" applyNumberFormat="1" applyFont="1" applyFill="1" applyBorder="1" applyAlignment="1">
      <alignment horizontal="center" vertical="center" wrapText="1"/>
    </xf>
    <xf numFmtId="0" fontId="66" fillId="20" borderId="0" xfId="0" applyFont="1" applyFill="1" applyAlignment="1">
      <alignment horizontal="center" vertical="center" wrapText="1"/>
    </xf>
    <xf numFmtId="0" fontId="61" fillId="5" borderId="0" xfId="0" applyFont="1" applyFill="1" applyAlignment="1">
      <alignment horizontal="center" vertical="center" wrapText="1"/>
    </xf>
    <xf numFmtId="10" fontId="66" fillId="20" borderId="0" xfId="2" applyNumberFormat="1" applyFont="1" applyFill="1" applyBorder="1" applyAlignment="1">
      <alignment horizontal="center" vertical="center" wrapText="1"/>
    </xf>
    <xf numFmtId="0" fontId="0" fillId="21" borderId="5" xfId="0" applyFont="1" applyFill="1" applyBorder="1" applyAlignment="1">
      <alignment horizontal="center" vertical="center"/>
    </xf>
    <xf numFmtId="14" fontId="65" fillId="56" borderId="5" xfId="0" applyNumberFormat="1" applyFont="1" applyFill="1" applyBorder="1" applyAlignment="1">
      <alignment vertical="center" wrapText="1"/>
    </xf>
    <xf numFmtId="0" fontId="65" fillId="0" borderId="0" xfId="0" applyFont="1"/>
    <xf numFmtId="0" fontId="65" fillId="56" borderId="5" xfId="0" applyFont="1" applyFill="1" applyBorder="1" applyAlignment="1">
      <alignment vertical="center" wrapText="1"/>
    </xf>
    <xf numFmtId="0" fontId="67" fillId="57" borderId="5" xfId="0" applyFont="1" applyFill="1" applyBorder="1" applyAlignment="1">
      <alignment horizontal="right" vertical="center" wrapText="1"/>
    </xf>
    <xf numFmtId="0" fontId="66" fillId="55" borderId="0" xfId="0" applyFont="1" applyFill="1" applyAlignment="1">
      <alignment horizontal="center" vertical="center" wrapText="1"/>
    </xf>
    <xf numFmtId="0" fontId="20" fillId="21" borderId="0" xfId="0" applyFont="1" applyFill="1" applyBorder="1" applyAlignment="1">
      <alignment horizontal="center" vertical="center" wrapText="1"/>
    </xf>
    <xf numFmtId="0" fontId="5" fillId="21" borderId="0" xfId="0" applyFont="1" applyFill="1" applyBorder="1" applyAlignment="1">
      <alignment horizontal="center" vertical="center" wrapText="1"/>
    </xf>
    <xf numFmtId="44" fontId="5" fillId="21" borderId="0" xfId="1" applyFont="1" applyFill="1" applyBorder="1" applyAlignment="1">
      <alignment horizontal="center" vertical="center" wrapText="1"/>
    </xf>
    <xf numFmtId="44" fontId="4" fillId="21" borderId="0" xfId="1" applyFont="1" applyFill="1" applyBorder="1" applyAlignment="1">
      <alignment horizontal="center" vertical="center" wrapText="1"/>
    </xf>
    <xf numFmtId="0" fontId="5" fillId="21" borderId="0" xfId="0" applyFont="1" applyFill="1" applyBorder="1" applyAlignment="1">
      <alignment vertical="center" wrapText="1"/>
    </xf>
    <xf numFmtId="0" fontId="68" fillId="58" borderId="0" xfId="0" applyFont="1" applyFill="1" applyAlignment="1">
      <alignment horizontal="center" vertical="center" wrapText="1"/>
    </xf>
    <xf numFmtId="0" fontId="41" fillId="0" borderId="0" xfId="0" applyFont="1"/>
    <xf numFmtId="0" fontId="69" fillId="0" borderId="5" xfId="0" applyFont="1" applyBorder="1"/>
    <xf numFmtId="14" fontId="41" fillId="59" borderId="5" xfId="0" applyNumberFormat="1" applyFont="1" applyFill="1" applyBorder="1" applyAlignment="1">
      <alignment vertical="center"/>
    </xf>
  </cellXfs>
  <cellStyles count="7">
    <cellStyle name="Hyperlink" xfId="5" xr:uid="{00000000-0005-0000-0000-000000000000}"/>
    <cellStyle name="Millares [0]" xfId="6" builtinId="6"/>
    <cellStyle name="Moneda" xfId="1" builtinId="4"/>
    <cellStyle name="Moneda 2" xfId="4" xr:uid="{00000000-0005-0000-0000-000002000000}"/>
    <cellStyle name="Normal" xfId="0" builtinId="0"/>
    <cellStyle name="Normal 2" xfId="3" xr:uid="{00000000-0005-0000-0000-000004000000}"/>
    <cellStyle name="Porcentaje" xfId="2" builtinId="5"/>
  </cellStyles>
  <dxfs count="294"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DFD35"/>
        </patternFill>
      </fill>
    </dxf>
    <dxf>
      <fill>
        <patternFill>
          <bgColor rgb="FF00B050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47070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$&quot;\ * #,##0_-;\-&quot;$&quot;\ * #,##0_-;_-&quot;$&quot;\ * &quot;-&quot;??_-;_-@_-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 patternType="solid">
          <fgColor rgb="FFC6E0B4"/>
          <bgColor rgb="FF000000"/>
        </patternFill>
      </fill>
    </dxf>
    <dxf>
      <fill>
        <patternFill patternType="solid">
          <fgColor rgb="FFFF00FF"/>
          <bgColor rgb="FF00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/mm/yyyy"/>
      <fill>
        <patternFill patternType="solid">
          <fgColor indexed="64"/>
          <bgColor rgb="FF00B050"/>
        </patternFill>
      </fill>
      <alignment horizontal="center" vertical="bottom" textRotation="0" wrapText="1" indent="0" justifyLastLine="0" shrinkToFit="0" readingOrder="0"/>
    </dxf>
    <dxf>
      <font>
        <b/>
      </font>
      <numFmt numFmtId="164" formatCode="_-&quot;$&quot;\ * #,##0_-;\-&quot;$&quot;\ * #,##0_-;_-&quot;$&quot;\ * &quot;-&quot;??_-;_-@_-"/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numFmt numFmtId="19" formatCode="d/mm/yyyy"/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/mm/yyyy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m/yyyy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m/yyyy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&quot;$&quot;\ * #,##0.00_-;\-&quot;$&quot;\ * #,##0.0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9" formatCode="d/mm/yyyy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&quot;$&quot;\ * #,##0_-;\-&quot;$&quot;\ * #,##0_-;_-&quot;$&quot;\ * &quot;-&quot;??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 patternType="solid">
          <bgColor theme="9" tint="0.79998168889431442"/>
        </patternFill>
      </fill>
    </dxf>
    <dxf>
      <alignment wrapText="1"/>
    </dxf>
    <dxf>
      <fill>
        <patternFill>
          <bgColor theme="4" tint="0.59999389629810485"/>
        </patternFill>
      </fill>
    </dxf>
    <dxf>
      <fill>
        <patternFill patternType="solid">
          <bgColor rgb="FFE7E7FF"/>
        </patternFill>
      </fill>
    </dxf>
    <dxf>
      <fill>
        <patternFill>
          <bgColor rgb="FFE7E7FF"/>
        </patternFill>
      </fill>
    </dxf>
    <dxf>
      <fill>
        <patternFill patternType="solid">
          <bgColor rgb="FF9B9BFF"/>
        </patternFill>
      </fill>
    </dxf>
    <dxf>
      <fill>
        <patternFill patternType="solid"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9" tint="0.79998168889431442"/>
        </patternFill>
      </fill>
    </dxf>
    <dxf>
      <alignment horizontal="center"/>
    </dxf>
    <dxf>
      <font>
        <sz val="11"/>
      </font>
    </dxf>
    <dxf>
      <alignment wrapText="1"/>
    </dxf>
    <dxf>
      <alignment horizontal="center"/>
    </dxf>
    <dxf>
      <font>
        <sz val="8"/>
      </font>
    </dxf>
    <dxf>
      <font>
        <b/>
      </font>
    </dxf>
    <dxf>
      <fill>
        <patternFill patternType="solid">
          <bgColor theme="9" tint="0.59999389629810485"/>
        </patternFill>
      </fill>
    </dxf>
    <dxf>
      <fill>
        <patternFill>
          <bgColor theme="8" tint="0.79998168889431442"/>
        </patternFill>
      </fill>
    </dxf>
    <dxf>
      <fill>
        <patternFill patternType="solid">
          <bgColor theme="9" tint="0.59999389629810485"/>
        </patternFill>
      </fill>
    </dxf>
    <dxf>
      <alignment vertical="center"/>
    </dxf>
    <dxf>
      <fill>
        <patternFill>
          <bgColor theme="5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b/>
      </font>
    </dxf>
    <dxf>
      <alignment horizontal="center"/>
    </dxf>
    <dxf>
      <alignment wrapText="1"/>
    </dxf>
    <dxf>
      <alignment wrapText="1"/>
    </dxf>
    <dxf>
      <alignment horizontal="center"/>
    </dxf>
    <dxf>
      <alignment wrapText="1"/>
    </dxf>
  </dxfs>
  <tableStyles count="0" defaultTableStyle="TableStyleMedium2" defaultPivotStyle="PivotStyleLight16"/>
  <colors>
    <mruColors>
      <color rgb="FF53F5E5"/>
      <color rgb="FFFBB0A3"/>
      <color rgb="FF99FF66"/>
      <color rgb="FFCC66FF"/>
      <color rgb="FF7900CC"/>
      <color rgb="FF9933FF"/>
      <color rgb="FF8700E2"/>
      <color rgb="FFCC3300"/>
      <color rgb="FF9B9BFF"/>
      <color rgb="FFFDFD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pivotCacheDefinition" Target="pivotCache/pivotCacheDefinition1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8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Relationship Id="rId57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neducaciongovco.sharepoint.com/sites/GrupoEstmuloalaDemanda/Documentos%20compartidos/General/GRATUIDAD%202023/SOPORTES%20COMITE%20GRATUIDAD%202023/Datos%20certificaciones%20iniciales%202023-2_v3_ajust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2"/>
      <sheetName val="INFORMACIÓN IES"/>
      <sheetName val="Punto 2 sept-ITT"/>
      <sheetName val="Punto 2 sept-IES"/>
      <sheetName val="Punto 4 Sept-ITT"/>
      <sheetName val="Punto 4 Sept-IES"/>
      <sheetName val="Resumen Septiembre"/>
      <sheetName val="Punto1-ITT"/>
      <sheetName val="Punto 1-Univ"/>
      <sheetName val="Punto 2-ITT"/>
      <sheetName val="Punto 2-Univ"/>
      <sheetName val="Punto 4 ITT"/>
      <sheetName val="Punto 4 Univ"/>
      <sheetName val="Resumen Agosto"/>
    </sheetNames>
    <sheetDataSet>
      <sheetData sheetId="0" refreshError="1"/>
      <sheetData sheetId="1" refreshError="1">
        <row r="1">
          <cell r="B1" t="str">
            <v>NOMBRE IES</v>
          </cell>
          <cell r="C1" t="str">
            <v xml:space="preserve">Radicado Sgdea Asignación de Tope de Recursos </v>
          </cell>
          <cell r="D1" t="str">
            <v>Radicado Sgdea de la certificación inicial 80%</v>
          </cell>
          <cell r="E1" t="str">
            <v># Programas abiertos 2023-2</v>
          </cell>
          <cell r="F1" t="str">
            <v>Calendario de Matrículas 2023-2
(dd/mm/aaaa - dd/mm/aaaa)</v>
          </cell>
          <cell r="G1" t="str">
            <v>Inicio o periodo de Clases 2023-2
(dd/mm/aaaa - dd/mm/aaaa)</v>
          </cell>
          <cell r="H1" t="str">
            <v>Cuenta Bancaria 
(Número  - Tipo - Banco xxxx)</v>
          </cell>
          <cell r="I1" t="str">
            <v>Concepto Técnico Favorable? (SI / NO)</v>
          </cell>
          <cell r="J1" t="str">
            <v>Mes Giro 80%
(Agosto, Septiembre, Octubre)</v>
          </cell>
          <cell r="K1" t="str">
            <v>Tope PG</v>
          </cell>
          <cell r="L1" t="str">
            <v>Tope Equidad</v>
          </cell>
          <cell r="M1" t="str">
            <v>Tope FSE</v>
          </cell>
          <cell r="N1" t="str">
            <v>1er Desembolso
FSE (80%)</v>
          </cell>
        </row>
        <row r="2">
          <cell r="B2" t="str">
            <v>COLEGIO INTEGRADO NACIONAL ORIENTE DE CALDAS</v>
          </cell>
          <cell r="C2" t="str">
            <v>2023-EE-100879</v>
          </cell>
          <cell r="D2" t="str">
            <v>2023-ER-543072</v>
          </cell>
          <cell r="E2">
            <v>11</v>
          </cell>
          <cell r="F2" t="str">
            <v xml:space="preserve">04/07/2023 - 04/08/2023 </v>
          </cell>
          <cell r="G2">
            <v>45138</v>
          </cell>
          <cell r="H2" t="str">
            <v xml:space="preserve">085469999792 - Ahorros - Banco Davivienda </v>
          </cell>
          <cell r="I2" t="str">
            <v>SI</v>
          </cell>
          <cell r="J2" t="str">
            <v>Agosto</v>
          </cell>
          <cell r="K2">
            <v>814551752</v>
          </cell>
          <cell r="L2">
            <v>550531730</v>
          </cell>
          <cell r="M2">
            <v>264020022</v>
          </cell>
          <cell r="N2">
            <v>211216018</v>
          </cell>
        </row>
        <row r="3">
          <cell r="B3" t="str">
            <v>COLEGIO MAYOR DE ANTIOQUIA</v>
          </cell>
          <cell r="C3" t="str">
            <v xml:space="preserve">2023-EE-180732 </v>
          </cell>
          <cell r="D3" t="str">
            <v>2023-ER-569341</v>
          </cell>
          <cell r="E3">
            <v>19</v>
          </cell>
          <cell r="F3" t="str">
            <v>del 26 de junio al 28 de julio del 2023</v>
          </cell>
          <cell r="G3" t="str">
            <v xml:space="preserve">1 de agosto </v>
          </cell>
          <cell r="H3" t="str">
            <v>859055997- Ahorros – Banco Itaú</v>
          </cell>
          <cell r="I3" t="str">
            <v>SI</v>
          </cell>
          <cell r="J3" t="str">
            <v>Septiembre</v>
          </cell>
          <cell r="K3">
            <v>5482143901</v>
          </cell>
          <cell r="L3">
            <v>1303703770</v>
          </cell>
          <cell r="M3">
            <v>4178440131</v>
          </cell>
          <cell r="N3">
            <v>3342752104.8000002</v>
          </cell>
        </row>
        <row r="4">
          <cell r="B4" t="str">
            <v>COLEGIO MAYOR DEL CAUCA</v>
          </cell>
          <cell r="C4" t="str">
            <v>2023-EE-180850</v>
          </cell>
          <cell r="D4" t="str">
            <v>2023-EE-180850</v>
          </cell>
          <cell r="E4">
            <v>12</v>
          </cell>
          <cell r="F4" t="str">
            <v>08/07/2023 - 14/08/2023</v>
          </cell>
          <cell r="G4">
            <v>45152</v>
          </cell>
          <cell r="H4" t="str">
            <v>110290011329 - Corriente - Banco Popular</v>
          </cell>
          <cell r="I4" t="str">
            <v>SI</v>
          </cell>
          <cell r="J4" t="str">
            <v>Agosto</v>
          </cell>
          <cell r="K4">
            <v>2214099806</v>
          </cell>
          <cell r="L4">
            <v>1155170990</v>
          </cell>
          <cell r="M4">
            <v>1058928816</v>
          </cell>
          <cell r="N4">
            <v>847143053</v>
          </cell>
        </row>
        <row r="5">
          <cell r="B5" t="str">
            <v>CONSERVATORIO DEL TOLIMA</v>
          </cell>
          <cell r="C5" t="str">
            <v>2023-EE-180848</v>
          </cell>
          <cell r="D5" t="str">
            <v>2023-ER-564389</v>
          </cell>
          <cell r="E5">
            <v>5</v>
          </cell>
          <cell r="F5" t="str">
            <v>24/07/2023 - 18/08/2023</v>
          </cell>
          <cell r="G5" t="str">
            <v>31/07/2023 - 17/11/2023</v>
          </cell>
          <cell r="H5" t="str">
            <v>Cuenta Corriente, No.224037788, del Banco Davivienda.</v>
          </cell>
          <cell r="I5" t="str">
            <v>SI</v>
          </cell>
          <cell r="J5" t="str">
            <v>Agosto</v>
          </cell>
          <cell r="K5">
            <v>765991792</v>
          </cell>
          <cell r="L5">
            <v>485525715</v>
          </cell>
          <cell r="M5">
            <v>280466077</v>
          </cell>
          <cell r="N5">
            <v>224372861</v>
          </cell>
        </row>
        <row r="6">
          <cell r="B6" t="str">
            <v>ESCUELA NACIONAL DEL DEPORTE</v>
          </cell>
          <cell r="C6" t="str">
            <v xml:space="preserve">2023-EE-180711 </v>
          </cell>
          <cell r="D6" t="str">
            <v xml:space="preserve">2023-ER-540839 </v>
          </cell>
          <cell r="E6">
            <v>8</v>
          </cell>
          <cell r="F6" t="str">
            <v>05/06/2023 - 03/08/2023</v>
          </cell>
          <cell r="G6">
            <v>45146</v>
          </cell>
          <cell r="H6" t="str">
            <v>110582110425 - Corriente - Banco Popular</v>
          </cell>
          <cell r="I6" t="str">
            <v>SI</v>
          </cell>
          <cell r="J6" t="str">
            <v xml:space="preserve">Agosto </v>
          </cell>
          <cell r="K6">
            <v>12589189370</v>
          </cell>
          <cell r="L6">
            <v>2699300681</v>
          </cell>
          <cell r="M6">
            <v>9889888689</v>
          </cell>
          <cell r="N6">
            <v>7911910951</v>
          </cell>
        </row>
        <row r="7">
          <cell r="B7" t="str">
            <v>TECNOLÓGICO DE ARTES DÉBORA ARANGO INSTITUCIÓN REDEFINIDA</v>
          </cell>
          <cell r="C7" t="str">
            <v>2023-EE-180742</v>
          </cell>
          <cell r="D7" t="str">
            <v>2023-ER-543144</v>
          </cell>
          <cell r="E7">
            <v>15</v>
          </cell>
          <cell r="F7" t="str">
            <v>06/07/2023 - 05/08/2023</v>
          </cell>
          <cell r="G7">
            <v>45131</v>
          </cell>
          <cell r="H7" t="str">
            <v>299009860 - Ahorros - Banco BBVA</v>
          </cell>
          <cell r="I7" t="str">
            <v>SI</v>
          </cell>
          <cell r="J7" t="str">
            <v>Agosto</v>
          </cell>
          <cell r="K7">
            <v>1166894032</v>
          </cell>
          <cell r="L7">
            <v>149226818</v>
          </cell>
          <cell r="M7">
            <v>1017667214</v>
          </cell>
          <cell r="N7">
            <v>814133771.20000005</v>
          </cell>
        </row>
        <row r="8">
          <cell r="B8" t="str">
            <v>ESCUELA TECNOLOGICA INSTITUTO TECNICO CENTRAL</v>
          </cell>
          <cell r="C8" t="str">
            <v>2023-EE-180733</v>
          </cell>
          <cell r="D8" t="str">
            <v>2023-ER-559430</v>
          </cell>
          <cell r="E8">
            <v>15</v>
          </cell>
          <cell r="F8" t="str">
            <v>25/07/2023 - 31/07/2023</v>
          </cell>
          <cell r="G8" t="str">
            <v>01/08/2023 - 25/11/2023</v>
          </cell>
          <cell r="H8" t="str">
            <v xml:space="preserve">475569993961 - Corriente - Banco Davivienda </v>
          </cell>
          <cell r="I8" t="str">
            <v>SI</v>
          </cell>
          <cell r="J8" t="str">
            <v>Agosto</v>
          </cell>
          <cell r="K8">
            <v>4095602700</v>
          </cell>
          <cell r="L8">
            <v>712182000</v>
          </cell>
          <cell r="M8">
            <v>3383420700</v>
          </cell>
          <cell r="N8">
            <v>2706736560</v>
          </cell>
        </row>
        <row r="9">
          <cell r="B9" t="str">
            <v>INSTITUCION DE EDUCACION SUPERIOR DE CARTAGENA</v>
          </cell>
          <cell r="C9" t="str">
            <v>2023-EE-180851</v>
          </cell>
          <cell r="D9" t="str">
            <v xml:space="preserve">2023-ER-542524 </v>
          </cell>
          <cell r="E9">
            <v>14</v>
          </cell>
          <cell r="F9" t="str">
            <v>08/08/2023 - 11/08/2023</v>
          </cell>
          <cell r="G9">
            <v>45152</v>
          </cell>
          <cell r="H9" t="str">
            <v>756000196 - Ahorros -Banco BBVA</v>
          </cell>
          <cell r="I9" t="str">
            <v>SI</v>
          </cell>
          <cell r="J9" t="str">
            <v>Agosto</v>
          </cell>
          <cell r="K9">
            <v>4577383200</v>
          </cell>
          <cell r="L9">
            <v>2865055000</v>
          </cell>
          <cell r="M9">
            <v>1712328200</v>
          </cell>
          <cell r="N9">
            <v>1369862560</v>
          </cell>
        </row>
        <row r="10">
          <cell r="B10" t="str">
            <v>INSTITUCION UNIVERSITARIA ANTONIO JOSE CAMACHO</v>
          </cell>
          <cell r="C10" t="str">
            <v xml:space="preserve">2023-EE-180708 </v>
          </cell>
          <cell r="D10" t="str">
            <v xml:space="preserve">2023-ER-539880 </v>
          </cell>
          <cell r="E10">
            <v>15</v>
          </cell>
          <cell r="F10" t="str">
            <v>10/07/2023 - 18/08/2023</v>
          </cell>
          <cell r="G10">
            <v>45143</v>
          </cell>
          <cell r="H10" t="str">
            <v>410173250 - Ahorros - Banco Pichincha</v>
          </cell>
          <cell r="I10" t="str">
            <v>SI</v>
          </cell>
          <cell r="J10" t="str">
            <v xml:space="preserve">Agosto </v>
          </cell>
          <cell r="K10">
            <v>40246394761</v>
          </cell>
          <cell r="L10">
            <v>20653567881</v>
          </cell>
          <cell r="M10">
            <v>19592826880</v>
          </cell>
          <cell r="N10">
            <v>15674261504</v>
          </cell>
        </row>
        <row r="11">
          <cell r="B11" t="str">
            <v>INSTITUCION UNIVERSITARIA BELLAS ARTES Y CIENCIAS DE BOLIVAR</v>
          </cell>
          <cell r="C11" t="str">
            <v>2023-EE-180855</v>
          </cell>
          <cell r="D11" t="str">
            <v>2023-ER-567030</v>
          </cell>
          <cell r="E11">
            <v>6</v>
          </cell>
          <cell r="F11" t="str">
            <v>04/07/2023 - 28/07/2023</v>
          </cell>
          <cell r="G11">
            <v>45138</v>
          </cell>
          <cell r="H11" t="str">
            <v>0000007054409089 - Corriente - Banco Davivienda</v>
          </cell>
          <cell r="I11" t="str">
            <v>SI</v>
          </cell>
          <cell r="J11" t="str">
            <v>Agosto</v>
          </cell>
          <cell r="K11">
            <v>1790224430</v>
          </cell>
          <cell r="L11">
            <v>693609900</v>
          </cell>
          <cell r="M11">
            <v>1096614530</v>
          </cell>
          <cell r="N11">
            <v>877291624</v>
          </cell>
        </row>
        <row r="12">
          <cell r="B12" t="str">
            <v>INSTITUCIÓN UNIVERSITARIA DE BARRANQUILLA</v>
          </cell>
          <cell r="C12" t="str">
            <v>2023-EE-180743</v>
          </cell>
          <cell r="D12" t="str">
            <v>2023-ER-544150</v>
          </cell>
          <cell r="E12">
            <v>24</v>
          </cell>
          <cell r="F12" t="str">
            <v>18/08/2023 - 22/09/2023</v>
          </cell>
          <cell r="G12">
            <v>45173</v>
          </cell>
          <cell r="H12" t="str">
            <v>0560029769999870 - Corriente - Banco Davivienda</v>
          </cell>
          <cell r="I12" t="str">
            <v>SI</v>
          </cell>
          <cell r="J12" t="str">
            <v>Agosto</v>
          </cell>
          <cell r="K12">
            <v>6065140327</v>
          </cell>
          <cell r="L12">
            <v>4103355023</v>
          </cell>
          <cell r="M12">
            <v>1961785304</v>
          </cell>
          <cell r="N12">
            <v>1569428243</v>
          </cell>
        </row>
        <row r="13">
          <cell r="B13" t="str">
            <v>INSTITUCION UNIVERSITARIA DE ENVIGADO</v>
          </cell>
          <cell r="C13" t="str">
            <v>2023-EE-180734</v>
          </cell>
          <cell r="D13" t="str">
            <v>2023-ER-540856</v>
          </cell>
          <cell r="E13">
            <v>16</v>
          </cell>
          <cell r="F13" t="str">
            <v>21/06/2023 - 30/06/2023</v>
          </cell>
          <cell r="G13">
            <v>45101</v>
          </cell>
          <cell r="H13" t="str">
            <v>634031439 - Ahorros - Banco de Bogota</v>
          </cell>
          <cell r="I13" t="str">
            <v>SI</v>
          </cell>
          <cell r="J13" t="str">
            <v>Agosto</v>
          </cell>
          <cell r="K13">
            <v>9194936680</v>
          </cell>
          <cell r="L13">
            <v>1195578500</v>
          </cell>
          <cell r="M13">
            <v>7999358180</v>
          </cell>
          <cell r="N13">
            <v>6399486544</v>
          </cell>
        </row>
        <row r="14">
          <cell r="B14" t="str">
            <v>INSTITUCION UNIVERSITARIA DIGITAL DE ANTIOQUIA</v>
          </cell>
          <cell r="C14" t="str">
            <v>2023-EE-180723</v>
          </cell>
          <cell r="D14" t="str">
            <v>2023-ER-545935</v>
          </cell>
          <cell r="E14">
            <v>11</v>
          </cell>
          <cell r="F14" t="str">
            <v>17/04/2023 - 14/07/2023</v>
          </cell>
          <cell r="G14">
            <v>45152</v>
          </cell>
          <cell r="H14" t="str">
            <v>409817046 - Ahorros - Banco de Occidente</v>
          </cell>
          <cell r="I14" t="str">
            <v>SI</v>
          </cell>
          <cell r="J14" t="str">
            <v>Agosto</v>
          </cell>
          <cell r="K14">
            <v>4752794907</v>
          </cell>
          <cell r="L14">
            <v>2053693000</v>
          </cell>
          <cell r="M14">
            <v>2699101907</v>
          </cell>
          <cell r="N14">
            <v>2159281525.5999999</v>
          </cell>
        </row>
        <row r="15">
          <cell r="B15" t="str">
            <v>INSTITUCIÓN UNIVERSITARIA PASCUAL BRAVO</v>
          </cell>
          <cell r="C15" t="str">
            <v xml:space="preserve">2023-EE-180849 </v>
          </cell>
          <cell r="D15" t="str">
            <v>2023-ER-571035</v>
          </cell>
          <cell r="E15">
            <v>36</v>
          </cell>
          <cell r="F15" t="str">
            <v>del 10 de julio al 04 de agosto de 2023</v>
          </cell>
          <cell r="G15">
            <v>45139</v>
          </cell>
          <cell r="H15" t="str">
            <v>299179937- Ahorros – Banco BBVA</v>
          </cell>
          <cell r="I15" t="str">
            <v>SI</v>
          </cell>
          <cell r="J15" t="str">
            <v>Septiembre</v>
          </cell>
          <cell r="K15">
            <v>8938340146</v>
          </cell>
          <cell r="L15">
            <v>1996825098</v>
          </cell>
          <cell r="M15">
            <v>6941515048</v>
          </cell>
          <cell r="N15">
            <v>5553212038.4000006</v>
          </cell>
        </row>
        <row r="16">
          <cell r="B16" t="str">
            <v>INSTITUTO DE EDUCACION TECNICA PROFESIONAL DE ROLDANILLO</v>
          </cell>
          <cell r="C16" t="str">
            <v xml:space="preserve">2023-EE-180705 </v>
          </cell>
          <cell r="D16" t="str">
            <v>2023-ER-534591</v>
          </cell>
          <cell r="E16">
            <v>21</v>
          </cell>
          <cell r="F16" t="str">
            <v>04/07/2023 - 04/08/2023</v>
          </cell>
          <cell r="G16">
            <v>45138</v>
          </cell>
          <cell r="H16" t="str">
            <v>73200000978 - Corriente - Banco Bancolombia</v>
          </cell>
          <cell r="I16" t="str">
            <v>SI</v>
          </cell>
          <cell r="J16" t="str">
            <v>Agosto</v>
          </cell>
          <cell r="K16">
            <v>3103491442</v>
          </cell>
          <cell r="L16">
            <v>1706595520</v>
          </cell>
          <cell r="M16">
            <v>1396895922</v>
          </cell>
          <cell r="N16">
            <v>1117516738</v>
          </cell>
        </row>
        <row r="17">
          <cell r="B17" t="str">
            <v>INSTITUTO DEPARTAMENTAL DE BELLAS ARTES</v>
          </cell>
          <cell r="C17" t="str">
            <v xml:space="preserve">2023-EE-180701 </v>
          </cell>
          <cell r="D17" t="str">
            <v>2023-ER-541297</v>
          </cell>
          <cell r="E17">
            <v>4</v>
          </cell>
          <cell r="F17" t="str">
            <v>24/07/2023 - 31/07/2023</v>
          </cell>
          <cell r="G17">
            <v>45139</v>
          </cell>
          <cell r="H17" t="str">
            <v xml:space="preserve">019817295 - Ahorros - Banco de Occidente </v>
          </cell>
          <cell r="I17" t="str">
            <v>SI</v>
          </cell>
          <cell r="J17" t="str">
            <v>Agosto</v>
          </cell>
          <cell r="K17">
            <v>1178061200</v>
          </cell>
          <cell r="L17">
            <v>180612000</v>
          </cell>
          <cell r="M17">
            <v>997449200</v>
          </cell>
          <cell r="N17">
            <v>797959360</v>
          </cell>
        </row>
        <row r="18">
          <cell r="B18" t="str">
            <v>INFOTEP - HUMBERTO VELASQUEZ GARCIA</v>
          </cell>
          <cell r="C18" t="str">
            <v>2023-EE-180737</v>
          </cell>
          <cell r="D18" t="str">
            <v>2023-ER-541394</v>
          </cell>
          <cell r="E18">
            <v>14</v>
          </cell>
          <cell r="F18" t="str">
            <v>17/07/2023-15/09/2023</v>
          </cell>
          <cell r="G18" t="str">
            <v>14/08/2023 - 01/12/2023</v>
          </cell>
          <cell r="H18" t="str">
            <v>220393615 - Corriente - Banco de Bogota</v>
          </cell>
          <cell r="I18" t="str">
            <v>SI</v>
          </cell>
          <cell r="J18" t="str">
            <v>Agosto</v>
          </cell>
          <cell r="K18">
            <v>3417923400</v>
          </cell>
          <cell r="L18">
            <v>1842444000</v>
          </cell>
          <cell r="M18">
            <v>1575479400</v>
          </cell>
          <cell r="N18">
            <v>1260383520</v>
          </cell>
        </row>
        <row r="19">
          <cell r="B19" t="str">
            <v>INFOTEP DE SAN ANDRES</v>
          </cell>
          <cell r="C19" t="str">
            <v>2023-EE-180715</v>
          </cell>
          <cell r="D19" t="str">
            <v>2023-ER-542279</v>
          </cell>
          <cell r="E19">
            <v>5</v>
          </cell>
          <cell r="F19" t="str">
            <v>28/05/2023- 28/07/2023</v>
          </cell>
          <cell r="G19">
            <v>45261</v>
          </cell>
          <cell r="H19" t="str">
            <v>000334039245 - Corriente - Banco Davivienda</v>
          </cell>
          <cell r="I19" t="str">
            <v>SI</v>
          </cell>
          <cell r="J19" t="str">
            <v>Agosto</v>
          </cell>
          <cell r="K19">
            <v>239012846</v>
          </cell>
          <cell r="L19">
            <v>182182715</v>
          </cell>
          <cell r="M19">
            <v>56830131</v>
          </cell>
          <cell r="N19">
            <v>45464105</v>
          </cell>
        </row>
        <row r="20">
          <cell r="B20" t="str">
            <v>INFOTEP DE SAN JUAN DEL CESAR</v>
          </cell>
          <cell r="C20" t="str">
            <v xml:space="preserve">2023-EE-180727 </v>
          </cell>
          <cell r="D20" t="str">
            <v xml:space="preserve">2023-ER-563276 </v>
          </cell>
          <cell r="E20">
            <v>11</v>
          </cell>
          <cell r="F20" t="str">
            <v>13/07/2023 - 28/07/2023</v>
          </cell>
          <cell r="G20" t="str">
            <v>8/08/2023 - 10/12/2023</v>
          </cell>
          <cell r="H20" t="str">
            <v xml:space="preserve">036400018820 - Corriente - Banco Agrario </v>
          </cell>
          <cell r="I20" t="str">
            <v>SI</v>
          </cell>
          <cell r="J20" t="str">
            <v>Agosto</v>
          </cell>
          <cell r="K20">
            <v>751860840</v>
          </cell>
          <cell r="L20">
            <v>513165008</v>
          </cell>
          <cell r="M20">
            <v>238695832</v>
          </cell>
          <cell r="N20">
            <v>190956665.60000002</v>
          </cell>
        </row>
        <row r="21">
          <cell r="B21" t="str">
            <v>INSTITUTO SUPERIOR DE EDUCACION RURAL</v>
          </cell>
          <cell r="C21" t="str">
            <v>2023-EE-180718</v>
          </cell>
          <cell r="D21" t="str">
            <v>2023-ER-551560</v>
          </cell>
          <cell r="E21">
            <v>11</v>
          </cell>
          <cell r="F21" t="str">
            <v>27/07/2023 - 14/08/2023</v>
          </cell>
          <cell r="G21">
            <v>45153</v>
          </cell>
          <cell r="H21" t="str">
            <v>462339680 - Corriente - Banco de Bogotá</v>
          </cell>
          <cell r="I21" t="str">
            <v>SI</v>
          </cell>
          <cell r="J21" t="str">
            <v>Agosto</v>
          </cell>
          <cell r="K21">
            <v>1137277675</v>
          </cell>
          <cell r="L21">
            <v>777413665</v>
          </cell>
          <cell r="M21">
            <v>359864010</v>
          </cell>
          <cell r="N21">
            <v>287891208</v>
          </cell>
        </row>
        <row r="22">
          <cell r="B22" t="str">
            <v>INSTITUTO TECNICO AGRICOLA</v>
          </cell>
          <cell r="C22" t="str">
            <v xml:space="preserve">2023-EE-180698 </v>
          </cell>
          <cell r="D22" t="str">
            <v xml:space="preserve">2023-ER-543059 </v>
          </cell>
          <cell r="E22">
            <v>10</v>
          </cell>
          <cell r="F22" t="str">
            <v>13/05/2023 - 30/07/2023</v>
          </cell>
          <cell r="G22">
            <v>45143</v>
          </cell>
          <cell r="H22" t="str">
            <v xml:space="preserve">034056739 - Corriente - Banco de Occidente </v>
          </cell>
          <cell r="I22" t="str">
            <v>SI</v>
          </cell>
          <cell r="J22" t="str">
            <v>Agosto</v>
          </cell>
          <cell r="K22">
            <v>954057432</v>
          </cell>
          <cell r="L22">
            <v>383024992</v>
          </cell>
          <cell r="M22">
            <v>571032440</v>
          </cell>
          <cell r="N22">
            <v>456825952</v>
          </cell>
        </row>
        <row r="23">
          <cell r="B23" t="str">
            <v>INSTITUTO TECNICO NACIONAL DE COMERCIO SIMON RODRIGUEZ</v>
          </cell>
          <cell r="C23" t="str">
            <v xml:space="preserve">2023-EE-180694 </v>
          </cell>
          <cell r="D23" t="str">
            <v xml:space="preserve">2023-ER-546094 </v>
          </cell>
          <cell r="E23">
            <v>10</v>
          </cell>
          <cell r="F23" t="str">
            <v>04/07/2023 - 31/07/2023</v>
          </cell>
          <cell r="G23">
            <v>45146</v>
          </cell>
          <cell r="H23" t="str">
            <v>110582062436 - Corriente - Banco Popular</v>
          </cell>
          <cell r="I23" t="str">
            <v>SI</v>
          </cell>
          <cell r="J23" t="str">
            <v>Agosto</v>
          </cell>
          <cell r="K23">
            <v>1752465801</v>
          </cell>
          <cell r="L23">
            <v>659115407</v>
          </cell>
          <cell r="M23">
            <v>1093350394</v>
          </cell>
          <cell r="N23">
            <v>874680315</v>
          </cell>
        </row>
        <row r="24">
          <cell r="B24" t="str">
            <v>INSTITUTO TECNOLOGICO DEL PUTUMAYO</v>
          </cell>
          <cell r="C24" t="str">
            <v>2023-EE-180744</v>
          </cell>
          <cell r="D24">
            <v>127106997</v>
          </cell>
          <cell r="E24">
            <v>22</v>
          </cell>
          <cell r="F24" t="str">
            <v>14/07/2023 - 01/08/2023</v>
          </cell>
          <cell r="G24">
            <v>45146</v>
          </cell>
          <cell r="H24" t="str">
            <v>598097194 - Corriente - Banco BBVA</v>
          </cell>
          <cell r="I24" t="str">
            <v>SI</v>
          </cell>
          <cell r="J24" t="str">
            <v>Agosto</v>
          </cell>
          <cell r="K24">
            <v>2470445067</v>
          </cell>
          <cell r="L24">
            <v>1834910083</v>
          </cell>
          <cell r="M24">
            <v>635534984</v>
          </cell>
          <cell r="N24">
            <v>508427987</v>
          </cell>
        </row>
        <row r="25">
          <cell r="B25" t="str">
            <v>INSTITUTO TECNOLOGICO METROPOLITANO</v>
          </cell>
          <cell r="C25" t="str">
            <v xml:space="preserve">2023-EE-180740 </v>
          </cell>
          <cell r="D25" t="str">
            <v>2023-ER-536255</v>
          </cell>
          <cell r="E25">
            <v>42</v>
          </cell>
          <cell r="F25" t="str">
            <v>26/06/2023 - 05/08/2023</v>
          </cell>
          <cell r="G25">
            <v>45139</v>
          </cell>
          <cell r="H25" t="str">
            <v>220-188-72009-8 - Ahorros - Banco Popular</v>
          </cell>
          <cell r="I25" t="str">
            <v>SI</v>
          </cell>
          <cell r="J25" t="str">
            <v>Agosto</v>
          </cell>
          <cell r="K25">
            <v>15686357358</v>
          </cell>
          <cell r="L25">
            <v>2651677089</v>
          </cell>
          <cell r="M25">
            <v>13034680269</v>
          </cell>
          <cell r="N25">
            <v>10427744215.200001</v>
          </cell>
        </row>
        <row r="26">
          <cell r="B26" t="str">
            <v>INSTITUTO TOLIMENSE DE FORMACION TECNICA PROFESIONAL</v>
          </cell>
          <cell r="C26" t="str">
            <v>2023-EE-180941</v>
          </cell>
          <cell r="D26" t="str">
            <v>2023-ER-580924</v>
          </cell>
          <cell r="E26">
            <v>24</v>
          </cell>
          <cell r="F26" t="str">
            <v>08/08/2023 - 25/08/2023</v>
          </cell>
          <cell r="G26">
            <v>45152</v>
          </cell>
          <cell r="H26" t="str">
            <v>357008523 - Banco BBVA</v>
          </cell>
          <cell r="I26" t="str">
            <v>SI</v>
          </cell>
          <cell r="J26" t="str">
            <v>Septiembre</v>
          </cell>
          <cell r="K26">
            <v>4559053810</v>
          </cell>
          <cell r="L26">
            <v>4409582939</v>
          </cell>
          <cell r="M26">
            <v>149470874</v>
          </cell>
          <cell r="N26">
            <v>119576699</v>
          </cell>
        </row>
        <row r="27">
          <cell r="B27" t="str">
            <v>INSTITUTO UNIVERSITARIO DE LA PAZ</v>
          </cell>
          <cell r="C27" t="str">
            <v>2023-EE-180712</v>
          </cell>
          <cell r="D27" t="str">
            <v>2023-ER-544460</v>
          </cell>
          <cell r="E27">
            <v>16</v>
          </cell>
          <cell r="F27" t="str">
            <v>24/07/2023 - 05/08/2023</v>
          </cell>
          <cell r="G27">
            <v>45146</v>
          </cell>
          <cell r="H27" t="str">
            <v>930802371 - Ahorros - Banco Av Villas</v>
          </cell>
          <cell r="I27" t="str">
            <v>SI</v>
          </cell>
          <cell r="J27" t="str">
            <v>Agosto</v>
          </cell>
          <cell r="K27">
            <v>5001227863</v>
          </cell>
          <cell r="L27">
            <v>2288020282</v>
          </cell>
          <cell r="M27">
            <v>2713207581</v>
          </cell>
          <cell r="N27">
            <v>2170566065</v>
          </cell>
        </row>
        <row r="28">
          <cell r="B28" t="str">
            <v>POLITECNICO COLOMBIANO JAIME ISAZA CADAVID</v>
          </cell>
          <cell r="C28" t="str">
            <v>2023-EE-180739</v>
          </cell>
          <cell r="D28" t="str">
            <v>2023-ER-552596</v>
          </cell>
          <cell r="E28">
            <v>19</v>
          </cell>
          <cell r="F28" t="str">
            <v>07/07/2023 - 02/08/2023</v>
          </cell>
          <cell r="G28">
            <v>45146</v>
          </cell>
          <cell r="H28" t="str">
            <v>2901368425 - Ahorros - Banco Bancolombia</v>
          </cell>
          <cell r="I28" t="str">
            <v>SI</v>
          </cell>
          <cell r="J28" t="str">
            <v>Agosto</v>
          </cell>
          <cell r="K28">
            <v>8550920716</v>
          </cell>
          <cell r="L28">
            <v>1296602076</v>
          </cell>
          <cell r="M28">
            <v>7254318640</v>
          </cell>
          <cell r="N28">
            <v>5803454912</v>
          </cell>
        </row>
        <row r="29">
          <cell r="B29" t="str">
            <v>TECNOLOGICO DE ANTIOQUIA</v>
          </cell>
          <cell r="C29" t="str">
            <v>2023-EE-180728</v>
          </cell>
          <cell r="D29" t="str">
            <v>2023-ER-543778</v>
          </cell>
          <cell r="E29">
            <v>22</v>
          </cell>
          <cell r="F29" t="str">
            <v>04/07/2023 - 28/07/2023</v>
          </cell>
          <cell r="G29">
            <v>45139</v>
          </cell>
          <cell r="H29" t="str">
            <v>0550037000655912 - Ahorros - Banco Davivienda</v>
          </cell>
          <cell r="I29" t="str">
            <v>SI</v>
          </cell>
          <cell r="J29" t="str">
            <v>Agosto</v>
          </cell>
          <cell r="K29">
            <v>18831271957</v>
          </cell>
          <cell r="L29">
            <v>4520013677</v>
          </cell>
          <cell r="M29">
            <v>14311258280</v>
          </cell>
          <cell r="N29">
            <v>11449006624</v>
          </cell>
        </row>
        <row r="30">
          <cell r="B30" t="str">
            <v>UNIDAD CENTRAL DEL VALLE DEL CAUCA</v>
          </cell>
          <cell r="C30" t="str">
            <v>2023-EE-180696</v>
          </cell>
          <cell r="D30" t="str">
            <v xml:space="preserve">2023-ER-546580 </v>
          </cell>
          <cell r="E30">
            <v>16</v>
          </cell>
          <cell r="F30" t="str">
            <v>17/07/2023 - 14/08/2023</v>
          </cell>
          <cell r="G30">
            <v>45138</v>
          </cell>
          <cell r="H30" t="str">
            <v>220600246375 - Ahorros - Banco Popular</v>
          </cell>
          <cell r="I30" t="str">
            <v>SI</v>
          </cell>
          <cell r="J30" t="str">
            <v>Agosto</v>
          </cell>
          <cell r="K30">
            <v>18124609202</v>
          </cell>
          <cell r="L30">
            <v>7056601589</v>
          </cell>
          <cell r="M30">
            <v>11068007613</v>
          </cell>
          <cell r="N30">
            <v>8854406090</v>
          </cell>
        </row>
        <row r="31">
          <cell r="B31" t="str">
            <v>UNIDADES TECNOLOGICAS DE SANTANDER</v>
          </cell>
          <cell r="C31" t="str">
            <v>2023-EE-180710</v>
          </cell>
          <cell r="D31" t="str">
            <v>2023-ER-544445</v>
          </cell>
          <cell r="E31">
            <v>42</v>
          </cell>
          <cell r="F31" t="str">
            <v>03/07/2023 - 30/07/2023</v>
          </cell>
          <cell r="G31">
            <v>45146</v>
          </cell>
          <cell r="H31" t="str">
            <v>00130736000200005075 - Ahorros - Banco BBVA</v>
          </cell>
          <cell r="I31" t="str">
            <v>SI</v>
          </cell>
          <cell r="J31" t="str">
            <v>Agosto</v>
          </cell>
          <cell r="K31">
            <v>43576697705</v>
          </cell>
          <cell r="L31">
            <v>24782591055</v>
          </cell>
          <cell r="M31">
            <v>18794106650</v>
          </cell>
          <cell r="N31">
            <v>15035285320</v>
          </cell>
        </row>
        <row r="32">
          <cell r="B32" t="str">
            <v>UNIVERSIDAD AUTÓNOMA INDÍGENA INTERCULTURAL</v>
          </cell>
          <cell r="C32" t="str">
            <v>2023-EE-180741</v>
          </cell>
          <cell r="D32" t="str">
            <v>2023-ER-602445</v>
          </cell>
          <cell r="E32">
            <v>8</v>
          </cell>
          <cell r="F32" t="str">
            <v>Conforme a las dinámicas de la universidad el calendario academico
inicia desde el 4 de enero de 2023 y los procesos de admisión, matricula e inicio
de encuentros, de los programas de formación profesional que se aperturen
en el año.</v>
          </cell>
          <cell r="G32" t="str">
            <v>04/011/2023</v>
          </cell>
          <cell r="H32" t="str">
            <v>520712415 - Corriente - Banco de Bogotá</v>
          </cell>
          <cell r="I32" t="str">
            <v>SI</v>
          </cell>
          <cell r="J32" t="str">
            <v>Septiembre</v>
          </cell>
          <cell r="K32">
            <v>245886151</v>
          </cell>
          <cell r="L32">
            <v>5194000</v>
          </cell>
          <cell r="M32">
            <v>240692151</v>
          </cell>
          <cell r="N32">
            <v>192553721</v>
          </cell>
        </row>
        <row r="33">
          <cell r="B33" t="str">
            <v>UNIVERSIDAD COLEGIO MAYOR DE CUNDINAMARCA</v>
          </cell>
          <cell r="C33" t="str">
            <v xml:space="preserve">2023-EE-180724 </v>
          </cell>
          <cell r="D33" t="str">
            <v xml:space="preserve">2023-ER-545919 </v>
          </cell>
          <cell r="E33">
            <v>13</v>
          </cell>
          <cell r="F33" t="str">
            <v>17/06/2023 - 29/07/2023</v>
          </cell>
          <cell r="G33" t="str">
            <v>24/07/2023 - 11/11/2023</v>
          </cell>
          <cell r="H33" t="str">
            <v>0560007069999642 - Corriente - Banco Davivienda</v>
          </cell>
          <cell r="I33" t="str">
            <v>SI</v>
          </cell>
          <cell r="J33" t="str">
            <v>Agosto</v>
          </cell>
          <cell r="K33">
            <v>10812931500</v>
          </cell>
          <cell r="L33">
            <v>1724704000</v>
          </cell>
          <cell r="M33">
            <v>9088227500</v>
          </cell>
          <cell r="N33">
            <v>7270582000</v>
          </cell>
        </row>
        <row r="34">
          <cell r="B34" t="str">
            <v>UNIVERSIDAD DE ANTIOQUIA</v>
          </cell>
          <cell r="C34" t="str">
            <v>2023-EE-180735</v>
          </cell>
          <cell r="D34" t="str">
            <v>2023-ER-542776</v>
          </cell>
          <cell r="E34">
            <v>265</v>
          </cell>
          <cell r="F34" t="str">
            <v>01/06/2023 - 02/10/2023</v>
          </cell>
          <cell r="G34" t="str">
            <v xml:space="preserve">12 de junio </v>
          </cell>
          <cell r="H34" t="str">
            <v>400066478 - Corriente - Banco de Occidente</v>
          </cell>
          <cell r="I34" t="str">
            <v>SI</v>
          </cell>
          <cell r="J34" t="str">
            <v>Septiembre</v>
          </cell>
          <cell r="K34">
            <v>7746554213</v>
          </cell>
          <cell r="L34">
            <v>1000311360</v>
          </cell>
          <cell r="M34">
            <v>6746242853</v>
          </cell>
          <cell r="N34">
            <v>5396994282.4000006</v>
          </cell>
        </row>
        <row r="35">
          <cell r="B35" t="str">
            <v>UNIVERSIDAD DE CALDAS</v>
          </cell>
          <cell r="C35" t="str">
            <v>2023-EE-180871</v>
          </cell>
          <cell r="D35" t="str">
            <v>2023-EE-180871</v>
          </cell>
          <cell r="E35">
            <v>46</v>
          </cell>
          <cell r="F35" t="str">
            <v>25/07/2023 - 10/08/2023</v>
          </cell>
          <cell r="G35">
            <v>45152</v>
          </cell>
          <cell r="H35" t="str">
            <v xml:space="preserve">084500007467 - Ahorros - Banco Davivienda </v>
          </cell>
          <cell r="I35" t="str">
            <v>Si</v>
          </cell>
          <cell r="J35" t="str">
            <v>Agosto</v>
          </cell>
          <cell r="K35">
            <v>5195864481</v>
          </cell>
          <cell r="L35">
            <v>2321063450</v>
          </cell>
          <cell r="M35">
            <v>2874801031</v>
          </cell>
          <cell r="N35">
            <v>2229840825</v>
          </cell>
        </row>
        <row r="36">
          <cell r="B36" t="str">
            <v>UNIVERSIDAD DE CARTAGENA</v>
          </cell>
          <cell r="C36" t="str">
            <v>2023-EE-180861</v>
          </cell>
          <cell r="D36">
            <v>1487398332</v>
          </cell>
          <cell r="E36">
            <v>39</v>
          </cell>
          <cell r="F36" t="str">
            <v>04/07/2023 - 11/08/2023</v>
          </cell>
          <cell r="G36">
            <v>45141</v>
          </cell>
          <cell r="H36" t="str">
            <v>0000007012100622 - Ahorros - Banco Davivienda</v>
          </cell>
          <cell r="I36" t="str">
            <v>SI</v>
          </cell>
          <cell r="J36" t="str">
            <v>Agosto</v>
          </cell>
          <cell r="K36">
            <v>12808493046</v>
          </cell>
          <cell r="L36">
            <v>5371501387</v>
          </cell>
          <cell r="M36">
            <v>7436991659</v>
          </cell>
          <cell r="N36">
            <v>5949593327</v>
          </cell>
        </row>
        <row r="37">
          <cell r="B37" t="str">
            <v>UNIVERSIDAD DE CORDOBA</v>
          </cell>
          <cell r="C37" t="str">
            <v>2023-EE-180722</v>
          </cell>
          <cell r="D37" t="str">
            <v>2023-ER-551560</v>
          </cell>
          <cell r="E37">
            <v>27</v>
          </cell>
          <cell r="F37" t="str">
            <v>12/07/2023 - 14/08/2023</v>
          </cell>
          <cell r="G37">
            <v>45160</v>
          </cell>
          <cell r="H37" t="str">
            <v>56900004393 - Ahorros - Banco Bancolombia</v>
          </cell>
          <cell r="I37" t="str">
            <v>SI</v>
          </cell>
          <cell r="J37" t="str">
            <v>Agosto</v>
          </cell>
          <cell r="K37">
            <v>8632339141</v>
          </cell>
          <cell r="L37">
            <v>4161794700</v>
          </cell>
          <cell r="M37">
            <v>4470544441</v>
          </cell>
          <cell r="N37">
            <v>3576435553</v>
          </cell>
        </row>
        <row r="38">
          <cell r="B38" t="str">
            <v>UNIVERSIDAD DE CUNDINAMARCA</v>
          </cell>
          <cell r="C38" t="str">
            <v>2023-EE-181576</v>
          </cell>
          <cell r="D38">
            <v>3576434688</v>
          </cell>
          <cell r="E38">
            <v>3576434688</v>
          </cell>
          <cell r="F38" t="str">
            <v xml:space="preserve">26/07/2023 - </v>
          </cell>
          <cell r="G38">
            <v>3576434688</v>
          </cell>
          <cell r="H38">
            <v>3576434688</v>
          </cell>
          <cell r="I38">
            <v>3576434688</v>
          </cell>
          <cell r="J38">
            <v>3576434688</v>
          </cell>
          <cell r="K38" t="str">
            <v>11,126,630,846</v>
          </cell>
          <cell r="L38">
            <v>2967224003</v>
          </cell>
          <cell r="M38">
            <v>8159406846</v>
          </cell>
          <cell r="N38">
            <v>6527525476</v>
          </cell>
        </row>
        <row r="39">
          <cell r="B39" t="str">
            <v>UNIVERSIDAD DE LA AMAZONIA</v>
          </cell>
          <cell r="C39" t="str">
            <v xml:space="preserve">2023-EE-180697 </v>
          </cell>
          <cell r="D39" t="str">
            <v>2023-ER-541819</v>
          </cell>
          <cell r="E39">
            <v>24</v>
          </cell>
          <cell r="F39" t="str">
            <v>08/06/2023 - 08/08/2023</v>
          </cell>
          <cell r="G39">
            <v>45146</v>
          </cell>
          <cell r="H39" t="str">
            <v>500055421 - Corriente - Banco de Occidente</v>
          </cell>
          <cell r="I39" t="str">
            <v>SI</v>
          </cell>
          <cell r="J39" t="str">
            <v>Agosto</v>
          </cell>
          <cell r="K39">
            <v>6866185960</v>
          </cell>
          <cell r="L39">
            <v>2710418300</v>
          </cell>
          <cell r="M39">
            <v>4155767660</v>
          </cell>
          <cell r="N39">
            <v>3324614128</v>
          </cell>
        </row>
        <row r="40">
          <cell r="B40" t="str">
            <v>UNIVERSIDAD DE LA GUAJIRA</v>
          </cell>
          <cell r="C40" t="str">
            <v>2023-EE-180714</v>
          </cell>
          <cell r="D40" t="str">
            <v>2023-ER-533112</v>
          </cell>
          <cell r="E40">
            <v>35</v>
          </cell>
          <cell r="F40" t="str">
            <v>28/06/2023 -31/07/2023</v>
          </cell>
          <cell r="G40" t="str">
            <v>1/08/2023-15/12/2023</v>
          </cell>
          <cell r="H40" t="str">
            <v>0560236069996171 - Corriente - Banco Davivienda</v>
          </cell>
          <cell r="I40" t="str">
            <v>SI</v>
          </cell>
          <cell r="J40" t="str">
            <v>Agosto</v>
          </cell>
          <cell r="K40">
            <v>17961760037</v>
          </cell>
          <cell r="L40">
            <v>10535700608</v>
          </cell>
          <cell r="M40">
            <v>7426059429</v>
          </cell>
          <cell r="N40">
            <v>5940847543</v>
          </cell>
        </row>
        <row r="41">
          <cell r="B41" t="str">
            <v>UNIVERSIDAD DE LOS LLANOS</v>
          </cell>
          <cell r="C41" t="str">
            <v>2023-EE-180875</v>
          </cell>
          <cell r="D41" t="str">
            <v>2023-ER-563875</v>
          </cell>
          <cell r="E41">
            <v>20</v>
          </cell>
          <cell r="F41" t="str">
            <v>19/08/2023 - 16/08/2023</v>
          </cell>
          <cell r="G41">
            <v>45160</v>
          </cell>
          <cell r="H41" t="str">
            <v xml:space="preserve">0854000200001104 - Ahorros - Banco BBVA </v>
          </cell>
          <cell r="I41" t="str">
            <v>SI</v>
          </cell>
          <cell r="J41" t="str">
            <v>Agosto</v>
          </cell>
          <cell r="K41">
            <v>5245020125</v>
          </cell>
          <cell r="L41">
            <v>2373531880</v>
          </cell>
          <cell r="M41">
            <v>2871488245</v>
          </cell>
          <cell r="N41">
            <v>2297190596</v>
          </cell>
        </row>
        <row r="42">
          <cell r="B42" t="str">
            <v>UNIVERSIDAD DE NARIÑO</v>
          </cell>
          <cell r="C42" t="str">
            <v>2023-EE-100873</v>
          </cell>
          <cell r="D42" t="str">
            <v>2023-ER-656591</v>
          </cell>
          <cell r="E42">
            <v>20</v>
          </cell>
          <cell r="F42" t="str">
            <v>26/07/2023 - 22/09/2023</v>
          </cell>
          <cell r="G42">
            <v>45187</v>
          </cell>
          <cell r="H42" t="str">
            <v>1632094617 Ahorros del Banco Colpatria</v>
          </cell>
          <cell r="I42" t="str">
            <v>SI</v>
          </cell>
          <cell r="J42" t="str">
            <v>Septiembre</v>
          </cell>
          <cell r="K42">
            <v>3743426265</v>
          </cell>
          <cell r="L42">
            <v>1403046446</v>
          </cell>
          <cell r="M42">
            <v>2340379819</v>
          </cell>
          <cell r="N42">
            <v>1872303855</v>
          </cell>
        </row>
        <row r="43">
          <cell r="B43" t="str">
            <v>UNIVERSIDAD DE PAMPLONA</v>
          </cell>
          <cell r="C43" t="str">
            <v>2023-EE-180721</v>
          </cell>
          <cell r="D43" t="str">
            <v>2023-ER-551560</v>
          </cell>
          <cell r="E43">
            <v>48</v>
          </cell>
          <cell r="F43" t="str">
            <v>28/07/2023 - 20/09/2023</v>
          </cell>
          <cell r="G43">
            <v>45160</v>
          </cell>
          <cell r="H43" t="str">
            <v>324407097 - Ahorros - Banco BBVA</v>
          </cell>
          <cell r="I43" t="str">
            <v>SI</v>
          </cell>
          <cell r="J43" t="str">
            <v>Agosto</v>
          </cell>
          <cell r="K43">
            <v>28288533726</v>
          </cell>
          <cell r="L43">
            <v>12776832885</v>
          </cell>
          <cell r="M43">
            <v>15511700841</v>
          </cell>
          <cell r="N43">
            <v>12409360673</v>
          </cell>
        </row>
        <row r="44">
          <cell r="B44" t="str">
            <v>UNIVERSIDAD DE SUCRE</v>
          </cell>
          <cell r="C44" t="str">
            <v>2023-EE-180717</v>
          </cell>
          <cell r="D44" t="str">
            <v>2023-ER-551560</v>
          </cell>
          <cell r="E44">
            <v>14</v>
          </cell>
          <cell r="F44" t="str">
            <v xml:space="preserve"> 22/08/2023 - 19/09/2023</v>
          </cell>
          <cell r="G44">
            <v>45173</v>
          </cell>
          <cell r="H44" t="str">
            <v>000353058472 - Corriente - Banco Davivienda</v>
          </cell>
          <cell r="I44" t="str">
            <v>SI</v>
          </cell>
          <cell r="J44" t="str">
            <v>Agosto</v>
          </cell>
          <cell r="K44">
            <v>7366408320</v>
          </cell>
          <cell r="L44">
            <v>3846664400</v>
          </cell>
          <cell r="M44">
            <v>3519743920</v>
          </cell>
          <cell r="N44">
            <v>2815795136</v>
          </cell>
        </row>
        <row r="45">
          <cell r="B45" t="str">
            <v>UNIVERSIDAD DEL ATLANTICO</v>
          </cell>
          <cell r="C45" t="str">
            <v>2023-EE-180867</v>
          </cell>
          <cell r="D45">
            <v>802338592</v>
          </cell>
          <cell r="E45">
            <v>43</v>
          </cell>
          <cell r="F45" t="str">
            <v>26/07/2023 - 08/09/2023</v>
          </cell>
          <cell r="G45">
            <v>45146</v>
          </cell>
          <cell r="H45" t="str">
            <v>482800017600 - Ahorros -Banco Davivienda</v>
          </cell>
          <cell r="I45" t="str">
            <v>SI</v>
          </cell>
          <cell r="J45" t="str">
            <v>Agosto</v>
          </cell>
          <cell r="K45">
            <v>7458027370</v>
          </cell>
          <cell r="L45">
            <v>3446334410</v>
          </cell>
          <cell r="M45">
            <v>4011692960</v>
          </cell>
          <cell r="N45">
            <v>3209354368</v>
          </cell>
        </row>
        <row r="46">
          <cell r="B46" t="str">
            <v>UNIVERSIDAD DEL CAUCA</v>
          </cell>
          <cell r="C46" t="str">
            <v>2023-EE-180872</v>
          </cell>
          <cell r="D46">
            <v>897478780</v>
          </cell>
          <cell r="E46">
            <v>56</v>
          </cell>
          <cell r="F46" t="str">
            <v>01/08/2023 - 05/08/2023</v>
          </cell>
          <cell r="G46">
            <v>45152</v>
          </cell>
          <cell r="H46" t="str">
            <v>041953407 - Ahorros - Banco de Occidente</v>
          </cell>
          <cell r="I46" t="str">
            <v>SI</v>
          </cell>
          <cell r="J46" t="str">
            <v>Agosto</v>
          </cell>
          <cell r="K46">
            <v>5820331900</v>
          </cell>
          <cell r="L46">
            <v>1332938000</v>
          </cell>
          <cell r="M46">
            <v>4487393900</v>
          </cell>
          <cell r="N46">
            <v>3589915120</v>
          </cell>
        </row>
        <row r="47">
          <cell r="B47" t="str">
            <v>UNIVERSIDAD DEL MAGDALENA</v>
          </cell>
          <cell r="C47" t="str">
            <v>2023-EE-180720</v>
          </cell>
          <cell r="D47" t="str">
            <v>2023-ER-545353</v>
          </cell>
          <cell r="E47">
            <v>35</v>
          </cell>
          <cell r="F47" t="str">
            <v>10/07/2023-22/08/2023</v>
          </cell>
          <cell r="G47" t="str">
            <v>1/08/2023-15/12/2023</v>
          </cell>
          <cell r="H47" t="str">
            <v>870821139 - Ahorros - Banco de Occidente</v>
          </cell>
          <cell r="I47" t="str">
            <v>SI</v>
          </cell>
          <cell r="J47" t="str">
            <v>Agosto</v>
          </cell>
          <cell r="K47">
            <v>24434661816</v>
          </cell>
          <cell r="L47">
            <v>10714477945</v>
          </cell>
          <cell r="M47">
            <v>13720183871</v>
          </cell>
          <cell r="N47">
            <v>10976147097</v>
          </cell>
        </row>
        <row r="48">
          <cell r="B48" t="str">
            <v>UNIVERSIDAD DEL PACIFICO</v>
          </cell>
          <cell r="C48" t="str">
            <v>2023-EE-180700</v>
          </cell>
          <cell r="D48" t="str">
            <v>2023-ER-544070</v>
          </cell>
          <cell r="E48">
            <v>7</v>
          </cell>
          <cell r="F48" t="str">
            <v>17/07/2023 - 06/07/2023</v>
          </cell>
          <cell r="G48">
            <v>45160</v>
          </cell>
          <cell r="H48" t="str">
            <v>030910103 - Corriente - Banco de Occidente</v>
          </cell>
          <cell r="I48" t="str">
            <v>SI</v>
          </cell>
          <cell r="J48" t="str">
            <v>Agosto</v>
          </cell>
          <cell r="K48">
            <v>650179655</v>
          </cell>
          <cell r="L48">
            <v>341518500</v>
          </cell>
          <cell r="M48">
            <v>308661155</v>
          </cell>
          <cell r="N48">
            <v>246928924</v>
          </cell>
        </row>
        <row r="49">
          <cell r="B49" t="str">
            <v>UNIVERSIDAD DEL QUINDIO</v>
          </cell>
          <cell r="C49" t="str">
            <v>2023-EE-180876</v>
          </cell>
          <cell r="D49" t="str">
            <v>2023-ER-546356</v>
          </cell>
          <cell r="E49">
            <v>47</v>
          </cell>
          <cell r="F49" t="str">
            <v>11/07/2023 - 25/08/2023</v>
          </cell>
          <cell r="G49">
            <v>45146</v>
          </cell>
          <cell r="H49" t="str">
            <v>0000000523629079 - Ahorros - Banco Davivienda</v>
          </cell>
          <cell r="I49" t="str">
            <v>SI</v>
          </cell>
          <cell r="J49" t="str">
            <v>Agosto</v>
          </cell>
          <cell r="K49">
            <v>11914032839</v>
          </cell>
          <cell r="L49">
            <v>3354379794</v>
          </cell>
          <cell r="M49">
            <v>8559653045</v>
          </cell>
          <cell r="N49">
            <v>6847722436</v>
          </cell>
        </row>
        <row r="50">
          <cell r="B50" t="str">
            <v>UNIVERSIDAD DEL TOLIMA</v>
          </cell>
          <cell r="C50" t="str">
            <v>2023-EE-180935</v>
          </cell>
          <cell r="D50" t="str">
            <v>2023-ER-539559</v>
          </cell>
          <cell r="E50">
            <v>42</v>
          </cell>
          <cell r="F50" t="str">
            <v>04/08/2023 - 01/09/2023</v>
          </cell>
          <cell r="G50" t="str">
            <v>04/09/2023 -22/12/2023</v>
          </cell>
          <cell r="H50" t="str">
            <v>Cuenta de Ahorros - No. 06800008816,  Bancolombia.</v>
          </cell>
          <cell r="I50" t="str">
            <v>SI</v>
          </cell>
          <cell r="J50" t="str">
            <v>Agosto</v>
          </cell>
          <cell r="K50">
            <v>18177373301</v>
          </cell>
          <cell r="L50">
            <v>8925735301</v>
          </cell>
          <cell r="M50">
            <v>9251638000</v>
          </cell>
          <cell r="N50">
            <v>7401310400</v>
          </cell>
        </row>
        <row r="51">
          <cell r="B51" t="str">
            <v>UNIVERSIDAD DEL VALLE</v>
          </cell>
          <cell r="C51" t="str">
            <v>2023-EE-180694</v>
          </cell>
          <cell r="D51" t="str">
            <v>2023-ER-539996</v>
          </cell>
          <cell r="E51">
            <v>50</v>
          </cell>
          <cell r="F51" t="str">
            <v>02/08/2023 - 04/08/2023 (Cali)
16/08/2023 - 18/08/2023 (Regionales)</v>
          </cell>
          <cell r="G51">
            <v>45160</v>
          </cell>
          <cell r="H51" t="str">
            <v>484210737 - Corriente - Banco de Bogotá́</v>
          </cell>
          <cell r="I51" t="str">
            <v>SI</v>
          </cell>
          <cell r="J51" t="str">
            <v>Agosto</v>
          </cell>
          <cell r="K51">
            <v>9964943417</v>
          </cell>
          <cell r="L51">
            <v>2360153938</v>
          </cell>
          <cell r="M51">
            <v>7604789479</v>
          </cell>
          <cell r="N51">
            <v>6083831583</v>
          </cell>
        </row>
        <row r="52">
          <cell r="B52" t="str">
            <v>UNIVERSIDAD DISTRITAL-FRANCISCO JOSE DE CALDAS</v>
          </cell>
          <cell r="C52" t="str">
            <v>2023-EE-180706</v>
          </cell>
          <cell r="D52" t="str">
            <v>2023-ER-551614</v>
          </cell>
          <cell r="E52">
            <v>52</v>
          </cell>
          <cell r="F52" t="str">
            <v>13/06/2023 - 31/07/2023</v>
          </cell>
          <cell r="G52">
            <v>45139</v>
          </cell>
          <cell r="H52" t="str">
            <v>230814618 - Ahorros - Banco de Occidente</v>
          </cell>
          <cell r="I52" t="str">
            <v>SI</v>
          </cell>
          <cell r="J52" t="str">
            <v>Agosto</v>
          </cell>
          <cell r="K52">
            <v>5055105419</v>
          </cell>
          <cell r="L52">
            <v>960915876</v>
          </cell>
          <cell r="M52">
            <v>4094189543</v>
          </cell>
          <cell r="N52">
            <v>3275351634</v>
          </cell>
        </row>
        <row r="53">
          <cell r="B53" t="str">
            <v>UNIVERSIDAD FRANCISCO DE PAULA SANTANDER - CÚCUTA</v>
          </cell>
          <cell r="C53" t="str">
            <v>2023-EE-180725</v>
          </cell>
          <cell r="D53" t="str">
            <v>2023-ER-551560</v>
          </cell>
          <cell r="E53">
            <v>30</v>
          </cell>
          <cell r="F53" t="str">
            <v>17/07/2023 - 02/08/2023</v>
          </cell>
          <cell r="G53">
            <v>45154</v>
          </cell>
          <cell r="H53" t="str">
            <v>260111612 - Corriente - Banco de Bogotá</v>
          </cell>
          <cell r="I53" t="str">
            <v>SI</v>
          </cell>
          <cell r="J53" t="str">
            <v>Agosto</v>
          </cell>
          <cell r="K53">
            <v>13043695164</v>
          </cell>
          <cell r="L53">
            <v>6139223150</v>
          </cell>
          <cell r="M53">
            <v>6904472014</v>
          </cell>
          <cell r="N53">
            <v>5523577611</v>
          </cell>
        </row>
        <row r="54">
          <cell r="B54" t="str">
            <v>UNIVERSIDAD FRANCISCO DE PAULA SANTANDER - OCAÑA</v>
          </cell>
          <cell r="C54" t="str">
            <v xml:space="preserve">2023-EE-180726 </v>
          </cell>
          <cell r="D54" t="str">
            <v>2023-ER-551560</v>
          </cell>
          <cell r="E54">
            <v>10</v>
          </cell>
          <cell r="F54" t="str">
            <v>30/06/2023 - 14/08/2023</v>
          </cell>
          <cell r="G54">
            <v>45152</v>
          </cell>
          <cell r="H54" t="str">
            <v>446104879 - Ahorros - Banco de Bogotá</v>
          </cell>
          <cell r="I54" t="str">
            <v>SI</v>
          </cell>
          <cell r="J54" t="str">
            <v>Agosto</v>
          </cell>
          <cell r="K54">
            <v>3210105700</v>
          </cell>
          <cell r="L54">
            <v>1468270000</v>
          </cell>
          <cell r="M54">
            <v>1741835700</v>
          </cell>
          <cell r="N54">
            <v>1393468560</v>
          </cell>
        </row>
        <row r="55">
          <cell r="B55" t="str">
            <v>UNIVERSIDAD INDUSTRIAL DE SANTANDER</v>
          </cell>
          <cell r="C55" t="str">
            <v>2023-EE-180695</v>
          </cell>
          <cell r="D55" t="str">
            <v>2023-ER-544145</v>
          </cell>
          <cell r="E55">
            <v>48</v>
          </cell>
          <cell r="F55" t="str">
            <v>02/08/2023 - 18/08/2023</v>
          </cell>
          <cell r="G55" t="str">
            <v>02/08/2023 - 28/08/2023</v>
          </cell>
          <cell r="H55" t="str">
            <v>229078046 - Ahorros - Banco Itaú</v>
          </cell>
          <cell r="I55" t="str">
            <v>SI</v>
          </cell>
          <cell r="J55" t="str">
            <v>Agosto</v>
          </cell>
          <cell r="K55">
            <v>18179415589</v>
          </cell>
          <cell r="L55">
            <v>6444380726</v>
          </cell>
          <cell r="M55">
            <v>11735034863</v>
          </cell>
          <cell r="N55">
            <v>9388027890</v>
          </cell>
        </row>
        <row r="56">
          <cell r="B56" t="str">
            <v>UNIVERSIDAD INTERNACIONAL DEL TRÓPICO AMERICANO</v>
          </cell>
          <cell r="C56" t="str">
            <v xml:space="preserve">2023-EE-180719 </v>
          </cell>
          <cell r="D56" t="str">
            <v xml:space="preserve">2023-ER-545440 </v>
          </cell>
          <cell r="E56">
            <v>9</v>
          </cell>
          <cell r="F56" t="str">
            <v>10/07/2023 - 24/08/2023</v>
          </cell>
          <cell r="G56" t="str">
            <v>8/08/2023 - 9/12/2023</v>
          </cell>
          <cell r="H56" t="str">
            <v xml:space="preserve">0354000200577686 - Ahorros - Banco BBVA  </v>
          </cell>
          <cell r="I56" t="str">
            <v>SI</v>
          </cell>
          <cell r="J56" t="str">
            <v>Agosto</v>
          </cell>
          <cell r="K56">
            <v>3814692800</v>
          </cell>
          <cell r="L56">
            <v>681268000</v>
          </cell>
          <cell r="M56">
            <v>3133424800</v>
          </cell>
          <cell r="N56">
            <v>2506739840</v>
          </cell>
        </row>
        <row r="57">
          <cell r="B57" t="str">
            <v>UNIVERSIDAD MILITAR-NUEVA GRANADA</v>
          </cell>
          <cell r="C57" t="str">
            <v>2023-EE-180703</v>
          </cell>
          <cell r="D57" t="str">
            <v>2023-ER-545005</v>
          </cell>
          <cell r="E57">
            <v>28</v>
          </cell>
          <cell r="F57" t="str">
            <v>22/06/2023 - 30/09/2023</v>
          </cell>
          <cell r="G57">
            <v>45131</v>
          </cell>
          <cell r="H57" t="str">
            <v>012381233 - Corriente - Banco Itaú</v>
          </cell>
          <cell r="I57" t="str">
            <v>SI</v>
          </cell>
          <cell r="J57" t="str">
            <v xml:space="preserve">Agosto </v>
          </cell>
          <cell r="K57">
            <v>72791868016</v>
          </cell>
          <cell r="L57">
            <v>11081495773</v>
          </cell>
          <cell r="M57">
            <v>61710372243</v>
          </cell>
          <cell r="N57">
            <v>49368297794</v>
          </cell>
        </row>
        <row r="58">
          <cell r="B58" t="str">
            <v>UNIVERSIDAD NACIONAL ABIERTA Y A DISTANCIA</v>
          </cell>
          <cell r="C58" t="str">
            <v>2023-EE-182263</v>
          </cell>
          <cell r="D58" t="str">
            <v>2023-ER-551560</v>
          </cell>
          <cell r="E58">
            <v>51</v>
          </cell>
          <cell r="F58" t="str">
            <v>31/05/2023 - 02/08/2023</v>
          </cell>
          <cell r="G58" t="str">
            <v>17/08/2023 
25/09/2023</v>
          </cell>
          <cell r="H58" t="str">
            <v>019144385 - Corriente - Banco de Bogotá</v>
          </cell>
          <cell r="I58" t="str">
            <v>SI</v>
          </cell>
          <cell r="J58" t="str">
            <v>Agosto</v>
          </cell>
          <cell r="K58">
            <v>163179039888</v>
          </cell>
          <cell r="L58">
            <v>60700608888</v>
          </cell>
          <cell r="M58">
            <v>102478431000</v>
          </cell>
          <cell r="N58">
            <v>81982744800</v>
          </cell>
        </row>
        <row r="59">
          <cell r="B59" t="str">
            <v>UNIVERSIDAD NACIONAL DE COLOMBIA</v>
          </cell>
          <cell r="C59" t="str">
            <v>2023-EE-180736</v>
          </cell>
          <cell r="D59" t="str">
            <v>2023-ER-568446</v>
          </cell>
          <cell r="E59">
            <v>105</v>
          </cell>
          <cell r="F59" t="str">
            <v>10/07/2023 - 30/08/2023</v>
          </cell>
          <cell r="G59" t="str">
            <v>8/08/2023 - 2/12/2023</v>
          </cell>
          <cell r="H59" t="str">
            <v>200830362 - Ahorros - Banco de Occidente</v>
          </cell>
          <cell r="I59" t="str">
            <v>SI</v>
          </cell>
          <cell r="J59" t="str">
            <v>Agosto</v>
          </cell>
          <cell r="K59">
            <v>28276559067</v>
          </cell>
          <cell r="L59">
            <v>3652328201</v>
          </cell>
          <cell r="M59">
            <v>24624230866</v>
          </cell>
          <cell r="N59">
            <v>19699384692.799999</v>
          </cell>
        </row>
        <row r="60">
          <cell r="B60" t="str">
            <v>UNIVERSIDAD PEDAGOGICA NACIONAL</v>
          </cell>
          <cell r="C60" t="str">
            <v>2023-EE-180699</v>
          </cell>
          <cell r="D60" t="str">
            <v>2023-ER-551569</v>
          </cell>
          <cell r="E60">
            <v>23</v>
          </cell>
          <cell r="F60" t="str">
            <v>19/07/2023 - 20/09/2023</v>
          </cell>
          <cell r="G60">
            <v>45148</v>
          </cell>
          <cell r="H60" t="str">
            <v>0560457369986445 - Ahorros - Banco Davivienda</v>
          </cell>
          <cell r="I60" t="str">
            <v>SI</v>
          </cell>
          <cell r="J60" t="str">
            <v>Agosto</v>
          </cell>
          <cell r="K60">
            <v>5197298050</v>
          </cell>
          <cell r="L60">
            <v>644832000</v>
          </cell>
          <cell r="M60">
            <v>4552466050</v>
          </cell>
          <cell r="N60">
            <v>3641972840</v>
          </cell>
        </row>
        <row r="61">
          <cell r="B61" t="str">
            <v>UNIVERSIDAD PEDAGOGICA Y TECNOLOGICA DE COLOMBIA</v>
          </cell>
          <cell r="C61" t="str">
            <v>2023-EE-180729</v>
          </cell>
          <cell r="D61" t="str">
            <v>2023-ER-545400</v>
          </cell>
          <cell r="E61">
            <v>67</v>
          </cell>
          <cell r="F61" t="str">
            <v>27/06/2023 - 20/10/2023</v>
          </cell>
          <cell r="G61" t="str">
            <v>01/08/2023 - 27/10/2023</v>
          </cell>
          <cell r="H61" t="str">
            <v>616705190 - Corriente - Banco de Bogotá</v>
          </cell>
          <cell r="I61" t="str">
            <v>SI</v>
          </cell>
          <cell r="J61" t="str">
            <v xml:space="preserve">Agosto </v>
          </cell>
          <cell r="K61">
            <v>17477598946</v>
          </cell>
          <cell r="L61">
            <v>4104297820</v>
          </cell>
          <cell r="M61">
            <v>13373301126</v>
          </cell>
          <cell r="N61">
            <v>10698640901</v>
          </cell>
        </row>
        <row r="62">
          <cell r="B62" t="str">
            <v>UNIVERSIDAD POPULAR DEL CESAR</v>
          </cell>
          <cell r="C62" t="str">
            <v xml:space="preserve">2023-EE-180716 </v>
          </cell>
          <cell r="D62" t="str">
            <v xml:space="preserve">2023-ER-541117 </v>
          </cell>
          <cell r="E62">
            <v>29</v>
          </cell>
          <cell r="F62" t="str">
            <v>23/06/2023 - 4/08/2023</v>
          </cell>
          <cell r="G62" t="str">
            <v>8/08/2023 - 18/11/2023</v>
          </cell>
          <cell r="H62" t="str">
            <v>900877325 - Ahorros - Banco de Occidente</v>
          </cell>
          <cell r="I62" t="str">
            <v>SI</v>
          </cell>
          <cell r="J62" t="str">
            <v>Agosto</v>
          </cell>
          <cell r="K62">
            <v>16689357030</v>
          </cell>
          <cell r="L62">
            <v>8046320100</v>
          </cell>
          <cell r="M62">
            <v>8643036930</v>
          </cell>
          <cell r="N62">
            <v>6914429544</v>
          </cell>
        </row>
        <row r="63">
          <cell r="B63" t="str">
            <v>UNIVERSIDAD SURCOLOMBIANA</v>
          </cell>
          <cell r="C63" t="str">
            <v>2023-EE-180938</v>
          </cell>
          <cell r="D63" t="str">
            <v>2023-ER-565495</v>
          </cell>
          <cell r="E63">
            <v>51</v>
          </cell>
          <cell r="F63" t="str">
            <v>10/07/2023- 13/08/2023</v>
          </cell>
          <cell r="G63" t="str">
            <v>01/08/2023 - 26/11/2023</v>
          </cell>
          <cell r="H63" t="str">
            <v>Cuenta de Ahorros, No.38090211 - 4, del Banco de Occidente</v>
          </cell>
          <cell r="I63" t="str">
            <v>SI</v>
          </cell>
          <cell r="J63" t="str">
            <v>Agosto</v>
          </cell>
          <cell r="K63">
            <v>8483451080</v>
          </cell>
          <cell r="L63">
            <v>2637205083</v>
          </cell>
          <cell r="M63">
            <v>5846245947</v>
          </cell>
          <cell r="N63">
            <v>4676996758</v>
          </cell>
        </row>
        <row r="64">
          <cell r="B64" t="str">
            <v>UNIVERSIDAD TECNOLOGICA DE PEREIRA</v>
          </cell>
          <cell r="C64" t="str">
            <v>2023-EE-100864</v>
          </cell>
          <cell r="D64" t="str">
            <v>2023-ER-553070</v>
          </cell>
          <cell r="E64">
            <v>30</v>
          </cell>
          <cell r="F64" t="str">
            <v>21/07/2023 - 29/07/2023</v>
          </cell>
          <cell r="G64">
            <v>45139</v>
          </cell>
          <cell r="H64" t="str">
            <v xml:space="preserve">110470030156 - Corriente - Banco Popular </v>
          </cell>
          <cell r="I64" t="str">
            <v>SI</v>
          </cell>
          <cell r="J64" t="str">
            <v>Agosto</v>
          </cell>
          <cell r="K64">
            <v>15265814944</v>
          </cell>
          <cell r="L64">
            <v>6129205812</v>
          </cell>
          <cell r="M64">
            <v>9136609132</v>
          </cell>
          <cell r="N64">
            <v>7309287306</v>
          </cell>
        </row>
        <row r="65">
          <cell r="B65" t="str">
            <v>UNIVERSIDAD TECNOLOGICA DEL CHOCO-DIEGO LUIS CORDOBA</v>
          </cell>
          <cell r="C65" t="str">
            <v>2023-EE-180713</v>
          </cell>
          <cell r="D65" t="str">
            <v>2023-ER-543976</v>
          </cell>
          <cell r="E65">
            <v>25</v>
          </cell>
          <cell r="F65" t="str">
            <v>1/08/2023 - 19/09/2023</v>
          </cell>
          <cell r="G65">
            <v>45173</v>
          </cell>
          <cell r="H65" t="str">
            <v>110380003392 - Ahorros - Banco Popular</v>
          </cell>
          <cell r="I65" t="str">
            <v>SI</v>
          </cell>
          <cell r="J65" t="str">
            <v>Agosto</v>
          </cell>
          <cell r="K65">
            <v>14591044230</v>
          </cell>
          <cell r="L65">
            <v>7256917540</v>
          </cell>
          <cell r="M65">
            <v>7334126690</v>
          </cell>
          <cell r="N65">
            <v>5867301352</v>
          </cell>
        </row>
        <row r="66">
          <cell r="K66">
            <v>810616421304</v>
          </cell>
          <cell r="L66">
            <v>297322672479</v>
          </cell>
          <cell r="M66">
            <v>524420379627</v>
          </cell>
          <cell r="N66">
            <v>419466303700</v>
          </cell>
        </row>
        <row r="67">
          <cell r="K67">
            <v>419466051584</v>
          </cell>
          <cell r="L67">
            <v>419466051584</v>
          </cell>
          <cell r="M67">
            <v>419466051584</v>
          </cell>
          <cell r="N67">
            <v>137933770336</v>
          </cell>
        </row>
        <row r="68">
          <cell r="K68">
            <v>137933750272</v>
          </cell>
          <cell r="L68">
            <v>137933750272</v>
          </cell>
          <cell r="M68">
            <v>137933750272</v>
          </cell>
          <cell r="N68">
            <v>81579206935</v>
          </cell>
        </row>
        <row r="69">
          <cell r="N69">
            <v>396461385523.40002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ayana Esther Mora Redondo" id="{58AFDEC7-0CB4-49F4-92E8-D460B97A55FB}" userId="S::dmorar@mineducacion.gov.co::a74550b4-164a-47ec-a6f3-ecf60e70503c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yana Esther Mora Redondo" refreshedDate="45233.511898842589" createdVersion="8" refreshedVersion="8" minRefreshableVersion="3" recordCount="64" xr:uid="{00000000-000A-0000-FFFF-FFFF00000000}">
  <cacheSource type="worksheet">
    <worksheetSource name="Tabla13"/>
  </cacheSource>
  <cacheFields count="25">
    <cacheField name="No" numFmtId="0">
      <sharedItems containsSemiMixedTypes="0" containsString="0" containsNumber="1" containsInteger="1" minValue="1" maxValue="64"/>
    </cacheField>
    <cacheField name="NOMBRE IES" numFmtId="0">
      <sharedItems count="64">
        <s v="UNIVERSIDAD PEDAGOGICA Y TECNOLOGICA DE COLOMBIA"/>
        <s v="INFOTEP - HUMBERTO VELASQUEZ GARCIA"/>
        <s v="UNIVERSIDAD DE LA GUAJIRA"/>
        <s v="UNIVERSIDAD DEL MAGDALENA"/>
        <s v="ESCUELA TECNOLOGICA INSTITUTO TECNICO CENTRAL"/>
        <s v="UNIVERSIDAD COLEGIO MAYOR DE CUNDINAMARCA"/>
        <s v="INFOTEP DE SAN JUAN DEL CESAR"/>
        <s v="UNIVERSIDAD POPULAR DEL CESAR"/>
        <s v="UNIVERSIDAD NACIONAL DE COLOMBIA"/>
        <s v="UNIVERSIDAD INTERNACIONAL DEL TRÓPICO AMERICANO"/>
        <s v="INSTITUTO UNIVERSITARIO DE LA PAZ"/>
        <s v="UNIDADES TECNOLOGICAS DE SANTANDER"/>
        <s v="UNIVERSIDAD INDUSTRIAL DE SANTANDER"/>
        <s v="UNIVERSIDAD DISTRITAL-FRANCISCO JOSE DE CALDAS"/>
        <s v="UNIVERSIDAD PEDAGOGICA NACIONAL"/>
        <s v="UNIVERSIDAD TECNOLOGICA DEL CHOCO-DIEGO LUIS CORDOBA"/>
        <s v="INFOTEP DE SAN ANDRES"/>
        <s v="UNIVERSIDAD DEL QUINDIO"/>
        <s v="UNIVERSIDAD DE CALDAS"/>
        <s v="COLEGIO INTEGRADO NACIONAL ORIENTE DE CALDAS"/>
        <s v="UNIVERSIDAD TECNOLOGICA DE PEREIRA"/>
        <s v="UNIVERSIDAD DE NARIÑO"/>
        <s v="UNIVERSIDAD DE LOS LLANOS"/>
        <s v="INSTITUCION UNIVERSITARIA DE ENVIGADO"/>
        <s v="TECNOLÓGICO DE ARTES DÉBORA ARANGO INSTITUCIÓN REDEFINIDA"/>
        <s v="COLEGIO MAYOR DE ANTIOQUIA"/>
        <s v="INSTITUCION UNIVERSITARIA DIGITAL DE ANTIOQUIA"/>
        <s v="INSTITUCIÓN UNIVERSITARIA PASCUAL BRAVO"/>
        <s v="INSTITUTO TECNOLOGICO METROPOLITANO"/>
        <s v="TECNOLOGICO DE ANTIOQUIA"/>
        <s v="UNIVERSIDAD DE ANTIOQUIA"/>
        <s v="POLITECNICO COLOMBIANO JAIME ISAZA CADAVID"/>
        <s v="INSTITUTO TOLIMENSE DE FORMACION TECNICA PROFESIONAL"/>
        <s v="CONSERVATORIO DEL TOLIMA"/>
        <s v="UNIVERSIDAD DEL TOLIMA"/>
        <s v="UNIVERSIDAD SURCOLOMBIANA"/>
        <s v="UNIVERSIDAD DE CUNDINAMARCA"/>
        <s v="UNIVERSIDAD DE CORDOBA"/>
        <s v="UNIVERSIDAD DE SUCRE"/>
        <s v="INSTITUTO SUPERIOR DE EDUCACION RURAL"/>
        <s v="UNIVERSIDAD DE PAMPLONA"/>
        <s v="UNIVERSIDAD FRANCISCO DE PAULA SANTANDER - OCAÑA"/>
        <s v="UNIVERSIDAD FRANCISCO DE PAULA SANTANDER - CÚCUTA"/>
        <s v="UNIVERSIDAD NACIONAL ABIERTA Y A DISTANCIA"/>
        <s v="UNIVERSIDAD DEL PACIFICO"/>
        <s v="ESCUELA NACIONAL DEL DEPORTE"/>
        <s v="INSTITUCION UNIVERSITARIA ANTONIO JOSE CAMACHO"/>
        <s v="INSTITUTO DEPARTAMENTAL DE BELLAS ARTES"/>
        <s v="INSTITUTO TECNICO NACIONAL DE COMERCIO SIMON RODRIGUEZ"/>
        <s v="UNIVERSIDAD DEL VALLE"/>
        <s v="INSTITUTO TECNICO AGRICOLA"/>
        <s v="UNIDAD CENTRAL DEL VALLE DEL CAUCA"/>
        <s v="INSTITUTO DE EDUCACION TECNICA PROFESIONAL DE ROLDANILLO"/>
        <s v="UNIVERSIDAD MILITAR-NUEVA GRANADA"/>
        <s v="UNIVERSIDAD DE LA AMAZONIA"/>
        <s v="INSTITUCIÓN UNIVERSITARIA DE BARRANQUILLA"/>
        <s v="INSTITUCION DE EDUCACION SUPERIOR DE CARTAGENA"/>
        <s v="INSTITUCION UNIVERSITARIA BELLAS ARTES Y CIENCIAS DE BOLIVAR"/>
        <s v="UNIVERSIDAD DE CARTAGENA"/>
        <s v="UNIVERSIDAD DEL ATLANTICO"/>
        <s v="COLEGIO MAYOR DEL CAUCA"/>
        <s v="UNIVERSIDAD AUTÓNOMA INDÍGENA INTERCULTURAL"/>
        <s v="UNIVERSIDAD DEL CAUCA"/>
        <s v="INSTITUTO TECNOLOGICO DEL PUTUMAYO"/>
      </sharedItems>
    </cacheField>
    <cacheField name="ENLACE 2023" numFmtId="0">
      <sharedItems count="9">
        <s v="Ana Francisca Ussa"/>
        <s v="Dayana Mora Redondo"/>
        <s v="Diana Guerrero"/>
        <s v="Fredy Peñuela "/>
        <s v="Gustavo Montero Sanchez"/>
        <s v="Jorge Espinoza"/>
        <s v="Juan Carlos Gonzalez"/>
        <s v="Juan Paulo Ortiz Vallejo"/>
        <s v="Karen Liseth Rincón"/>
      </sharedItems>
    </cacheField>
    <cacheField name="VALOR PROYECTADO 2023-1" numFmtId="0">
      <sharedItems containsSemiMixedTypes="0" containsString="0" containsNumber="1" minValue="0" maxValue="101930300030.00999"/>
    </cacheField>
    <cacheField name="VALOR DESEMBOLSADO 2023-1 _x000a_80% (Concepto técnico)" numFmtId="164">
      <sharedItems containsSemiMixedTypes="0" containsString="0" containsNumber="1" minValue="0" maxValue="81544240024.007996"/>
    </cacheField>
    <cacheField name="VALOR ESTIMADO  POR DESEMBOLSAR 2023-1 _x000a_(20%)" numFmtId="0">
      <sharedItems containsString="0" containsBlank="1" containsNumber="1" minValue="-1980689345.2000008" maxValue="10791854966"/>
    </cacheField>
    <cacheField name="ESTADO DE ACTA DE CIERRE 2023-1 " numFmtId="0">
      <sharedItems count="3">
        <s v="Sin generar"/>
        <s v="Cargada"/>
        <s v="Generada"/>
      </sharedItems>
    </cacheField>
    <cacheField name="PROYECIÓN MES DE GIRO 2023" numFmtId="0">
      <sharedItems count="2">
        <s v="Diciembre"/>
        <s v="Noviembre"/>
      </sharedItems>
    </cacheField>
    <cacheField name="Observaciones _x000a_(Explique brevemente porque la IES no ha generado el acta) " numFmtId="0">
      <sharedItems containsBlank="1" longText="1"/>
    </cacheField>
    <cacheField name="Fecha de cargue del acta firmada por la IES _x000a_(coloque la fecha en la cual la IES cargará el acta firmada) _x000a_" numFmtId="0">
      <sharedItems containsDate="1" containsBlank="1" containsMixedTypes="1" minDate="2023-10-04T00:00:00" maxDate="2023-11-16T00:00:00"/>
    </cacheField>
    <cacheField name="VALOR A GIRAR_x000a_CIERRE 2023-1 " numFmtId="0">
      <sharedItems containsSemiMixedTypes="0" containsString="0" containsNumber="1" minValue="0" maxValue="42440756132.992004"/>
    </cacheField>
    <cacheField name="VALOR A REINTEGRAR_x000a_CIERRE 2023-1" numFmtId="0">
      <sharedItems containsBlank="1" containsMixedTypes="1" containsNumber="1" minValue="-1980689345.2000008" maxValue="534993276"/>
    </cacheField>
    <cacheField name="VALOR EJECUTADO 2023-1" numFmtId="0">
      <sharedItems containsString="0" containsBlank="1" containsNumber="1" minValue="149697773" maxValue="123984996157"/>
    </cacheField>
    <cacheField name="DIFERENCIAS 2023-1 _x000a_(proyectado - ejecutado)" numFmtId="44">
      <sharedItems containsSemiMixedTypes="0" containsString="0" containsNumber="1" minValue="-22054696126.990005" maxValue="14623077531"/>
    </cacheField>
    <cacheField name="PORCENTAJE DE EJECUCIÓN 2023-1_x000a_(ejecutado/proyectado)" numFmtId="9">
      <sharedItems containsSemiMixedTypes="0" containsString="0" containsNumber="1" minValue="0" maxValue="1.8163802756185186"/>
    </cacheField>
    <cacheField name="VALOR PROYECTADO 2023-2" numFmtId="164">
      <sharedItems containsSemiMixedTypes="0" containsString="0" containsNumber="1" containsInteger="1" minValue="56830131" maxValue="102478431000"/>
    </cacheField>
    <cacheField name="VALOR DESEMBOLSADO 2023-2 _x000a_80%3" numFmtId="164">
      <sharedItems containsSemiMixedTypes="0" containsString="0" containsNumber="1" minValue="45464105" maxValue="81982744800"/>
    </cacheField>
    <cacheField name="VALOR ESTIMADO  POR DESEMBOLSAR 2023-2 _x000a_(20%)4" numFmtId="164">
      <sharedItems containsSemiMixedTypes="0" containsString="0" containsNumber="1" minValue="11366026" maxValue="20495686200"/>
    </cacheField>
    <cacheField name="PROYECCIÓN MES DE GIRO" numFmtId="0">
      <sharedItems count="2">
        <s v="Enero"/>
        <s v="Diciembre"/>
      </sharedItems>
    </cacheField>
    <cacheField name="ESTADO DE ACTA DE CIERRE 2023-2" numFmtId="0">
      <sharedItems count="1">
        <s v="Sin generar"/>
      </sharedItems>
    </cacheField>
    <cacheField name="VALOR A GIRAR_x000a_CIERRE 2023-2" numFmtId="0">
      <sharedItems containsNonDate="0" containsString="0" containsBlank="1" count="1">
        <m/>
      </sharedItems>
    </cacheField>
    <cacheField name="VALOR A REINTEGRAR_x000a_CIERRE 2023-2" numFmtId="164">
      <sharedItems containsNonDate="0" containsString="0" containsBlank="1"/>
    </cacheField>
    <cacheField name="VALOR EJECUTADO 2023-2" numFmtId="164">
      <sharedItems containsNonDate="0" containsString="0" containsBlank="1"/>
    </cacheField>
    <cacheField name="DIFERENCIAS 2023-2 _x000a_(proyectado - ejecutado)" numFmtId="164">
      <sharedItems containsSemiMixedTypes="0" containsString="0" containsNumber="1" containsInteger="1" minValue="56830131" maxValue="102478431000"/>
    </cacheField>
    <cacheField name="PORCENTAJE DE EJECUCIÓN 2023-2_x000a_(ejecutado/proyectado)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">
  <r>
    <n v="1"/>
    <x v="0"/>
    <x v="0"/>
    <n v="13861872203"/>
    <n v="11089497762.400002"/>
    <m/>
    <x v="0"/>
    <x v="0"/>
    <s v="Faltan casos del 2022 estudiantes por resolver"/>
    <m/>
    <n v="1254616341.5999985"/>
    <m/>
    <n v="12344114104"/>
    <n v="1517758099"/>
    <n v="0.89050843372574695"/>
    <n v="13373301126"/>
    <n v="10698640901"/>
    <n v="2674660225"/>
    <x v="0"/>
    <x v="0"/>
    <x v="0"/>
    <m/>
    <m/>
    <n v="13373301126"/>
    <n v="0"/>
  </r>
  <r>
    <n v="2"/>
    <x v="1"/>
    <x v="0"/>
    <n v="1282801511"/>
    <n v="1026241209"/>
    <n v="256560302"/>
    <x v="0"/>
    <x v="0"/>
    <m/>
    <m/>
    <n v="497286791"/>
    <n v="0"/>
    <n v="1523528000"/>
    <n v="-240726489"/>
    <n v="1.1876568486517787"/>
    <n v="1575479400"/>
    <n v="1260383520"/>
    <n v="315095880"/>
    <x v="0"/>
    <x v="0"/>
    <x v="0"/>
    <m/>
    <m/>
    <n v="1575479400"/>
    <n v="0"/>
  </r>
  <r>
    <n v="3"/>
    <x v="2"/>
    <x v="0"/>
    <n v="4183866401"/>
    <n v="3347093120.8000002"/>
    <n v="3438605429"/>
    <x v="1"/>
    <x v="1"/>
    <m/>
    <m/>
    <n v="3438605429"/>
    <m/>
    <n v="6785698549.8000002"/>
    <n v="-2601832148.8000002"/>
    <n v="1.621872665001475"/>
    <n v="7426059429"/>
    <n v="5940847543"/>
    <n v="1485211886"/>
    <x v="1"/>
    <x v="0"/>
    <x v="0"/>
    <m/>
    <m/>
    <n v="7426059429"/>
    <n v="0"/>
  </r>
  <r>
    <n v="4"/>
    <x v="3"/>
    <x v="0"/>
    <n v="14695076294"/>
    <n v="11756061035.200001"/>
    <m/>
    <x v="0"/>
    <x v="0"/>
    <s v="Faltan casos del 2023 estudiantes por resolver"/>
    <m/>
    <n v="931678630.79999924"/>
    <m/>
    <n v="12687739666"/>
    <n v="2007336628"/>
    <n v="0.86340073451543797"/>
    <n v="13720183871"/>
    <n v="10976147097"/>
    <n v="2744036774"/>
    <x v="0"/>
    <x v="0"/>
    <x v="0"/>
    <m/>
    <m/>
    <n v="13720183871"/>
    <n v="0"/>
  </r>
  <r>
    <n v="5"/>
    <x v="4"/>
    <x v="1"/>
    <n v="3472234793"/>
    <n v="2777787834.4000001"/>
    <n v="254752165.5999999"/>
    <x v="1"/>
    <x v="1"/>
    <m/>
    <m/>
    <n v="254752165.5999999"/>
    <s v="No aplica"/>
    <n v="3032540000"/>
    <n v="439694793"/>
    <n v="0.8733683580711703"/>
    <n v="3383420700"/>
    <n v="2706736560"/>
    <n v="676684140"/>
    <x v="1"/>
    <x v="0"/>
    <x v="0"/>
    <m/>
    <m/>
    <n v="3383420700"/>
    <n v="0"/>
  </r>
  <r>
    <n v="6"/>
    <x v="5"/>
    <x v="1"/>
    <n v="9565497049"/>
    <n v="7652397639.2000008"/>
    <n v="505949360.79999924"/>
    <x v="0"/>
    <x v="0"/>
    <s v="En revisión por parte de la IES"/>
    <d v="2023-10-27T00:00:00"/>
    <n v="505949360.79999924"/>
    <s v="No aplica"/>
    <n v="8158347000"/>
    <n v="1407150049"/>
    <n v="0.85289315946764033"/>
    <n v="9088227500"/>
    <n v="7270582000"/>
    <n v="1817645500"/>
    <x v="0"/>
    <x v="0"/>
    <x v="0"/>
    <m/>
    <m/>
    <n v="9088227500"/>
    <n v="0"/>
  </r>
  <r>
    <n v="61"/>
    <x v="6"/>
    <x v="1"/>
    <n v="244117310"/>
    <n v="195293848"/>
    <n v="38921825"/>
    <x v="0"/>
    <x v="0"/>
    <m/>
    <m/>
    <n v="38921825"/>
    <s v="No aplica"/>
    <n v="234215673"/>
    <n v="9901637"/>
    <n v="0.95943902134592585"/>
    <n v="238695832"/>
    <n v="190956665.60000002"/>
    <n v="47739166.399999976"/>
    <x v="0"/>
    <x v="0"/>
    <x v="0"/>
    <m/>
    <m/>
    <n v="238695832"/>
    <n v="0"/>
  </r>
  <r>
    <n v="62"/>
    <x v="7"/>
    <x v="1"/>
    <n v="10334311869"/>
    <n v="8267449495.2000008"/>
    <n v="-1980689345.2000008"/>
    <x v="0"/>
    <x v="0"/>
    <s v="Ajustes 2022 no se han finalizado"/>
    <d v="2023-11-10T00:00:00"/>
    <n v="0"/>
    <n v="-1980689345.2000008"/>
    <n v="6286760150"/>
    <n v="4047551719"/>
    <n v="0.60833853571407059"/>
    <n v="8643036930"/>
    <n v="6914429544"/>
    <n v="1728607386"/>
    <x v="0"/>
    <x v="0"/>
    <x v="0"/>
    <m/>
    <m/>
    <n v="8643036930"/>
    <n v="0"/>
  </r>
  <r>
    <n v="63"/>
    <x v="8"/>
    <x v="1"/>
    <n v="26619140077"/>
    <n v="21295312061.600002"/>
    <n v="1498409641.3999977"/>
    <x v="0"/>
    <x v="0"/>
    <s v="En revisión por parte de la IES"/>
    <d v="2023-10-27T00:00:00"/>
    <n v="1498409641.3999977"/>
    <s v="No aplica"/>
    <n v="22793721703"/>
    <n v="3825418374"/>
    <n v="0.85629068546412912"/>
    <n v="24624230866"/>
    <n v="19699384692.799999"/>
    <n v="4924846173.2000008"/>
    <x v="0"/>
    <x v="0"/>
    <x v="0"/>
    <m/>
    <m/>
    <n v="24624230866"/>
    <n v="0"/>
  </r>
  <r>
    <n v="64"/>
    <x v="9"/>
    <x v="1"/>
    <n v="3228310276"/>
    <n v="2582648220.8000002"/>
    <n v="349033779.19999981"/>
    <x v="1"/>
    <x v="1"/>
    <m/>
    <m/>
    <n v="349033779.19999981"/>
    <s v="No aplica"/>
    <n v="2931682000"/>
    <n v="296628276"/>
    <n v="0.90811655304472971"/>
    <n v="3133424800"/>
    <n v="2506739840"/>
    <n v="626684960"/>
    <x v="1"/>
    <x v="0"/>
    <x v="0"/>
    <m/>
    <m/>
    <n v="3133424800"/>
    <n v="0"/>
  </r>
  <r>
    <n v="54"/>
    <x v="10"/>
    <x v="2"/>
    <n v="2215707677"/>
    <n v="1772566141.6000001"/>
    <n v="710880442"/>
    <x v="1"/>
    <x v="1"/>
    <m/>
    <m/>
    <n v="710880442"/>
    <m/>
    <m/>
    <n v="2215707677"/>
    <n v="0"/>
    <n v="2713207581"/>
    <n v="2170566065"/>
    <n v="542641516"/>
    <x v="1"/>
    <x v="0"/>
    <x v="0"/>
    <m/>
    <m/>
    <n v="2713207581"/>
    <n v="0"/>
  </r>
  <r>
    <n v="55"/>
    <x v="11"/>
    <x v="2"/>
    <n v="14623077531"/>
    <n v="11698462024.800001"/>
    <n v="6013503975"/>
    <x v="1"/>
    <x v="1"/>
    <m/>
    <m/>
    <n v="6013503975"/>
    <m/>
    <m/>
    <n v="14623077531"/>
    <n v="0"/>
    <n v="18794106650"/>
    <n v="15035285320"/>
    <n v="3758821330"/>
    <x v="1"/>
    <x v="0"/>
    <x v="0"/>
    <m/>
    <m/>
    <n v="18794106650"/>
    <n v="0"/>
  </r>
  <r>
    <n v="56"/>
    <x v="12"/>
    <x v="2"/>
    <n v="11045018362"/>
    <n v="8836014689.6000004"/>
    <n v="2384691680"/>
    <x v="1"/>
    <x v="1"/>
    <m/>
    <m/>
    <n v="2384691680"/>
    <m/>
    <m/>
    <n v="11045018362"/>
    <n v="0"/>
    <n v="11735034863"/>
    <n v="9388027890"/>
    <n v="2347006973"/>
    <x v="1"/>
    <x v="0"/>
    <x v="0"/>
    <m/>
    <m/>
    <n v="11735034863"/>
    <n v="0"/>
  </r>
  <r>
    <n v="57"/>
    <x v="13"/>
    <x v="2"/>
    <n v="6988372088"/>
    <n v="5590697670.4000006"/>
    <n v="1397674418"/>
    <x v="2"/>
    <x v="0"/>
    <s v="proceso de firmas"/>
    <m/>
    <n v="1397674418"/>
    <m/>
    <m/>
    <n v="6988372088"/>
    <n v="0"/>
    <n v="4094189543"/>
    <n v="3275351634"/>
    <n v="818837909"/>
    <x v="0"/>
    <x v="0"/>
    <x v="0"/>
    <m/>
    <m/>
    <n v="4094189543"/>
    <n v="0"/>
  </r>
  <r>
    <n v="58"/>
    <x v="14"/>
    <x v="2"/>
    <n v="5890764095"/>
    <n v="4712611276"/>
    <m/>
    <x v="1"/>
    <x v="1"/>
    <m/>
    <m/>
    <n v="0"/>
    <n v="534993276"/>
    <m/>
    <n v="5890764095"/>
    <n v="0"/>
    <n v="4552466050"/>
    <n v="3641972840"/>
    <n v="910493210"/>
    <x v="1"/>
    <x v="0"/>
    <x v="0"/>
    <m/>
    <m/>
    <n v="4552466050"/>
    <n v="0"/>
  </r>
  <r>
    <n v="59"/>
    <x v="15"/>
    <x v="2"/>
    <n v="6876897849"/>
    <n v="5501518279.2000008"/>
    <n v="1815451421"/>
    <x v="1"/>
    <x v="1"/>
    <m/>
    <m/>
    <n v="1815451421"/>
    <m/>
    <m/>
    <n v="6876897849"/>
    <n v="0"/>
    <n v="7334126690"/>
    <n v="5867301352"/>
    <n v="1466825338"/>
    <x v="1"/>
    <x v="0"/>
    <x v="0"/>
    <m/>
    <m/>
    <n v="7334126690"/>
    <n v="0"/>
  </r>
  <r>
    <n v="60"/>
    <x v="16"/>
    <x v="2"/>
    <n v="0"/>
    <n v="0"/>
    <n v="52207584"/>
    <x v="0"/>
    <x v="0"/>
    <m/>
    <m/>
    <n v="52207584"/>
    <m/>
    <m/>
    <n v="0"/>
    <n v="1"/>
    <n v="56830131"/>
    <n v="45464105"/>
    <n v="11366026"/>
    <x v="0"/>
    <x v="0"/>
    <x v="0"/>
    <m/>
    <m/>
    <n v="56830131"/>
    <n v="0"/>
  </r>
  <r>
    <n v="7"/>
    <x v="17"/>
    <x v="3"/>
    <n v="9435109011"/>
    <n v="7548087208.8000002"/>
    <n v="547937297"/>
    <x v="1"/>
    <x v="1"/>
    <m/>
    <m/>
    <n v="547937297"/>
    <m/>
    <m/>
    <n v="9435109011"/>
    <n v="0"/>
    <n v="8559653045"/>
    <n v="6847722436"/>
    <n v="1711930609"/>
    <x v="1"/>
    <x v="0"/>
    <x v="0"/>
    <m/>
    <m/>
    <n v="8559653045"/>
    <n v="0"/>
  </r>
  <r>
    <n v="8"/>
    <x v="18"/>
    <x v="3"/>
    <n v="4289147704"/>
    <n v="3431318163.2000003"/>
    <n v="563897532"/>
    <x v="1"/>
    <x v="1"/>
    <m/>
    <m/>
    <n v="563897532"/>
    <m/>
    <m/>
    <n v="4289147704"/>
    <n v="0"/>
    <n v="2874801031"/>
    <n v="2229840825"/>
    <n v="644960206"/>
    <x v="1"/>
    <x v="0"/>
    <x v="0"/>
    <m/>
    <m/>
    <n v="2874801031"/>
    <n v="0"/>
  </r>
  <r>
    <n v="9"/>
    <x v="19"/>
    <x v="3"/>
    <n v="221455584"/>
    <n v="177164467.20000002"/>
    <n v="66334035"/>
    <x v="1"/>
    <x v="1"/>
    <m/>
    <m/>
    <n v="66334035"/>
    <m/>
    <m/>
    <n v="221455584"/>
    <n v="0"/>
    <n v="264020022"/>
    <n v="211216018"/>
    <n v="52804004"/>
    <x v="1"/>
    <x v="0"/>
    <x v="0"/>
    <m/>
    <m/>
    <n v="264020022"/>
    <n v="0"/>
  </r>
  <r>
    <n v="10"/>
    <x v="20"/>
    <x v="3"/>
    <n v="9136609132"/>
    <n v="7309287305.6000004"/>
    <m/>
    <x v="0"/>
    <x v="0"/>
    <s v="Faltan casos del 2023 estudiantes por resolver"/>
    <m/>
    <n v="1126934721.3999996"/>
    <m/>
    <n v="8436222027"/>
    <n v="700387105"/>
    <n v="0.92334277466823345"/>
    <n v="9136609132"/>
    <n v="7309287306"/>
    <n v="1827321826"/>
    <x v="0"/>
    <x v="0"/>
    <x v="0"/>
    <m/>
    <m/>
    <n v="9136609132"/>
    <n v="0"/>
  </r>
  <r>
    <n v="11"/>
    <x v="21"/>
    <x v="3"/>
    <n v="2340379819"/>
    <n v="1872303855.2"/>
    <m/>
    <x v="0"/>
    <x v="0"/>
    <s v="Faltan casos del 2022 por resolver"/>
    <m/>
    <n v="141232829.79999995"/>
    <m/>
    <n v="2013536685"/>
    <n v="326843134"/>
    <n v="0.86034611504227809"/>
    <n v="2340379819"/>
    <n v="1872303855"/>
    <n v="468075964"/>
    <x v="0"/>
    <x v="0"/>
    <x v="0"/>
    <m/>
    <m/>
    <n v="2340379819"/>
    <n v="0"/>
  </r>
  <r>
    <n v="12"/>
    <x v="22"/>
    <x v="3"/>
    <n v="2871488245"/>
    <n v="2297190596"/>
    <m/>
    <x v="0"/>
    <x v="0"/>
    <s v="Faltan casos del 2022 por resolver"/>
    <m/>
    <n v="423917463"/>
    <m/>
    <n v="2721108059"/>
    <n v="150380186"/>
    <n v="0.94762987929278464"/>
    <n v="2871488245"/>
    <n v="2297190596"/>
    <n v="574297649"/>
    <x v="0"/>
    <x v="0"/>
    <x v="0"/>
    <m/>
    <m/>
    <n v="2871488245"/>
    <n v="0"/>
  </r>
  <r>
    <n v="38"/>
    <x v="23"/>
    <x v="4"/>
    <n v="7850101502"/>
    <n v="6280081202"/>
    <n v="1570020300.4000001"/>
    <x v="1"/>
    <x v="1"/>
    <m/>
    <d v="2023-11-01T00:00:00"/>
    <n v="1061514898"/>
    <m/>
    <n v="6280081202"/>
    <n v="1570020300"/>
    <n v="0.80000000005095473"/>
    <n v="7999358180"/>
    <n v="6399486544"/>
    <n v="1599871636"/>
    <x v="1"/>
    <x v="0"/>
    <x v="0"/>
    <m/>
    <m/>
    <n v="7999358180"/>
    <n v="0"/>
  </r>
  <r>
    <n v="39"/>
    <x v="24"/>
    <x v="4"/>
    <n v="1062641445"/>
    <n v="850113156"/>
    <n v="212528289"/>
    <x v="0"/>
    <x v="0"/>
    <s v="Pendiente revisión del corte de esta semana para validar plantilla"/>
    <m/>
    <n v="212528289"/>
    <m/>
    <n v="850113156"/>
    <n v="212528289"/>
    <n v="0.8"/>
    <n v="1017667214"/>
    <n v="814133771.20000005"/>
    <n v="203533442.79999995"/>
    <x v="0"/>
    <x v="0"/>
    <x v="0"/>
    <m/>
    <m/>
    <n v="1017667214"/>
    <n v="0"/>
  </r>
  <r>
    <n v="40"/>
    <x v="25"/>
    <x v="4"/>
    <n v="4373230861"/>
    <n v="3498584689"/>
    <n v="874646172.20000005"/>
    <x v="0"/>
    <x v="0"/>
    <s v="Pendiente revisión del corte de esta semana para validar plantilla"/>
    <m/>
    <n v="874646172.20000005"/>
    <m/>
    <n v="3498584689"/>
    <n v="874646172"/>
    <n v="0.8000000000457328"/>
    <n v="4178440131"/>
    <n v="3342752104.8000002"/>
    <n v="835688026.19999981"/>
    <x v="0"/>
    <x v="0"/>
    <x v="0"/>
    <m/>
    <m/>
    <n v="4178440131"/>
    <n v="0"/>
  </r>
  <r>
    <n v="41"/>
    <x v="26"/>
    <x v="4"/>
    <n v="2496575230"/>
    <n v="1997260184"/>
    <n v="499315046"/>
    <x v="2"/>
    <x v="0"/>
    <s v="En revisión de la IES"/>
    <m/>
    <n v="499315046"/>
    <m/>
    <n v="1997260184"/>
    <n v="499315046"/>
    <n v="0.8"/>
    <n v="2699101907"/>
    <n v="2159281525.5999999"/>
    <n v="539820381.4000001"/>
    <x v="0"/>
    <x v="0"/>
    <x v="0"/>
    <m/>
    <m/>
    <n v="2699101907"/>
    <n v="0"/>
  </r>
  <r>
    <n v="42"/>
    <x v="27"/>
    <x v="4"/>
    <n v="7235460742"/>
    <n v="5788368594"/>
    <n v="1447092148.4000001"/>
    <x v="1"/>
    <x v="1"/>
    <m/>
    <d v="2023-11-01T00:00:00"/>
    <n v="631719631"/>
    <m/>
    <n v="5788368594"/>
    <n v="1447092148"/>
    <n v="0.80000000005528327"/>
    <n v="6941515048"/>
    <n v="5553212038.4000006"/>
    <n v="1388303009.5999994"/>
    <x v="1"/>
    <x v="0"/>
    <x v="0"/>
    <m/>
    <m/>
    <n v="6941515048"/>
    <n v="0"/>
  </r>
  <r>
    <n v="43"/>
    <x v="28"/>
    <x v="4"/>
    <n v="14538266912"/>
    <n v="11630613530"/>
    <n v="2907653382.4000001"/>
    <x v="1"/>
    <x v="1"/>
    <m/>
    <d v="2023-10-27T00:00:00"/>
    <n v="554058953"/>
    <m/>
    <n v="11630613530"/>
    <n v="2907653382"/>
    <n v="0.80000000002751359"/>
    <n v="13034680269"/>
    <n v="10427744215.200001"/>
    <n v="2606936053.7999992"/>
    <x v="1"/>
    <x v="0"/>
    <x v="0"/>
    <m/>
    <m/>
    <n v="13034680269"/>
    <n v="0"/>
  </r>
  <r>
    <n v="44"/>
    <x v="29"/>
    <x v="4"/>
    <n v="12861265399"/>
    <n v="10289012319"/>
    <n v="2572253079.8000002"/>
    <x v="0"/>
    <x v="0"/>
    <s v="Cargó plantilla el 25 de octubre para validación de ajustes"/>
    <m/>
    <n v="2572253079.8000002"/>
    <m/>
    <n v="10289012319"/>
    <n v="2572253080"/>
    <n v="0.79999999998444948"/>
    <n v="14311258280"/>
    <n v="11449006624"/>
    <n v="2862251656"/>
    <x v="0"/>
    <x v="0"/>
    <x v="0"/>
    <m/>
    <m/>
    <n v="14311258280"/>
    <n v="0"/>
  </r>
  <r>
    <n v="45"/>
    <x v="30"/>
    <x v="4"/>
    <n v="10781898068"/>
    <n v="8625518454"/>
    <n v="2156379613.5999999"/>
    <x v="0"/>
    <x v="0"/>
    <s v="Esperando respuesta de la IES"/>
    <m/>
    <n v="2156379613.5999999"/>
    <m/>
    <n v="8625518454"/>
    <n v="2156379614"/>
    <n v="0.79999999996290083"/>
    <n v="6746242853"/>
    <n v="5396994282.4000006"/>
    <n v="1349248570.5999994"/>
    <x v="0"/>
    <x v="0"/>
    <x v="0"/>
    <m/>
    <m/>
    <n v="6746242853"/>
    <n v="0"/>
  </r>
  <r>
    <n v="46"/>
    <x v="31"/>
    <x v="4"/>
    <n v="8875077165"/>
    <n v="7100061732"/>
    <n v="1775015433"/>
    <x v="2"/>
    <x v="0"/>
    <s v="En revisión de la IES"/>
    <m/>
    <n v="1775015433"/>
    <m/>
    <n v="7100061732"/>
    <n v="1775015433"/>
    <n v="0.8"/>
    <n v="7254318640"/>
    <n v="5803454912"/>
    <n v="1450863728"/>
    <x v="0"/>
    <x v="0"/>
    <x v="0"/>
    <m/>
    <m/>
    <n v="7254318640"/>
    <n v="0"/>
  </r>
  <r>
    <n v="13"/>
    <x v="32"/>
    <x v="5"/>
    <n v="710730824"/>
    <n v="568584659.20000005"/>
    <m/>
    <x v="0"/>
    <x v="0"/>
    <m/>
    <m/>
    <n v="0"/>
    <n v="-418886886.20000005"/>
    <n v="149697773"/>
    <n v="561033051"/>
    <n v="0.21062513112559192"/>
    <n v="149470874"/>
    <n v="119576699"/>
    <n v="29894175"/>
    <x v="0"/>
    <x v="0"/>
    <x v="0"/>
    <m/>
    <m/>
    <n v="149470874"/>
    <n v="0"/>
  </r>
  <r>
    <n v="14"/>
    <x v="33"/>
    <x v="5"/>
    <n v="243697305"/>
    <n v="194957844"/>
    <n v="60011317"/>
    <x v="1"/>
    <x v="1"/>
    <m/>
    <m/>
    <n v="60011317"/>
    <m/>
    <n v="254969161"/>
    <n v="-11271856"/>
    <n v="1.0462535110923774"/>
    <n v="280466077"/>
    <n v="224372861"/>
    <n v="56093216"/>
    <x v="1"/>
    <x v="0"/>
    <x v="0"/>
    <m/>
    <m/>
    <n v="280466077"/>
    <n v="0"/>
  </r>
  <r>
    <n v="15"/>
    <x v="34"/>
    <x v="5"/>
    <n v="8831728849"/>
    <n v="7065383079.2000008"/>
    <m/>
    <x v="0"/>
    <x v="0"/>
    <s v="Falta resolver 422 casos de periodos adicionales"/>
    <m/>
    <n v="2513548920.7999992"/>
    <m/>
    <n v="9578932000"/>
    <n v="-747203151"/>
    <n v="1.0846044034837645"/>
    <n v="9251638000"/>
    <n v="7401310400"/>
    <n v="1850327600"/>
    <x v="0"/>
    <x v="0"/>
    <x v="0"/>
    <m/>
    <m/>
    <n v="9251638000"/>
    <n v="0"/>
  </r>
  <r>
    <n v="16"/>
    <x v="35"/>
    <x v="5"/>
    <n v="6442433158"/>
    <n v="5153946526.4000006"/>
    <m/>
    <x v="0"/>
    <x v="0"/>
    <m/>
    <m/>
    <n v="614140543.59999943"/>
    <m/>
    <n v="5768087070"/>
    <n v="674346088"/>
    <n v="0.89532742188211623"/>
    <n v="5846245947"/>
    <n v="4676996758"/>
    <n v="1169249189"/>
    <x v="0"/>
    <x v="0"/>
    <x v="0"/>
    <m/>
    <m/>
    <n v="5846245947"/>
    <n v="0"/>
  </r>
  <r>
    <n v="17"/>
    <x v="36"/>
    <x v="5"/>
    <n v="10252255310"/>
    <n v="8201804248"/>
    <m/>
    <x v="0"/>
    <x v="0"/>
    <s v="Falta resolver 204 casos  de financiación periodos adicionales "/>
    <m/>
    <n v="0"/>
    <n v="-512955661"/>
    <n v="7688848587"/>
    <n v="2563406723"/>
    <n v="0.74996655413958868"/>
    <n v="8159406846"/>
    <n v="6527525476"/>
    <n v="1631881370"/>
    <x v="0"/>
    <x v="0"/>
    <x v="0"/>
    <m/>
    <m/>
    <n v="8159406846"/>
    <n v="0"/>
  </r>
  <r>
    <n v="47"/>
    <x v="37"/>
    <x v="6"/>
    <n v="4872056573.0600004"/>
    <n v="3897645258.4480004"/>
    <m/>
    <x v="0"/>
    <x v="0"/>
    <s v="Demoras en validación SISBEN el viernes 27 de octubre hacen el cierre"/>
    <m/>
    <n v="239536271.55199957"/>
    <m/>
    <n v="4137181530"/>
    <n v="734875043.06000042"/>
    <n v="0.84916533048415599"/>
    <n v="4470544441"/>
    <n v="3576435553"/>
    <n v="894108888"/>
    <x v="0"/>
    <x v="0"/>
    <x v="0"/>
    <m/>
    <m/>
    <n v="4470544441"/>
    <n v="0"/>
  </r>
  <r>
    <n v="48"/>
    <x v="38"/>
    <x v="6"/>
    <n v="3560472161.8699999"/>
    <n v="2848377729.4960003"/>
    <m/>
    <x v="0"/>
    <x v="0"/>
    <s v="Falta validar unos estudiantes que son beneficiarios de GE pero no aparecen aun"/>
    <m/>
    <n v="461773870.50399971"/>
    <m/>
    <n v="3310151600"/>
    <n v="250320561.86999989"/>
    <n v="0.92969456002191331"/>
    <n v="3519743920"/>
    <n v="2815795136"/>
    <n v="703948784"/>
    <x v="0"/>
    <x v="0"/>
    <x v="0"/>
    <m/>
    <m/>
    <n v="3519743920"/>
    <n v="0"/>
  </r>
  <r>
    <n v="49"/>
    <x v="39"/>
    <x v="6"/>
    <n v="237002666.91"/>
    <n v="189602133.528"/>
    <n v="114322016"/>
    <x v="1"/>
    <x v="1"/>
    <m/>
    <d v="2023-10-04T00:00:00"/>
    <n v="114322016"/>
    <n v="0"/>
    <n v="303924149.528"/>
    <n v="-66921482.618000001"/>
    <n v="1.2823659475672184"/>
    <n v="359864010"/>
    <n v="287891208"/>
    <n v="71972802"/>
    <x v="1"/>
    <x v="0"/>
    <x v="0"/>
    <m/>
    <m/>
    <n v="359864010"/>
    <n v="0"/>
  </r>
  <r>
    <n v="50"/>
    <x v="40"/>
    <x v="6"/>
    <n v="13754059535.73"/>
    <n v="11003247628.584"/>
    <m/>
    <x v="0"/>
    <x v="0"/>
    <s v="Se requirió que la IES enváiara por mesa de ayuda un ajuste para 200 estudiantes de derecho por error de  la IES en el calculo de los periodos a financiar, eso hizo que se demorará el cierre. "/>
    <m/>
    <n v="3236417237.4160004"/>
    <m/>
    <n v="14239664866"/>
    <n v="-485605330.27000046"/>
    <n v="1.0353063274888774"/>
    <n v="15511700841"/>
    <n v="12409360673"/>
    <n v="3102340168"/>
    <x v="0"/>
    <x v="0"/>
    <x v="0"/>
    <m/>
    <m/>
    <n v="15511700841"/>
    <n v="0"/>
  </r>
  <r>
    <n v="51"/>
    <x v="41"/>
    <x v="6"/>
    <n v="2461104078.4099998"/>
    <n v="1968883262.7279999"/>
    <m/>
    <x v="0"/>
    <x v="0"/>
    <s v="Cierran lunes 30 de octubre"/>
    <m/>
    <n v="924997737.27200007"/>
    <m/>
    <n v="2893881000"/>
    <n v="-432776921.59000015"/>
    <n v="1.1758466557292435"/>
    <n v="1741835700"/>
    <n v="1393468560"/>
    <n v="348367140"/>
    <x v="0"/>
    <x v="0"/>
    <x v="0"/>
    <m/>
    <m/>
    <n v="1741835700"/>
    <n v="0"/>
  </r>
  <r>
    <n v="52"/>
    <x v="42"/>
    <x v="6"/>
    <n v="9780193982.9699993"/>
    <n v="7824155186.3759995"/>
    <m/>
    <x v="0"/>
    <x v="0"/>
    <s v="Muchos estudiantes protestaron porque se quedaron sin el beneficio y se tuvo que revisar con la IES los casos. "/>
    <m/>
    <n v="887151903.62400055"/>
    <m/>
    <n v="8711307090"/>
    <n v="1068886892.9699993"/>
    <n v="0.89070902940869834"/>
    <n v="6904472014"/>
    <n v="5523577611"/>
    <n v="1380894403"/>
    <x v="0"/>
    <x v="0"/>
    <x v="0"/>
    <m/>
    <m/>
    <n v="6904472014"/>
    <n v="0"/>
  </r>
  <r>
    <n v="53"/>
    <x v="43"/>
    <x v="6"/>
    <n v="101930300030.00999"/>
    <n v="81544240024.007996"/>
    <m/>
    <x v="0"/>
    <x v="0"/>
    <s v="Se presenta un problema con 2.500 estudiantes en 2022-1 y 2022-2 que debe resolverse para que no se queden sin el beneficio y poder cerrar 2023-1. Ya se está en proceso de solución, pero como deben abrirse candados, se requiere un proceso de verificación. "/>
    <m/>
    <n v="42440756132.992004"/>
    <m/>
    <n v="123984996157"/>
    <n v="-22054696126.990005"/>
    <n v="1.2163703640673749"/>
    <n v="102478431000"/>
    <n v="81982744800"/>
    <n v="20495686200"/>
    <x v="0"/>
    <x v="0"/>
    <x v="0"/>
    <m/>
    <m/>
    <n v="102478431000"/>
    <n v="0"/>
  </r>
  <r>
    <n v="18"/>
    <x v="44"/>
    <x v="7"/>
    <n v="388574919.61000001"/>
    <n v="310859935.68800002"/>
    <n v="0"/>
    <x v="1"/>
    <x v="1"/>
    <m/>
    <m/>
    <n v="0"/>
    <n v="37113186"/>
    <n v="310859935.68800002"/>
    <n v="77714983.921999991"/>
    <n v="0.8"/>
    <n v="308661155"/>
    <n v="246928924"/>
    <n v="61732231"/>
    <x v="1"/>
    <x v="0"/>
    <x v="0"/>
    <m/>
    <m/>
    <n v="308661155"/>
    <n v="0"/>
  </r>
  <r>
    <n v="19"/>
    <x v="45"/>
    <x v="7"/>
    <n v="9667792103.6499996"/>
    <n v="7734233682.9200001"/>
    <n v="1187693216"/>
    <x v="0"/>
    <x v="0"/>
    <s v="la IES realizó un cambio en caracterización, debe esperar al siguiente corte para generar el acta y proceder a firmas"/>
    <d v="2023-11-01T00:00:00"/>
    <n v="1187693216"/>
    <m/>
    <n v="8921926898.9200001"/>
    <n v="745865204.72999954"/>
    <n v="0.92285051263686113"/>
    <n v="9889888689"/>
    <n v="7911910951"/>
    <n v="1977977738"/>
    <x v="0"/>
    <x v="0"/>
    <x v="0"/>
    <m/>
    <m/>
    <n v="9889888689"/>
    <n v="0"/>
  </r>
  <r>
    <n v="20"/>
    <x v="46"/>
    <x v="7"/>
    <n v="19144987659"/>
    <n v="15315990127.200001"/>
    <n v="2342492673"/>
    <x v="1"/>
    <x v="1"/>
    <m/>
    <m/>
    <n v="2342492673"/>
    <m/>
    <n v="17658482800.200001"/>
    <n v="1486504858.7999992"/>
    <n v="0.92235540261102245"/>
    <n v="19592826880"/>
    <n v="15674261504"/>
    <n v="3918565376"/>
    <x v="1"/>
    <x v="0"/>
    <x v="0"/>
    <m/>
    <m/>
    <n v="19592826880"/>
    <n v="0"/>
  </r>
  <r>
    <n v="21"/>
    <x v="47"/>
    <x v="7"/>
    <n v="915696591"/>
    <n v="732557272.80000007"/>
    <n v="234766726"/>
    <x v="1"/>
    <x v="1"/>
    <m/>
    <m/>
    <n v="234766726"/>
    <m/>
    <n v="967323998.80000007"/>
    <n v="-51627407.800000072"/>
    <n v="1.056380473955483"/>
    <n v="997449200"/>
    <n v="797959360"/>
    <n v="199489840"/>
    <x v="1"/>
    <x v="0"/>
    <x v="0"/>
    <m/>
    <m/>
    <n v="997449200"/>
    <n v="0"/>
  </r>
  <r>
    <n v="22"/>
    <x v="48"/>
    <x v="7"/>
    <n v="798310318"/>
    <n v="638648254.39999998"/>
    <n v="322839149"/>
    <x v="1"/>
    <x v="1"/>
    <m/>
    <m/>
    <n v="322839149"/>
    <m/>
    <n v="961487403.39999998"/>
    <n v="-163177085.39999998"/>
    <n v="1.2044030769999392"/>
    <n v="1093350394"/>
    <n v="874680315"/>
    <n v="218670079"/>
    <x v="1"/>
    <x v="0"/>
    <x v="0"/>
    <m/>
    <m/>
    <n v="1093350394"/>
    <n v="0"/>
  </r>
  <r>
    <n v="23"/>
    <x v="49"/>
    <x v="7"/>
    <n v="10545864097"/>
    <n v="8436691277.6000004"/>
    <n v="0"/>
    <x v="0"/>
    <x v="0"/>
    <m/>
    <m/>
    <n v="0"/>
    <n v="-1448571350.6000004"/>
    <n v="6988119927"/>
    <n v="3557744170"/>
    <n v="0.66264080996339814"/>
    <n v="7604789479"/>
    <n v="6083831583"/>
    <n v="1520957896"/>
    <x v="0"/>
    <x v="0"/>
    <x v="0"/>
    <m/>
    <m/>
    <n v="7604789479"/>
    <n v="0"/>
  </r>
  <r>
    <n v="24"/>
    <x v="50"/>
    <x v="7"/>
    <n v="290218743"/>
    <n v="232174994.40000001"/>
    <n v="294972606"/>
    <x v="1"/>
    <x v="1"/>
    <m/>
    <m/>
    <n v="294972606"/>
    <m/>
    <n v="527147600.39999998"/>
    <n v="-236928857.39999998"/>
    <n v="1.8163802756185186"/>
    <n v="571032440"/>
    <n v="456825952"/>
    <n v="114206488"/>
    <x v="1"/>
    <x v="0"/>
    <x v="0"/>
    <m/>
    <m/>
    <n v="571032440"/>
    <n v="0"/>
  </r>
  <r>
    <n v="25"/>
    <x v="51"/>
    <x v="7"/>
    <n v="10119051546"/>
    <n v="8095241236.8000002"/>
    <n v="245358290"/>
    <x v="1"/>
    <x v="1"/>
    <m/>
    <m/>
    <n v="2460003331"/>
    <m/>
    <n v="10555244567.799999"/>
    <n v="-436193021.79999924"/>
    <n v="1.0431061171906397"/>
    <n v="11068007613"/>
    <n v="8854406090"/>
    <n v="2213601523"/>
    <x v="1"/>
    <x v="0"/>
    <x v="0"/>
    <m/>
    <m/>
    <n v="11068007613"/>
    <n v="0"/>
  </r>
  <r>
    <n v="26"/>
    <x v="52"/>
    <x v="7"/>
    <n v="1454065054"/>
    <n v="1163252043.2"/>
    <n v="245358290"/>
    <x v="1"/>
    <x v="1"/>
    <m/>
    <m/>
    <n v="245358290"/>
    <m/>
    <n v="1408610333.2"/>
    <n v="45454720.799999952"/>
    <n v="0.96873955489477026"/>
    <n v="1396895922"/>
    <n v="1117516738"/>
    <n v="279379184"/>
    <x v="1"/>
    <x v="0"/>
    <x v="0"/>
    <m/>
    <m/>
    <n v="1396895922"/>
    <n v="0"/>
  </r>
  <r>
    <n v="27"/>
    <x v="53"/>
    <x v="7"/>
    <n v="59950373775.410004"/>
    <n v="47960299020.328003"/>
    <n v="10791854966"/>
    <x v="0"/>
    <x v="0"/>
    <s v="Esta pendiente la actualización del rector en Vumen para proceder a generarla y cargarla firmada"/>
    <d v="2023-10-31T00:00:00"/>
    <n v="10791854966"/>
    <m/>
    <n v="58752153986.328003"/>
    <n v="1198219789.0820007"/>
    <n v="0.98001313897439823"/>
    <n v="61710372243"/>
    <n v="49368297794"/>
    <n v="12342074449"/>
    <x v="0"/>
    <x v="0"/>
    <x v="0"/>
    <m/>
    <m/>
    <n v="61710372243"/>
    <n v="0"/>
  </r>
  <r>
    <n v="28"/>
    <x v="54"/>
    <x v="7"/>
    <n v="4065118662"/>
    <n v="3252094929.6000004"/>
    <n v="2460003331"/>
    <x v="1"/>
    <x v="1"/>
    <m/>
    <m/>
    <n v="393612470"/>
    <m/>
    <n v="3645707399.6000004"/>
    <n v="419411262.39999962"/>
    <n v="0.89682680943103066"/>
    <n v="4155767660"/>
    <n v="3324614128"/>
    <n v="831153532"/>
    <x v="1"/>
    <x v="0"/>
    <x v="0"/>
    <m/>
    <m/>
    <n v="4155767660"/>
    <n v="0"/>
  </r>
  <r>
    <n v="29"/>
    <x v="55"/>
    <x v="8"/>
    <n v="5084626107"/>
    <n v="4067700886"/>
    <n v="1016925221"/>
    <x v="0"/>
    <x v="0"/>
    <s v="Se encuentra realizando revisiones finales de casos especiales que tienen"/>
    <d v="2023-10-31T00:00:00"/>
    <n v="905924639"/>
    <n v="0"/>
    <n v="4973625525"/>
    <n v="111000582"/>
    <n v="0.9781693718153267"/>
    <n v="1961785304"/>
    <n v="1569428243"/>
    <n v="392357061"/>
    <x v="0"/>
    <x v="0"/>
    <x v="0"/>
    <m/>
    <m/>
    <n v="1961785304"/>
    <n v="0"/>
  </r>
  <r>
    <n v="30"/>
    <x v="56"/>
    <x v="8"/>
    <n v="1083254533"/>
    <n v="866603627"/>
    <n v="216650907"/>
    <x v="1"/>
    <x v="1"/>
    <s v="N/A"/>
    <s v="N/A"/>
    <n v="759049373"/>
    <n v="0"/>
    <n v="1625653000"/>
    <n v="-542398467"/>
    <n v="1.5007119291694671"/>
    <n v="1712328200"/>
    <n v="1369862560"/>
    <n v="342465640"/>
    <x v="1"/>
    <x v="0"/>
    <x v="0"/>
    <m/>
    <m/>
    <n v="1712328200"/>
    <n v="0"/>
  </r>
  <r>
    <n v="31"/>
    <x v="57"/>
    <x v="8"/>
    <n v="1017512796"/>
    <n v="814010237"/>
    <n v="203502559"/>
    <x v="1"/>
    <x v="1"/>
    <s v="N/A"/>
    <s v="N/A"/>
    <n v="232793723"/>
    <n v="0"/>
    <n v="1046803960"/>
    <n v="-29291164"/>
    <n v="1.0287870227432501"/>
    <n v="1096614530"/>
    <n v="877291624"/>
    <n v="219322906"/>
    <x v="1"/>
    <x v="0"/>
    <x v="0"/>
    <m/>
    <m/>
    <n v="1096614530"/>
    <n v="0"/>
  </r>
  <r>
    <n v="32"/>
    <x v="58"/>
    <x v="8"/>
    <n v="9073014654"/>
    <n v="7258411723"/>
    <n v="0"/>
    <x v="1"/>
    <x v="1"/>
    <s v="N/A"/>
    <s v="N/A"/>
    <n v="0"/>
    <n v="-286491517"/>
    <n v="7258411723"/>
    <n v="1814602931"/>
    <n v="0.79999999997795657"/>
    <n v="7436991659"/>
    <n v="5949593327"/>
    <n v="1487398332"/>
    <x v="1"/>
    <x v="0"/>
    <x v="0"/>
    <m/>
    <m/>
    <n v="7436991659"/>
    <n v="0"/>
  </r>
  <r>
    <n v="33"/>
    <x v="59"/>
    <x v="8"/>
    <n v="3807861536"/>
    <n v="3046289229"/>
    <n v="761572307"/>
    <x v="1"/>
    <x v="1"/>
    <s v="N/A"/>
    <s v="N/A"/>
    <n v="628938771"/>
    <n v="0"/>
    <n v="3675228000"/>
    <n v="132633536"/>
    <n v="0.9651684981856441"/>
    <n v="4011692960"/>
    <n v="3209354368"/>
    <n v="802338592"/>
    <x v="1"/>
    <x v="0"/>
    <x v="0"/>
    <m/>
    <m/>
    <n v="4011692960"/>
    <n v="0"/>
  </r>
  <r>
    <n v="34"/>
    <x v="60"/>
    <x v="8"/>
    <n v="1060426553"/>
    <n v="848341242"/>
    <n v="212085311"/>
    <x v="0"/>
    <x v="0"/>
    <s v="Se encuentran ajustando periodo 2022-1 y 2022-2"/>
    <d v="2023-11-15T00:00:00"/>
    <n v="110448428"/>
    <n v="0"/>
    <n v="958789670"/>
    <n v="101636883"/>
    <n v="0.90415471706883976"/>
    <n v="1058928816"/>
    <n v="847143053"/>
    <n v="211785763"/>
    <x v="0"/>
    <x v="0"/>
    <x v="0"/>
    <m/>
    <m/>
    <n v="1058928816"/>
    <n v="0"/>
  </r>
  <r>
    <n v="35"/>
    <x v="61"/>
    <x v="8"/>
    <n v="218811046"/>
    <n v="175048837"/>
    <n v="43762209"/>
    <x v="1"/>
    <x v="1"/>
    <s v="N/A"/>
    <s v="N/A"/>
    <n v="107905913"/>
    <n v="0"/>
    <n v="282954750"/>
    <n v="-64143704"/>
    <n v="1.2931465534879807"/>
    <n v="240692151"/>
    <n v="192553721"/>
    <n v="48138430"/>
    <x v="1"/>
    <x v="0"/>
    <x v="0"/>
    <m/>
    <m/>
    <n v="240692151"/>
    <n v="0"/>
  </r>
  <r>
    <n v="36"/>
    <x v="62"/>
    <x v="8"/>
    <n v="5653192424"/>
    <n v="4522553939"/>
    <n v="1130638485"/>
    <x v="0"/>
    <x v="0"/>
    <s v="Se encuentran ajustando periodo 2022-1 y 2022-2"/>
    <d v="2023-11-15T00:00:00"/>
    <n v="0"/>
    <n v="-622729939"/>
    <n v="3899824000"/>
    <n v="1753368424"/>
    <n v="0.68984455286604618"/>
    <n v="4487393900"/>
    <n v="3589915120"/>
    <n v="897478780"/>
    <x v="0"/>
    <x v="0"/>
    <x v="0"/>
    <m/>
    <m/>
    <n v="4487393900"/>
    <n v="0"/>
  </r>
  <r>
    <n v="37"/>
    <x v="63"/>
    <x v="8"/>
    <n v="461245394"/>
    <n v="368996315"/>
    <n v="92249079"/>
    <x v="1"/>
    <x v="1"/>
    <s v="N/A"/>
    <s v="N/A"/>
    <n v="210837591"/>
    <n v="0"/>
    <n v="579833906"/>
    <n v="-118588512"/>
    <n v="1.2571050324678148"/>
    <n v="635534984"/>
    <n v="508427987"/>
    <n v="127106997"/>
    <x v="1"/>
    <x v="0"/>
    <x v="0"/>
    <m/>
    <m/>
    <n v="635534984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D00-000000000000}" name="TablaDinámica3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IES" colHeaderCaption="ESTADO DE CERTIFICACIONES Y PROGRAMACIÓN GIRO">
  <location ref="A3:D7" firstHeaderRow="1" firstDataRow="3" firstDataCol="1"/>
  <pivotFields count="25">
    <pivotField showAll="0"/>
    <pivotField axis="axisRow" showAll="0">
      <items count="65">
        <item h="1" x="19"/>
        <item h="1" x="25"/>
        <item h="1" x="60"/>
        <item h="1" x="33"/>
        <item h="1" x="45"/>
        <item h="1" x="4"/>
        <item h="1" x="1"/>
        <item h="1" x="16"/>
        <item h="1" x="6"/>
        <item h="1" x="56"/>
        <item h="1" x="46"/>
        <item h="1" x="57"/>
        <item h="1" x="55"/>
        <item h="1" x="23"/>
        <item h="1" x="26"/>
        <item h="1" x="27"/>
        <item h="1" x="52"/>
        <item h="1" x="47"/>
        <item h="1" x="39"/>
        <item h="1" x="50"/>
        <item h="1" x="48"/>
        <item h="1" x="63"/>
        <item h="1" x="28"/>
        <item h="1" x="32"/>
        <item h="1" x="10"/>
        <item h="1" x="31"/>
        <item h="1" x="29"/>
        <item h="1" x="24"/>
        <item h="1" x="51"/>
        <item h="1" x="11"/>
        <item h="1" x="61"/>
        <item h="1" x="5"/>
        <item h="1" x="30"/>
        <item h="1" x="18"/>
        <item h="1" x="58"/>
        <item h="1" x="37"/>
        <item h="1" x="36"/>
        <item h="1" x="54"/>
        <item h="1" x="2"/>
        <item h="1" x="22"/>
        <item x="21"/>
        <item h="1" x="40"/>
        <item h="1" x="38"/>
        <item h="1" x="59"/>
        <item h="1" x="62"/>
        <item h="1" x="3"/>
        <item h="1" x="44"/>
        <item h="1" x="17"/>
        <item h="1" x="34"/>
        <item h="1" x="49"/>
        <item h="1" x="13"/>
        <item h="1" x="42"/>
        <item h="1" x="41"/>
        <item h="1" x="12"/>
        <item h="1" x="9"/>
        <item h="1" x="53"/>
        <item h="1" x="43"/>
        <item h="1" x="8"/>
        <item h="1" x="14"/>
        <item h="1" x="0"/>
        <item h="1" x="7"/>
        <item h="1" x="35"/>
        <item h="1" x="20"/>
        <item h="1" x="15"/>
        <item t="default"/>
      </items>
    </pivotField>
    <pivotField showAll="0"/>
    <pivotField showAll="0"/>
    <pivotField numFmtId="164" showAll="0"/>
    <pivotField showAll="0"/>
    <pivotField axis="axisCol" showAll="0">
      <items count="4">
        <item x="1"/>
        <item x="2"/>
        <item x="0"/>
        <item t="default"/>
      </items>
    </pivotField>
    <pivotField axis="axisCol" showAll="0">
      <items count="3">
        <item n="PROGRAMACIÓN GIRO Noviembre 2023" x="1"/>
        <item n="PROGRAMACIÓN GIRO Diciembre 2023" x="0"/>
        <item t="default"/>
      </items>
    </pivotField>
    <pivotField showAll="0"/>
    <pivotField showAll="0"/>
    <pivotField dataField="1" showAll="0"/>
    <pivotField showAll="0"/>
    <pivotField showAll="0"/>
    <pivotField numFmtId="44" showAll="0"/>
    <pivotField numFmtId="9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showAll="0"/>
  </pivotFields>
  <rowFields count="1">
    <field x="1"/>
  </rowFields>
  <rowItems count="2">
    <i>
      <x v="40"/>
    </i>
    <i t="grand">
      <x/>
    </i>
  </rowItems>
  <colFields count="2">
    <field x="6"/>
    <field x="7"/>
  </colFields>
  <colItems count="3">
    <i>
      <x v="2"/>
      <x v="1"/>
    </i>
    <i t="default">
      <x v="2"/>
    </i>
    <i t="grand">
      <x/>
    </i>
  </colItems>
  <dataFields count="1">
    <dataField name="VALOR A GIRAR_x000a_CIERRE 2023-1_" fld="10" baseField="0" baseItem="0"/>
  </dataFields>
  <formats count="26">
    <format dxfId="293">
      <pivotArea dataOnly="0" labelOnly="1" fieldPosition="0">
        <references count="2">
          <reference field="6" count="1" selected="0">
            <x v="0"/>
          </reference>
          <reference field="7" count="1">
            <x v="0"/>
          </reference>
        </references>
      </pivotArea>
    </format>
    <format dxfId="292">
      <pivotArea dataOnly="0" labelOnly="1" fieldPosition="0">
        <references count="2">
          <reference field="6" count="1" selected="0">
            <x v="0"/>
          </reference>
          <reference field="7" count="1">
            <x v="0"/>
          </reference>
        </references>
      </pivotArea>
    </format>
    <format dxfId="291">
      <pivotArea dataOnly="0" labelOnly="1" fieldPosition="0">
        <references count="2">
          <reference field="6" count="1" selected="0">
            <x v="1"/>
          </reference>
          <reference field="7" count="1">
            <x v="1"/>
          </reference>
        </references>
      </pivotArea>
    </format>
    <format dxfId="290">
      <pivotArea dataOnly="0" labelOnly="1" fieldPosition="0">
        <references count="2">
          <reference field="6" count="1" selected="0">
            <x v="2"/>
          </reference>
          <reference field="7" count="1">
            <x v="1"/>
          </reference>
        </references>
      </pivotArea>
    </format>
    <format dxfId="289">
      <pivotArea field="1" type="button" dataOnly="0" labelOnly="1" outline="0" axis="axisRow" fieldPosition="0"/>
    </format>
    <format dxfId="288">
      <pivotArea field="1" type="button" dataOnly="0" labelOnly="1" outline="0" axis="axisRow" fieldPosition="0"/>
    </format>
    <format dxfId="287">
      <pivotArea dataOnly="0" labelOnly="1" fieldPosition="0">
        <references count="1">
          <reference field="6" count="1">
            <x v="0"/>
          </reference>
        </references>
      </pivotArea>
    </format>
    <format dxfId="286">
      <pivotArea dataOnly="0" labelOnly="1" fieldPosition="0">
        <references count="2">
          <reference field="6" count="1" selected="0">
            <x v="0"/>
          </reference>
          <reference field="7" count="1">
            <x v="0"/>
          </reference>
        </references>
      </pivotArea>
    </format>
    <format dxfId="285">
      <pivotArea dataOnly="0" labelOnly="1" fieldPosition="0">
        <references count="1">
          <reference field="6" count="1" defaultSubtotal="1">
            <x v="0"/>
          </reference>
        </references>
      </pivotArea>
    </format>
    <format dxfId="284">
      <pivotArea dataOnly="0" labelOnly="1" fieldPosition="0">
        <references count="1">
          <reference field="6" count="2">
            <x v="1"/>
            <x v="2"/>
          </reference>
        </references>
      </pivotArea>
    </format>
    <format dxfId="283">
      <pivotArea dataOnly="0" labelOnly="1" fieldPosition="0">
        <references count="1">
          <reference field="6" count="2" defaultSubtotal="1">
            <x v="1"/>
            <x v="2"/>
          </reference>
        </references>
      </pivotArea>
    </format>
    <format dxfId="282">
      <pivotArea dataOnly="0" labelOnly="1" fieldPosition="0">
        <references count="2">
          <reference field="6" count="1" selected="0">
            <x v="1"/>
          </reference>
          <reference field="7" count="1">
            <x v="1"/>
          </reference>
        </references>
      </pivotArea>
    </format>
    <format dxfId="281">
      <pivotArea dataOnly="0" labelOnly="1" fieldPosition="0">
        <references count="2">
          <reference field="6" count="1" selected="0">
            <x v="2"/>
          </reference>
          <reference field="7" count="1">
            <x v="1"/>
          </reference>
        </references>
      </pivotArea>
    </format>
    <format dxfId="280">
      <pivotArea dataOnly="0" labelOnly="1" grandCol="1" outline="0" fieldPosition="0"/>
    </format>
    <format dxfId="279">
      <pivotArea dataOnly="0" labelOnly="1" grandCol="1" outline="0" fieldPosition="0"/>
    </format>
    <format dxfId="278">
      <pivotArea field="1" type="button" dataOnly="0" labelOnly="1" outline="0" axis="axisRow" fieldPosition="0"/>
    </format>
    <format dxfId="277">
      <pivotArea collapsedLevelsAreSubtotals="1" fieldPosition="0">
        <references count="3">
          <reference field="1" count="0"/>
          <reference field="6" count="1" selected="0">
            <x v="2"/>
          </reference>
          <reference field="7" count="1" selected="0">
            <x v="1"/>
          </reference>
        </references>
      </pivotArea>
    </format>
    <format dxfId="276">
      <pivotArea collapsedLevelsAreSubtotals="1" fieldPosition="0">
        <references count="3">
          <reference field="1" count="0"/>
          <reference field="6" count="1" selected="0">
            <x v="2"/>
          </reference>
          <reference field="7" count="1" selected="0">
            <x v="1"/>
          </reference>
        </references>
      </pivotArea>
    </format>
    <format dxfId="275">
      <pivotArea collapsedLevelsAreSubtotals="1" fieldPosition="0">
        <references count="3">
          <reference field="1" count="0"/>
          <reference field="6" count="1" selected="0">
            <x v="0"/>
          </reference>
          <reference field="7" count="1" selected="0">
            <x v="0"/>
          </reference>
        </references>
      </pivotArea>
    </format>
    <format dxfId="274">
      <pivotArea field="6" type="button" dataOnly="0" labelOnly="1" outline="0" axis="axisCol" fieldPosition="0"/>
    </format>
    <format dxfId="273">
      <pivotArea field="6" type="button" dataOnly="0" labelOnly="1" outline="0" axis="axisCol" fieldPosition="0"/>
    </format>
    <format dxfId="272">
      <pivotArea type="origin" dataOnly="0" labelOnly="1" outline="0" fieldPosition="0"/>
    </format>
    <format dxfId="271">
      <pivotArea field="6" type="button" dataOnly="0" labelOnly="1" outline="0" axis="axisCol" fieldPosition="0"/>
    </format>
    <format dxfId="270">
      <pivotArea field="6" type="button" dataOnly="0" labelOnly="1" outline="0" axis="axisCol" fieldPosition="0"/>
    </format>
    <format dxfId="269">
      <pivotArea field="6" type="button" dataOnly="0" labelOnly="1" outline="0" axis="axisCol" fieldPosition="0"/>
    </format>
    <format dxfId="268">
      <pivotArea field="6" grandRow="1" outline="0" collapsedLevelsAreSubtotals="1" axis="axisCol" fieldPosition="0">
        <references count="1">
          <reference field="6" count="1" selected="0" defaultSubtotal="1">
            <x v="0"/>
          </reference>
        </references>
      </pivotArea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D00-000001000000}" name="TablaDinámica4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IES" colHeaderCaption="ESTADO DE CERTIFICACIONES Y PROGRAMACIÓN DE GIRO">
  <location ref="A2:D6" firstHeaderRow="1" firstDataRow="3" firstDataCol="1"/>
  <pivotFields count="25">
    <pivotField showAll="0"/>
    <pivotField axis="axisRow" showAll="0">
      <items count="65">
        <item h="1" x="19"/>
        <item h="1" x="25"/>
        <item h="1" x="60"/>
        <item h="1" x="33"/>
        <item h="1" x="45"/>
        <item h="1" x="4"/>
        <item h="1" x="1"/>
        <item h="1" x="16"/>
        <item h="1" x="6"/>
        <item h="1" x="56"/>
        <item h="1" x="46"/>
        <item h="1" x="57"/>
        <item h="1" x="55"/>
        <item h="1" x="23"/>
        <item h="1" x="26"/>
        <item h="1" x="27"/>
        <item h="1" x="52"/>
        <item h="1" x="47"/>
        <item h="1" x="39"/>
        <item h="1" x="50"/>
        <item h="1" x="48"/>
        <item h="1" x="63"/>
        <item h="1" x="28"/>
        <item h="1" x="32"/>
        <item h="1" x="10"/>
        <item h="1" x="31"/>
        <item h="1" x="29"/>
        <item h="1" x="24"/>
        <item h="1" x="51"/>
        <item h="1" x="11"/>
        <item h="1" x="61"/>
        <item h="1" x="5"/>
        <item h="1" x="30"/>
        <item h="1" x="18"/>
        <item h="1" x="58"/>
        <item h="1" x="37"/>
        <item h="1" x="36"/>
        <item h="1" x="54"/>
        <item h="1" x="2"/>
        <item h="1" x="22"/>
        <item x="21"/>
        <item h="1" x="40"/>
        <item h="1" x="38"/>
        <item h="1" x="59"/>
        <item h="1" x="62"/>
        <item h="1" x="3"/>
        <item h="1" x="44"/>
        <item h="1" x="17"/>
        <item h="1" x="34"/>
        <item h="1" x="49"/>
        <item h="1" x="13"/>
        <item h="1" x="42"/>
        <item h="1" x="41"/>
        <item h="1" x="12"/>
        <item h="1" x="9"/>
        <item h="1" x="53"/>
        <item h="1" x="43"/>
        <item h="1" x="8"/>
        <item h="1" x="14"/>
        <item h="1" x="0"/>
        <item h="1" x="7"/>
        <item h="1" x="35"/>
        <item h="1" x="20"/>
        <item h="1" x="15"/>
        <item t="default"/>
      </items>
    </pivotField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4" showAll="0"/>
    <pivotField numFmtId="9" showAll="0"/>
    <pivotField numFmtId="164" showAll="0"/>
    <pivotField numFmtId="164" showAll="0"/>
    <pivotField dataField="1" numFmtId="164" showAll="0"/>
    <pivotField axis="axisCol" showAll="0">
      <items count="3">
        <item n="Enero 2024" x="0"/>
        <item n="Diciembre 2023" x="1"/>
        <item t="default"/>
      </items>
    </pivotField>
    <pivotField axis="axisCol" showAll="0">
      <items count="2">
        <item x="0"/>
        <item t="default"/>
      </items>
    </pivotField>
    <pivotField showAll="0"/>
    <pivotField showAll="0"/>
    <pivotField showAll="0"/>
    <pivotField numFmtId="164" showAll="0"/>
    <pivotField showAll="0"/>
  </pivotFields>
  <rowFields count="1">
    <field x="1"/>
  </rowFields>
  <rowItems count="2">
    <i>
      <x v="40"/>
    </i>
    <i t="grand">
      <x/>
    </i>
  </rowItems>
  <colFields count="2">
    <field x="19"/>
    <field x="18"/>
  </colFields>
  <colItems count="3">
    <i>
      <x/>
      <x/>
    </i>
    <i t="default">
      <x/>
    </i>
    <i t="grand">
      <x/>
    </i>
  </colItems>
  <dataFields count="1">
    <dataField name="VALOR ESTIMADO  POR DESEMBOLSAR 2023-2 _x000a_(20%)_" fld="17" baseField="0" baseItem="0"/>
  </dataFields>
  <formats count="40">
    <format dxfId="267">
      <pivotArea type="origin" dataOnly="0" labelOnly="1" outline="0" fieldPosition="0"/>
    </format>
    <format dxfId="266">
      <pivotArea field="19" type="button" dataOnly="0" labelOnly="1" outline="0" axis="axisCol" fieldPosition="0"/>
    </format>
    <format dxfId="265">
      <pivotArea field="18" type="button" dataOnly="0" labelOnly="1" outline="0" axis="axisCol" fieldPosition="1"/>
    </format>
    <format dxfId="264">
      <pivotArea type="topRight" dataOnly="0" labelOnly="1" outline="0" fieldPosition="0"/>
    </format>
    <format dxfId="263">
      <pivotArea field="1" type="button" dataOnly="0" labelOnly="1" outline="0" axis="axisRow" fieldPosition="0"/>
    </format>
    <format dxfId="262">
      <pivotArea dataOnly="0" labelOnly="1" fieldPosition="0">
        <references count="1">
          <reference field="19" count="0"/>
        </references>
      </pivotArea>
    </format>
    <format dxfId="261">
      <pivotArea dataOnly="0" labelOnly="1" fieldPosition="0">
        <references count="1">
          <reference field="19" count="0" defaultSubtotal="1"/>
        </references>
      </pivotArea>
    </format>
    <format dxfId="260">
      <pivotArea dataOnly="0" labelOnly="1" grandCol="1" outline="0" fieldPosition="0"/>
    </format>
    <format dxfId="259">
      <pivotArea dataOnly="0" labelOnly="1" fieldPosition="0">
        <references count="2">
          <reference field="18" count="0"/>
          <reference field="19" count="0" selected="0"/>
        </references>
      </pivotArea>
    </format>
    <format dxfId="258">
      <pivotArea type="origin" dataOnly="0" labelOnly="1" outline="0" fieldPosition="0"/>
    </format>
    <format dxfId="257">
      <pivotArea field="19" type="button" dataOnly="0" labelOnly="1" outline="0" axis="axisCol" fieldPosition="0"/>
    </format>
    <format dxfId="256">
      <pivotArea field="18" type="button" dataOnly="0" labelOnly="1" outline="0" axis="axisCol" fieldPosition="1"/>
    </format>
    <format dxfId="255">
      <pivotArea type="topRight" dataOnly="0" labelOnly="1" outline="0" fieldPosition="0"/>
    </format>
    <format dxfId="254">
      <pivotArea field="1" type="button" dataOnly="0" labelOnly="1" outline="0" axis="axisRow" fieldPosition="0"/>
    </format>
    <format dxfId="253">
      <pivotArea dataOnly="0" labelOnly="1" fieldPosition="0">
        <references count="1">
          <reference field="19" count="0"/>
        </references>
      </pivotArea>
    </format>
    <format dxfId="252">
      <pivotArea dataOnly="0" labelOnly="1" fieldPosition="0">
        <references count="1">
          <reference field="19" count="0" defaultSubtotal="1"/>
        </references>
      </pivotArea>
    </format>
    <format dxfId="251">
      <pivotArea dataOnly="0" labelOnly="1" grandCol="1" outline="0" fieldPosition="0"/>
    </format>
    <format dxfId="250">
      <pivotArea dataOnly="0" labelOnly="1" fieldPosition="0">
        <references count="2">
          <reference field="18" count="0"/>
          <reference field="19" count="0" selected="0"/>
        </references>
      </pivotArea>
    </format>
    <format dxfId="249">
      <pivotArea type="origin" dataOnly="0" labelOnly="1" outline="0" fieldPosition="0"/>
    </format>
    <format dxfId="248">
      <pivotArea field="19" type="button" dataOnly="0" labelOnly="1" outline="0" axis="axisCol" fieldPosition="0"/>
    </format>
    <format dxfId="247">
      <pivotArea field="18" type="button" dataOnly="0" labelOnly="1" outline="0" axis="axisCol" fieldPosition="1"/>
    </format>
    <format dxfId="246">
      <pivotArea type="topRight" dataOnly="0" labelOnly="1" outline="0" fieldPosition="0"/>
    </format>
    <format dxfId="245">
      <pivotArea field="1" type="button" dataOnly="0" labelOnly="1" outline="0" axis="axisRow" fieldPosition="0"/>
    </format>
    <format dxfId="244">
      <pivotArea dataOnly="0" labelOnly="1" fieldPosition="0">
        <references count="1">
          <reference field="19" count="0"/>
        </references>
      </pivotArea>
    </format>
    <format dxfId="243">
      <pivotArea dataOnly="0" labelOnly="1" fieldPosition="0">
        <references count="1">
          <reference field="19" count="0" defaultSubtotal="1"/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2">
          <reference field="18" count="0"/>
          <reference field="19" count="0" selected="0"/>
        </references>
      </pivotArea>
    </format>
    <format dxfId="240">
      <pivotArea field="18" type="button" dataOnly="0" labelOnly="1" outline="0" axis="axisCol" fieldPosition="1"/>
    </format>
    <format dxfId="239">
      <pivotArea dataOnly="0" labelOnly="1" offset="IV256" fieldPosition="0">
        <references count="1">
          <reference field="19" count="0"/>
        </references>
      </pivotArea>
    </format>
    <format dxfId="238">
      <pivotArea dataOnly="0" labelOnly="1" fieldPosition="0">
        <references count="2">
          <reference field="18" count="1">
            <x v="1"/>
          </reference>
          <reference field="19" count="0" selected="0"/>
        </references>
      </pivotArea>
    </format>
    <format dxfId="237">
      <pivotArea field="18" type="button" dataOnly="0" labelOnly="1" outline="0" axis="axisCol" fieldPosition="1"/>
    </format>
    <format dxfId="236">
      <pivotArea dataOnly="0" labelOnly="1" offset="IV256" fieldPosition="0">
        <references count="1">
          <reference field="19" count="0"/>
        </references>
      </pivotArea>
    </format>
    <format dxfId="235">
      <pivotArea dataOnly="0" labelOnly="1" fieldPosition="0">
        <references count="2">
          <reference field="18" count="1">
            <x v="1"/>
          </reference>
          <reference field="19" count="0" selected="0"/>
        </references>
      </pivotArea>
    </format>
    <format dxfId="234">
      <pivotArea collapsedLevelsAreSubtotals="1" fieldPosition="0">
        <references count="3">
          <reference field="1" count="0"/>
          <reference field="18" count="1" selected="0">
            <x v="1"/>
          </reference>
          <reference field="19" count="0" selected="0"/>
        </references>
      </pivotArea>
    </format>
    <format dxfId="233">
      <pivotArea collapsedLevelsAreSubtotals="1" fieldPosition="0">
        <references count="3">
          <reference field="1" count="0"/>
          <reference field="18" count="1" selected="0">
            <x v="0"/>
          </reference>
          <reference field="19" count="0" selected="0"/>
        </references>
      </pivotArea>
    </format>
    <format dxfId="232">
      <pivotArea collapsedLevelsAreSubtotals="1" fieldPosition="0">
        <references count="3">
          <reference field="1" count="0"/>
          <reference field="18" count="1" selected="0">
            <x v="0"/>
          </reference>
          <reference field="19" count="0" selected="0"/>
        </references>
      </pivotArea>
    </format>
    <format dxfId="231">
      <pivotArea dataOnly="0" labelOnly="1" fieldPosition="0">
        <references count="2">
          <reference field="18" count="1">
            <x v="0"/>
          </reference>
          <reference field="19" count="0" selected="0"/>
        </references>
      </pivotArea>
    </format>
    <format dxfId="230">
      <pivotArea dataOnly="0" outline="0" fieldPosition="0">
        <references count="1">
          <reference field="18" count="1">
            <x v="0"/>
          </reference>
        </references>
      </pivotArea>
    </format>
    <format dxfId="229">
      <pivotArea field="19" type="button" dataOnly="0" labelOnly="1" outline="0" axis="axisCol" fieldPosition="0"/>
    </format>
    <format dxfId="228">
      <pivotArea field="19" grandRow="1" outline="0" collapsedLevelsAreSubtotals="1" axis="axisCol" fieldPosition="0">
        <references count="2">
          <reference field="18" count="1" selected="0">
            <x v="1"/>
          </reference>
          <reference field="19" count="0" selected="0"/>
        </references>
      </pivotArea>
    </format>
  </format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a136" displayName="Tabla136" ref="A1:AD66" totalsRowCount="1" headerRowDxfId="227" dataDxfId="226">
  <autoFilter ref="A1:AD65" xr:uid="{00000000-0009-0000-0100-000005000000}"/>
  <tableColumns count="30">
    <tableColumn id="1" xr3:uid="{00000000-0010-0000-0000-000001000000}" name="No" dataDxfId="225" totalsRowDxfId="224"/>
    <tableColumn id="2" xr3:uid="{00000000-0010-0000-0000-000002000000}" name="NOMBRE IES" dataDxfId="223" totalsRowDxfId="222"/>
    <tableColumn id="5" xr3:uid="{00000000-0010-0000-0000-000005000000}" name="ENLACE 2023" dataDxfId="221" totalsRowDxfId="220"/>
    <tableColumn id="6" xr3:uid="{00000000-0010-0000-0000-000006000000}" name="VALOR PROYECTADO 2023-1" dataDxfId="219" totalsRowDxfId="218"/>
    <tableColumn id="7" xr3:uid="{00000000-0010-0000-0000-000007000000}" name="VALOR DESEMBOLSADO 2023-1 _x000a_80% (Concepto técnico)" dataDxfId="217" totalsRowDxfId="216">
      <calculatedColumnFormula>Tabla136[[#This Row],[VALOR PROYECTADO 2023-1]]*80%</calculatedColumnFormula>
    </tableColumn>
    <tableColumn id="21" xr3:uid="{00000000-0010-0000-0000-000015000000}" name="VALOR ESTIMADO  POR DESEMBOLSAR 2023-1 _x000a_(20%)" dataDxfId="215" totalsRowDxfId="214"/>
    <tableColumn id="18" xr3:uid="{00000000-0010-0000-0000-000012000000}" name="ESTADO DE ACTA DE CIERRE 2023-1 " dataDxfId="213" totalsRowDxfId="212"/>
    <tableColumn id="25" xr3:uid="{00000000-0010-0000-0000-000019000000}" name="PROYECIÓN MES DE GIRO 2023" dataDxfId="211" totalsRowDxfId="210"/>
    <tableColumn id="3" xr3:uid="{00000000-0010-0000-0000-000003000000}" name="¿FIRMADO?" dataDxfId="209" totalsRowDxfId="208"/>
    <tableColumn id="30" xr3:uid="{00000000-0010-0000-0000-00001E000000}" name="FECHA DE COMITÉ" dataDxfId="207" totalsRowDxfId="206"/>
    <tableColumn id="10" xr3:uid="{00000000-0010-0000-0000-00000A000000}" name="COMENTARIOS GIROS" dataDxfId="205" totalsRowDxfId="204"/>
    <tableColumn id="19" xr3:uid="{00000000-0010-0000-0000-000013000000}" name="VALOR A GIRAR_x000a_CIERRE 2023-1 " dataDxfId="203" totalsRowDxfId="202">
      <calculatedColumnFormula>Tabla136[[#This Row],[VALOR ESTIMADO  POR DESEMBOLSAR 2023-1 
(20%)]]</calculatedColumnFormula>
    </tableColumn>
    <tableColumn id="20" xr3:uid="{00000000-0010-0000-0000-000014000000}" name="VALOR A REINTEGRAR_x000a_CIERRE 2023-1" dataDxfId="201" totalsRowDxfId="200"/>
    <tableColumn id="26" xr3:uid="{00000000-0010-0000-0000-00001A000000}" name="VALOR EJECUTADO 2023-1" dataDxfId="199" totalsRowDxfId="198" dataCellStyle="Moneda">
      <calculatedColumnFormula>+Tabla136[[#This Row],[VALOR A GIRAR
CIERRE 2023-1 ]]+Tabla136[[#This Row],[VALOR DESEMBOLSADO 2023-1 
80% (Concepto técnico)]]</calculatedColumnFormula>
    </tableColumn>
    <tableColumn id="8" xr3:uid="{00000000-0010-0000-0000-000008000000}" name="DIFERENCIAS 2023-1 _x000a_(proyectado - ejecutado)" dataDxfId="197" totalsRowDxfId="196" dataCellStyle="Moneda">
      <calculatedColumnFormula>Tabla136[[#This Row],[VALOR PROYECTADO 2023-1]]-Tabla136[[#This Row],[VALOR EJECUTADO 2023-1]]</calculatedColumnFormula>
    </tableColumn>
    <tableColumn id="9" xr3:uid="{00000000-0010-0000-0000-000009000000}" name="PORCENTAJE DE EJECUCIÓN 2023-1_x000a_(ejecutado/proyectado)" dataDxfId="195" totalsRowDxfId="194">
      <calculatedColumnFormula>Tabla136[[#This Row],[VALOR EJECUTADO 2023-1]]/Tabla136[[#This Row],[VALOR PROYECTADO 2023-1]]</calculatedColumnFormula>
    </tableColumn>
    <tableColumn id="11" xr3:uid="{00000000-0010-0000-0000-00000B000000}" name="VALOR PROYECTADO 2023-2" dataDxfId="193" totalsRowDxfId="192" dataCellStyle="Moneda">
      <calculatedColumnFormula>VLOOKUP(Tabla136[[#This Row],[NOMBRE IES]],'[1]INFORMACIÓN IES'!$B:$M,12,0)</calculatedColumnFormula>
    </tableColumn>
    <tableColumn id="12" xr3:uid="{00000000-0010-0000-0000-00000C000000}" name="VALOR DESEMBOLSADO 2023-2 _x000a_80%3" dataDxfId="191" totalsRowDxfId="190" dataCellStyle="Moneda">
      <calculatedColumnFormula>Tabla136[[#This Row],[VALOR PROYECTADO 2023-2]]*80/100</calculatedColumnFormula>
    </tableColumn>
    <tableColumn id="17" xr3:uid="{00000000-0010-0000-0000-000011000000}" name="VALOR ESTIMADO  POR DESEMBOLSAR 2023-2 _x000a_(20%)4" totalsRowFunction="custom" dataDxfId="189" totalsRowDxfId="188" dataCellStyle="Moneda">
      <calculatedColumnFormula>+Tabla136[[#This Row],[VALOR PROYECTADO 2023-2]]-Tabla136[[#This Row],[VALOR DESEMBOLSADO 2023-2 
80%3]]</calculatedColumnFormula>
      <totalsRowFormula>SUM(Tabla136[VALOR ESTIMADO  POR DESEMBOLSAR 2023-2 
(20%)4])</totalsRowFormula>
    </tableColumn>
    <tableColumn id="28" xr3:uid="{00000000-0010-0000-0000-00001C000000}" name="PROYECCIÓN MES DE GIRO" dataDxfId="187" totalsRowDxfId="186"/>
    <tableColumn id="13" xr3:uid="{00000000-0010-0000-0000-00000D000000}" name="ESTADO DE ACTA DE CIERRE 2023-2" dataDxfId="185" totalsRowDxfId="184"/>
    <tableColumn id="22" xr3:uid="{00000000-0010-0000-0000-000016000000}" name="VALOR A GIRAR_x000a_CIERRE 2023-2" dataDxfId="183" totalsRowDxfId="182"/>
    <tableColumn id="23" xr3:uid="{00000000-0010-0000-0000-000017000000}" name="VALOR A REINTEGRAR_x000a_CIERRE 2023-2" dataDxfId="181" totalsRowDxfId="180"/>
    <tableColumn id="24" xr3:uid="{00000000-0010-0000-0000-000018000000}" name="VALOR EJECUTADO 2023-2" dataDxfId="179" totalsRowDxfId="178"/>
    <tableColumn id="16" xr3:uid="{00000000-0010-0000-0000-000010000000}" name="DIFERENCIAS 2023-2 _x000a_(proyectado - ejecutado)" dataDxfId="177" totalsRowDxfId="176">
      <calculatedColumnFormula>Tabla136[[#This Row],[VALOR PROYECTADO 2023-2]]-Tabla136[[#This Row],[VALOR EJECUTADO 2023-2]]</calculatedColumnFormula>
    </tableColumn>
    <tableColumn id="14" xr3:uid="{00000000-0010-0000-0000-00000E000000}" name="PORCENTAJE DE EJECUCIÓN 2023-2_x000a_(ejecutado/proyectado)" dataDxfId="175" totalsRowDxfId="174">
      <calculatedColumnFormula>Tabla136[[#This Row],[VALOR EJECUTADO 2023-2]]/Tabla136[[#This Row],[VALOR PROYECTADO 2023-2]]</calculatedColumnFormula>
    </tableColumn>
    <tableColumn id="33" xr3:uid="{00000000-0010-0000-0000-000021000000}" name="PROYECIÓN MES DE GIRO 20232" dataDxfId="173" totalsRowDxfId="172"/>
    <tableColumn id="32" xr3:uid="{00000000-0010-0000-0000-000020000000}" name="¿FIRMADO?2" dataDxfId="171" totalsRowDxfId="170"/>
    <tableColumn id="31" xr3:uid="{00000000-0010-0000-0000-00001F000000}" name="FECHA DE COMITÉ2" dataDxfId="169" totalsRowDxfId="168"/>
    <tableColumn id="15" xr3:uid="{00000000-0010-0000-0000-00000F000000}" name="Comentarios" dataDxfId="167" totalsRowDxfId="166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13" displayName="Tabla13" ref="A1:I66" totalsRowCount="1" headerRowDxfId="165" dataDxfId="164">
  <autoFilter ref="A1:I65" xr:uid="{00000000-0009-0000-0100-000002000000}"/>
  <tableColumns count="9">
    <tableColumn id="2" xr3:uid="{00000000-0010-0000-0100-000002000000}" name="NOMBRE IES" dataDxfId="163" totalsRowDxfId="71"/>
    <tableColumn id="21" xr3:uid="{00000000-0010-0000-0100-000015000000}" name="ESTADO DE PAGO 80% 2023-1" totalsRowFunction="sum" dataDxfId="162" totalsRowDxfId="70"/>
    <tableColumn id="3" xr3:uid="{3F1F1E21-8613-4AB5-95B4-B0F8FE838529}" name="FECHA DE PAGO DEL 80% - 2023-1" dataDxfId="161" totalsRowDxfId="69" dataCellStyle="Moneda"/>
    <tableColumn id="46" xr3:uid="{4452875E-968C-4C34-8ECD-CBD6D74472D0}" name="ESTADO DE PAGO 20% 2023-1" dataDxfId="160" totalsRowDxfId="68" dataCellStyle="Moneda"/>
    <tableColumn id="8" xr3:uid="{52F0B74B-3820-4561-AC11-311482DC0733}" name="FECHA DE GIRO DEL 20% - 2023-1" dataDxfId="159" totalsRowDxfId="67"/>
    <tableColumn id="45" xr3:uid="{9EEE9E9E-2C31-4C78-AB36-E1BF3276AD0A}" name="ESTADO DE PAGO 80% 2023-2" dataDxfId="158" totalsRowDxfId="66" dataCellStyle="Moneda"/>
    <tableColumn id="12" xr3:uid="{F76A1121-2AAE-468C-9D3E-F956F28A65FA}" name="FECHA DE PAGO DEL 80% - 2023-2" dataDxfId="157" totalsRowDxfId="65"/>
    <tableColumn id="44" xr3:uid="{55E2AB6E-3DA3-485E-8411-5793B912A28A}" name="ESTADO DE PAGO 20% 2023-2" dataDxfId="156" totalsRowDxfId="64"/>
    <tableColumn id="22" xr3:uid="{DA651393-1E37-4A0E-8B49-EF8D52317A66}" name="FECHA DE GIRO DEL 20% - 2023-2" dataDxfId="155" totalsRowDxfId="63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a135" displayName="Tabla135" ref="A1:Y66" totalsRowShown="0" headerRowDxfId="152" dataDxfId="151">
  <autoFilter ref="A1:Y66" xr:uid="{00000000-0009-0000-0100-000004000000}">
    <filterColumn colId="5">
      <filters>
        <filter val="Cargada"/>
      </filters>
    </filterColumn>
    <filterColumn colId="10">
      <filters>
        <filter val="$ 1.061.514.898"/>
        <filter val="$ 1.498.409.641"/>
        <filter val="$ 1.815.451.421"/>
        <filter val="$ 107.905.912"/>
        <filter val="$ 114.322.016"/>
        <filter val="$ 2.342.492.673"/>
        <filter val="$ 2.384.691.680"/>
        <filter val="$ 2.460.003.331"/>
        <filter val="$ 210.837.591"/>
        <filter val="$ 232.793.723"/>
        <filter val="$ 234.766.726"/>
        <filter val="$ 239.536.271"/>
        <filter val="$ 245.358.290"/>
        <filter val="$ 254.752.165,00"/>
        <filter val="$ 294.972.606"/>
        <filter val="$ 3.274.062.237"/>
        <filter val="$ 3.438.605.429"/>
        <filter val="$ 3.748.647.481"/>
        <filter val="$ 322.839.149"/>
        <filter val="$ 349.033.779"/>
        <filter val="$ 393.612.470"/>
        <filter val="$ 461.773.870"/>
        <filter val="$ 471.786.705"/>
        <filter val="$ 52.207.584"/>
        <filter val="$ 547.937.297"/>
        <filter val="$ 554.058.953"/>
        <filter val="$ 563.897.532"/>
        <filter val="$ 593.058.816"/>
        <filter val="$ 6.013.503.975"/>
        <filter val="$ 60.011.317"/>
        <filter val="$ 628.938.771"/>
        <filter val="$ 631.719.631"/>
        <filter val="$ 66.334.035"/>
        <filter val="$ 710.880.442"/>
        <filter val="$ 759.049.373"/>
      </filters>
    </filterColumn>
  </autoFilter>
  <tableColumns count="25">
    <tableColumn id="1" xr3:uid="{00000000-0010-0000-0200-000001000000}" name="No" dataDxfId="150" totalsRowDxfId="149"/>
    <tableColumn id="2" xr3:uid="{00000000-0010-0000-0200-000002000000}" name="NOMBRE IES" dataDxfId="148" totalsRowDxfId="147"/>
    <tableColumn id="6" xr3:uid="{00000000-0010-0000-0200-000006000000}" name="VALOR PROYECTADO 2023-1" dataDxfId="146" totalsRowDxfId="145"/>
    <tableColumn id="7" xr3:uid="{00000000-0010-0000-0200-000007000000}" name="VALOR DESEMBOLSADO 2023-1 _x000a_80% (Concepto técnico)" dataDxfId="144" totalsRowDxfId="143">
      <calculatedColumnFormula>Tabla135[[#This Row],[VALOR PROYECTADO 2023-1]]*80%</calculatedColumnFormula>
    </tableColumn>
    <tableColumn id="21" xr3:uid="{00000000-0010-0000-0200-000015000000}" name="VALOR ESTIMADO  POR DESEMBOLSAR 2023-1 _x000a_(20%)" dataDxfId="142" totalsRowDxfId="141"/>
    <tableColumn id="18" xr3:uid="{00000000-0010-0000-0200-000012000000}" name="ESTADO DE ACTA DE CIERRE 2023-1 " dataDxfId="140" totalsRowDxfId="139"/>
    <tableColumn id="25" xr3:uid="{00000000-0010-0000-0200-000019000000}" name="PROYECIÓN MES DE GIRO 2023" dataDxfId="138" totalsRowDxfId="137"/>
    <tableColumn id="3" xr3:uid="{00000000-0010-0000-0200-000003000000}" name="¿FIRMADO?" dataDxfId="136" totalsRowDxfId="135"/>
    <tableColumn id="10" xr3:uid="{00000000-0010-0000-0200-00000A000000}" name="Observaciones _x000a_(Explique brevemente porque la IES no ha generado el acta) " dataDxfId="134" totalsRowDxfId="133"/>
    <tableColumn id="15" xr3:uid="{00000000-0010-0000-0200-00000F000000}" name="Fecha de cargue del acta firmada por la IES _x000a_(coloque la fecha en la cual la IES cargará el acta firmada) _x000a_" dataDxfId="132" totalsRowDxfId="131"/>
    <tableColumn id="19" xr3:uid="{00000000-0010-0000-0200-000013000000}" name="VALOR A GIRAR_x000a_CIERRE 2023-1 " dataDxfId="130" totalsRowDxfId="129" dataCellStyle="Moneda">
      <calculatedColumnFormula>Tabla135[[#This Row],[VALOR ESTIMADO  POR DESEMBOLSAR 2023-1 
(20%)]]</calculatedColumnFormula>
    </tableColumn>
    <tableColumn id="20" xr3:uid="{00000000-0010-0000-0200-000014000000}" name="VALOR A REINTEGRAR_x000a_CIERRE 2023-1" dataDxfId="128" totalsRowDxfId="127"/>
    <tableColumn id="26" xr3:uid="{00000000-0010-0000-0200-00001A000000}" name="VALOR EJECUTADO 2023-1" dataDxfId="126" totalsRowDxfId="125" dataCellStyle="Moneda">
      <calculatedColumnFormula>+Tabla135[[#This Row],[VALOR A GIRAR
CIERRE 2023-1 ]]+Tabla135[[#This Row],[VALOR DESEMBOLSADO 2023-1 
80% (Concepto técnico)]]</calculatedColumnFormula>
    </tableColumn>
    <tableColumn id="8" xr3:uid="{00000000-0010-0000-0200-000008000000}" name="DIFERENCIAS 2023-1 _x000a_(proyectado - ejecutado)" dataDxfId="124" totalsRowDxfId="123" dataCellStyle="Moneda">
      <calculatedColumnFormula>Tabla135[[#This Row],[VALOR PROYECTADO 2023-1]]-Tabla135[[#This Row],[VALOR EJECUTADO 2023-1]]</calculatedColumnFormula>
    </tableColumn>
    <tableColumn id="9" xr3:uid="{00000000-0010-0000-0200-000009000000}" name="PORCENTAJE DE EJECUCIÓN 2023-1_x000a_(ejecutado/proyectado)" dataDxfId="122" totalsRowDxfId="121">
      <calculatedColumnFormula>Tabla135[[#This Row],[VALOR EJECUTADO 2023-1]]/Tabla135[[#This Row],[VALOR PROYECTADO 2023-1]]</calculatedColumnFormula>
    </tableColumn>
    <tableColumn id="11" xr3:uid="{00000000-0010-0000-0200-00000B000000}" name="VALOR PROYECTADO 2023-2" dataDxfId="120" totalsRowDxfId="119" dataCellStyle="Moneda">
      <calculatedColumnFormula>VLOOKUP(Tabla135[[#This Row],[NOMBRE IES]],'[1]INFORMACIÓN IES'!$B:$M,12,0)</calculatedColumnFormula>
    </tableColumn>
    <tableColumn id="12" xr3:uid="{00000000-0010-0000-0200-00000C000000}" name="VALOR DESEMBOLSADO 2023-2 _x000a_80%3" dataDxfId="118" totalsRowDxfId="117" dataCellStyle="Moneda">
      <calculatedColumnFormula>VLOOKUP(Tabla135[[#This Row],[NOMBRE IES]],'[1]INFORMACIÓN IES'!$B:$N,13,0)</calculatedColumnFormula>
    </tableColumn>
    <tableColumn id="17" xr3:uid="{00000000-0010-0000-0200-000011000000}" name="VALOR ESTIMADO  POR DESEMBOLSAR 2023-2 _x000a_(20%)4" dataDxfId="116" totalsRowDxfId="115" dataCellStyle="Moneda">
      <calculatedColumnFormula>+Tabla135[[#This Row],[VALOR PROYECTADO 2023-2]]-Tabla135[[#This Row],[VALOR DESEMBOLSADO 2023-2 
80%3]]</calculatedColumnFormula>
    </tableColumn>
    <tableColumn id="28" xr3:uid="{00000000-0010-0000-0200-00001C000000}" name="PROYECCIÓN MES DE GIRO" dataDxfId="114" totalsRowDxfId="113"/>
    <tableColumn id="13" xr3:uid="{00000000-0010-0000-0200-00000D000000}" name="ESTADO DE ACTA DE CIERRE 2023-2" dataDxfId="112" totalsRowDxfId="111"/>
    <tableColumn id="22" xr3:uid="{00000000-0010-0000-0200-000016000000}" name="VALOR A GIRAR_x000a_CIERRE 2023-2" dataDxfId="110" totalsRowDxfId="109"/>
    <tableColumn id="23" xr3:uid="{00000000-0010-0000-0200-000017000000}" name="VALOR A REINTEGRAR_x000a_CIERRE 2023-2" dataDxfId="108" totalsRowDxfId="107"/>
    <tableColumn id="24" xr3:uid="{00000000-0010-0000-0200-000018000000}" name="VALOR EJECUTADO 2023-2" dataDxfId="106" totalsRowDxfId="105"/>
    <tableColumn id="16" xr3:uid="{00000000-0010-0000-0200-000010000000}" name="DIFERENCIAS 2023-2 _x000a_(proyectado - ejecutado)" dataDxfId="104" totalsRowDxfId="103">
      <calculatedColumnFormula>Tabla135[[#This Row],[VALOR PROYECTADO 2023-2]]-Tabla135[[#This Row],[VALOR EJECUTADO 2023-2]]</calculatedColumnFormula>
    </tableColumn>
    <tableColumn id="14" xr3:uid="{00000000-0010-0000-0200-00000E000000}" name="PORCENTAJE DE EJECUCIÓN 2023-2_x000a_(ejecutado/proyectado)" dataDxfId="102" totalsRowDxfId="101">
      <calculatedColumnFormula>Tabla135[[#This Row],[VALOR EJECUTADO 2023-2]]/Tabla135[[#This Row],[VALOR PROYECTADO 2023-2]]</calculatedColumnFormula>
    </tableColumn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a1" displayName="Tabla1" ref="A1:AA65" totalsRowShown="0" headerRowDxfId="100" dataDxfId="99">
  <autoFilter ref="A1:AA65" xr:uid="{00000000-0009-0000-0100-000001000000}">
    <filterColumn colId="8">
      <filters>
        <filter val="Sin generar"/>
      </filters>
    </filterColumn>
  </autoFilter>
  <sortState xmlns:xlrd2="http://schemas.microsoft.com/office/spreadsheetml/2017/richdata2" ref="A2:AA65">
    <sortCondition ref="E1:E65"/>
  </sortState>
  <tableColumns count="27">
    <tableColumn id="1" xr3:uid="{00000000-0010-0000-0300-000001000000}" name="No" dataDxfId="98"/>
    <tableColumn id="2" xr3:uid="{00000000-0010-0000-0300-000002000000}" name="NOMBRE IES" dataDxfId="97"/>
    <tableColumn id="3" xr3:uid="{00000000-0010-0000-0300-000003000000}" name="DEPARTAMENTO" dataDxfId="96"/>
    <tableColumn id="4" xr3:uid="{00000000-0010-0000-0300-000004000000}" name="MUNICIPIO" dataDxfId="95"/>
    <tableColumn id="5" xr3:uid="{00000000-0010-0000-0300-000005000000}" name="ENLACE 2023" dataDxfId="94"/>
    <tableColumn id="6" xr3:uid="{00000000-0010-0000-0300-000006000000}" name="VALOR PROYECTADO 2023-1" dataDxfId="93"/>
    <tableColumn id="7" xr3:uid="{00000000-0010-0000-0300-000007000000}" name="VALOR DESEMBOLSADO 2023-1 _x000a_80% (Concepto técnico)" dataDxfId="92">
      <calculatedColumnFormula>Tabla1[[#This Row],[VALOR PROYECTADO 2023-1]]*80%</calculatedColumnFormula>
    </tableColumn>
    <tableColumn id="21" xr3:uid="{00000000-0010-0000-0300-000015000000}" name="VALOR ESTIMADO  POR DESEMBOLSAR 2023-1 _x000a_(20%)" dataDxfId="91"/>
    <tableColumn id="18" xr3:uid="{00000000-0010-0000-0300-000012000000}" name="ESTADO DE ACTA DE CIERRE 2023-1 " dataDxfId="90"/>
    <tableColumn id="25" xr3:uid="{00000000-0010-0000-0300-000019000000}" name="PROYECIÓN MES DE GIRO 2023" dataDxfId="89"/>
    <tableColumn id="10" xr3:uid="{00000000-0010-0000-0300-00000A000000}" name="Observaciones _x000a_(Explique brevemente porque la IES no ha generado el acta) " dataDxfId="88"/>
    <tableColumn id="15" xr3:uid="{00000000-0010-0000-0300-00000F000000}" name="Fecha de cargue del acta firmada por la IES _x000a_(coloque la fecha en la cual la IES cargará el acta firmada) _x000a_" dataDxfId="87"/>
    <tableColumn id="19" xr3:uid="{00000000-0010-0000-0300-000013000000}" name="VALOR A GIRAR_x000a_CIERRE 2023-1 " dataDxfId="86">
      <calculatedColumnFormula>Tabla1[[#This Row],[VALOR ESTIMADO  POR DESEMBOLSAR 2023-1 
(20%)]]</calculatedColumnFormula>
    </tableColumn>
    <tableColumn id="20" xr3:uid="{00000000-0010-0000-0300-000014000000}" name="VALOR A REINTEGRAR_x000a_CIERRE 2023-1" dataDxfId="85"/>
    <tableColumn id="26" xr3:uid="{00000000-0010-0000-0300-00001A000000}" name="VALOR EJECUTADO 2023-1" dataDxfId="84" dataCellStyle="Moneda">
      <calculatedColumnFormula>+Tabla1[[#This Row],[VALOR A GIRAR
CIERRE 2023-1 ]]+Tabla1[[#This Row],[VALOR DESEMBOLSADO 2023-1 
80% (Concepto técnico)]]</calculatedColumnFormula>
    </tableColumn>
    <tableColumn id="8" xr3:uid="{00000000-0010-0000-0300-000008000000}" name="DIFERENCIAS 2023-1 _x000a_(proyectado - ejecutado)" dataDxfId="83" dataCellStyle="Moneda">
      <calculatedColumnFormula>Tabla1[[#This Row],[VALOR PROYECTADO 2023-1]]-Tabla1[[#This Row],[VALOR EJECUTADO 2023-1]]</calculatedColumnFormula>
    </tableColumn>
    <tableColumn id="9" xr3:uid="{00000000-0010-0000-0300-000009000000}" name="PORCENTAJE DE EJECUCIÓN 2023-1_x000a_(ejecutado/proyectado)" dataDxfId="82">
      <calculatedColumnFormula>Tabla1[[#This Row],[VALOR EJECUTADO 2023-1]]/Tabla1[[#This Row],[VALOR PROYECTADO 2023-1]]</calculatedColumnFormula>
    </tableColumn>
    <tableColumn id="11" xr3:uid="{00000000-0010-0000-0300-00000B000000}" name="VALOR PROYECTADO 2023-2" dataDxfId="81" dataCellStyle="Moneda">
      <calculatedColumnFormula>VLOOKUP(Tabla1[[#This Row],[NOMBRE IES]],'[1]INFORMACIÓN IES'!$B:$M,12,0)</calculatedColumnFormula>
    </tableColumn>
    <tableColumn id="12" xr3:uid="{00000000-0010-0000-0300-00000C000000}" name="VALOR DESEMBOLSADO 2023-2 _x000a_80%3" dataDxfId="80" dataCellStyle="Moneda">
      <calculatedColumnFormula>VLOOKUP(Tabla1[[#This Row],[NOMBRE IES]],'[1]INFORMACIÓN IES'!$B:$N,13,0)</calculatedColumnFormula>
    </tableColumn>
    <tableColumn id="17" xr3:uid="{00000000-0010-0000-0300-000011000000}" name="VALOR ESTIMADO  POR DESEMBOLSAR 2023-2 _x000a_(20%)4" dataDxfId="79" dataCellStyle="Moneda">
      <calculatedColumnFormula>+Tabla1[[#This Row],[VALOR PROYECTADO 2023-2]]-Tabla1[[#This Row],[VALOR DESEMBOLSADO 2023-2 
80%3]]</calculatedColumnFormula>
    </tableColumn>
    <tableColumn id="28" xr3:uid="{00000000-0010-0000-0300-00001C000000}" name="PROYECCIÓN MES DE GIRO" dataDxfId="78"/>
    <tableColumn id="13" xr3:uid="{00000000-0010-0000-0300-00000D000000}" name="ESTADO DE ACTA DE CIERRE 2023-2" dataDxfId="77"/>
    <tableColumn id="22" xr3:uid="{00000000-0010-0000-0300-000016000000}" name="VALOR A GIRAR_x000a_CIERRE 2023-2" dataDxfId="76"/>
    <tableColumn id="23" xr3:uid="{00000000-0010-0000-0300-000017000000}" name="VALOR A REINTEGRAR_x000a_CIERRE 2023-2" dataDxfId="75"/>
    <tableColumn id="24" xr3:uid="{00000000-0010-0000-0300-000018000000}" name="VALOR EJECUTADO 2023-2" dataDxfId="74"/>
    <tableColumn id="16" xr3:uid="{00000000-0010-0000-0300-000010000000}" name="DIFERENCIAS 2023-2 _x000a_(proyectado - ejecutado)" dataDxfId="73">
      <calculatedColumnFormula>Tabla1[[#This Row],[VALOR PROYECTADO 2023-2]]-Tabla1[[#This Row],[VALOR EJECUTADO 2023-2]]</calculatedColumnFormula>
    </tableColumn>
    <tableColumn id="14" xr3:uid="{00000000-0010-0000-0300-00000E000000}" name="PORCENTAJE DE EJECUCIÓN 2023-2_x000a_(ejecutado/proyectado)" dataDxfId="72">
      <calculatedColumnFormula>Tabla1[[#This Row],[VALOR EJECUTADO 2023-2]]/Tabla1[[#This Row],[VALOR PROYECTADO 2023-2]]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3-10-12T19:11:02.94" personId="{58AFDEC7-0CB4-49F4-92E8-D460B97A55FB}" id="{3DB8662A-97E6-457D-A239-1DCA884C96C5}">
    <text xml:space="preserve">Diligenciar cada enlace
</text>
  </threadedComment>
  <threadedComment ref="E1" dT="2023-10-12T19:11:14.09" personId="{58AFDEC7-0CB4-49F4-92E8-D460B97A55FB}" id="{AF1E9A3E-DE95-465D-8271-B5A4664D659F}">
    <text>Enlace</text>
  </threadedComment>
  <threadedComment ref="F1" dT="2023-10-11T22:59:41.67" personId="{58AFDEC7-0CB4-49F4-92E8-D460B97A55FB}" id="{07D38680-CAD7-4F08-B413-66FD55E9205B}">
    <text xml:space="preserve">Enlace
</text>
  </threadedComment>
  <threadedComment ref="L1" dT="2023-10-12T19:13:46.50" personId="{58AFDEC7-0CB4-49F4-92E8-D460B97A55FB}" id="{85195D2D-F982-4865-8EB3-60EC1B1B8CA6}">
    <text>Relacionar el total una vez este conciliada la información</text>
  </threadedComment>
  <threadedComment ref="M1" dT="2023-10-12T19:14:01.69" personId="{58AFDEC7-0CB4-49F4-92E8-D460B97A55FB}" id="{4260C4D8-4BE4-43B9-8956-64E989CFFD49}">
    <text>Si la IES/MEN debe reintegrar recursos</text>
  </threadedComment>
  <threadedComment ref="N1" dT="2023-10-12T19:14:47.40" personId="{58AFDEC7-0CB4-49F4-92E8-D460B97A55FB}" id="{3130ACC3-6702-4EF1-A2C7-A047A872B4CE}">
    <text>De acuerdo con la base con la que validamos</text>
  </threadedComment>
  <threadedComment ref="S1" dT="2023-10-11T22:59:41.67" personId="{58AFDEC7-0CB4-49F4-92E8-D460B97A55FB}" id="{63540209-7604-4E60-A339-057CE2C009B7}">
    <text xml:space="preserve">Cambia una vez se vayan diligenciando las demas columnas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" dT="2023-10-11T22:59:41.67" personId="{58AFDEC7-0CB4-49F4-92E8-D460B97A55FB}" id="{8B0F5E52-9213-4DFE-B2B7-E021732AD139}">
    <text xml:space="preserve">Enlace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1" dT="2024-02-27T20:47:57.72" personId="{58AFDEC7-0CB4-49F4-92E8-D460B97A55FB}" id="{76BC3085-C641-4349-9F60-2F3A492F9F09}">
    <text>Cada enlace confirmar si corresponde al valor del concepto</text>
  </threadedComment>
  <threadedComment ref="S1" dT="2023-10-12T19:14:01.69" personId="{58AFDEC7-0CB4-49F4-92E8-D460B97A55FB}" id="{EE382AB9-000A-4D94-B64E-36F20FA35D04}">
    <text>Si la IES/MEN debe reintegrar recursos</text>
  </threadedComment>
  <threadedComment ref="Y1" dT="2024-02-27T20:47:57.72" personId="{58AFDEC7-0CB4-49F4-92E8-D460B97A55FB}" id="{3DA40EDA-E78C-4D94-BD8B-E3DC635D36E1}">
    <text>Cada enlace confirmar si corresponde al valor del concepto</text>
  </threadedComment>
  <threadedComment ref="AJ1" dT="2023-10-12T19:14:01.69" personId="{58AFDEC7-0CB4-49F4-92E8-D460B97A55FB}" id="{0D019765-E6EF-4C1C-BF2F-29265516FA1F}">
    <text>Si la IES/MEN debe reintegrar recursos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C1" dT="2024-02-27T20:47:57.72" personId="{58AFDEC7-0CB4-49F4-92E8-D460B97A55FB}" id="{83E1B123-7121-4C3E-8FB8-37E74CFDFD27}">
    <text>Cada enlace confirmar si corresponde al valor del concepto</text>
  </threadedComment>
  <threadedComment ref="G1" dT="2024-02-27T20:47:57.72" personId="{58AFDEC7-0CB4-49F4-92E8-D460B97A55FB}" id="{DD361419-A615-4F39-8137-821EFA7BD10D}">
    <text>Cada enlace confirmar si corresponde al valor del concepto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1" dT="2024-02-27T20:47:57.72" personId="{58AFDEC7-0CB4-49F4-92E8-D460B97A55FB}" id="{B075EA24-F37B-4AA0-97AF-4834C6B30C36}">
    <text>Cada enlace confirmar si corresponde al valor del concepto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C1" dT="2023-10-12T19:11:02.94" personId="{58AFDEC7-0CB4-49F4-92E8-D460B97A55FB}" id="{CDDDC5AE-4C2D-4271-9B28-126E3B988E72}">
    <text xml:space="preserve">Diligenciar cada enlace
</text>
  </threadedComment>
  <threadedComment ref="D1" dT="2023-10-12T19:11:14.09" personId="{58AFDEC7-0CB4-49F4-92E8-D460B97A55FB}" id="{8BCB38E9-1D31-4A25-A983-0B9BFBA61CEC}">
    <text>Enlace</text>
  </threadedComment>
  <threadedComment ref="E1" dT="2023-10-11T22:59:41.67" personId="{58AFDEC7-0CB4-49F4-92E8-D460B97A55FB}" id="{6909D854-6653-4208-9F97-3E0D12EF9DBE}">
    <text xml:space="preserve">Enlace
</text>
  </threadedComment>
  <threadedComment ref="K1" dT="2023-10-12T19:13:46.50" personId="{58AFDEC7-0CB4-49F4-92E8-D460B97A55FB}" id="{B4265C72-B089-495E-AC5A-C4CB51430379}">
    <text>Relacionar el total una vez este conciliada la información</text>
  </threadedComment>
  <threadedComment ref="L1" dT="2023-10-12T19:14:01.69" personId="{58AFDEC7-0CB4-49F4-92E8-D460B97A55FB}" id="{6BA4375A-7C69-4A5B-8E67-85BB42F5A27A}">
    <text>Si la IES/MEN debe reintegrar recursos</text>
  </threadedComment>
  <threadedComment ref="M1" dT="2023-10-12T19:14:47.40" personId="{58AFDEC7-0CB4-49F4-92E8-D460B97A55FB}" id="{2E8888F0-01B2-4E7A-A3E9-BBA1DD2E42C3}">
    <text>De acuerdo con la base con la que validamos</text>
  </threadedComment>
  <threadedComment ref="R1" dT="2023-10-11T22:59:41.67" personId="{58AFDEC7-0CB4-49F4-92E8-D460B97A55FB}" id="{BD220FC1-C4E6-4971-986E-5A09B5EE90BF}">
    <text xml:space="preserve">Cambia una vez se vayan diligenciando las demas columnas
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F1" dT="2023-10-12T19:11:02.94" personId="{58AFDEC7-0CB4-49F4-92E8-D460B97A55FB}" id="{9E07F294-6F7F-4172-B322-8AC1B7B22708}">
    <text xml:space="preserve">Diligenciar cada enlace
</text>
  </threadedComment>
  <threadedComment ref="G1" dT="2023-10-12T19:11:14.09" personId="{58AFDEC7-0CB4-49F4-92E8-D460B97A55FB}" id="{A7C34309-E5BA-42F2-8F78-4B7D1CC84D46}">
    <text>Enlace</text>
  </threadedComment>
  <threadedComment ref="H1" dT="2023-10-11T22:59:41.67" personId="{58AFDEC7-0CB4-49F4-92E8-D460B97A55FB}" id="{771C3B82-A8DD-1C48-8176-54DABAC3AB03}">
    <text xml:space="preserve">Enlace
</text>
  </threadedComment>
  <threadedComment ref="M1" dT="2023-10-12T19:13:46.50" personId="{58AFDEC7-0CB4-49F4-92E8-D460B97A55FB}" id="{F617E5A2-864A-471E-9C3C-E54125BA47B3}">
    <text>Relacionar el total una vez este conciliada la información</text>
  </threadedComment>
  <threadedComment ref="N1" dT="2023-10-12T19:14:01.69" personId="{58AFDEC7-0CB4-49F4-92E8-D460B97A55FB}" id="{6E339FAD-87EB-4E42-9AC7-B958D4AF4BCD}">
    <text>Si la IES/MEN debe reintegrar recursos</text>
  </threadedComment>
  <threadedComment ref="O1" dT="2023-10-12T19:14:47.40" personId="{58AFDEC7-0CB4-49F4-92E8-D460B97A55FB}" id="{1D95D2C6-5EA5-4C76-B46B-B6B3053EB223}">
    <text>De acuerdo con la base con la que validamos</text>
  </threadedComment>
  <threadedComment ref="T1" dT="2023-10-11T22:59:41.67" personId="{58AFDEC7-0CB4-49F4-92E8-D460B97A55FB}" id="{D0E51A97-1F2D-8047-9895-EA30954D5E84}">
    <text xml:space="preserve">Cambia una vez se vayan diligenciando las demas columnas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2.vml"/><Relationship Id="rId4" Type="http://schemas.microsoft.com/office/2017/10/relationships/threadedComment" Target="../threadedComments/threadedComment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4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hyperlink" Target="https://nam02.safelinks.protection.outlook.com/?url=http%3A%2F%2Fitfip.edu.co%2F&amp;data=05%7C01%7Cjespinosa%40mineducacion.gov.co%7C956325ceb25f43d0bde008dbeaa52e12%7C31fcfb3f8a0b4ab5b79274c9062b9c8e%7C0%7C0%7C638361767926628674%7CUnknown%7CTWFpbGZsb3d8eyJWIjoiMC4wLjAwMDAiLCJQIjoiV2luMzIiLCJBTiI6Ik1haWwiLCJXVCI6Mn0%3D%7C3000%7C%7C%7C&amp;sdata=vbqwv%2BpC7yTVxkFT6cUmEF66H5Om5%2Bs1v%2Bjf6MR6o%2Fo%3D&amp;reserved=0" TargetMode="Externa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7.vml"/><Relationship Id="rId4" Type="http://schemas.microsoft.com/office/2017/10/relationships/threadedComment" Target="../threadedComments/threadedComment6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table" Target="../tables/table4.xml"/><Relationship Id="rId1" Type="http://schemas.openxmlformats.org/officeDocument/2006/relationships/vmlDrawing" Target="../drawings/vmlDrawing8.vml"/><Relationship Id="rId4" Type="http://schemas.microsoft.com/office/2017/10/relationships/threadedComment" Target="../threadedComments/threadedComment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3:H70"/>
  <sheetViews>
    <sheetView workbookViewId="0">
      <selection activeCell="C6" sqref="C6"/>
    </sheetView>
  </sheetViews>
  <sheetFormatPr baseColWidth="10" defaultColWidth="11.42578125" defaultRowHeight="15" x14ac:dyDescent="0.25"/>
  <cols>
    <col min="1" max="1" width="29.42578125" bestFit="1" customWidth="1"/>
    <col min="2" max="2" width="25.28515625" style="29" customWidth="1"/>
    <col min="3" max="3" width="16" style="29" bestFit="1" customWidth="1"/>
    <col min="4" max="4" width="12.5703125" style="29" bestFit="1" customWidth="1"/>
    <col min="5" max="5" width="18.28515625" style="29" bestFit="1" customWidth="1"/>
    <col min="6" max="7" width="19.28515625" style="29" bestFit="1" customWidth="1"/>
    <col min="8" max="8" width="20.28515625" style="29" bestFit="1" customWidth="1"/>
  </cols>
  <sheetData>
    <row r="3" spans="1:8" ht="45" x14ac:dyDescent="0.25">
      <c r="A3" s="48" t="s">
        <v>0</v>
      </c>
      <c r="B3" s="466" t="s">
        <v>1</v>
      </c>
      <c r="C3"/>
      <c r="D3"/>
      <c r="E3"/>
      <c r="F3"/>
      <c r="G3"/>
      <c r="H3"/>
    </row>
    <row r="4" spans="1:8" x14ac:dyDescent="0.25">
      <c r="A4" s="2"/>
      <c r="B4" s="462" t="s">
        <v>2</v>
      </c>
      <c r="C4" s="462" t="s">
        <v>3</v>
      </c>
      <c r="D4" s="464" t="s">
        <v>4</v>
      </c>
      <c r="E4"/>
      <c r="F4"/>
      <c r="G4"/>
      <c r="H4"/>
    </row>
    <row r="5" spans="1:8" ht="30" x14ac:dyDescent="0.25">
      <c r="A5" s="49" t="s">
        <v>5</v>
      </c>
      <c r="B5" s="463" t="s">
        <v>6</v>
      </c>
      <c r="C5" s="462"/>
      <c r="D5" s="464"/>
      <c r="E5"/>
      <c r="F5"/>
      <c r="G5"/>
      <c r="H5"/>
    </row>
    <row r="6" spans="1:8" x14ac:dyDescent="0.25">
      <c r="A6" s="28" t="s">
        <v>7</v>
      </c>
      <c r="B6" s="465">
        <v>141232829.79999995</v>
      </c>
      <c r="C6">
        <v>141232829.79999995</v>
      </c>
      <c r="D6">
        <v>141232829.79999995</v>
      </c>
      <c r="E6"/>
      <c r="F6"/>
      <c r="G6"/>
      <c r="H6"/>
    </row>
    <row r="7" spans="1:8" x14ac:dyDescent="0.25">
      <c r="A7" s="28" t="s">
        <v>4</v>
      </c>
      <c r="B7">
        <v>141232829.79999995</v>
      </c>
      <c r="C7">
        <v>141232829.79999995</v>
      </c>
      <c r="D7">
        <v>141232829.79999995</v>
      </c>
      <c r="E7"/>
      <c r="F7"/>
      <c r="G7"/>
      <c r="H7"/>
    </row>
    <row r="8" spans="1:8" x14ac:dyDescent="0.25">
      <c r="B8"/>
      <c r="C8"/>
      <c r="D8"/>
      <c r="E8"/>
      <c r="F8"/>
      <c r="G8"/>
      <c r="H8"/>
    </row>
    <row r="9" spans="1:8" x14ac:dyDescent="0.25">
      <c r="B9"/>
      <c r="C9"/>
      <c r="D9"/>
      <c r="E9"/>
      <c r="F9"/>
      <c r="G9"/>
      <c r="H9"/>
    </row>
    <row r="10" spans="1:8" x14ac:dyDescent="0.25">
      <c r="B10"/>
      <c r="C10"/>
      <c r="D10"/>
      <c r="E10"/>
      <c r="F10"/>
      <c r="G10"/>
      <c r="H10"/>
    </row>
    <row r="11" spans="1:8" x14ac:dyDescent="0.25">
      <c r="B11"/>
      <c r="C11"/>
      <c r="D11"/>
      <c r="E11"/>
      <c r="F11"/>
      <c r="G11"/>
      <c r="H11"/>
    </row>
    <row r="12" spans="1:8" x14ac:dyDescent="0.25">
      <c r="B12"/>
      <c r="C12"/>
      <c r="D12"/>
      <c r="E12"/>
      <c r="F12"/>
      <c r="G12"/>
      <c r="H12"/>
    </row>
    <row r="13" spans="1:8" x14ac:dyDescent="0.25">
      <c r="B13"/>
      <c r="C13"/>
      <c r="D13"/>
      <c r="E13"/>
      <c r="F13"/>
      <c r="G13"/>
      <c r="H13"/>
    </row>
    <row r="14" spans="1:8" x14ac:dyDescent="0.25">
      <c r="B14"/>
      <c r="C14"/>
      <c r="D14"/>
      <c r="E14"/>
      <c r="F14"/>
      <c r="G14"/>
      <c r="H14"/>
    </row>
    <row r="15" spans="1:8" x14ac:dyDescent="0.25">
      <c r="B15"/>
      <c r="C15"/>
      <c r="D15"/>
      <c r="E15"/>
      <c r="F15"/>
      <c r="G15"/>
      <c r="H15"/>
    </row>
    <row r="16" spans="1:8" x14ac:dyDescent="0.25">
      <c r="B16"/>
      <c r="C16"/>
      <c r="D16"/>
      <c r="E16"/>
      <c r="F16"/>
      <c r="G16"/>
      <c r="H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2:E13"/>
  <sheetViews>
    <sheetView workbookViewId="0">
      <selection activeCell="C11" sqref="C11"/>
    </sheetView>
  </sheetViews>
  <sheetFormatPr baseColWidth="10" defaultColWidth="11.42578125" defaultRowHeight="15" x14ac:dyDescent="0.25"/>
  <cols>
    <col min="1" max="1" width="43.5703125" bestFit="1" customWidth="1"/>
    <col min="2" max="5" width="18.5703125" customWidth="1"/>
  </cols>
  <sheetData>
    <row r="2" spans="1:5" ht="15.75" thickBot="1" x14ac:dyDescent="0.3">
      <c r="A2" s="678" t="s">
        <v>191</v>
      </c>
      <c r="B2" s="678"/>
      <c r="C2" s="678"/>
      <c r="D2" s="678"/>
      <c r="E2" s="164"/>
    </row>
    <row r="3" spans="1:5" ht="22.5" x14ac:dyDescent="0.25">
      <c r="A3" s="205" t="s">
        <v>12</v>
      </c>
      <c r="B3" s="205" t="s">
        <v>193</v>
      </c>
      <c r="C3" s="205" t="s">
        <v>194</v>
      </c>
      <c r="D3" s="205" t="s">
        <v>189</v>
      </c>
      <c r="E3" s="165" t="s">
        <v>173</v>
      </c>
    </row>
    <row r="4" spans="1:5" x14ac:dyDescent="0.25">
      <c r="A4" s="231" t="s">
        <v>195</v>
      </c>
      <c r="B4" s="231">
        <v>984104542</v>
      </c>
      <c r="C4" s="231">
        <v>627397399</v>
      </c>
      <c r="D4" s="231">
        <v>356707143</v>
      </c>
      <c r="E4" s="195">
        <f>B4-C4</f>
        <v>356707143</v>
      </c>
    </row>
    <row r="5" spans="1:5" x14ac:dyDescent="0.25">
      <c r="A5" s="231" t="s">
        <v>83</v>
      </c>
      <c r="B5" s="231">
        <v>7408415046</v>
      </c>
      <c r="C5" s="231">
        <v>5323351059</v>
      </c>
      <c r="D5" s="231">
        <v>2085063987</v>
      </c>
      <c r="E5" s="195">
        <f>B5-C5</f>
        <v>2085063987</v>
      </c>
    </row>
    <row r="6" spans="1:5" x14ac:dyDescent="0.25">
      <c r="A6" s="231" t="s">
        <v>107</v>
      </c>
      <c r="B6" s="231">
        <v>49040277000</v>
      </c>
      <c r="C6" s="231">
        <v>33775407677</v>
      </c>
      <c r="D6" s="231">
        <v>15264869323</v>
      </c>
      <c r="E6" s="195">
        <f t="shared" ref="E6:E12" si="0">B6-C6</f>
        <v>15264869323</v>
      </c>
    </row>
    <row r="7" spans="1:5" x14ac:dyDescent="0.25">
      <c r="A7" s="231" t="s">
        <v>196</v>
      </c>
      <c r="B7" s="231">
        <v>1593499700</v>
      </c>
      <c r="C7" s="231">
        <v>1033634068</v>
      </c>
      <c r="D7" s="231">
        <v>559865632</v>
      </c>
      <c r="E7" s="195">
        <f t="shared" si="0"/>
        <v>559865632</v>
      </c>
    </row>
    <row r="8" spans="1:5" x14ac:dyDescent="0.25">
      <c r="A8" s="231" t="s">
        <v>86</v>
      </c>
      <c r="B8" s="231">
        <v>21861424537</v>
      </c>
      <c r="C8" s="231">
        <v>16169578387</v>
      </c>
      <c r="D8" s="231">
        <v>5691846150</v>
      </c>
      <c r="E8" s="195">
        <f t="shared" si="0"/>
        <v>5691846150</v>
      </c>
    </row>
    <row r="9" spans="1:5" x14ac:dyDescent="0.25">
      <c r="A9" s="231" t="s">
        <v>116</v>
      </c>
      <c r="B9" s="231">
        <v>8066056500</v>
      </c>
      <c r="C9" s="231">
        <v>6332154747</v>
      </c>
      <c r="D9" s="231">
        <v>1733901753</v>
      </c>
      <c r="E9" s="195">
        <f t="shared" si="0"/>
        <v>1733901753</v>
      </c>
    </row>
    <row r="10" spans="1:5" x14ac:dyDescent="0.25">
      <c r="A10" s="231" t="s">
        <v>7</v>
      </c>
      <c r="B10" s="231">
        <v>5918211700</v>
      </c>
      <c r="C10" s="231">
        <v>3871797479</v>
      </c>
      <c r="D10" s="231">
        <v>2046414221</v>
      </c>
      <c r="E10" s="195">
        <f t="shared" si="0"/>
        <v>2046414221</v>
      </c>
    </row>
    <row r="11" spans="1:5" x14ac:dyDescent="0.25">
      <c r="A11" s="231" t="s">
        <v>104</v>
      </c>
      <c r="B11" s="231">
        <v>856783200</v>
      </c>
      <c r="C11" s="231">
        <v>621914147</v>
      </c>
      <c r="D11" s="231">
        <v>234869053</v>
      </c>
      <c r="E11" s="195">
        <f t="shared" si="0"/>
        <v>234869053</v>
      </c>
    </row>
    <row r="12" spans="1:5" x14ac:dyDescent="0.25">
      <c r="A12" s="231" t="s">
        <v>111</v>
      </c>
      <c r="B12" s="231">
        <v>15572349694</v>
      </c>
      <c r="C12" s="231">
        <v>11656451214</v>
      </c>
      <c r="D12" s="231">
        <v>3915898480</v>
      </c>
      <c r="E12" s="195">
        <f t="shared" si="0"/>
        <v>3915898480</v>
      </c>
    </row>
    <row r="13" spans="1:5" x14ac:dyDescent="0.25">
      <c r="A13" s="206" t="s">
        <v>132</v>
      </c>
      <c r="B13" s="206">
        <f>SUM(B4:B12)</f>
        <v>111301121919</v>
      </c>
      <c r="C13" s="206">
        <f>SUM(C4:C12)</f>
        <v>79411686177</v>
      </c>
      <c r="D13" s="206">
        <f>SUM(D4:D12)</f>
        <v>31889435742</v>
      </c>
      <c r="E13" s="195">
        <f>SUM(E4:E12)</f>
        <v>31889435742</v>
      </c>
    </row>
  </sheetData>
  <mergeCells count="1">
    <mergeCell ref="A2:D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4"/>
  <sheetViews>
    <sheetView zoomScale="90" zoomScaleNormal="90" workbookViewId="0">
      <selection activeCell="B5" sqref="B5"/>
    </sheetView>
  </sheetViews>
  <sheetFormatPr baseColWidth="10" defaultColWidth="11.42578125" defaultRowHeight="15" x14ac:dyDescent="0.25"/>
  <cols>
    <col min="2" max="2" width="114.5703125" customWidth="1"/>
    <col min="3" max="3" width="16.7109375" customWidth="1"/>
  </cols>
  <sheetData>
    <row r="1" spans="1:3" ht="33.75" thickBot="1" x14ac:dyDescent="0.3">
      <c r="A1" s="137" t="s">
        <v>133</v>
      </c>
      <c r="B1" s="137" t="s">
        <v>134</v>
      </c>
      <c r="C1" s="137" t="s">
        <v>135</v>
      </c>
    </row>
    <row r="2" spans="1:3" ht="50.25" thickBot="1" x14ac:dyDescent="0.3">
      <c r="A2" s="138">
        <v>1</v>
      </c>
      <c r="B2" s="139" t="s">
        <v>197</v>
      </c>
      <c r="C2" s="140"/>
    </row>
    <row r="3" spans="1:3" ht="33.75" thickBot="1" x14ac:dyDescent="0.3">
      <c r="A3" s="138">
        <v>2</v>
      </c>
      <c r="B3" s="139" t="s">
        <v>198</v>
      </c>
      <c r="C3" s="140"/>
    </row>
    <row r="4" spans="1:3" ht="68.25" customHeight="1" thickBot="1" x14ac:dyDescent="0.3">
      <c r="A4" s="138">
        <v>3</v>
      </c>
      <c r="B4" s="139" t="s">
        <v>199</v>
      </c>
      <c r="C4" s="140"/>
    </row>
    <row r="5" spans="1:3" ht="106.5" customHeight="1" thickBot="1" x14ac:dyDescent="0.3">
      <c r="A5" s="138">
        <v>4</v>
      </c>
      <c r="B5" s="139" t="s">
        <v>200</v>
      </c>
      <c r="C5" s="140"/>
    </row>
    <row r="6" spans="1:3" ht="66.75" thickBot="1" x14ac:dyDescent="0.3">
      <c r="A6" s="138">
        <v>5</v>
      </c>
      <c r="B6" s="139" t="s">
        <v>201</v>
      </c>
      <c r="C6" s="140"/>
    </row>
    <row r="7" spans="1:3" ht="23.25" x14ac:dyDescent="0.25">
      <c r="A7" s="151"/>
      <c r="B7" s="152"/>
      <c r="C7" s="153"/>
    </row>
    <row r="8" spans="1:3" ht="15.75" thickBot="1" x14ac:dyDescent="0.3"/>
    <row r="9" spans="1:3" ht="33.75" thickBot="1" x14ac:dyDescent="0.3">
      <c r="A9" s="137" t="s">
        <v>133</v>
      </c>
      <c r="B9" s="137" t="s">
        <v>134</v>
      </c>
      <c r="C9" s="137" t="s">
        <v>135</v>
      </c>
    </row>
    <row r="10" spans="1:3" ht="33.75" thickBot="1" x14ac:dyDescent="0.3">
      <c r="A10" s="138">
        <v>1</v>
      </c>
      <c r="B10" s="139" t="s">
        <v>202</v>
      </c>
      <c r="C10" s="140"/>
    </row>
    <row r="11" spans="1:3" ht="33.75" thickBot="1" x14ac:dyDescent="0.3">
      <c r="A11" s="138">
        <v>2</v>
      </c>
      <c r="B11" s="139" t="s">
        <v>203</v>
      </c>
      <c r="C11" s="140"/>
    </row>
    <row r="12" spans="1:3" ht="66.75" thickBot="1" x14ac:dyDescent="0.3">
      <c r="A12" s="138">
        <v>3</v>
      </c>
      <c r="B12" s="139" t="s">
        <v>204</v>
      </c>
      <c r="C12" s="140"/>
    </row>
    <row r="13" spans="1:3" ht="66.75" thickBot="1" x14ac:dyDescent="0.3">
      <c r="A13" s="138">
        <v>4</v>
      </c>
      <c r="B13" s="139" t="s">
        <v>205</v>
      </c>
      <c r="C13" s="140"/>
    </row>
    <row r="14" spans="1:3" ht="50.25" thickBot="1" x14ac:dyDescent="0.3">
      <c r="A14" s="138">
        <v>5</v>
      </c>
      <c r="B14" s="139" t="s">
        <v>206</v>
      </c>
      <c r="C14" s="140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E13"/>
  <sheetViews>
    <sheetView workbookViewId="0">
      <selection activeCell="A9" sqref="A9:B9"/>
    </sheetView>
  </sheetViews>
  <sheetFormatPr baseColWidth="10" defaultColWidth="11.42578125" defaultRowHeight="15" x14ac:dyDescent="0.25"/>
  <cols>
    <col min="1" max="1" width="20.42578125" bestFit="1" customWidth="1"/>
    <col min="2" max="2" width="20.28515625" bestFit="1" customWidth="1"/>
    <col min="4" max="4" width="19.28515625" bestFit="1" customWidth="1"/>
    <col min="5" max="5" width="29" bestFit="1" customWidth="1"/>
  </cols>
  <sheetData>
    <row r="1" spans="1:5" x14ac:dyDescent="0.25">
      <c r="A1" s="682" t="s">
        <v>207</v>
      </c>
      <c r="B1" s="681" t="s">
        <v>170</v>
      </c>
      <c r="C1" s="681"/>
      <c r="D1" s="682" t="s">
        <v>208</v>
      </c>
      <c r="E1" s="682" t="s">
        <v>207</v>
      </c>
    </row>
    <row r="2" spans="1:5" x14ac:dyDescent="0.25">
      <c r="A2" s="682"/>
      <c r="B2" s="141" t="s">
        <v>163</v>
      </c>
      <c r="C2" s="141" t="s">
        <v>165</v>
      </c>
      <c r="D2" s="682"/>
      <c r="E2" s="682"/>
    </row>
    <row r="3" spans="1:5" x14ac:dyDescent="0.25">
      <c r="A3" s="110" t="s">
        <v>158</v>
      </c>
      <c r="B3" s="142">
        <v>60</v>
      </c>
      <c r="C3" s="142">
        <v>36</v>
      </c>
      <c r="D3" s="110"/>
      <c r="E3" s="110"/>
    </row>
    <row r="4" spans="1:5" x14ac:dyDescent="0.25">
      <c r="A4" s="119" t="s">
        <v>160</v>
      </c>
      <c r="B4" s="149">
        <v>2</v>
      </c>
      <c r="C4" s="149">
        <v>9</v>
      </c>
      <c r="D4" s="150">
        <v>11040714687</v>
      </c>
      <c r="E4" s="119" t="s">
        <v>209</v>
      </c>
    </row>
    <row r="5" spans="1:5" x14ac:dyDescent="0.25">
      <c r="A5" s="143" t="s">
        <v>161</v>
      </c>
      <c r="B5" s="148">
        <v>2</v>
      </c>
      <c r="C5" s="148">
        <v>18</v>
      </c>
      <c r="D5" s="111">
        <f>52450475890+10791854966</f>
        <v>63242330856</v>
      </c>
      <c r="E5" s="143" t="s">
        <v>210</v>
      </c>
    </row>
    <row r="6" spans="1:5" x14ac:dyDescent="0.25">
      <c r="A6" s="110" t="s">
        <v>110</v>
      </c>
      <c r="B6" s="148">
        <v>0</v>
      </c>
      <c r="C6" s="148">
        <v>1</v>
      </c>
      <c r="D6" s="111">
        <v>1850327600</v>
      </c>
      <c r="E6" s="143" t="str">
        <f>+E5</f>
        <v>Lo que esta pendiente por girar</v>
      </c>
    </row>
    <row r="7" spans="1:5" x14ac:dyDescent="0.25">
      <c r="A7" s="110" t="s">
        <v>211</v>
      </c>
      <c r="B7" s="142">
        <f>SUM(B3:B6)</f>
        <v>64</v>
      </c>
      <c r="C7" s="142">
        <f>SUM(C3:C6)</f>
        <v>64</v>
      </c>
      <c r="D7" s="110"/>
      <c r="E7" s="110"/>
    </row>
    <row r="9" spans="1:5" x14ac:dyDescent="0.25">
      <c r="A9" s="147" t="s">
        <v>212</v>
      </c>
      <c r="B9" s="144">
        <v>214061932301.73999</v>
      </c>
    </row>
    <row r="10" spans="1:5" x14ac:dyDescent="0.25">
      <c r="A10" s="147" t="s">
        <v>213</v>
      </c>
      <c r="B10" s="145">
        <v>10013823126</v>
      </c>
    </row>
    <row r="11" spans="1:5" x14ac:dyDescent="0.25">
      <c r="A11" s="147" t="s">
        <v>214</v>
      </c>
      <c r="B11" s="146">
        <f>+D5+D6</f>
        <v>65092658456</v>
      </c>
    </row>
    <row r="12" spans="1:5" x14ac:dyDescent="0.25">
      <c r="A12" s="147" t="s">
        <v>215</v>
      </c>
      <c r="B12" s="146">
        <f>+D4</f>
        <v>11040714687</v>
      </c>
    </row>
    <row r="13" spans="1:5" x14ac:dyDescent="0.25">
      <c r="A13" s="147" t="s">
        <v>132</v>
      </c>
      <c r="B13" s="146">
        <f>B9-B10-B11-B12</f>
        <v>127914736032.73999</v>
      </c>
    </row>
  </sheetData>
  <mergeCells count="4">
    <mergeCell ref="B1:C1"/>
    <mergeCell ref="A1:A2"/>
    <mergeCell ref="D1:D2"/>
    <mergeCell ref="E1:E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AR66"/>
  <sheetViews>
    <sheetView topLeftCell="A49" zoomScale="80" zoomScaleNormal="80" workbookViewId="0">
      <pane xSplit="1" topLeftCell="B1" activePane="topRight" state="frozen"/>
      <selection pane="topRight" activeCell="J1" sqref="J1:L1048576"/>
    </sheetView>
  </sheetViews>
  <sheetFormatPr baseColWidth="10" defaultColWidth="11.42578125" defaultRowHeight="15" x14ac:dyDescent="0.25"/>
  <cols>
    <col min="1" max="1" width="67.140625" style="194" customWidth="1"/>
    <col min="2" max="3" width="18.7109375" style="1" customWidth="1"/>
    <col min="4" max="4" width="22.85546875" style="50" customWidth="1"/>
    <col min="5" max="5" width="18.28515625" style="1" customWidth="1"/>
    <col min="6" max="6" width="23.42578125" style="15" customWidth="1"/>
    <col min="7" max="7" width="18.7109375" style="15" customWidth="1"/>
    <col min="8" max="9" width="17.42578125" style="6" customWidth="1"/>
    <col min="10" max="10" width="15.42578125" style="6" customWidth="1"/>
    <col min="11" max="11" width="21" style="1" customWidth="1"/>
    <col min="12" max="13" width="17.5703125" style="1" customWidth="1"/>
    <col min="14" max="14" width="0" hidden="1" customWidth="1"/>
    <col min="15" max="15" width="15.7109375" style="85" hidden="1" customWidth="1"/>
    <col min="16" max="16" width="0" hidden="1" customWidth="1"/>
    <col min="17" max="17" width="18.28515625" style="1" hidden="1" customWidth="1"/>
    <col min="18" max="18" width="22.28515625" style="115" hidden="1" customWidth="1"/>
    <col min="19" max="19" width="18.7109375" hidden="1" customWidth="1"/>
    <col min="20" max="20" width="16.7109375" bestFit="1" customWidth="1"/>
  </cols>
  <sheetData>
    <row r="1" spans="1:18" s="4" customFormat="1" ht="66.599999999999994" customHeight="1" x14ac:dyDescent="0.25">
      <c r="A1" s="192" t="s">
        <v>12</v>
      </c>
      <c r="B1" s="187" t="s">
        <v>216</v>
      </c>
      <c r="C1" s="655" t="s">
        <v>217</v>
      </c>
      <c r="D1" s="187" t="s">
        <v>218</v>
      </c>
      <c r="E1" s="654" t="s">
        <v>219</v>
      </c>
      <c r="F1" s="188" t="s">
        <v>224</v>
      </c>
      <c r="G1" s="655" t="s">
        <v>225</v>
      </c>
      <c r="H1" s="188" t="s">
        <v>226</v>
      </c>
      <c r="I1" s="654" t="s">
        <v>227</v>
      </c>
      <c r="O1" s="645" t="s">
        <v>228</v>
      </c>
    </row>
    <row r="2" spans="1:18" ht="30" x14ac:dyDescent="0.25">
      <c r="A2" s="193" t="s">
        <v>229</v>
      </c>
      <c r="B2" s="639" t="s">
        <v>230</v>
      </c>
      <c r="C2" s="650">
        <v>45002</v>
      </c>
      <c r="D2" s="671" t="s">
        <v>230</v>
      </c>
      <c r="E2" s="14">
        <v>45279</v>
      </c>
      <c r="F2" s="638" t="s">
        <v>230</v>
      </c>
      <c r="G2" s="657">
        <v>45156</v>
      </c>
      <c r="H2" s="117" t="s">
        <v>230</v>
      </c>
      <c r="I2" s="96">
        <v>45391</v>
      </c>
      <c r="J2"/>
      <c r="K2"/>
      <c r="L2"/>
      <c r="M2"/>
      <c r="O2" s="643" t="e">
        <f>#REF!+#REF!</f>
        <v>#REF!</v>
      </c>
      <c r="Q2"/>
      <c r="R2"/>
    </row>
    <row r="3" spans="1:18" x14ac:dyDescent="0.25">
      <c r="A3" s="193" t="s">
        <v>50</v>
      </c>
      <c r="B3" s="639" t="s">
        <v>230</v>
      </c>
      <c r="C3" s="650">
        <v>44977</v>
      </c>
      <c r="D3" s="671" t="s">
        <v>230</v>
      </c>
      <c r="E3" s="14">
        <v>45251</v>
      </c>
      <c r="F3" s="638" t="s">
        <v>230</v>
      </c>
      <c r="G3" s="657">
        <v>45155</v>
      </c>
      <c r="H3" s="117" t="s">
        <v>230</v>
      </c>
      <c r="I3" s="96">
        <v>45391</v>
      </c>
      <c r="J3"/>
      <c r="K3"/>
      <c r="L3"/>
      <c r="M3"/>
      <c r="O3" s="7" t="e">
        <f>#REF!+#REF!</f>
        <v>#REF!</v>
      </c>
      <c r="Q3"/>
      <c r="R3"/>
    </row>
    <row r="4" spans="1:18" ht="23.45" customHeight="1" x14ac:dyDescent="0.25">
      <c r="A4" s="193" t="s">
        <v>231</v>
      </c>
      <c r="B4" s="639" t="s">
        <v>230</v>
      </c>
      <c r="C4" s="650">
        <v>44977</v>
      </c>
      <c r="D4" s="671" t="s">
        <v>230</v>
      </c>
      <c r="E4" s="14">
        <v>45280</v>
      </c>
      <c r="F4" s="638" t="s">
        <v>230</v>
      </c>
      <c r="G4" s="657">
        <v>45156</v>
      </c>
      <c r="H4" s="117" t="s">
        <v>230</v>
      </c>
      <c r="I4" s="96">
        <v>45405</v>
      </c>
      <c r="J4"/>
      <c r="K4"/>
      <c r="L4"/>
      <c r="M4"/>
      <c r="O4" s="643" t="e">
        <f>#REF!+#REF!</f>
        <v>#REF!</v>
      </c>
      <c r="Q4"/>
      <c r="R4"/>
    </row>
    <row r="5" spans="1:18" x14ac:dyDescent="0.25">
      <c r="A5" s="193" t="s">
        <v>60</v>
      </c>
      <c r="B5" s="639" t="s">
        <v>230</v>
      </c>
      <c r="C5" s="650">
        <v>44977</v>
      </c>
      <c r="D5" s="672" t="s">
        <v>230</v>
      </c>
      <c r="E5" s="14">
        <v>45680</v>
      </c>
      <c r="F5" s="638" t="s">
        <v>230</v>
      </c>
      <c r="G5" s="657">
        <v>45157</v>
      </c>
      <c r="H5" s="117" t="s">
        <v>230</v>
      </c>
      <c r="I5" s="96">
        <v>45680</v>
      </c>
      <c r="J5"/>
      <c r="K5"/>
      <c r="L5"/>
      <c r="M5"/>
      <c r="O5" s="7" t="e">
        <f>#REF!+#REF!</f>
        <v>#REF!</v>
      </c>
      <c r="Q5"/>
      <c r="R5"/>
    </row>
    <row r="6" spans="1:18" ht="26.25" customHeight="1" x14ac:dyDescent="0.25">
      <c r="A6" s="193" t="s">
        <v>53</v>
      </c>
      <c r="B6" s="639" t="s">
        <v>230</v>
      </c>
      <c r="C6" s="650">
        <v>44977</v>
      </c>
      <c r="D6" s="671" t="s">
        <v>230</v>
      </c>
      <c r="E6" s="14">
        <v>45251</v>
      </c>
      <c r="F6" s="638" t="s">
        <v>230</v>
      </c>
      <c r="G6" s="657">
        <v>45155</v>
      </c>
      <c r="H6" s="117" t="s">
        <v>230</v>
      </c>
      <c r="I6" s="96">
        <v>45391</v>
      </c>
      <c r="J6"/>
      <c r="K6"/>
      <c r="L6"/>
      <c r="M6"/>
      <c r="O6" s="643" t="e">
        <f>#REF!+#REF!</f>
        <v>#REF!</v>
      </c>
      <c r="Q6"/>
      <c r="R6"/>
    </row>
    <row r="7" spans="1:18" ht="39.6" customHeight="1" x14ac:dyDescent="0.25">
      <c r="A7" s="193" t="s">
        <v>71</v>
      </c>
      <c r="B7" s="639" t="s">
        <v>230</v>
      </c>
      <c r="C7" s="651">
        <v>44977</v>
      </c>
      <c r="D7" s="672" t="s">
        <v>233</v>
      </c>
      <c r="E7" s="656" t="s">
        <v>250</v>
      </c>
      <c r="F7" s="638" t="s">
        <v>230</v>
      </c>
      <c r="G7" s="657">
        <v>45155</v>
      </c>
      <c r="H7" s="117" t="s">
        <v>230</v>
      </c>
      <c r="I7" s="96">
        <v>45546</v>
      </c>
      <c r="J7"/>
      <c r="K7"/>
      <c r="L7"/>
      <c r="M7"/>
      <c r="O7" s="7" t="e">
        <f>#REF!+#REF!</f>
        <v>#REF!</v>
      </c>
      <c r="Q7"/>
      <c r="R7"/>
    </row>
    <row r="8" spans="1:18" x14ac:dyDescent="0.25">
      <c r="A8" s="193" t="s">
        <v>69</v>
      </c>
      <c r="B8" s="639" t="s">
        <v>230</v>
      </c>
      <c r="C8" s="651">
        <v>45006</v>
      </c>
      <c r="D8" s="671" t="s">
        <v>230</v>
      </c>
      <c r="E8" s="14">
        <v>45250</v>
      </c>
      <c r="F8" s="638" t="s">
        <v>230</v>
      </c>
      <c r="G8" s="657">
        <v>45156</v>
      </c>
      <c r="H8" s="117" t="s">
        <v>230</v>
      </c>
      <c r="I8" s="96">
        <v>45404</v>
      </c>
      <c r="J8"/>
      <c r="K8"/>
      <c r="L8"/>
      <c r="M8"/>
      <c r="O8" s="643" t="e">
        <f>#REF!+#REF!</f>
        <v>#REF!</v>
      </c>
      <c r="Q8"/>
      <c r="R8"/>
    </row>
    <row r="9" spans="1:18" x14ac:dyDescent="0.25">
      <c r="A9" s="193" t="s">
        <v>63</v>
      </c>
      <c r="B9" s="639" t="s">
        <v>230</v>
      </c>
      <c r="C9" s="651">
        <v>45005</v>
      </c>
      <c r="D9" s="671" t="s">
        <v>230</v>
      </c>
      <c r="E9" s="14">
        <v>45251</v>
      </c>
      <c r="F9" s="638" t="s">
        <v>230</v>
      </c>
      <c r="G9" s="657">
        <v>45156</v>
      </c>
      <c r="H9" s="117" t="s">
        <v>230</v>
      </c>
      <c r="I9" s="658">
        <v>45280</v>
      </c>
      <c r="J9"/>
      <c r="K9"/>
      <c r="L9"/>
      <c r="M9"/>
      <c r="O9" s="7" t="e">
        <f>#REF!+#REF!</f>
        <v>#REF!</v>
      </c>
      <c r="Q9"/>
      <c r="R9"/>
    </row>
    <row r="10" spans="1:18" x14ac:dyDescent="0.25">
      <c r="A10" s="193" t="s">
        <v>66</v>
      </c>
      <c r="B10" s="639" t="s">
        <v>230</v>
      </c>
      <c r="C10" s="651">
        <v>44978</v>
      </c>
      <c r="D10" s="671" t="s">
        <v>230</v>
      </c>
      <c r="E10" s="14">
        <v>45251</v>
      </c>
      <c r="F10" s="638" t="s">
        <v>230</v>
      </c>
      <c r="G10" s="657">
        <v>45156</v>
      </c>
      <c r="H10" s="117" t="s">
        <v>230</v>
      </c>
      <c r="I10" s="96">
        <v>45342</v>
      </c>
      <c r="J10"/>
      <c r="K10"/>
      <c r="L10"/>
      <c r="M10"/>
      <c r="O10" s="643" t="e">
        <f>#REF!+#REF!</f>
        <v>#REF!</v>
      </c>
      <c r="Q10"/>
      <c r="R10"/>
    </row>
    <row r="11" spans="1:18" x14ac:dyDescent="0.25">
      <c r="A11" s="193" t="s">
        <v>70</v>
      </c>
      <c r="B11" s="639" t="s">
        <v>230</v>
      </c>
      <c r="C11" s="651">
        <v>45005</v>
      </c>
      <c r="D11" s="671" t="s">
        <v>230</v>
      </c>
      <c r="E11" s="14">
        <v>45251</v>
      </c>
      <c r="F11" s="638" t="s">
        <v>230</v>
      </c>
      <c r="G11" s="657">
        <v>45155</v>
      </c>
      <c r="H11" s="117" t="s">
        <v>230</v>
      </c>
      <c r="I11" s="96">
        <v>45342</v>
      </c>
      <c r="J11"/>
      <c r="K11"/>
      <c r="L11"/>
      <c r="M11"/>
      <c r="O11" s="7" t="e">
        <f>#REF!+#REF!</f>
        <v>#REF!</v>
      </c>
      <c r="Q11"/>
      <c r="R11"/>
    </row>
    <row r="12" spans="1:18" x14ac:dyDescent="0.25">
      <c r="A12" s="193" t="s">
        <v>72</v>
      </c>
      <c r="B12" s="639" t="s">
        <v>230</v>
      </c>
      <c r="C12" s="651">
        <v>45002</v>
      </c>
      <c r="D12" s="671" t="s">
        <v>230</v>
      </c>
      <c r="E12" s="14">
        <v>45251</v>
      </c>
      <c r="F12" s="638" t="s">
        <v>230</v>
      </c>
      <c r="G12" s="657">
        <v>45156</v>
      </c>
      <c r="H12" s="117" t="s">
        <v>230</v>
      </c>
      <c r="I12" s="658">
        <v>45280</v>
      </c>
      <c r="J12"/>
      <c r="K12"/>
      <c r="L12"/>
      <c r="M12"/>
      <c r="O12" s="643" t="e">
        <f>#REF!+#REF!</f>
        <v>#REF!</v>
      </c>
      <c r="Q12"/>
      <c r="R12"/>
    </row>
    <row r="13" spans="1:18" ht="30" x14ac:dyDescent="0.25">
      <c r="A13" s="193" t="s">
        <v>184</v>
      </c>
      <c r="B13" s="639" t="s">
        <v>230</v>
      </c>
      <c r="C13" s="652">
        <v>45251</v>
      </c>
      <c r="D13" s="672" t="s">
        <v>235</v>
      </c>
      <c r="E13" s="656" t="s">
        <v>250</v>
      </c>
      <c r="F13" s="638" t="s">
        <v>230</v>
      </c>
      <c r="G13" s="657">
        <v>45155</v>
      </c>
      <c r="H13" s="117" t="s">
        <v>230</v>
      </c>
      <c r="I13" s="96">
        <v>45342</v>
      </c>
      <c r="J13"/>
      <c r="K13"/>
      <c r="L13"/>
      <c r="M13"/>
      <c r="O13" s="7" t="e">
        <f>#REF!+#REF!</f>
        <v>#REF!</v>
      </c>
      <c r="Q13"/>
      <c r="R13"/>
    </row>
    <row r="14" spans="1:18" ht="31.15" customHeight="1" x14ac:dyDescent="0.25">
      <c r="A14" s="193" t="s">
        <v>185</v>
      </c>
      <c r="B14" s="639" t="s">
        <v>230</v>
      </c>
      <c r="C14" s="650">
        <v>44977</v>
      </c>
      <c r="D14" s="671" t="s">
        <v>230</v>
      </c>
      <c r="E14" s="14">
        <v>45391</v>
      </c>
      <c r="F14" s="638" t="s">
        <v>230</v>
      </c>
      <c r="G14" s="657">
        <v>45175</v>
      </c>
      <c r="H14" s="117" t="s">
        <v>230</v>
      </c>
      <c r="I14" s="96">
        <v>45390</v>
      </c>
      <c r="J14"/>
      <c r="K14"/>
      <c r="L14"/>
      <c r="M14"/>
      <c r="O14" s="643" t="e">
        <f>#REF!+#REF!</f>
        <v>#REF!</v>
      </c>
      <c r="Q14"/>
      <c r="R14"/>
    </row>
    <row r="15" spans="1:18" x14ac:dyDescent="0.25">
      <c r="A15" s="193" t="s">
        <v>179</v>
      </c>
      <c r="B15" s="639" t="s">
        <v>230</v>
      </c>
      <c r="C15" s="650">
        <v>44977</v>
      </c>
      <c r="D15" s="671" t="s">
        <v>230</v>
      </c>
      <c r="E15" s="14">
        <v>45391</v>
      </c>
      <c r="F15" s="638" t="s">
        <v>230</v>
      </c>
      <c r="G15" s="657">
        <v>45157</v>
      </c>
      <c r="H15" s="117" t="s">
        <v>230</v>
      </c>
      <c r="I15" s="96">
        <v>45545</v>
      </c>
      <c r="J15"/>
      <c r="K15"/>
      <c r="L15"/>
      <c r="M15"/>
      <c r="O15" s="7" t="e">
        <f>#REF!+#REF!</f>
        <v>#REF!</v>
      </c>
      <c r="Q15"/>
      <c r="R15"/>
    </row>
    <row r="16" spans="1:18" x14ac:dyDescent="0.25">
      <c r="A16" s="193" t="s">
        <v>74</v>
      </c>
      <c r="B16" s="639" t="s">
        <v>230</v>
      </c>
      <c r="C16" s="650">
        <v>44977</v>
      </c>
      <c r="D16" s="671" t="s">
        <v>230</v>
      </c>
      <c r="E16" s="14">
        <v>45251</v>
      </c>
      <c r="F16" s="638" t="s">
        <v>230</v>
      </c>
      <c r="G16" s="657">
        <v>45155</v>
      </c>
      <c r="H16" s="117" t="s">
        <v>230</v>
      </c>
      <c r="I16" s="96">
        <v>45390</v>
      </c>
      <c r="J16"/>
      <c r="K16"/>
      <c r="L16"/>
      <c r="M16"/>
      <c r="O16" s="643" t="e">
        <f>#REF!+#REF!</f>
        <v>#REF!</v>
      </c>
      <c r="Q16"/>
      <c r="R16"/>
    </row>
    <row r="17" spans="1:18" x14ac:dyDescent="0.25">
      <c r="A17" s="193" t="s">
        <v>76</v>
      </c>
      <c r="B17" s="639" t="s">
        <v>230</v>
      </c>
      <c r="C17" s="650">
        <v>44978</v>
      </c>
      <c r="D17" s="671" t="s">
        <v>230</v>
      </c>
      <c r="E17" s="14">
        <v>45251</v>
      </c>
      <c r="F17" s="638" t="s">
        <v>230</v>
      </c>
      <c r="G17" s="657">
        <v>45156</v>
      </c>
      <c r="H17" s="117" t="s">
        <v>230</v>
      </c>
      <c r="I17" s="96">
        <v>45390</v>
      </c>
      <c r="J17"/>
      <c r="K17"/>
      <c r="L17"/>
      <c r="M17"/>
      <c r="O17" s="7" t="e">
        <f>#REF!+#REF!</f>
        <v>#REF!</v>
      </c>
      <c r="Q17"/>
      <c r="R17"/>
    </row>
    <row r="18" spans="1:18" ht="36" customHeight="1" x14ac:dyDescent="0.25">
      <c r="A18" s="647" t="s">
        <v>195</v>
      </c>
      <c r="B18" s="639" t="s">
        <v>230</v>
      </c>
      <c r="C18" s="650">
        <v>44978</v>
      </c>
      <c r="D18" s="671" t="s">
        <v>230</v>
      </c>
      <c r="E18" s="14">
        <v>45251</v>
      </c>
      <c r="F18" s="638" t="s">
        <v>230</v>
      </c>
      <c r="G18" s="657">
        <v>45155</v>
      </c>
      <c r="H18" s="117" t="s">
        <v>230</v>
      </c>
      <c r="I18" s="96">
        <v>45390</v>
      </c>
      <c r="J18"/>
      <c r="K18"/>
      <c r="L18"/>
      <c r="M18"/>
      <c r="O18" s="643" t="e">
        <f>#REF!+#REF!</f>
        <v>#REF!</v>
      </c>
      <c r="Q18"/>
      <c r="R18"/>
    </row>
    <row r="19" spans="1:18" ht="51.6" customHeight="1" x14ac:dyDescent="0.25">
      <c r="A19" s="193" t="s">
        <v>7</v>
      </c>
      <c r="B19" s="639" t="s">
        <v>230</v>
      </c>
      <c r="C19" s="650">
        <v>45036</v>
      </c>
      <c r="D19" s="672" t="s">
        <v>233</v>
      </c>
      <c r="E19" s="656" t="s">
        <v>250</v>
      </c>
      <c r="F19" s="638" t="s">
        <v>230</v>
      </c>
      <c r="G19" s="657">
        <v>45189</v>
      </c>
      <c r="H19" s="117" t="s">
        <v>230</v>
      </c>
      <c r="I19" s="96">
        <v>45404</v>
      </c>
      <c r="J19"/>
      <c r="K19"/>
      <c r="L19"/>
      <c r="M19"/>
      <c r="O19" s="7" t="e">
        <f>#REF!+#REF!</f>
        <v>#REF!</v>
      </c>
      <c r="Q19"/>
      <c r="R19"/>
    </row>
    <row r="20" spans="1:18" x14ac:dyDescent="0.25">
      <c r="A20" s="193" t="s">
        <v>79</v>
      </c>
      <c r="B20" s="639" t="s">
        <v>230</v>
      </c>
      <c r="C20" s="650">
        <v>45005</v>
      </c>
      <c r="D20" s="671" t="s">
        <v>230</v>
      </c>
      <c r="E20" s="14" t="s">
        <v>237</v>
      </c>
      <c r="F20" s="638" t="s">
        <v>230</v>
      </c>
      <c r="G20" s="657">
        <v>45155</v>
      </c>
      <c r="H20" s="117" t="s">
        <v>230</v>
      </c>
      <c r="I20" s="96">
        <v>45468</v>
      </c>
      <c r="J20"/>
      <c r="K20"/>
      <c r="L20"/>
      <c r="M20"/>
      <c r="O20" s="643" t="e">
        <f>#REF!+#REF!</f>
        <v>#REF!</v>
      </c>
      <c r="Q20"/>
      <c r="R20"/>
    </row>
    <row r="21" spans="1:18" x14ac:dyDescent="0.25">
      <c r="A21" s="193" t="s">
        <v>238</v>
      </c>
      <c r="B21" s="639" t="s">
        <v>230</v>
      </c>
      <c r="C21" s="650">
        <v>44977</v>
      </c>
      <c r="D21" s="671" t="s">
        <v>230</v>
      </c>
      <c r="E21" s="14">
        <v>45251</v>
      </c>
      <c r="F21" s="638" t="s">
        <v>230</v>
      </c>
      <c r="G21" s="657">
        <v>45157</v>
      </c>
      <c r="H21" s="117" t="s">
        <v>230</v>
      </c>
      <c r="I21" s="96">
        <v>45405</v>
      </c>
      <c r="J21"/>
      <c r="K21"/>
      <c r="L21"/>
      <c r="M21"/>
      <c r="O21" s="7" t="e">
        <f>#REF!+#REF!</f>
        <v>#REF!</v>
      </c>
      <c r="Q21"/>
      <c r="R21"/>
    </row>
    <row r="22" spans="1:18" x14ac:dyDescent="0.25">
      <c r="A22" s="193" t="s">
        <v>88</v>
      </c>
      <c r="B22" s="639" t="s">
        <v>230</v>
      </c>
      <c r="C22" s="650">
        <v>45006</v>
      </c>
      <c r="D22" s="671" t="s">
        <v>230</v>
      </c>
      <c r="E22" s="14">
        <v>45342</v>
      </c>
      <c r="F22" s="638" t="s">
        <v>230</v>
      </c>
      <c r="G22" s="657">
        <v>45189</v>
      </c>
      <c r="H22" s="117" t="s">
        <v>230</v>
      </c>
      <c r="I22" s="96">
        <v>45405</v>
      </c>
      <c r="J22"/>
      <c r="K22"/>
      <c r="L22"/>
      <c r="M22"/>
      <c r="O22" s="643" t="e">
        <f>#REF!+#REF!</f>
        <v>#REF!</v>
      </c>
      <c r="Q22"/>
      <c r="R22"/>
    </row>
    <row r="23" spans="1:18" x14ac:dyDescent="0.25">
      <c r="A23" s="193" t="s">
        <v>80</v>
      </c>
      <c r="B23" s="639" t="s">
        <v>230</v>
      </c>
      <c r="C23" s="650">
        <v>44977</v>
      </c>
      <c r="D23" s="671" t="s">
        <v>230</v>
      </c>
      <c r="E23" s="14">
        <v>45251</v>
      </c>
      <c r="F23" s="638" t="s">
        <v>230</v>
      </c>
      <c r="G23" s="657">
        <v>45155</v>
      </c>
      <c r="H23" s="117" t="s">
        <v>230</v>
      </c>
      <c r="I23" s="96">
        <v>45341</v>
      </c>
      <c r="J23"/>
      <c r="K23"/>
      <c r="L23"/>
      <c r="M23"/>
      <c r="O23" s="7" t="e">
        <f>#REF!+#REF!</f>
        <v>#REF!</v>
      </c>
      <c r="Q23"/>
      <c r="R23"/>
    </row>
    <row r="24" spans="1:18" x14ac:dyDescent="0.25">
      <c r="A24" s="193" t="s">
        <v>82</v>
      </c>
      <c r="B24" s="639" t="s">
        <v>230</v>
      </c>
      <c r="C24" s="650">
        <v>44974</v>
      </c>
      <c r="D24" s="671" t="s">
        <v>230</v>
      </c>
      <c r="E24" s="14">
        <v>45280</v>
      </c>
      <c r="F24" s="638" t="s">
        <v>230</v>
      </c>
      <c r="G24" s="657">
        <v>45155</v>
      </c>
      <c r="H24" s="117" t="s">
        <v>230</v>
      </c>
      <c r="I24" s="96">
        <v>45343</v>
      </c>
      <c r="J24"/>
      <c r="K24"/>
      <c r="L24"/>
      <c r="M24"/>
      <c r="O24" s="643" t="e">
        <f>#REF!+#REF!</f>
        <v>#REF!</v>
      </c>
      <c r="Q24"/>
      <c r="R24"/>
    </row>
    <row r="25" spans="1:18" x14ac:dyDescent="0.25">
      <c r="A25" s="193" t="s">
        <v>83</v>
      </c>
      <c r="B25" s="639" t="s">
        <v>230</v>
      </c>
      <c r="C25" s="650">
        <v>44974</v>
      </c>
      <c r="D25" s="671" t="s">
        <v>230</v>
      </c>
      <c r="E25" s="14">
        <v>45281</v>
      </c>
      <c r="F25" s="638" t="s">
        <v>230</v>
      </c>
      <c r="G25" s="657">
        <v>45189</v>
      </c>
      <c r="H25" s="117" t="s">
        <v>230</v>
      </c>
      <c r="I25" s="96">
        <v>45342</v>
      </c>
      <c r="J25"/>
      <c r="K25"/>
      <c r="L25"/>
      <c r="M25"/>
      <c r="O25" s="7" t="e">
        <f>#REF!+#REF!</f>
        <v>#REF!</v>
      </c>
      <c r="Q25"/>
      <c r="R25"/>
    </row>
    <row r="26" spans="1:18" x14ac:dyDescent="0.25">
      <c r="A26" s="193" t="s">
        <v>239</v>
      </c>
      <c r="B26" s="639" t="s">
        <v>230</v>
      </c>
      <c r="C26" s="650">
        <v>44977</v>
      </c>
      <c r="D26" s="671" t="s">
        <v>230</v>
      </c>
      <c r="E26" s="14">
        <v>45251</v>
      </c>
      <c r="F26" s="638" t="s">
        <v>230</v>
      </c>
      <c r="G26" s="657">
        <v>45155</v>
      </c>
      <c r="H26" s="117" t="s">
        <v>230</v>
      </c>
      <c r="I26" s="96">
        <v>45338</v>
      </c>
      <c r="J26"/>
      <c r="K26"/>
      <c r="L26"/>
      <c r="M26"/>
      <c r="O26" s="643" t="e">
        <f>#REF!+#REF!</f>
        <v>#REF!</v>
      </c>
      <c r="Q26"/>
      <c r="R26"/>
    </row>
    <row r="27" spans="1:18" x14ac:dyDescent="0.25">
      <c r="A27" s="193" t="s">
        <v>85</v>
      </c>
      <c r="B27" s="639" t="s">
        <v>230</v>
      </c>
      <c r="C27" s="650">
        <v>44974</v>
      </c>
      <c r="D27" s="671" t="s">
        <v>230</v>
      </c>
      <c r="E27" s="14">
        <v>45251</v>
      </c>
      <c r="F27" s="638" t="s">
        <v>230</v>
      </c>
      <c r="G27" s="657">
        <v>45190</v>
      </c>
      <c r="H27" s="117" t="s">
        <v>230</v>
      </c>
      <c r="I27" s="96">
        <v>45340</v>
      </c>
      <c r="J27"/>
      <c r="K27"/>
      <c r="L27"/>
      <c r="M27"/>
      <c r="O27" s="7" t="e">
        <f>#REF!+#REF!</f>
        <v>#REF!</v>
      </c>
      <c r="Q27"/>
      <c r="R27"/>
    </row>
    <row r="28" spans="1:18" x14ac:dyDescent="0.25">
      <c r="A28" s="193" t="s">
        <v>86</v>
      </c>
      <c r="B28" s="639" t="s">
        <v>230</v>
      </c>
      <c r="C28" s="650">
        <v>44977</v>
      </c>
      <c r="D28" s="671" t="s">
        <v>230</v>
      </c>
      <c r="E28" s="14">
        <v>45251</v>
      </c>
      <c r="F28" s="638" t="s">
        <v>230</v>
      </c>
      <c r="G28" s="657">
        <v>45155</v>
      </c>
      <c r="H28" s="117" t="s">
        <v>230</v>
      </c>
      <c r="I28" s="658">
        <v>45280</v>
      </c>
      <c r="J28"/>
      <c r="K28"/>
      <c r="L28"/>
      <c r="M28"/>
      <c r="O28" s="643" t="e">
        <f>#REF!+#REF!</f>
        <v>#REF!</v>
      </c>
      <c r="Q28"/>
      <c r="R28"/>
    </row>
    <row r="29" spans="1:18" ht="27.6" customHeight="1" x14ac:dyDescent="0.25">
      <c r="A29" s="193" t="s">
        <v>87</v>
      </c>
      <c r="B29" s="639" t="s">
        <v>230</v>
      </c>
      <c r="C29" s="650">
        <v>45006</v>
      </c>
      <c r="D29" s="671" t="s">
        <v>230</v>
      </c>
      <c r="E29" s="14">
        <v>45251</v>
      </c>
      <c r="F29" s="638" t="s">
        <v>230</v>
      </c>
      <c r="G29" s="657">
        <v>45155</v>
      </c>
      <c r="H29" s="117" t="s">
        <v>230</v>
      </c>
      <c r="I29" s="96">
        <v>45342</v>
      </c>
      <c r="J29"/>
      <c r="K29"/>
      <c r="L29"/>
      <c r="M29"/>
      <c r="O29" s="7" t="e">
        <f>#REF!+#REF!</f>
        <v>#REF!</v>
      </c>
      <c r="Q29"/>
      <c r="R29"/>
    </row>
    <row r="30" spans="1:18" ht="45" x14ac:dyDescent="0.25">
      <c r="A30" s="193" t="s">
        <v>89</v>
      </c>
      <c r="B30" s="639" t="s">
        <v>230</v>
      </c>
      <c r="C30" s="650">
        <v>44978</v>
      </c>
      <c r="D30" s="672" t="s">
        <v>233</v>
      </c>
      <c r="E30" s="656" t="s">
        <v>250</v>
      </c>
      <c r="F30" s="638" t="s">
        <v>230</v>
      </c>
      <c r="G30" s="657">
        <v>45155</v>
      </c>
      <c r="H30" s="117" t="s">
        <v>230</v>
      </c>
      <c r="I30" s="96">
        <v>45342</v>
      </c>
      <c r="J30"/>
      <c r="K30"/>
      <c r="L30"/>
      <c r="M30"/>
      <c r="O30" s="643" t="e">
        <f>#REF!+#REF!</f>
        <v>#REF!</v>
      </c>
      <c r="Q30"/>
      <c r="R30"/>
    </row>
    <row r="31" spans="1:18" x14ac:dyDescent="0.25">
      <c r="A31" s="193" t="s">
        <v>240</v>
      </c>
      <c r="B31" s="639" t="s">
        <v>230</v>
      </c>
      <c r="C31" s="650">
        <v>44977</v>
      </c>
      <c r="D31" s="671" t="s">
        <v>230</v>
      </c>
      <c r="E31" s="14">
        <v>45279</v>
      </c>
      <c r="F31" s="638" t="s">
        <v>230</v>
      </c>
      <c r="G31" s="657">
        <v>45155</v>
      </c>
      <c r="H31" s="117" t="s">
        <v>230</v>
      </c>
      <c r="I31" s="96">
        <v>45631</v>
      </c>
      <c r="J31"/>
      <c r="K31"/>
      <c r="L31"/>
      <c r="M31"/>
      <c r="O31" s="7" t="e">
        <f>#REF!+#REF!</f>
        <v>#REF!</v>
      </c>
      <c r="Q31"/>
      <c r="R31"/>
    </row>
    <row r="32" spans="1:18" x14ac:dyDescent="0.25">
      <c r="A32" s="193" t="s">
        <v>92</v>
      </c>
      <c r="B32" s="639" t="s">
        <v>230</v>
      </c>
      <c r="C32" s="650">
        <v>44977</v>
      </c>
      <c r="D32" s="671" t="s">
        <v>230</v>
      </c>
      <c r="E32" s="14">
        <v>45251</v>
      </c>
      <c r="F32" s="638" t="s">
        <v>230</v>
      </c>
      <c r="G32" s="657">
        <v>45155</v>
      </c>
      <c r="H32" s="117" t="s">
        <v>230</v>
      </c>
      <c r="I32" s="96">
        <v>45387</v>
      </c>
      <c r="J32"/>
      <c r="K32"/>
      <c r="L32"/>
      <c r="M32"/>
      <c r="O32" s="643" t="e">
        <f>#REF!+#REF!</f>
        <v>#REF!</v>
      </c>
      <c r="Q32"/>
      <c r="R32"/>
    </row>
    <row r="33" spans="1:18" ht="27" customHeight="1" x14ac:dyDescent="0.25">
      <c r="A33" s="193" t="s">
        <v>90</v>
      </c>
      <c r="B33" s="639" t="s">
        <v>230</v>
      </c>
      <c r="C33" s="650">
        <v>45037</v>
      </c>
      <c r="D33" s="671" t="s">
        <v>230</v>
      </c>
      <c r="E33" s="14">
        <v>45280</v>
      </c>
      <c r="F33" s="638" t="s">
        <v>230</v>
      </c>
      <c r="G33" s="657">
        <v>45189</v>
      </c>
      <c r="H33" s="117" t="s">
        <v>230</v>
      </c>
      <c r="I33" s="96">
        <v>45631</v>
      </c>
      <c r="J33"/>
      <c r="K33"/>
      <c r="L33"/>
      <c r="M33"/>
      <c r="O33" s="7" t="e">
        <f>#REF!+#REF!</f>
        <v>#REF!</v>
      </c>
      <c r="Q33"/>
      <c r="R33"/>
    </row>
    <row r="34" spans="1:18" x14ac:dyDescent="0.25">
      <c r="A34" s="193" t="s">
        <v>93</v>
      </c>
      <c r="B34" s="639" t="s">
        <v>230</v>
      </c>
      <c r="C34" s="650">
        <v>45006</v>
      </c>
      <c r="D34" s="671" t="s">
        <v>230</v>
      </c>
      <c r="E34" s="14">
        <v>45280</v>
      </c>
      <c r="F34" s="638" t="s">
        <v>230</v>
      </c>
      <c r="G34" s="657">
        <v>45155</v>
      </c>
      <c r="H34" s="117" t="s">
        <v>230</v>
      </c>
      <c r="I34" s="96">
        <v>45631</v>
      </c>
      <c r="J34"/>
      <c r="K34"/>
      <c r="L34"/>
      <c r="M34"/>
      <c r="O34" s="643" t="e">
        <f>#REF!+#REF!</f>
        <v>#REF!</v>
      </c>
      <c r="Q34"/>
      <c r="R34"/>
    </row>
    <row r="35" spans="1:18" x14ac:dyDescent="0.25">
      <c r="A35" s="193" t="s">
        <v>94</v>
      </c>
      <c r="B35" s="639" t="s">
        <v>230</v>
      </c>
      <c r="C35" s="650">
        <v>44974</v>
      </c>
      <c r="D35" s="671" t="s">
        <v>230</v>
      </c>
      <c r="E35" s="14">
        <v>45280</v>
      </c>
      <c r="F35" s="638" t="s">
        <v>230</v>
      </c>
      <c r="G35" s="657">
        <v>45157</v>
      </c>
      <c r="H35" s="117" t="s">
        <v>230</v>
      </c>
      <c r="I35" s="96">
        <v>45642</v>
      </c>
      <c r="J35"/>
      <c r="K35"/>
      <c r="L35"/>
      <c r="M35"/>
      <c r="O35" s="7" t="e">
        <f>#REF!+#REF!</f>
        <v>#REF!</v>
      </c>
      <c r="Q35"/>
      <c r="R35"/>
    </row>
    <row r="36" spans="1:18" ht="46.5" customHeight="1" x14ac:dyDescent="0.25">
      <c r="A36" s="193" t="s">
        <v>241</v>
      </c>
      <c r="B36" s="639" t="s">
        <v>230</v>
      </c>
      <c r="C36" s="650">
        <v>44977</v>
      </c>
      <c r="D36" s="672" t="s">
        <v>233</v>
      </c>
      <c r="E36" s="656" t="s">
        <v>250</v>
      </c>
      <c r="F36" s="638" t="s">
        <v>230</v>
      </c>
      <c r="G36" s="657">
        <v>45251</v>
      </c>
      <c r="H36" s="117" t="s">
        <v>230</v>
      </c>
      <c r="I36" s="96">
        <v>45643</v>
      </c>
      <c r="J36"/>
      <c r="K36"/>
      <c r="L36"/>
      <c r="M36"/>
      <c r="O36" s="643" t="e">
        <f>#REF!+#REF!</f>
        <v>#REF!</v>
      </c>
      <c r="Q36"/>
      <c r="R36"/>
    </row>
    <row r="37" spans="1:18" x14ac:dyDescent="0.25">
      <c r="A37" s="193" t="s">
        <v>96</v>
      </c>
      <c r="B37" s="639" t="s">
        <v>230</v>
      </c>
      <c r="C37" s="650">
        <v>45007</v>
      </c>
      <c r="D37" s="671" t="s">
        <v>230</v>
      </c>
      <c r="E37" s="14">
        <v>45250</v>
      </c>
      <c r="F37" s="638" t="s">
        <v>230</v>
      </c>
      <c r="G37" s="657">
        <v>45157</v>
      </c>
      <c r="H37" s="117" t="s">
        <v>230</v>
      </c>
      <c r="I37" s="96">
        <v>45404</v>
      </c>
      <c r="J37"/>
      <c r="K37"/>
      <c r="L37"/>
      <c r="M37"/>
      <c r="O37" s="7" t="e">
        <f>#REF!+#REF!</f>
        <v>#REF!</v>
      </c>
      <c r="Q37"/>
      <c r="R37"/>
    </row>
    <row r="38" spans="1:18" x14ac:dyDescent="0.25">
      <c r="A38" s="193" t="s">
        <v>98</v>
      </c>
      <c r="B38" s="639" t="s">
        <v>230</v>
      </c>
      <c r="C38" s="650">
        <v>45035</v>
      </c>
      <c r="D38" s="671" t="s">
        <v>230</v>
      </c>
      <c r="E38" s="14">
        <v>45250</v>
      </c>
      <c r="F38" s="638" t="s">
        <v>230</v>
      </c>
      <c r="G38" s="657">
        <v>45155</v>
      </c>
      <c r="H38" s="117" t="s">
        <v>230</v>
      </c>
      <c r="I38" s="96">
        <v>45404</v>
      </c>
      <c r="J38"/>
      <c r="K38"/>
      <c r="L38"/>
      <c r="M38"/>
      <c r="O38" s="643" t="e">
        <f>#REF!+#REF!</f>
        <v>#REF!</v>
      </c>
      <c r="Q38"/>
      <c r="R38"/>
    </row>
    <row r="39" spans="1:18" x14ac:dyDescent="0.25">
      <c r="A39" s="193" t="s">
        <v>242</v>
      </c>
      <c r="B39" s="639" t="s">
        <v>230</v>
      </c>
      <c r="C39" s="650">
        <v>110720</v>
      </c>
      <c r="D39" s="671" t="s">
        <v>230</v>
      </c>
      <c r="E39" s="14">
        <v>45251</v>
      </c>
      <c r="F39" s="638" t="s">
        <v>230</v>
      </c>
      <c r="G39" s="657">
        <v>45157</v>
      </c>
      <c r="H39" s="117" t="s">
        <v>230</v>
      </c>
      <c r="I39" s="96">
        <v>45467</v>
      </c>
      <c r="J39"/>
      <c r="K39"/>
      <c r="L39"/>
      <c r="M39"/>
      <c r="O39" s="7" t="e">
        <f>#REF!+#REF!</f>
        <v>#REF!</v>
      </c>
      <c r="Q39"/>
      <c r="R39"/>
    </row>
    <row r="40" spans="1:18" ht="19.149999999999999" customHeight="1" x14ac:dyDescent="0.25">
      <c r="A40" s="193" t="s">
        <v>100</v>
      </c>
      <c r="B40" s="639" t="s">
        <v>230</v>
      </c>
      <c r="C40" s="650">
        <v>45002</v>
      </c>
      <c r="D40" s="671" t="s">
        <v>230</v>
      </c>
      <c r="E40" s="14">
        <v>45251</v>
      </c>
      <c r="F40" s="638" t="s">
        <v>230</v>
      </c>
      <c r="G40" s="657">
        <v>45155</v>
      </c>
      <c r="H40" s="117" t="s">
        <v>230</v>
      </c>
      <c r="I40" s="96">
        <v>45387</v>
      </c>
      <c r="J40"/>
      <c r="K40"/>
      <c r="L40"/>
      <c r="M40"/>
      <c r="O40" s="643" t="e">
        <f>#REF!+#REF!</f>
        <v>#REF!</v>
      </c>
      <c r="Q40"/>
      <c r="R40"/>
    </row>
    <row r="41" spans="1:18" ht="45" x14ac:dyDescent="0.25">
      <c r="A41" s="193" t="s">
        <v>101</v>
      </c>
      <c r="B41" s="639" t="s">
        <v>230</v>
      </c>
      <c r="C41" s="650">
        <v>44977</v>
      </c>
      <c r="D41" s="672" t="s">
        <v>233</v>
      </c>
      <c r="E41" s="656" t="s">
        <v>250</v>
      </c>
      <c r="F41" s="638" t="s">
        <v>230</v>
      </c>
      <c r="G41" s="657">
        <v>45155</v>
      </c>
      <c r="H41" s="117" t="s">
        <v>230</v>
      </c>
      <c r="I41" s="96">
        <v>45338</v>
      </c>
      <c r="J41"/>
      <c r="K41"/>
      <c r="L41"/>
      <c r="M41"/>
      <c r="O41" s="7" t="e">
        <f>#REF!+#REF!</f>
        <v>#REF!</v>
      </c>
      <c r="Q41"/>
      <c r="R41"/>
    </row>
    <row r="42" spans="1:18" ht="45" x14ac:dyDescent="0.25">
      <c r="A42" s="193" t="s">
        <v>102</v>
      </c>
      <c r="B42" s="639" t="s">
        <v>230</v>
      </c>
      <c r="C42" s="650">
        <v>44977</v>
      </c>
      <c r="D42" s="672" t="s">
        <v>233</v>
      </c>
      <c r="E42" s="656" t="s">
        <v>250</v>
      </c>
      <c r="F42" s="638" t="s">
        <v>230</v>
      </c>
      <c r="G42" s="657">
        <v>45155</v>
      </c>
      <c r="H42" s="117" t="s">
        <v>230</v>
      </c>
      <c r="I42" s="96">
        <v>45467</v>
      </c>
      <c r="J42"/>
      <c r="K42"/>
      <c r="L42"/>
      <c r="M42"/>
      <c r="O42" s="643" t="e">
        <f>#REF!+#REF!</f>
        <v>#REF!</v>
      </c>
      <c r="Q42"/>
      <c r="R42"/>
    </row>
    <row r="43" spans="1:18" x14ac:dyDescent="0.25">
      <c r="A43" s="193" t="s">
        <v>243</v>
      </c>
      <c r="B43" s="639" t="s">
        <v>230</v>
      </c>
      <c r="C43" s="650">
        <v>44980</v>
      </c>
      <c r="D43" s="671" t="s">
        <v>230</v>
      </c>
      <c r="E43" s="14">
        <v>45279</v>
      </c>
      <c r="F43" s="638" t="s">
        <v>230</v>
      </c>
      <c r="G43" s="657">
        <v>45155</v>
      </c>
      <c r="H43" s="117" t="s">
        <v>230</v>
      </c>
      <c r="I43" s="96">
        <v>45460</v>
      </c>
      <c r="J43"/>
      <c r="K43"/>
      <c r="L43"/>
      <c r="M43"/>
      <c r="O43" s="7" t="e">
        <f>#REF!+#REF!</f>
        <v>#REF!</v>
      </c>
      <c r="Q43" s="310"/>
      <c r="R43"/>
    </row>
    <row r="44" spans="1:18" x14ac:dyDescent="0.25">
      <c r="A44" s="193" t="s">
        <v>61</v>
      </c>
      <c r="B44" s="639" t="s">
        <v>230</v>
      </c>
      <c r="C44" s="650">
        <v>44977</v>
      </c>
      <c r="D44" s="671" t="s">
        <v>230</v>
      </c>
      <c r="E44" s="14">
        <v>45251</v>
      </c>
      <c r="F44" s="638" t="s">
        <v>230</v>
      </c>
      <c r="G44" s="657">
        <v>45155</v>
      </c>
      <c r="H44" s="117" t="s">
        <v>230</v>
      </c>
      <c r="I44" s="96">
        <v>45469</v>
      </c>
      <c r="J44"/>
      <c r="K44"/>
      <c r="L44"/>
      <c r="M44"/>
      <c r="O44" s="643" t="e">
        <f>#REF!+#REF!</f>
        <v>#REF!</v>
      </c>
      <c r="Q44"/>
      <c r="R44"/>
    </row>
    <row r="45" spans="1:18" ht="45" x14ac:dyDescent="0.25">
      <c r="A45" s="193" t="s">
        <v>104</v>
      </c>
      <c r="B45" s="639" t="s">
        <v>230</v>
      </c>
      <c r="C45" s="650">
        <v>44978</v>
      </c>
      <c r="D45" s="672" t="s">
        <v>233</v>
      </c>
      <c r="E45" s="656"/>
      <c r="F45" s="638" t="s">
        <v>230</v>
      </c>
      <c r="G45" s="657">
        <v>45155</v>
      </c>
      <c r="H45" s="117" t="s">
        <v>230</v>
      </c>
      <c r="I45" s="96">
        <v>45342</v>
      </c>
      <c r="J45"/>
      <c r="K45"/>
      <c r="L45"/>
      <c r="M45"/>
      <c r="O45" s="7" t="e">
        <f>#REF!+#REF!</f>
        <v>#REF!</v>
      </c>
      <c r="Q45"/>
      <c r="R45"/>
    </row>
    <row r="46" spans="1:18" x14ac:dyDescent="0.25">
      <c r="A46" s="193" t="s">
        <v>106</v>
      </c>
      <c r="B46" s="639" t="s">
        <v>230</v>
      </c>
      <c r="C46" s="651">
        <v>44974</v>
      </c>
      <c r="D46" s="671" t="s">
        <v>230</v>
      </c>
      <c r="E46" s="14">
        <v>45280</v>
      </c>
      <c r="F46" s="638" t="s">
        <v>230</v>
      </c>
      <c r="G46" s="657">
        <v>45155</v>
      </c>
      <c r="H46" s="117" t="s">
        <v>230</v>
      </c>
      <c r="I46" s="96">
        <v>45387</v>
      </c>
      <c r="J46"/>
      <c r="K46"/>
      <c r="L46"/>
      <c r="M46"/>
      <c r="O46" s="643" t="e">
        <f>#REF!+#REF!</f>
        <v>#REF!</v>
      </c>
      <c r="Q46"/>
      <c r="R46"/>
    </row>
    <row r="47" spans="1:18" x14ac:dyDescent="0.25">
      <c r="A47" s="193" t="s">
        <v>107</v>
      </c>
      <c r="B47" s="639" t="s">
        <v>230</v>
      </c>
      <c r="C47" s="650">
        <v>44977</v>
      </c>
      <c r="D47" s="671" t="s">
        <v>230</v>
      </c>
      <c r="E47" s="14">
        <v>45251</v>
      </c>
      <c r="F47" s="638" t="s">
        <v>230</v>
      </c>
      <c r="G47" s="657">
        <v>45156</v>
      </c>
      <c r="H47" s="117" t="s">
        <v>230</v>
      </c>
      <c r="I47" s="96">
        <v>45387</v>
      </c>
      <c r="J47"/>
      <c r="K47"/>
      <c r="L47"/>
      <c r="M47"/>
      <c r="O47" s="7" t="e">
        <f>#REF!+#REF!</f>
        <v>#REF!</v>
      </c>
      <c r="Q47"/>
      <c r="R47"/>
    </row>
    <row r="48" spans="1:18" ht="18" customHeight="1" x14ac:dyDescent="0.25">
      <c r="A48" s="193" t="s">
        <v>108</v>
      </c>
      <c r="B48" s="639" t="s">
        <v>230</v>
      </c>
      <c r="C48" s="650">
        <v>44977</v>
      </c>
      <c r="D48" s="671" t="s">
        <v>230</v>
      </c>
      <c r="E48" s="14">
        <v>45251</v>
      </c>
      <c r="F48" s="638" t="s">
        <v>230</v>
      </c>
      <c r="G48" s="657">
        <v>45156</v>
      </c>
      <c r="H48" s="117" t="s">
        <v>230</v>
      </c>
      <c r="I48" s="96">
        <v>45341</v>
      </c>
      <c r="J48"/>
      <c r="K48"/>
      <c r="L48"/>
      <c r="M48"/>
      <c r="O48" s="643" t="e">
        <f>#REF!+#REF!</f>
        <v>#REF!</v>
      </c>
      <c r="Q48"/>
      <c r="R48"/>
    </row>
    <row r="49" spans="1:18" ht="36.6" customHeight="1" x14ac:dyDescent="0.25">
      <c r="A49" s="193" t="s">
        <v>186</v>
      </c>
      <c r="B49" s="639" t="s">
        <v>230</v>
      </c>
      <c r="C49" s="650">
        <v>44977</v>
      </c>
      <c r="D49" s="671" t="s">
        <v>230</v>
      </c>
      <c r="E49" s="14">
        <v>45251</v>
      </c>
      <c r="F49" s="638" t="s">
        <v>230</v>
      </c>
      <c r="G49" s="657">
        <v>45521</v>
      </c>
      <c r="H49" s="674" t="s">
        <v>245</v>
      </c>
      <c r="I49" s="96"/>
      <c r="J49"/>
      <c r="K49"/>
      <c r="L49"/>
      <c r="M49"/>
      <c r="O49" s="7" t="e">
        <f>#REF!+#REF!</f>
        <v>#REF!</v>
      </c>
      <c r="Q49"/>
      <c r="R49"/>
    </row>
    <row r="50" spans="1:18" ht="57" customHeight="1" x14ac:dyDescent="0.25">
      <c r="A50" s="193" t="s">
        <v>111</v>
      </c>
      <c r="B50" s="639" t="s">
        <v>230</v>
      </c>
      <c r="C50" s="650">
        <v>45006</v>
      </c>
      <c r="D50" s="672" t="s">
        <v>233</v>
      </c>
      <c r="E50" s="656" t="s">
        <v>250</v>
      </c>
      <c r="F50" s="638" t="s">
        <v>230</v>
      </c>
      <c r="G50" s="657">
        <v>45155</v>
      </c>
      <c r="H50" s="117" t="s">
        <v>230</v>
      </c>
      <c r="I50" s="96">
        <v>45387</v>
      </c>
      <c r="J50"/>
      <c r="K50"/>
      <c r="L50"/>
      <c r="M50"/>
      <c r="O50" s="643" t="e">
        <f>#REF!+#REF!</f>
        <v>#REF!</v>
      </c>
      <c r="Q50"/>
      <c r="R50"/>
    </row>
    <row r="51" spans="1:18" x14ac:dyDescent="0.25">
      <c r="A51" s="193" t="s">
        <v>196</v>
      </c>
      <c r="B51" s="639" t="s">
        <v>230</v>
      </c>
      <c r="C51" s="650">
        <v>44977</v>
      </c>
      <c r="D51" s="671" t="s">
        <v>230</v>
      </c>
      <c r="E51" s="14">
        <v>45251</v>
      </c>
      <c r="F51" s="638" t="s">
        <v>230</v>
      </c>
      <c r="G51" s="657">
        <v>45155</v>
      </c>
      <c r="H51" s="117" t="s">
        <v>230</v>
      </c>
      <c r="I51" s="658">
        <v>45280</v>
      </c>
      <c r="J51"/>
      <c r="K51"/>
      <c r="L51"/>
      <c r="M51"/>
      <c r="O51" s="7" t="e">
        <f>#REF!+#REF!</f>
        <v>#REF!</v>
      </c>
      <c r="Q51"/>
      <c r="R51"/>
    </row>
    <row r="52" spans="1:18" x14ac:dyDescent="0.25">
      <c r="A52" s="193" t="s">
        <v>113</v>
      </c>
      <c r="B52" s="639" t="s">
        <v>230</v>
      </c>
      <c r="C52" s="650">
        <v>44977</v>
      </c>
      <c r="D52" s="671" t="s">
        <v>230</v>
      </c>
      <c r="E52" s="14">
        <v>45251</v>
      </c>
      <c r="F52" s="638" t="s">
        <v>230</v>
      </c>
      <c r="G52" s="657">
        <v>45155</v>
      </c>
      <c r="H52" s="117" t="s">
        <v>230</v>
      </c>
      <c r="I52" s="96">
        <v>45387</v>
      </c>
      <c r="J52"/>
      <c r="K52"/>
      <c r="L52"/>
      <c r="M52"/>
      <c r="O52" s="643" t="e">
        <f>#REF!+#REF!</f>
        <v>#REF!</v>
      </c>
      <c r="Q52"/>
      <c r="R52"/>
    </row>
    <row r="53" spans="1:18" x14ac:dyDescent="0.25">
      <c r="A53" s="193" t="s">
        <v>114</v>
      </c>
      <c r="B53" s="639" t="s">
        <v>230</v>
      </c>
      <c r="C53" s="650">
        <v>44977</v>
      </c>
      <c r="D53" s="671" t="s">
        <v>230</v>
      </c>
      <c r="E53" s="14">
        <v>45251</v>
      </c>
      <c r="F53" s="638" t="s">
        <v>230</v>
      </c>
      <c r="G53" s="657">
        <v>45155</v>
      </c>
      <c r="H53" s="117" t="s">
        <v>230</v>
      </c>
      <c r="I53" s="96">
        <v>45387</v>
      </c>
      <c r="J53"/>
      <c r="K53"/>
      <c r="L53"/>
      <c r="M53"/>
      <c r="O53" s="7" t="e">
        <f>#REF!+#REF!</f>
        <v>#REF!</v>
      </c>
      <c r="Q53"/>
      <c r="R53"/>
    </row>
    <row r="54" spans="1:18" ht="30" x14ac:dyDescent="0.25">
      <c r="A54" s="193" t="s">
        <v>115</v>
      </c>
      <c r="B54" s="639" t="s">
        <v>230</v>
      </c>
      <c r="C54" s="653" t="s">
        <v>246</v>
      </c>
      <c r="D54" s="671" t="s">
        <v>230</v>
      </c>
      <c r="E54" s="14">
        <v>45545</v>
      </c>
      <c r="F54" s="638" t="s">
        <v>230</v>
      </c>
      <c r="G54" s="657">
        <v>45521</v>
      </c>
      <c r="H54" s="637" t="s">
        <v>247</v>
      </c>
      <c r="I54" s="1"/>
      <c r="J54"/>
      <c r="K54"/>
      <c r="L54"/>
      <c r="M54"/>
      <c r="O54" s="643" t="e">
        <f>#REF!+#REF!</f>
        <v>#REF!</v>
      </c>
      <c r="Q54"/>
      <c r="R54"/>
    </row>
    <row r="55" spans="1:18" x14ac:dyDescent="0.25">
      <c r="A55" s="193" t="s">
        <v>116</v>
      </c>
      <c r="B55" s="639" t="s">
        <v>230</v>
      </c>
      <c r="C55" s="651">
        <v>44978</v>
      </c>
      <c r="D55" s="671" t="s">
        <v>230</v>
      </c>
      <c r="E55" s="14">
        <v>45251</v>
      </c>
      <c r="F55" s="638" t="s">
        <v>230</v>
      </c>
      <c r="G55" s="657">
        <v>45156</v>
      </c>
      <c r="H55" s="117" t="s">
        <v>230</v>
      </c>
      <c r="I55" s="658">
        <v>45281</v>
      </c>
      <c r="J55"/>
      <c r="K55"/>
      <c r="L55"/>
      <c r="M55"/>
      <c r="O55" s="7" t="e">
        <f>#REF!+#REF!</f>
        <v>#REF!</v>
      </c>
      <c r="Q55"/>
      <c r="R55"/>
    </row>
    <row r="56" spans="1:18" x14ac:dyDescent="0.25">
      <c r="A56" s="193" t="s">
        <v>248</v>
      </c>
      <c r="B56" s="639" t="s">
        <v>230</v>
      </c>
      <c r="C56" s="650">
        <v>44977</v>
      </c>
      <c r="D56" s="671" t="s">
        <v>230</v>
      </c>
      <c r="E56" s="14">
        <v>45281</v>
      </c>
      <c r="F56" s="638" t="s">
        <v>230</v>
      </c>
      <c r="G56" s="657">
        <v>45155</v>
      </c>
      <c r="H56" s="117" t="s">
        <v>230</v>
      </c>
      <c r="I56" s="96">
        <v>45460</v>
      </c>
      <c r="J56"/>
      <c r="K56"/>
      <c r="L56"/>
      <c r="M56"/>
      <c r="O56" s="643" t="e">
        <f>#REF!+#REF!</f>
        <v>#REF!</v>
      </c>
      <c r="Q56"/>
      <c r="R56"/>
    </row>
    <row r="57" spans="1:18" x14ac:dyDescent="0.25">
      <c r="A57" s="193" t="s">
        <v>249</v>
      </c>
      <c r="B57" s="639" t="s">
        <v>230</v>
      </c>
      <c r="C57" s="651">
        <v>44977</v>
      </c>
      <c r="D57" s="671" t="s">
        <v>230</v>
      </c>
      <c r="E57" s="14">
        <v>45280</v>
      </c>
      <c r="F57" s="638" t="s">
        <v>230</v>
      </c>
      <c r="G57" s="657">
        <v>45155</v>
      </c>
      <c r="H57" s="117" t="s">
        <v>230</v>
      </c>
      <c r="I57" s="96">
        <v>45460</v>
      </c>
      <c r="J57"/>
      <c r="K57"/>
      <c r="L57"/>
      <c r="M57"/>
      <c r="O57" s="7" t="e">
        <f>#REF!+#REF!</f>
        <v>#REF!</v>
      </c>
      <c r="Q57"/>
      <c r="R57"/>
    </row>
    <row r="58" spans="1:18" ht="20.25" customHeight="1" x14ac:dyDescent="0.25">
      <c r="A58" s="193" t="s">
        <v>166</v>
      </c>
      <c r="B58" s="639" t="s">
        <v>230</v>
      </c>
      <c r="C58" s="651">
        <v>44977</v>
      </c>
      <c r="D58" s="671" t="s">
        <v>230</v>
      </c>
      <c r="E58" s="14">
        <v>45251</v>
      </c>
      <c r="F58" s="638" t="s">
        <v>230</v>
      </c>
      <c r="G58" s="657">
        <v>45155</v>
      </c>
      <c r="H58" s="117" t="s">
        <v>230</v>
      </c>
      <c r="I58" s="96">
        <v>45405</v>
      </c>
      <c r="J58"/>
      <c r="K58"/>
      <c r="L58"/>
      <c r="M58"/>
      <c r="O58" s="643" t="e">
        <f>#REF!+#REF!</f>
        <v>#REF!</v>
      </c>
      <c r="Q58"/>
      <c r="R58"/>
    </row>
    <row r="59" spans="1:18" x14ac:dyDescent="0.25">
      <c r="A59" s="193" t="s">
        <v>120</v>
      </c>
      <c r="B59" s="639" t="s">
        <v>230</v>
      </c>
      <c r="C59" s="651">
        <v>44977</v>
      </c>
      <c r="D59" s="671" t="s">
        <v>230</v>
      </c>
      <c r="E59" s="14">
        <v>45251</v>
      </c>
      <c r="F59" s="638" t="s">
        <v>230</v>
      </c>
      <c r="G59" s="657">
        <v>45156</v>
      </c>
      <c r="H59" s="117" t="s">
        <v>230</v>
      </c>
      <c r="I59" s="96">
        <v>45387</v>
      </c>
      <c r="J59"/>
      <c r="K59"/>
      <c r="L59"/>
      <c r="M59"/>
      <c r="O59" s="7" t="e">
        <f>#REF!+#REF!</f>
        <v>#REF!</v>
      </c>
      <c r="Q59"/>
      <c r="R59"/>
    </row>
    <row r="60" spans="1:18" ht="60.6" customHeight="1" x14ac:dyDescent="0.25">
      <c r="A60" s="193" t="s">
        <v>121</v>
      </c>
      <c r="B60" s="639" t="s">
        <v>230</v>
      </c>
      <c r="C60" s="651">
        <v>44978</v>
      </c>
      <c r="D60" s="672" t="s">
        <v>233</v>
      </c>
      <c r="E60" s="656" t="s">
        <v>250</v>
      </c>
      <c r="F60" s="638" t="s">
        <v>230</v>
      </c>
      <c r="G60" s="657">
        <v>45155</v>
      </c>
      <c r="H60" s="117" t="s">
        <v>230</v>
      </c>
      <c r="I60" s="96">
        <v>45387</v>
      </c>
      <c r="J60"/>
      <c r="K60"/>
      <c r="L60"/>
      <c r="M60"/>
      <c r="O60" s="643" t="e">
        <f>#REF!+#REF!</f>
        <v>#REF!</v>
      </c>
      <c r="Q60"/>
      <c r="R60"/>
    </row>
    <row r="61" spans="1:18" ht="53.45" customHeight="1" x14ac:dyDescent="0.25">
      <c r="A61" s="193" t="s">
        <v>122</v>
      </c>
      <c r="B61" s="639" t="s">
        <v>230</v>
      </c>
      <c r="C61" s="651">
        <v>44977</v>
      </c>
      <c r="D61" s="671" t="s">
        <v>230</v>
      </c>
      <c r="E61" s="14">
        <v>45251</v>
      </c>
      <c r="F61" s="638" t="s">
        <v>230</v>
      </c>
      <c r="G61" s="657">
        <v>45190</v>
      </c>
      <c r="H61" s="674" t="s">
        <v>245</v>
      </c>
      <c r="I61" s="96"/>
      <c r="J61"/>
      <c r="K61"/>
      <c r="L61"/>
      <c r="M61"/>
      <c r="O61" s="7" t="e">
        <f>#REF!+#REF!</f>
        <v>#REF!</v>
      </c>
      <c r="Q61"/>
      <c r="R61"/>
    </row>
    <row r="62" spans="1:18" x14ac:dyDescent="0.25">
      <c r="A62" s="193" t="s">
        <v>123</v>
      </c>
      <c r="B62" s="639" t="s">
        <v>230</v>
      </c>
      <c r="C62" s="651">
        <v>44976</v>
      </c>
      <c r="D62" s="671" t="s">
        <v>230</v>
      </c>
      <c r="E62" s="14">
        <v>45405</v>
      </c>
      <c r="F62" s="638" t="s">
        <v>230</v>
      </c>
      <c r="G62" s="657">
        <v>45156</v>
      </c>
      <c r="H62" s="117" t="s">
        <v>230</v>
      </c>
      <c r="I62" s="96">
        <v>45460</v>
      </c>
      <c r="J62"/>
      <c r="K62"/>
      <c r="L62"/>
      <c r="M62"/>
      <c r="O62" s="643" t="e">
        <f>#REF!+#REF!</f>
        <v>#REF!</v>
      </c>
      <c r="Q62"/>
      <c r="R62"/>
    </row>
    <row r="63" spans="1:18" x14ac:dyDescent="0.25">
      <c r="A63" s="193" t="s">
        <v>125</v>
      </c>
      <c r="B63" s="639" t="s">
        <v>230</v>
      </c>
      <c r="C63" s="651">
        <v>45007</v>
      </c>
      <c r="D63" s="671" t="s">
        <v>230</v>
      </c>
      <c r="E63" s="14">
        <v>45391</v>
      </c>
      <c r="F63" s="638" t="s">
        <v>230</v>
      </c>
      <c r="G63" s="657">
        <v>45155</v>
      </c>
      <c r="H63" s="117" t="s">
        <v>230</v>
      </c>
      <c r="I63" s="96">
        <v>45405</v>
      </c>
      <c r="J63"/>
      <c r="K63"/>
      <c r="L63"/>
      <c r="M63"/>
      <c r="O63" s="7" t="e">
        <f>#REF!+#REF!</f>
        <v>#REF!</v>
      </c>
      <c r="Q63"/>
      <c r="R63"/>
    </row>
    <row r="64" spans="1:18" x14ac:dyDescent="0.25">
      <c r="A64" s="193" t="s">
        <v>126</v>
      </c>
      <c r="B64" s="639" t="s">
        <v>230</v>
      </c>
      <c r="C64" s="651">
        <v>44977</v>
      </c>
      <c r="D64" s="671" t="s">
        <v>230</v>
      </c>
      <c r="E64" s="14">
        <v>45251</v>
      </c>
      <c r="F64" s="638" t="s">
        <v>230</v>
      </c>
      <c r="G64" s="657">
        <v>45153</v>
      </c>
      <c r="H64" s="117" t="s">
        <v>230</v>
      </c>
      <c r="I64" s="96">
        <v>45386</v>
      </c>
      <c r="J64"/>
      <c r="K64"/>
      <c r="L64"/>
      <c r="M64"/>
      <c r="O64" s="643" t="e">
        <f>#REF!+#REF!</f>
        <v>#REF!</v>
      </c>
      <c r="Q64"/>
      <c r="R64"/>
    </row>
    <row r="65" spans="1:18" ht="53.45" customHeight="1" thickBot="1" x14ac:dyDescent="0.3">
      <c r="A65" s="648" t="s">
        <v>252</v>
      </c>
      <c r="B65" s="639" t="s">
        <v>230</v>
      </c>
      <c r="C65" s="651">
        <v>44977</v>
      </c>
      <c r="D65" s="671" t="s">
        <v>230</v>
      </c>
      <c r="E65" s="14">
        <v>45251</v>
      </c>
      <c r="F65" s="638" t="s">
        <v>230</v>
      </c>
      <c r="G65" s="657">
        <v>45189</v>
      </c>
      <c r="H65" s="637" t="s">
        <v>247</v>
      </c>
      <c r="I65" s="1"/>
      <c r="J65"/>
      <c r="K65"/>
      <c r="L65"/>
      <c r="M65"/>
      <c r="O65" s="7" t="e">
        <f>#REF!+#REF!</f>
        <v>#REF!</v>
      </c>
      <c r="Q65"/>
      <c r="R65"/>
    </row>
    <row r="66" spans="1:18" ht="16.5" thickTop="1" thickBot="1" x14ac:dyDescent="0.3">
      <c r="A66" s="193"/>
      <c r="B66" s="33">
        <f>SUBTOTAL(109,Tabla13[ESTADO DE PAGO 80% 2023-1])</f>
        <v>0</v>
      </c>
      <c r="C66" s="33"/>
      <c r="D66" s="673"/>
      <c r="E66" s="13"/>
      <c r="F66" s="7"/>
      <c r="G66" s="7"/>
      <c r="H66" s="47"/>
      <c r="I66" s="47"/>
      <c r="J66"/>
      <c r="K66"/>
      <c r="L66"/>
      <c r="M66"/>
      <c r="O66" s="644"/>
      <c r="Q66"/>
      <c r="R66"/>
    </row>
  </sheetData>
  <phoneticPr fontId="6" type="noConversion"/>
  <conditionalFormatting sqref="E2:E4 E6:E65 H2:I65">
    <cfRule type="containsText" dxfId="52" priority="32" operator="containsText" text="Aprobada">
      <formula>NOT(ISERROR(SEARCH("Aprobada",E2)))</formula>
    </cfRule>
    <cfRule type="containsText" dxfId="51" priority="33" operator="containsText" text="Aprobado">
      <formula>NOT(ISERROR(SEARCH("Aprobado",E2)))</formula>
    </cfRule>
    <cfRule type="containsText" dxfId="50" priority="34" operator="containsText" text="Generada">
      <formula>NOT(ISERROR(SEARCH("Generada",E2)))</formula>
    </cfRule>
    <cfRule type="containsText" dxfId="49" priority="35" operator="containsText" text="Cargada">
      <formula>NOT(ISERROR(SEARCH("Cargada",E2)))</formula>
    </cfRule>
    <cfRule type="containsText" dxfId="48" priority="36" operator="containsText" text="Sin generar">
      <formula>NOT(ISERROR(SEARCH("Sin generar",E2)))</formula>
    </cfRule>
  </conditionalFormatting>
  <conditionalFormatting sqref="L67:M1048576">
    <cfRule type="duplicateValues" dxfId="47" priority="60"/>
  </conditionalFormatting>
  <conditionalFormatting sqref="O1 K67:K1048576 T67:T1048576">
    <cfRule type="duplicateValues" dxfId="46" priority="29"/>
  </conditionalFormatting>
  <conditionalFormatting sqref="O1:O65 K67:K1048576 T67:T1048576">
    <cfRule type="duplicateValues" dxfId="45" priority="28"/>
  </conditionalFormatting>
  <conditionalFormatting sqref="H67:I1048576">
    <cfRule type="duplicateValues" dxfId="44" priority="81"/>
  </conditionalFormatting>
  <pageMargins left="0.7" right="0.7" top="0.75" bottom="0.75" header="0.3" footer="0.3"/>
  <legacy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E3C51-C4CB-4D7A-8947-B9CD90DA6052}">
  <sheetPr>
    <tabColor rgb="FFFFC000"/>
  </sheetPr>
  <dimension ref="A1:F24"/>
  <sheetViews>
    <sheetView workbookViewId="0">
      <selection activeCell="C22" sqref="C22"/>
    </sheetView>
  </sheetViews>
  <sheetFormatPr baseColWidth="10" defaultColWidth="11.42578125" defaultRowHeight="15" x14ac:dyDescent="0.25"/>
  <cols>
    <col min="1" max="1" width="40.5703125" bestFit="1" customWidth="1"/>
    <col min="2" max="2" width="6.42578125" bestFit="1" customWidth="1"/>
    <col min="3" max="3" width="21.7109375" bestFit="1" customWidth="1"/>
    <col min="4" max="4" width="62.140625" bestFit="1" customWidth="1"/>
    <col min="6" max="6" width="20" bestFit="1" customWidth="1"/>
  </cols>
  <sheetData>
    <row r="1" spans="1:6" x14ac:dyDescent="0.25">
      <c r="A1" s="683" t="s">
        <v>163</v>
      </c>
      <c r="B1" s="683"/>
      <c r="C1" s="683"/>
      <c r="D1" s="683"/>
    </row>
    <row r="2" spans="1:6" x14ac:dyDescent="0.25">
      <c r="A2" s="366" t="s">
        <v>253</v>
      </c>
      <c r="B2" s="366" t="s">
        <v>254</v>
      </c>
      <c r="C2" s="366" t="s">
        <v>255</v>
      </c>
      <c r="D2" s="366" t="s">
        <v>256</v>
      </c>
    </row>
    <row r="3" spans="1:6" x14ac:dyDescent="0.25">
      <c r="A3" s="373" t="s">
        <v>257</v>
      </c>
      <c r="B3" s="374">
        <v>64</v>
      </c>
      <c r="C3" s="375">
        <v>433909797980.20007</v>
      </c>
      <c r="D3" s="374"/>
    </row>
    <row r="4" spans="1:6" x14ac:dyDescent="0.25">
      <c r="A4" s="110" t="s">
        <v>258</v>
      </c>
      <c r="B4" s="142">
        <v>54</v>
      </c>
      <c r="C4" s="111">
        <v>105144689378</v>
      </c>
      <c r="D4" s="110"/>
    </row>
    <row r="5" spans="1:6" x14ac:dyDescent="0.25">
      <c r="A5" s="110" t="s">
        <v>259</v>
      </c>
      <c r="B5" s="142">
        <v>1</v>
      </c>
      <c r="C5" s="111"/>
      <c r="D5" s="409" t="s">
        <v>260</v>
      </c>
      <c r="F5" s="132"/>
    </row>
    <row r="6" spans="1:6" x14ac:dyDescent="0.25">
      <c r="A6" s="110" t="s">
        <v>261</v>
      </c>
      <c r="B6" s="142"/>
      <c r="C6" s="111"/>
      <c r="D6" s="110"/>
      <c r="F6" s="132"/>
    </row>
    <row r="7" spans="1:6" x14ac:dyDescent="0.25">
      <c r="A7" s="409" t="s">
        <v>262</v>
      </c>
      <c r="B7" s="303">
        <v>9</v>
      </c>
      <c r="C7" s="410">
        <v>3923001140</v>
      </c>
      <c r="D7" s="110"/>
    </row>
    <row r="8" spans="1:6" x14ac:dyDescent="0.25">
      <c r="A8" s="408" t="s">
        <v>263</v>
      </c>
      <c r="B8" s="374">
        <f>SUM(B4:B7)</f>
        <v>64</v>
      </c>
      <c r="C8" s="293">
        <f>+C3+C4</f>
        <v>539054487358.20007</v>
      </c>
      <c r="D8" s="408"/>
    </row>
    <row r="11" spans="1:6" x14ac:dyDescent="0.25">
      <c r="A11" s="683" t="s">
        <v>165</v>
      </c>
      <c r="B11" s="683"/>
      <c r="C11" s="683"/>
      <c r="D11" s="683"/>
    </row>
    <row r="12" spans="1:6" x14ac:dyDescent="0.25">
      <c r="A12" s="366" t="s">
        <v>253</v>
      </c>
      <c r="B12" s="366" t="s">
        <v>254</v>
      </c>
      <c r="C12" s="366" t="s">
        <v>255</v>
      </c>
      <c r="D12" s="366" t="s">
        <v>256</v>
      </c>
    </row>
    <row r="13" spans="1:6" x14ac:dyDescent="0.25">
      <c r="A13" s="373" t="s">
        <v>264</v>
      </c>
      <c r="B13" s="374">
        <v>64</v>
      </c>
      <c r="C13" s="375">
        <v>420126433228</v>
      </c>
      <c r="D13" s="374"/>
    </row>
    <row r="14" spans="1:6" x14ac:dyDescent="0.25">
      <c r="A14" s="110" t="s">
        <v>258</v>
      </c>
      <c r="B14" s="142">
        <v>62</v>
      </c>
      <c r="C14" s="111">
        <v>130679541686</v>
      </c>
      <c r="D14" s="110"/>
    </row>
    <row r="15" spans="1:6" x14ac:dyDescent="0.25">
      <c r="A15" s="119" t="s">
        <v>261</v>
      </c>
      <c r="B15" s="149">
        <v>2</v>
      </c>
      <c r="C15" s="150">
        <v>12390212879</v>
      </c>
      <c r="D15" s="110"/>
    </row>
    <row r="16" spans="1:6" x14ac:dyDescent="0.25">
      <c r="A16" s="409" t="s">
        <v>262</v>
      </c>
      <c r="B16" s="303">
        <v>2</v>
      </c>
      <c r="C16" s="410">
        <v>287814374</v>
      </c>
      <c r="D16" s="110"/>
    </row>
    <row r="17" spans="1:4" x14ac:dyDescent="0.25">
      <c r="A17" s="408" t="s">
        <v>263</v>
      </c>
      <c r="B17" s="374"/>
      <c r="C17" s="293">
        <f>+C13+C14</f>
        <v>550805974914</v>
      </c>
      <c r="D17" s="408"/>
    </row>
    <row r="20" spans="1:4" x14ac:dyDescent="0.25">
      <c r="A20" s="226" t="s">
        <v>265</v>
      </c>
      <c r="B20" s="110"/>
      <c r="C20" s="146">
        <f>C3+C4</f>
        <v>539054487358.20007</v>
      </c>
    </row>
    <row r="21" spans="1:4" x14ac:dyDescent="0.25">
      <c r="A21" s="226" t="s">
        <v>228</v>
      </c>
      <c r="B21" s="110"/>
      <c r="C21" s="146">
        <f>C13+C14</f>
        <v>550805974914</v>
      </c>
    </row>
    <row r="22" spans="1:4" x14ac:dyDescent="0.25">
      <c r="A22" s="147" t="s">
        <v>266</v>
      </c>
      <c r="B22" s="480"/>
      <c r="C22" s="481">
        <f>C20+C21</f>
        <v>1089860462272.2001</v>
      </c>
      <c r="D22" s="501" t="s">
        <v>267</v>
      </c>
    </row>
    <row r="24" spans="1:4" x14ac:dyDescent="0.25">
      <c r="A24" s="119" t="s">
        <v>268</v>
      </c>
      <c r="B24" s="119">
        <f>+B15</f>
        <v>2</v>
      </c>
      <c r="C24" s="557">
        <f>+C15</f>
        <v>12390212879</v>
      </c>
    </row>
  </sheetData>
  <mergeCells count="2">
    <mergeCell ref="A1:D1"/>
    <mergeCell ref="A11:D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DAE84-20D1-4D33-89F5-0E1E98D79D34}">
  <sheetPr>
    <tabColor rgb="FFFBB0A3"/>
  </sheetPr>
  <dimension ref="A1:I30"/>
  <sheetViews>
    <sheetView topLeftCell="A17" workbookViewId="0">
      <selection activeCell="F27" sqref="F27"/>
    </sheetView>
  </sheetViews>
  <sheetFormatPr baseColWidth="10" defaultColWidth="11.42578125" defaultRowHeight="15" x14ac:dyDescent="0.25"/>
  <cols>
    <col min="1" max="1" width="25.140625" style="115" customWidth="1"/>
    <col min="2" max="2" width="20" bestFit="1" customWidth="1"/>
    <col min="4" max="4" width="20" bestFit="1" customWidth="1"/>
    <col min="5" max="5" width="19.28515625" bestFit="1" customWidth="1"/>
    <col min="6" max="6" width="18" bestFit="1" customWidth="1"/>
    <col min="7" max="7" width="24.7109375" bestFit="1" customWidth="1"/>
    <col min="8" max="8" width="18.7109375" customWidth="1"/>
    <col min="9" max="9" width="28" customWidth="1"/>
  </cols>
  <sheetData>
    <row r="1" spans="1:8" x14ac:dyDescent="0.25">
      <c r="A1" s="554" t="s">
        <v>5</v>
      </c>
      <c r="B1" s="160" t="s">
        <v>269</v>
      </c>
      <c r="C1" s="160" t="s">
        <v>207</v>
      </c>
      <c r="D1" s="160" t="s">
        <v>270</v>
      </c>
      <c r="E1" s="160" t="s">
        <v>207</v>
      </c>
      <c r="F1" s="675" t="s">
        <v>271</v>
      </c>
      <c r="G1" s="675"/>
    </row>
    <row r="2" spans="1:8" ht="45" x14ac:dyDescent="0.25">
      <c r="A2" s="555" t="s">
        <v>72</v>
      </c>
      <c r="B2" s="186">
        <v>12984346860</v>
      </c>
      <c r="C2" s="142" t="s">
        <v>272</v>
      </c>
      <c r="D2" s="186">
        <v>4061285640</v>
      </c>
      <c r="E2" s="142" t="s">
        <v>273</v>
      </c>
      <c r="F2" s="142" t="s">
        <v>154</v>
      </c>
      <c r="G2" s="186">
        <v>2219713127</v>
      </c>
      <c r="H2" s="688" t="s">
        <v>230</v>
      </c>
    </row>
    <row r="3" spans="1:8" x14ac:dyDescent="0.25">
      <c r="A3" s="555"/>
      <c r="B3" s="142"/>
      <c r="C3" s="142"/>
      <c r="D3" s="142"/>
      <c r="E3" s="142"/>
      <c r="F3" s="142" t="s">
        <v>155</v>
      </c>
      <c r="G3" s="186">
        <v>2219713115</v>
      </c>
      <c r="H3" s="688"/>
    </row>
    <row r="4" spans="1:8" x14ac:dyDescent="0.25">
      <c r="A4" s="555"/>
      <c r="B4" s="142"/>
      <c r="C4" s="142"/>
      <c r="D4" s="142"/>
      <c r="E4" s="142"/>
      <c r="F4" s="142" t="s">
        <v>156</v>
      </c>
      <c r="G4" s="186">
        <v>4851235085</v>
      </c>
      <c r="H4" s="688"/>
    </row>
    <row r="5" spans="1:8" x14ac:dyDescent="0.25">
      <c r="A5" s="555"/>
      <c r="B5" s="142"/>
      <c r="C5" s="142"/>
      <c r="D5" s="142"/>
      <c r="E5" s="142"/>
      <c r="F5" s="142" t="s">
        <v>157</v>
      </c>
      <c r="G5" s="186">
        <v>4122487227</v>
      </c>
      <c r="H5" s="688"/>
    </row>
    <row r="8" spans="1:8" x14ac:dyDescent="0.25">
      <c r="A8" s="554" t="s">
        <v>5</v>
      </c>
      <c r="B8" s="160" t="s">
        <v>269</v>
      </c>
      <c r="C8" s="160" t="s">
        <v>207</v>
      </c>
      <c r="D8" s="160" t="s">
        <v>270</v>
      </c>
      <c r="E8" s="160" t="s">
        <v>207</v>
      </c>
      <c r="F8" s="675" t="s">
        <v>271</v>
      </c>
      <c r="G8" s="675"/>
    </row>
    <row r="9" spans="1:8" ht="45" x14ac:dyDescent="0.25">
      <c r="A9" s="555" t="s">
        <v>274</v>
      </c>
      <c r="B9" s="186">
        <v>209045515803</v>
      </c>
      <c r="C9" s="142" t="s">
        <v>272</v>
      </c>
      <c r="D9" s="186">
        <v>105104612950</v>
      </c>
      <c r="E9" s="552" t="s">
        <v>275</v>
      </c>
      <c r="F9" s="142" t="s">
        <v>154</v>
      </c>
      <c r="G9" s="186">
        <v>15046819192</v>
      </c>
    </row>
    <row r="10" spans="1:8" x14ac:dyDescent="0.25">
      <c r="A10" s="555"/>
      <c r="B10" s="142"/>
      <c r="C10" s="142"/>
      <c r="D10" s="142"/>
      <c r="E10" s="142"/>
      <c r="F10" s="142" t="s">
        <v>155</v>
      </c>
      <c r="G10" s="186">
        <v>15046819495</v>
      </c>
    </row>
    <row r="11" spans="1:8" x14ac:dyDescent="0.25">
      <c r="A11" s="555"/>
      <c r="B11" s="142"/>
      <c r="C11" s="142"/>
      <c r="D11" s="142"/>
      <c r="E11" s="142"/>
      <c r="F11" s="142" t="s">
        <v>156</v>
      </c>
      <c r="G11" s="186">
        <v>60830372469</v>
      </c>
      <c r="H11" t="s">
        <v>276</v>
      </c>
    </row>
    <row r="12" spans="1:8" x14ac:dyDescent="0.25">
      <c r="A12" s="555"/>
      <c r="B12" s="142"/>
      <c r="C12" s="142"/>
      <c r="D12" s="142"/>
      <c r="E12" s="142"/>
      <c r="F12" s="142" t="s">
        <v>157</v>
      </c>
      <c r="G12" s="186" t="s">
        <v>277</v>
      </c>
    </row>
    <row r="15" spans="1:8" x14ac:dyDescent="0.25">
      <c r="A15" s="554" t="s">
        <v>5</v>
      </c>
      <c r="B15" s="160" t="s">
        <v>269</v>
      </c>
      <c r="C15" s="160" t="s">
        <v>207</v>
      </c>
      <c r="D15" s="160" t="s">
        <v>270</v>
      </c>
      <c r="E15" s="160" t="s">
        <v>207</v>
      </c>
      <c r="F15" s="675" t="s">
        <v>271</v>
      </c>
      <c r="G15" s="675"/>
    </row>
    <row r="16" spans="1:8" ht="30" x14ac:dyDescent="0.25">
      <c r="A16" s="555" t="s">
        <v>50</v>
      </c>
      <c r="B16" s="186">
        <v>14681001975</v>
      </c>
      <c r="C16" s="142" t="s">
        <v>272</v>
      </c>
      <c r="D16" s="186">
        <v>6393879746</v>
      </c>
      <c r="E16" s="142" t="s">
        <v>278</v>
      </c>
      <c r="F16" s="142" t="s">
        <v>154</v>
      </c>
      <c r="G16" s="186">
        <v>2732771585</v>
      </c>
      <c r="H16" s="556" t="s">
        <v>55</v>
      </c>
    </row>
    <row r="17" spans="1:9" x14ac:dyDescent="0.25">
      <c r="A17" s="555"/>
      <c r="B17" s="142"/>
      <c r="C17" s="142"/>
      <c r="D17" s="142"/>
      <c r="E17" s="142"/>
      <c r="F17" s="142" t="s">
        <v>155</v>
      </c>
      <c r="G17" s="186">
        <v>2732771599</v>
      </c>
      <c r="H17" s="556" t="s">
        <v>55</v>
      </c>
    </row>
    <row r="18" spans="1:9" x14ac:dyDescent="0.25">
      <c r="A18" s="555"/>
      <c r="B18" s="142"/>
      <c r="C18" s="142"/>
      <c r="D18" s="142"/>
      <c r="E18" s="142"/>
      <c r="F18" s="142" t="s">
        <v>156</v>
      </c>
      <c r="G18" s="186">
        <v>5972536400</v>
      </c>
      <c r="H18" s="556" t="s">
        <v>55</v>
      </c>
    </row>
    <row r="19" spans="1:9" x14ac:dyDescent="0.25">
      <c r="A19" s="555"/>
      <c r="B19" s="142"/>
      <c r="C19" s="142"/>
      <c r="D19" s="142"/>
      <c r="E19" s="142"/>
      <c r="F19" s="142" t="s">
        <v>157</v>
      </c>
      <c r="G19" s="186">
        <v>5075347752</v>
      </c>
      <c r="H19" s="556" t="s">
        <v>55</v>
      </c>
    </row>
    <row r="21" spans="1:9" x14ac:dyDescent="0.25">
      <c r="A21" s="554" t="s">
        <v>5</v>
      </c>
      <c r="B21" s="160" t="s">
        <v>279</v>
      </c>
      <c r="C21" s="160" t="s">
        <v>207</v>
      </c>
      <c r="D21" s="160" t="s">
        <v>280</v>
      </c>
      <c r="E21" s="160" t="s">
        <v>207</v>
      </c>
      <c r="F21" s="406" t="s">
        <v>281</v>
      </c>
      <c r="G21" s="406" t="s">
        <v>282</v>
      </c>
    </row>
    <row r="22" spans="1:9" ht="30" x14ac:dyDescent="0.25">
      <c r="A22" s="555" t="s">
        <v>50</v>
      </c>
      <c r="B22" s="186">
        <v>3347093121</v>
      </c>
      <c r="C22" s="142" t="s">
        <v>272</v>
      </c>
      <c r="D22" s="186">
        <v>3438605429</v>
      </c>
      <c r="E22" s="142" t="s">
        <v>272</v>
      </c>
      <c r="F22" s="186">
        <v>5940847543</v>
      </c>
      <c r="G22" s="186">
        <v>1040616270</v>
      </c>
      <c r="H22" s="556" t="s">
        <v>55</v>
      </c>
    </row>
    <row r="25" spans="1:9" x14ac:dyDescent="0.25">
      <c r="A25" s="554" t="s">
        <v>5</v>
      </c>
      <c r="B25" s="160" t="s">
        <v>279</v>
      </c>
      <c r="C25" s="160" t="s">
        <v>207</v>
      </c>
      <c r="D25" s="160" t="s">
        <v>280</v>
      </c>
      <c r="E25" s="160" t="s">
        <v>207</v>
      </c>
      <c r="F25" s="406" t="s">
        <v>281</v>
      </c>
      <c r="G25" s="160" t="s">
        <v>207</v>
      </c>
      <c r="H25" s="406" t="s">
        <v>282</v>
      </c>
      <c r="I25" s="160" t="s">
        <v>207</v>
      </c>
    </row>
    <row r="26" spans="1:9" ht="75" x14ac:dyDescent="0.25">
      <c r="A26" s="684" t="s">
        <v>252</v>
      </c>
      <c r="B26" s="365">
        <v>175048837</v>
      </c>
      <c r="C26" s="168" t="s">
        <v>272</v>
      </c>
      <c r="D26" s="365">
        <v>107905912</v>
      </c>
      <c r="E26" s="168" t="s">
        <v>272</v>
      </c>
      <c r="F26" s="365">
        <v>192553721</v>
      </c>
      <c r="G26" s="168" t="s">
        <v>272</v>
      </c>
      <c r="H26" s="365">
        <v>48138430</v>
      </c>
      <c r="I26" s="634" t="s">
        <v>283</v>
      </c>
    </row>
    <row r="27" spans="1:9" x14ac:dyDescent="0.25">
      <c r="A27" s="684"/>
      <c r="B27" s="160" t="s">
        <v>269</v>
      </c>
      <c r="C27" s="160" t="s">
        <v>207</v>
      </c>
      <c r="D27" s="160" t="s">
        <v>284</v>
      </c>
      <c r="E27" s="160" t="s">
        <v>207</v>
      </c>
      <c r="F27" s="406" t="s">
        <v>271</v>
      </c>
      <c r="G27" s="160" t="s">
        <v>207</v>
      </c>
      <c r="H27" s="406" t="s">
        <v>285</v>
      </c>
      <c r="I27" s="160" t="s">
        <v>207</v>
      </c>
    </row>
    <row r="28" spans="1:9" x14ac:dyDescent="0.25">
      <c r="A28" s="684"/>
      <c r="B28" s="685">
        <v>356179150</v>
      </c>
      <c r="C28" s="686" t="s">
        <v>272</v>
      </c>
      <c r="D28" s="685">
        <v>89044788</v>
      </c>
      <c r="E28" s="687" t="s">
        <v>286</v>
      </c>
      <c r="F28" s="685">
        <v>432846112</v>
      </c>
      <c r="G28" s="686" t="s">
        <v>272</v>
      </c>
      <c r="H28" s="685">
        <v>108211528</v>
      </c>
      <c r="I28" s="684" t="s">
        <v>287</v>
      </c>
    </row>
    <row r="29" spans="1:9" ht="37.9" customHeight="1" x14ac:dyDescent="0.25">
      <c r="A29" s="684"/>
      <c r="B29" s="685"/>
      <c r="C29" s="686"/>
      <c r="D29" s="685"/>
      <c r="E29" s="687"/>
      <c r="F29" s="685"/>
      <c r="G29" s="686"/>
      <c r="H29" s="685"/>
      <c r="I29" s="684"/>
    </row>
    <row r="30" spans="1:9" ht="53.45" customHeight="1" x14ac:dyDescent="0.25">
      <c r="A30" s="684"/>
      <c r="B30" s="685"/>
      <c r="C30" s="686"/>
      <c r="D30" s="685"/>
      <c r="E30" s="687"/>
      <c r="F30" s="685"/>
      <c r="G30" s="686"/>
      <c r="H30" s="685"/>
      <c r="I30" s="684"/>
    </row>
  </sheetData>
  <mergeCells count="13">
    <mergeCell ref="I28:I30"/>
    <mergeCell ref="F1:G1"/>
    <mergeCell ref="F8:G8"/>
    <mergeCell ref="F15:G15"/>
    <mergeCell ref="H2:H5"/>
    <mergeCell ref="F28:F30"/>
    <mergeCell ref="G28:G30"/>
    <mergeCell ref="H28:H30"/>
    <mergeCell ref="A26:A30"/>
    <mergeCell ref="B28:B30"/>
    <mergeCell ref="C28:C30"/>
    <mergeCell ref="D28:D30"/>
    <mergeCell ref="E28:E3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A4B04-6FCE-43A8-9293-225F60C0EA4C}">
  <sheetPr>
    <tabColor rgb="FFFFC000"/>
  </sheetPr>
  <dimension ref="A1:I20"/>
  <sheetViews>
    <sheetView workbookViewId="0">
      <selection activeCell="F10" sqref="F10"/>
    </sheetView>
  </sheetViews>
  <sheetFormatPr baseColWidth="10" defaultColWidth="11.42578125" defaultRowHeight="15" x14ac:dyDescent="0.25"/>
  <cols>
    <col min="1" max="1" width="8.140625" bestFit="1" customWidth="1"/>
    <col min="2" max="2" width="38.42578125" bestFit="1" customWidth="1"/>
    <col min="3" max="3" width="19" bestFit="1" customWidth="1"/>
    <col min="4" max="4" width="18.7109375" bestFit="1" customWidth="1"/>
    <col min="5" max="6" width="18" bestFit="1" customWidth="1"/>
    <col min="9" max="9" width="19" bestFit="1" customWidth="1"/>
  </cols>
  <sheetData>
    <row r="1" spans="1:9" ht="33.75" x14ac:dyDescent="0.25">
      <c r="A1" s="390" t="s">
        <v>288</v>
      </c>
      <c r="B1" s="390" t="s">
        <v>5</v>
      </c>
      <c r="C1" s="391" t="s">
        <v>24</v>
      </c>
      <c r="D1" s="391" t="s">
        <v>289</v>
      </c>
      <c r="E1" s="391" t="s">
        <v>290</v>
      </c>
      <c r="F1" s="389" t="s">
        <v>291</v>
      </c>
    </row>
    <row r="2" spans="1:9" x14ac:dyDescent="0.25">
      <c r="A2" s="471" t="s">
        <v>292</v>
      </c>
      <c r="B2" s="471" t="s">
        <v>60</v>
      </c>
      <c r="C2" s="472">
        <v>8661300100</v>
      </c>
      <c r="D2" s="472">
        <v>8267449496</v>
      </c>
      <c r="E2" s="472">
        <v>393850604</v>
      </c>
      <c r="F2" s="132">
        <f>C2-D2</f>
        <v>393850604</v>
      </c>
      <c r="G2" s="132">
        <f>E2-F2</f>
        <v>0</v>
      </c>
    </row>
    <row r="3" spans="1:9" x14ac:dyDescent="0.25">
      <c r="A3" s="689" t="s">
        <v>132</v>
      </c>
      <c r="B3" s="689"/>
      <c r="C3" s="380">
        <f>SUM(C2)</f>
        <v>8661300100</v>
      </c>
      <c r="D3" s="380">
        <f t="shared" ref="D3:E3" si="0">SUM(D2)</f>
        <v>8267449496</v>
      </c>
      <c r="E3" s="380">
        <f t="shared" si="0"/>
        <v>393850604</v>
      </c>
    </row>
    <row r="6" spans="1:9" ht="33.75" x14ac:dyDescent="0.25">
      <c r="A6" s="390" t="s">
        <v>288</v>
      </c>
      <c r="B6" s="390" t="s">
        <v>5</v>
      </c>
      <c r="C6" s="391" t="s">
        <v>34</v>
      </c>
      <c r="D6" s="391" t="s">
        <v>293</v>
      </c>
      <c r="E6" s="391" t="s">
        <v>294</v>
      </c>
      <c r="F6" s="389" t="s">
        <v>291</v>
      </c>
    </row>
    <row r="7" spans="1:9" x14ac:dyDescent="0.25">
      <c r="A7" s="196" t="s">
        <v>292</v>
      </c>
      <c r="B7" s="196" t="s">
        <v>60</v>
      </c>
      <c r="C7" s="473">
        <v>8187646900</v>
      </c>
      <c r="D7" s="473">
        <v>6914429544</v>
      </c>
      <c r="E7" s="473">
        <v>1273217356</v>
      </c>
      <c r="F7" s="132">
        <f>C7-D7</f>
        <v>1273217356</v>
      </c>
      <c r="G7" s="132">
        <f>E7-F7</f>
        <v>0</v>
      </c>
      <c r="I7" s="488">
        <f>E11+E3</f>
        <v>7715496164</v>
      </c>
    </row>
    <row r="8" spans="1:9" x14ac:dyDescent="0.25">
      <c r="A8" s="196" t="s">
        <v>292</v>
      </c>
      <c r="B8" s="196" t="s">
        <v>240</v>
      </c>
      <c r="C8" s="473">
        <v>8683704000</v>
      </c>
      <c r="D8" s="473">
        <v>7270582000</v>
      </c>
      <c r="E8" s="473">
        <v>1413122000</v>
      </c>
      <c r="F8" s="132">
        <f t="shared" ref="F8:F10" si="1">C8-D8</f>
        <v>1413122000</v>
      </c>
      <c r="G8" s="132">
        <f t="shared" ref="G8:G10" si="2">E8-F8</f>
        <v>0</v>
      </c>
    </row>
    <row r="9" spans="1:9" x14ac:dyDescent="0.25">
      <c r="A9" s="196" t="s">
        <v>292</v>
      </c>
      <c r="B9" s="196" t="s">
        <v>90</v>
      </c>
      <c r="C9" s="473">
        <v>1839559304</v>
      </c>
      <c r="D9" s="473">
        <v>119576700</v>
      </c>
      <c r="E9" s="473">
        <v>1719982604</v>
      </c>
      <c r="F9" s="132">
        <f t="shared" si="1"/>
        <v>1719982604</v>
      </c>
      <c r="G9" s="132">
        <f t="shared" si="2"/>
        <v>0</v>
      </c>
      <c r="I9" s="479">
        <f>E3+E11+E20</f>
        <v>10379177923</v>
      </c>
    </row>
    <row r="10" spans="1:9" x14ac:dyDescent="0.25">
      <c r="A10" s="196" t="s">
        <v>292</v>
      </c>
      <c r="B10" s="196" t="s">
        <v>93</v>
      </c>
      <c r="C10" s="473">
        <v>10316634000</v>
      </c>
      <c r="D10" s="473">
        <v>7401310400</v>
      </c>
      <c r="E10" s="473">
        <v>2915323600</v>
      </c>
      <c r="F10" s="132">
        <f t="shared" si="1"/>
        <v>2915323600</v>
      </c>
      <c r="G10" s="132">
        <f t="shared" si="2"/>
        <v>0</v>
      </c>
    </row>
    <row r="11" spans="1:9" x14ac:dyDescent="0.25">
      <c r="A11" s="690" t="s">
        <v>132</v>
      </c>
      <c r="B11" s="690"/>
      <c r="C11" s="474">
        <f>SUM(C7:C10)</f>
        <v>29027544204</v>
      </c>
      <c r="D11" s="474">
        <f>SUM(D7:D10)</f>
        <v>21705898644</v>
      </c>
      <c r="E11" s="474">
        <f>SUM(E7:E10)</f>
        <v>7321645560</v>
      </c>
    </row>
    <row r="14" spans="1:9" ht="33.75" x14ac:dyDescent="0.25">
      <c r="A14" s="390" t="s">
        <v>288</v>
      </c>
      <c r="B14" s="390" t="s">
        <v>5</v>
      </c>
      <c r="C14" s="391" t="s">
        <v>193</v>
      </c>
      <c r="D14" s="391" t="s">
        <v>295</v>
      </c>
      <c r="E14" s="391" t="s">
        <v>296</v>
      </c>
    </row>
    <row r="15" spans="1:9" x14ac:dyDescent="0.25">
      <c r="A15" s="471" t="s">
        <v>297</v>
      </c>
      <c r="B15" s="475" t="s">
        <v>53</v>
      </c>
      <c r="C15" s="476">
        <v>4862194000</v>
      </c>
      <c r="D15" s="476">
        <v>3852818497</v>
      </c>
      <c r="E15" s="476">
        <v>1009375503</v>
      </c>
      <c r="F15" s="132">
        <f>C15-D15</f>
        <v>1009375503</v>
      </c>
      <c r="G15" s="132">
        <f>F15-E15</f>
        <v>0</v>
      </c>
    </row>
    <row r="16" spans="1:9" x14ac:dyDescent="0.25">
      <c r="A16" s="471" t="s">
        <v>297</v>
      </c>
      <c r="B16" s="475" t="s">
        <v>184</v>
      </c>
      <c r="C16" s="476">
        <v>171606381</v>
      </c>
      <c r="D16" s="476">
        <v>117268556</v>
      </c>
      <c r="E16" s="476">
        <v>54337825</v>
      </c>
      <c r="F16" s="132">
        <f t="shared" ref="F16:F19" si="3">C16-D16</f>
        <v>54337825</v>
      </c>
      <c r="G16" s="132">
        <f t="shared" ref="G16:G19" si="4">F16-E16</f>
        <v>0</v>
      </c>
    </row>
    <row r="17" spans="1:7" x14ac:dyDescent="0.25">
      <c r="A17" s="471" t="s">
        <v>297</v>
      </c>
      <c r="B17" s="475" t="s">
        <v>185</v>
      </c>
      <c r="C17" s="476">
        <v>692926154</v>
      </c>
      <c r="D17" s="476">
        <v>512799072</v>
      </c>
      <c r="E17" s="476">
        <v>180127082</v>
      </c>
      <c r="F17" s="132">
        <f t="shared" si="3"/>
        <v>180127082</v>
      </c>
      <c r="G17" s="132">
        <f t="shared" si="4"/>
        <v>0</v>
      </c>
    </row>
    <row r="18" spans="1:7" x14ac:dyDescent="0.25">
      <c r="A18" s="471" t="s">
        <v>297</v>
      </c>
      <c r="B18" s="475" t="s">
        <v>186</v>
      </c>
      <c r="C18" s="476">
        <v>1671529612</v>
      </c>
      <c r="D18" s="476">
        <v>1460859004</v>
      </c>
      <c r="E18" s="476">
        <v>210670608</v>
      </c>
      <c r="F18" s="132">
        <f t="shared" si="3"/>
        <v>210670608</v>
      </c>
      <c r="G18" s="132">
        <f t="shared" si="4"/>
        <v>0</v>
      </c>
    </row>
    <row r="19" spans="1:7" x14ac:dyDescent="0.25">
      <c r="A19" s="471" t="s">
        <v>297</v>
      </c>
      <c r="B19" s="475" t="s">
        <v>90</v>
      </c>
      <c r="C19" s="476">
        <v>5279248739</v>
      </c>
      <c r="D19" s="476">
        <v>4070077998</v>
      </c>
      <c r="E19" s="476">
        <v>1209170741</v>
      </c>
      <c r="F19" s="132">
        <f t="shared" si="3"/>
        <v>1209170741</v>
      </c>
      <c r="G19" s="132">
        <f t="shared" si="4"/>
        <v>0</v>
      </c>
    </row>
    <row r="20" spans="1:7" x14ac:dyDescent="0.25">
      <c r="A20" s="689" t="s">
        <v>132</v>
      </c>
      <c r="B20" s="689"/>
      <c r="C20" s="477">
        <f>SUM(C15:C19)</f>
        <v>12677504886</v>
      </c>
      <c r="D20" s="477">
        <f>SUM(D15:D19)</f>
        <v>10013823127</v>
      </c>
      <c r="E20" s="477">
        <f>SUM(E15:E19)</f>
        <v>2663681759</v>
      </c>
    </row>
  </sheetData>
  <mergeCells count="3">
    <mergeCell ref="A3:B3"/>
    <mergeCell ref="A11:B11"/>
    <mergeCell ref="A20:B2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22AFA-F2BA-4091-B8C6-B7F445CCA85A}">
  <sheetPr>
    <tabColor rgb="FFFFC000"/>
  </sheetPr>
  <dimension ref="A1:H59"/>
  <sheetViews>
    <sheetView topLeftCell="A35" workbookViewId="0">
      <selection activeCell="A46" sqref="A46:XFD46"/>
    </sheetView>
  </sheetViews>
  <sheetFormatPr baseColWidth="10" defaultColWidth="11.42578125" defaultRowHeight="15" x14ac:dyDescent="0.25"/>
  <cols>
    <col min="2" max="2" width="81.7109375" bestFit="1" customWidth="1"/>
    <col min="3" max="3" width="20.140625" bestFit="1" customWidth="1"/>
    <col min="4" max="4" width="23" customWidth="1"/>
    <col min="5" max="5" width="19" bestFit="1" customWidth="1"/>
    <col min="6" max="6" width="24.5703125" customWidth="1"/>
    <col min="7" max="7" width="19" bestFit="1" customWidth="1"/>
    <col min="8" max="8" width="20" bestFit="1" customWidth="1"/>
  </cols>
  <sheetData>
    <row r="1" spans="1:7" ht="36" x14ac:dyDescent="0.25">
      <c r="A1" s="377" t="s">
        <v>288</v>
      </c>
      <c r="B1" s="377" t="s">
        <v>5</v>
      </c>
      <c r="C1" s="378" t="s">
        <v>34</v>
      </c>
      <c r="D1" s="378" t="s">
        <v>293</v>
      </c>
      <c r="E1" s="378" t="s">
        <v>294</v>
      </c>
      <c r="F1" s="389" t="s">
        <v>291</v>
      </c>
    </row>
    <row r="2" spans="1:7" x14ac:dyDescent="0.25">
      <c r="A2" s="142" t="s">
        <v>292</v>
      </c>
      <c r="B2" s="553" t="s">
        <v>94</v>
      </c>
      <c r="C2" s="461">
        <v>5824055683</v>
      </c>
      <c r="D2" s="461">
        <v>4676996798</v>
      </c>
      <c r="E2" s="461">
        <v>1147058885</v>
      </c>
      <c r="F2" s="132">
        <f>C2-D2</f>
        <v>1147058885</v>
      </c>
      <c r="G2" s="132">
        <f>E2-F2</f>
        <v>0</v>
      </c>
    </row>
    <row r="3" spans="1:7" x14ac:dyDescent="0.25">
      <c r="A3" s="142" t="s">
        <v>292</v>
      </c>
      <c r="B3" s="553" t="s">
        <v>241</v>
      </c>
      <c r="C3" s="461">
        <v>8592901900</v>
      </c>
      <c r="D3" s="461">
        <v>7187654963</v>
      </c>
      <c r="E3" s="461">
        <v>1405246937</v>
      </c>
      <c r="F3" s="132">
        <f>C3-D3</f>
        <v>1405246937</v>
      </c>
      <c r="G3" s="132">
        <f>E3-F3</f>
        <v>0</v>
      </c>
    </row>
    <row r="4" spans="1:7" x14ac:dyDescent="0.25">
      <c r="A4" s="691" t="s">
        <v>132</v>
      </c>
      <c r="B4" s="691"/>
      <c r="C4" s="549">
        <f>SUM(C2:C3)</f>
        <v>14416957583</v>
      </c>
      <c r="D4" s="549">
        <f t="shared" ref="D4" si="0">SUM(D2:D3)</f>
        <v>11864651761</v>
      </c>
      <c r="E4" s="549">
        <f>SUM(E2:E3)</f>
        <v>2552305822</v>
      </c>
    </row>
    <row r="7" spans="1:7" ht="22.5" x14ac:dyDescent="0.25">
      <c r="A7" s="390" t="s">
        <v>288</v>
      </c>
      <c r="B7" s="390" t="s">
        <v>5</v>
      </c>
      <c r="C7" s="391" t="s">
        <v>193</v>
      </c>
      <c r="D7" s="391" t="s">
        <v>295</v>
      </c>
      <c r="E7" s="391" t="s">
        <v>296</v>
      </c>
    </row>
    <row r="8" spans="1:7" x14ac:dyDescent="0.25">
      <c r="A8" s="142" t="s">
        <v>297</v>
      </c>
      <c r="B8" s="110" t="s">
        <v>123</v>
      </c>
      <c r="C8" s="111">
        <v>2553006496</v>
      </c>
      <c r="D8" s="111">
        <v>1954298226</v>
      </c>
      <c r="E8" s="111">
        <v>598708270</v>
      </c>
      <c r="F8" s="132">
        <f>C8-D8</f>
        <v>598708270</v>
      </c>
      <c r="G8" s="132">
        <f>E8-F8</f>
        <v>0</v>
      </c>
    </row>
    <row r="9" spans="1:7" x14ac:dyDescent="0.25">
      <c r="A9" s="142" t="s">
        <v>297</v>
      </c>
      <c r="B9" s="110" t="s">
        <v>92</v>
      </c>
      <c r="C9" s="111">
        <v>1716027978</v>
      </c>
      <c r="D9" s="111">
        <v>1458213239</v>
      </c>
      <c r="E9" s="111">
        <v>257814739</v>
      </c>
      <c r="F9" s="132">
        <f t="shared" ref="F9:F27" si="1">C9-D9</f>
        <v>257814739</v>
      </c>
      <c r="G9" s="132">
        <f t="shared" ref="G9:G27" si="2">E9-F9</f>
        <v>0</v>
      </c>
    </row>
    <row r="10" spans="1:7" x14ac:dyDescent="0.25">
      <c r="A10" s="142" t="s">
        <v>297</v>
      </c>
      <c r="B10" s="110" t="s">
        <v>106</v>
      </c>
      <c r="C10" s="111">
        <v>14059813847</v>
      </c>
      <c r="D10" s="111">
        <v>10540359048</v>
      </c>
      <c r="E10" s="111">
        <v>3519454799</v>
      </c>
      <c r="F10" s="132">
        <f t="shared" si="1"/>
        <v>3519454799</v>
      </c>
      <c r="G10" s="132">
        <f t="shared" si="2"/>
        <v>0</v>
      </c>
    </row>
    <row r="11" spans="1:7" x14ac:dyDescent="0.25">
      <c r="A11" s="142" t="s">
        <v>297</v>
      </c>
      <c r="B11" s="110" t="s">
        <v>298</v>
      </c>
      <c r="C11" s="111">
        <v>1628971978</v>
      </c>
      <c r="D11" s="111">
        <v>1338585586</v>
      </c>
      <c r="E11" s="111">
        <v>290386392</v>
      </c>
      <c r="F11" s="132">
        <f t="shared" si="1"/>
        <v>290386392</v>
      </c>
      <c r="G11" s="132">
        <f t="shared" si="2"/>
        <v>0</v>
      </c>
    </row>
    <row r="12" spans="1:7" x14ac:dyDescent="0.25">
      <c r="A12" s="142" t="s">
        <v>297</v>
      </c>
      <c r="B12" s="110" t="s">
        <v>120</v>
      </c>
      <c r="C12" s="111">
        <v>2112918500</v>
      </c>
      <c r="D12" s="111">
        <v>1794703820</v>
      </c>
      <c r="E12" s="111">
        <v>318214680</v>
      </c>
      <c r="F12" s="132">
        <f t="shared" si="1"/>
        <v>318214680</v>
      </c>
      <c r="G12" s="132">
        <f t="shared" si="2"/>
        <v>0</v>
      </c>
    </row>
    <row r="13" spans="1:7" x14ac:dyDescent="0.25">
      <c r="A13" s="142" t="s">
        <v>297</v>
      </c>
      <c r="B13" s="110" t="s">
        <v>80</v>
      </c>
      <c r="C13" s="111">
        <v>11638363214</v>
      </c>
      <c r="D13" s="111">
        <v>8386929883</v>
      </c>
      <c r="E13" s="111">
        <v>3251433331</v>
      </c>
      <c r="F13" s="132">
        <f t="shared" si="1"/>
        <v>3251433331</v>
      </c>
      <c r="G13" s="132">
        <f t="shared" si="2"/>
        <v>0</v>
      </c>
    </row>
    <row r="14" spans="1:7" x14ac:dyDescent="0.25">
      <c r="A14" s="142" t="s">
        <v>297</v>
      </c>
      <c r="B14" s="110" t="s">
        <v>166</v>
      </c>
      <c r="C14" s="111">
        <v>5173902500</v>
      </c>
      <c r="D14" s="111">
        <v>4094313634</v>
      </c>
      <c r="E14" s="111">
        <v>1079588866</v>
      </c>
      <c r="F14" s="132">
        <f t="shared" si="1"/>
        <v>1079588866</v>
      </c>
      <c r="G14" s="132">
        <f t="shared" si="2"/>
        <v>0</v>
      </c>
    </row>
    <row r="15" spans="1:7" x14ac:dyDescent="0.25">
      <c r="A15" s="142" t="s">
        <v>297</v>
      </c>
      <c r="B15" s="110" t="s">
        <v>85</v>
      </c>
      <c r="C15" s="111">
        <v>9977802263</v>
      </c>
      <c r="D15" s="111">
        <v>7727221971</v>
      </c>
      <c r="E15" s="111">
        <v>2250580292</v>
      </c>
      <c r="F15" s="132">
        <f t="shared" si="1"/>
        <v>2250580292</v>
      </c>
      <c r="G15" s="132">
        <f t="shared" si="2"/>
        <v>0</v>
      </c>
    </row>
    <row r="16" spans="1:7" x14ac:dyDescent="0.25">
      <c r="A16" s="142" t="s">
        <v>297</v>
      </c>
      <c r="B16" s="110" t="s">
        <v>114</v>
      </c>
      <c r="C16" s="111">
        <v>5708319500</v>
      </c>
      <c r="D16" s="111">
        <v>3359297432</v>
      </c>
      <c r="E16" s="111">
        <v>2349022068</v>
      </c>
      <c r="F16" s="132">
        <f t="shared" si="1"/>
        <v>2349022068</v>
      </c>
      <c r="G16" s="132">
        <f t="shared" si="2"/>
        <v>0</v>
      </c>
    </row>
    <row r="17" spans="1:8" x14ac:dyDescent="0.25">
      <c r="A17" s="142" t="s">
        <v>297</v>
      </c>
      <c r="B17" s="110" t="s">
        <v>108</v>
      </c>
      <c r="C17" s="111">
        <v>1587511000</v>
      </c>
      <c r="D17" s="111">
        <v>1292319749</v>
      </c>
      <c r="E17" s="111">
        <v>295191251</v>
      </c>
      <c r="F17" s="132">
        <f t="shared" si="1"/>
        <v>295191251</v>
      </c>
      <c r="G17" s="132">
        <f t="shared" si="2"/>
        <v>0</v>
      </c>
    </row>
    <row r="18" spans="1:8" x14ac:dyDescent="0.25">
      <c r="A18" s="142" t="s">
        <v>297</v>
      </c>
      <c r="B18" s="110" t="s">
        <v>242</v>
      </c>
      <c r="C18" s="111">
        <v>911450000</v>
      </c>
      <c r="D18" s="111">
        <v>688515773</v>
      </c>
      <c r="E18" s="111">
        <v>222934227</v>
      </c>
      <c r="F18" s="132">
        <f t="shared" si="1"/>
        <v>222934227</v>
      </c>
      <c r="G18" s="132">
        <f t="shared" si="2"/>
        <v>0</v>
      </c>
    </row>
    <row r="19" spans="1:8" x14ac:dyDescent="0.25">
      <c r="A19" s="142" t="s">
        <v>297</v>
      </c>
      <c r="B19" s="110" t="s">
        <v>126</v>
      </c>
      <c r="C19" s="111">
        <v>2055296800</v>
      </c>
      <c r="D19" s="111">
        <v>1848762548</v>
      </c>
      <c r="E19" s="111">
        <v>206534252</v>
      </c>
      <c r="F19" s="132">
        <f t="shared" si="1"/>
        <v>206534252</v>
      </c>
      <c r="G19" s="132">
        <f t="shared" si="2"/>
        <v>0</v>
      </c>
    </row>
    <row r="20" spans="1:8" x14ac:dyDescent="0.25">
      <c r="A20" s="142" t="s">
        <v>297</v>
      </c>
      <c r="B20" s="110" t="s">
        <v>63</v>
      </c>
      <c r="C20" s="111">
        <v>5272684716</v>
      </c>
      <c r="D20" s="111">
        <v>4175685591</v>
      </c>
      <c r="E20" s="111">
        <v>1096999125</v>
      </c>
      <c r="F20" s="132">
        <f t="shared" si="1"/>
        <v>1096999125</v>
      </c>
      <c r="G20" s="132">
        <f t="shared" si="2"/>
        <v>0</v>
      </c>
    </row>
    <row r="21" spans="1:8" x14ac:dyDescent="0.25">
      <c r="A21" s="142" t="s">
        <v>297</v>
      </c>
      <c r="B21" s="110" t="s">
        <v>89</v>
      </c>
      <c r="C21" s="111">
        <v>10074420450</v>
      </c>
      <c r="D21" s="111">
        <v>8828819251</v>
      </c>
      <c r="E21" s="111">
        <v>1245601199</v>
      </c>
      <c r="F21" s="132">
        <f t="shared" si="1"/>
        <v>1245601199</v>
      </c>
      <c r="G21" s="132">
        <f t="shared" si="2"/>
        <v>0</v>
      </c>
    </row>
    <row r="22" spans="1:8" x14ac:dyDescent="0.25">
      <c r="A22" s="142" t="s">
        <v>297</v>
      </c>
      <c r="B22" s="110" t="s">
        <v>87</v>
      </c>
      <c r="C22" s="111">
        <v>25761184530</v>
      </c>
      <c r="D22" s="111">
        <v>20017015916</v>
      </c>
      <c r="E22" s="111">
        <v>5744168614</v>
      </c>
      <c r="F22" s="132">
        <f t="shared" si="1"/>
        <v>5744168614</v>
      </c>
      <c r="G22" s="132">
        <f t="shared" si="2"/>
        <v>0</v>
      </c>
    </row>
    <row r="23" spans="1:8" x14ac:dyDescent="0.25">
      <c r="A23" s="142" t="s">
        <v>297</v>
      </c>
      <c r="B23" s="110" t="s">
        <v>113</v>
      </c>
      <c r="C23" s="111">
        <v>22147589192</v>
      </c>
      <c r="D23" s="111">
        <v>15978384097</v>
      </c>
      <c r="E23" s="111">
        <v>6169205095</v>
      </c>
      <c r="F23" s="132">
        <f t="shared" si="1"/>
        <v>6169205095</v>
      </c>
      <c r="G23" s="132">
        <f t="shared" si="2"/>
        <v>0</v>
      </c>
    </row>
    <row r="24" spans="1:8" x14ac:dyDescent="0.25">
      <c r="A24" s="142" t="s">
        <v>297</v>
      </c>
      <c r="B24" s="110" t="s">
        <v>66</v>
      </c>
      <c r="C24" s="111">
        <v>48285445000</v>
      </c>
      <c r="D24" s="111">
        <v>33043534743</v>
      </c>
      <c r="E24" s="111">
        <v>15241910257</v>
      </c>
      <c r="F24" s="132">
        <f t="shared" si="1"/>
        <v>15241910257</v>
      </c>
      <c r="G24" s="132">
        <f t="shared" si="2"/>
        <v>0</v>
      </c>
    </row>
    <row r="25" spans="1:8" x14ac:dyDescent="0.25">
      <c r="A25" s="142" t="s">
        <v>297</v>
      </c>
      <c r="B25" s="110" t="s">
        <v>117</v>
      </c>
      <c r="C25" s="111">
        <v>19189419170</v>
      </c>
      <c r="D25" s="111">
        <v>10178159541</v>
      </c>
      <c r="E25" s="111">
        <v>9011259629</v>
      </c>
      <c r="F25" s="132">
        <f t="shared" si="1"/>
        <v>9011259629</v>
      </c>
      <c r="G25" s="132">
        <f t="shared" si="2"/>
        <v>0</v>
      </c>
    </row>
    <row r="26" spans="1:8" x14ac:dyDescent="0.25">
      <c r="A26" s="142" t="s">
        <v>297</v>
      </c>
      <c r="B26" s="110" t="s">
        <v>239</v>
      </c>
      <c r="C26" s="111">
        <v>13378861500</v>
      </c>
      <c r="D26" s="111">
        <v>6509158585</v>
      </c>
      <c r="E26" s="111">
        <v>6869702915</v>
      </c>
      <c r="F26" s="132">
        <f t="shared" si="1"/>
        <v>6869702915</v>
      </c>
      <c r="G26" s="132">
        <f t="shared" si="2"/>
        <v>0</v>
      </c>
    </row>
    <row r="27" spans="1:8" x14ac:dyDescent="0.25">
      <c r="A27" s="142" t="s">
        <v>297</v>
      </c>
      <c r="B27" s="110" t="s">
        <v>229</v>
      </c>
      <c r="C27" s="111">
        <v>4307225000</v>
      </c>
      <c r="D27" s="111">
        <v>2397549172</v>
      </c>
      <c r="E27" s="111">
        <v>1909675828</v>
      </c>
      <c r="F27" s="132">
        <f t="shared" si="1"/>
        <v>1909675828</v>
      </c>
      <c r="G27" s="132">
        <f t="shared" si="2"/>
        <v>0</v>
      </c>
    </row>
    <row r="28" spans="1:8" x14ac:dyDescent="0.25">
      <c r="A28" s="691" t="s">
        <v>132</v>
      </c>
      <c r="B28" s="691"/>
      <c r="C28" s="549">
        <f>SUM(C8:C27)</f>
        <v>207540213634</v>
      </c>
      <c r="D28" s="549">
        <f t="shared" ref="D28" si="3">SUM(D8:D27)</f>
        <v>145611827805</v>
      </c>
      <c r="E28" s="549">
        <f>SUM(E8:E27)</f>
        <v>61928385829</v>
      </c>
    </row>
    <row r="30" spans="1:8" x14ac:dyDescent="0.25">
      <c r="H30" s="382">
        <f>E4+E28+E49+D54+'Solo Dayi'!C32</f>
        <v>152552305822</v>
      </c>
    </row>
    <row r="31" spans="1:8" ht="22.5" x14ac:dyDescent="0.25">
      <c r="A31" s="390" t="s">
        <v>288</v>
      </c>
      <c r="B31" s="390" t="s">
        <v>5</v>
      </c>
      <c r="C31" s="391" t="s">
        <v>193</v>
      </c>
      <c r="D31" s="391" t="s">
        <v>295</v>
      </c>
      <c r="E31" s="391" t="s">
        <v>296</v>
      </c>
      <c r="H31">
        <v>152552305822</v>
      </c>
    </row>
    <row r="32" spans="1:8" x14ac:dyDescent="0.25">
      <c r="A32" s="142" t="s">
        <v>292</v>
      </c>
      <c r="B32" s="110" t="s">
        <v>88</v>
      </c>
      <c r="C32" s="111">
        <v>15773347900</v>
      </c>
      <c r="D32" s="111">
        <v>13716916364</v>
      </c>
      <c r="E32" s="111">
        <v>2056431536</v>
      </c>
      <c r="F32" s="132">
        <f>C32-D32</f>
        <v>2056431536</v>
      </c>
      <c r="G32" s="132">
        <f>E32-F32</f>
        <v>0</v>
      </c>
    </row>
    <row r="33" spans="1:7" x14ac:dyDescent="0.25">
      <c r="A33" s="142" t="s">
        <v>292</v>
      </c>
      <c r="B33" s="110" t="s">
        <v>121</v>
      </c>
      <c r="C33" s="111">
        <v>14150834417</v>
      </c>
      <c r="D33" s="111">
        <v>12382083343</v>
      </c>
      <c r="E33" s="111">
        <v>1768751074</v>
      </c>
      <c r="F33" s="132">
        <f t="shared" ref="F33:F48" si="4">C33-D33</f>
        <v>1768751074</v>
      </c>
      <c r="G33" s="132">
        <f t="shared" ref="G33:G48" si="5">E33-F33</f>
        <v>0</v>
      </c>
    </row>
    <row r="34" spans="1:7" x14ac:dyDescent="0.25">
      <c r="A34" s="142" t="s">
        <v>292</v>
      </c>
      <c r="B34" s="110" t="s">
        <v>96</v>
      </c>
      <c r="C34" s="111">
        <v>9176057900</v>
      </c>
      <c r="D34" s="111">
        <v>7246926608</v>
      </c>
      <c r="E34" s="111">
        <v>1929131292</v>
      </c>
      <c r="F34" s="132">
        <f t="shared" si="4"/>
        <v>1929131292</v>
      </c>
      <c r="G34" s="132">
        <f t="shared" si="5"/>
        <v>0</v>
      </c>
    </row>
    <row r="35" spans="1:7" x14ac:dyDescent="0.25">
      <c r="A35" s="142" t="s">
        <v>292</v>
      </c>
      <c r="B35" s="110" t="s">
        <v>50</v>
      </c>
      <c r="C35" s="111">
        <v>21074881722</v>
      </c>
      <c r="D35" s="111">
        <v>14681001976</v>
      </c>
      <c r="E35" s="111">
        <v>6393879746</v>
      </c>
      <c r="F35" s="132">
        <f t="shared" si="4"/>
        <v>6393879746</v>
      </c>
      <c r="G35" s="132">
        <f t="shared" si="5"/>
        <v>0</v>
      </c>
    </row>
    <row r="36" spans="1:7" x14ac:dyDescent="0.25">
      <c r="A36" s="142" t="s">
        <v>292</v>
      </c>
      <c r="B36" s="110" t="s">
        <v>79</v>
      </c>
      <c r="C36" s="111">
        <v>5627842418</v>
      </c>
      <c r="D36" s="111">
        <v>4251351066</v>
      </c>
      <c r="E36" s="111">
        <v>1376491352</v>
      </c>
      <c r="F36" s="132">
        <f t="shared" si="4"/>
        <v>1376491352</v>
      </c>
      <c r="G36" s="132">
        <f t="shared" si="5"/>
        <v>0</v>
      </c>
    </row>
    <row r="37" spans="1:7" x14ac:dyDescent="0.25">
      <c r="A37" s="142" t="s">
        <v>292</v>
      </c>
      <c r="B37" s="110" t="s">
        <v>98</v>
      </c>
      <c r="C37" s="111">
        <v>8347927200</v>
      </c>
      <c r="D37" s="111">
        <v>6054635250</v>
      </c>
      <c r="E37" s="111">
        <v>2293291950</v>
      </c>
      <c r="F37" s="132">
        <f t="shared" si="4"/>
        <v>2293291950</v>
      </c>
      <c r="G37" s="132">
        <f t="shared" si="5"/>
        <v>0</v>
      </c>
    </row>
    <row r="38" spans="1:7" x14ac:dyDescent="0.25">
      <c r="A38" s="142" t="s">
        <v>292</v>
      </c>
      <c r="B38" s="110" t="s">
        <v>231</v>
      </c>
      <c r="C38" s="111">
        <v>29200666153</v>
      </c>
      <c r="D38" s="111">
        <v>21301218741</v>
      </c>
      <c r="E38" s="111">
        <v>7899447412</v>
      </c>
      <c r="F38" s="132">
        <f t="shared" si="4"/>
        <v>7899447412</v>
      </c>
      <c r="G38" s="132">
        <f t="shared" si="5"/>
        <v>0</v>
      </c>
    </row>
    <row r="39" spans="1:7" x14ac:dyDescent="0.25">
      <c r="A39" s="142" t="s">
        <v>292</v>
      </c>
      <c r="B39" s="110" t="s">
        <v>74</v>
      </c>
      <c r="C39" s="111">
        <v>13606080489</v>
      </c>
      <c r="D39" s="111">
        <v>10615660628</v>
      </c>
      <c r="E39" s="111">
        <v>2990419861</v>
      </c>
      <c r="F39" s="132">
        <f t="shared" si="4"/>
        <v>2990419861</v>
      </c>
      <c r="G39" s="132">
        <f t="shared" si="5"/>
        <v>0</v>
      </c>
    </row>
    <row r="40" spans="1:7" x14ac:dyDescent="0.25">
      <c r="A40" s="142" t="s">
        <v>292</v>
      </c>
      <c r="B40" s="110" t="s">
        <v>93</v>
      </c>
      <c r="C40" s="111">
        <v>24557390000</v>
      </c>
      <c r="D40" s="111">
        <v>22482869192</v>
      </c>
      <c r="E40" s="111">
        <v>2074520808</v>
      </c>
      <c r="F40" s="132">
        <f t="shared" si="4"/>
        <v>2074520808</v>
      </c>
      <c r="G40" s="132">
        <f t="shared" si="5"/>
        <v>0</v>
      </c>
    </row>
    <row r="41" spans="1:7" x14ac:dyDescent="0.25">
      <c r="A41" s="142" t="s">
        <v>292</v>
      </c>
      <c r="B41" s="110" t="s">
        <v>102</v>
      </c>
      <c r="C41" s="111">
        <v>15946500940</v>
      </c>
      <c r="D41" s="111">
        <v>12206451486</v>
      </c>
      <c r="E41" s="111">
        <v>3740049454</v>
      </c>
      <c r="F41" s="132">
        <f t="shared" si="4"/>
        <v>3740049454</v>
      </c>
      <c r="G41" s="132">
        <f t="shared" si="5"/>
        <v>0</v>
      </c>
    </row>
    <row r="42" spans="1:7" x14ac:dyDescent="0.25">
      <c r="A42" s="142" t="s">
        <v>292</v>
      </c>
      <c r="B42" s="110" t="s">
        <v>101</v>
      </c>
      <c r="C42" s="111">
        <v>4282506500</v>
      </c>
      <c r="D42" s="111">
        <v>3172339085</v>
      </c>
      <c r="E42" s="111">
        <v>1110167415</v>
      </c>
      <c r="F42" s="132">
        <f t="shared" si="4"/>
        <v>1110167415</v>
      </c>
      <c r="G42" s="132">
        <f t="shared" si="5"/>
        <v>0</v>
      </c>
    </row>
    <row r="43" spans="1:7" x14ac:dyDescent="0.25">
      <c r="A43" s="142" t="s">
        <v>292</v>
      </c>
      <c r="B43" s="110" t="s">
        <v>69</v>
      </c>
      <c r="C43" s="111">
        <v>23138873434</v>
      </c>
      <c r="D43" s="111">
        <v>20883796616</v>
      </c>
      <c r="E43" s="111">
        <v>2255076818</v>
      </c>
      <c r="F43" s="132">
        <f t="shared" si="4"/>
        <v>2255076818</v>
      </c>
      <c r="G43" s="132">
        <f t="shared" si="5"/>
        <v>0</v>
      </c>
    </row>
    <row r="44" spans="1:7" x14ac:dyDescent="0.25">
      <c r="A44" s="142" t="s">
        <v>292</v>
      </c>
      <c r="B44" s="110" t="s">
        <v>62</v>
      </c>
      <c r="C44" s="111">
        <v>4795390500</v>
      </c>
      <c r="D44" s="111">
        <v>3471873871</v>
      </c>
      <c r="E44" s="111">
        <v>1323516629</v>
      </c>
      <c r="F44" s="132">
        <f t="shared" si="4"/>
        <v>1323516629</v>
      </c>
      <c r="G44" s="132">
        <f t="shared" si="5"/>
        <v>0</v>
      </c>
    </row>
    <row r="45" spans="1:7" x14ac:dyDescent="0.25">
      <c r="A45" s="142" t="s">
        <v>292</v>
      </c>
      <c r="B45" s="110" t="s">
        <v>248</v>
      </c>
      <c r="C45" s="111">
        <v>20873431850</v>
      </c>
      <c r="D45" s="111">
        <v>16293681072</v>
      </c>
      <c r="E45" s="111">
        <v>4579750778</v>
      </c>
      <c r="F45" s="132">
        <f t="shared" si="4"/>
        <v>4579750778</v>
      </c>
      <c r="G45" s="132">
        <f t="shared" si="5"/>
        <v>0</v>
      </c>
    </row>
    <row r="46" spans="1:7" x14ac:dyDescent="0.25">
      <c r="A46" s="142" t="s">
        <v>292</v>
      </c>
      <c r="B46" s="110" t="s">
        <v>72</v>
      </c>
      <c r="C46" s="111">
        <v>17045632500</v>
      </c>
      <c r="D46" s="111">
        <v>12984346860</v>
      </c>
      <c r="E46" s="111">
        <v>4061285640</v>
      </c>
      <c r="F46" s="132">
        <f t="shared" si="4"/>
        <v>4061285640</v>
      </c>
      <c r="G46" s="132">
        <f t="shared" si="5"/>
        <v>0</v>
      </c>
    </row>
    <row r="47" spans="1:7" x14ac:dyDescent="0.25">
      <c r="A47" s="142" t="s">
        <v>292</v>
      </c>
      <c r="B47" s="110" t="s">
        <v>100</v>
      </c>
      <c r="C47" s="111">
        <v>37606749598</v>
      </c>
      <c r="D47" s="111">
        <v>25300031580</v>
      </c>
      <c r="E47" s="111">
        <v>12306718018</v>
      </c>
      <c r="F47" s="132">
        <f t="shared" si="4"/>
        <v>12306718018</v>
      </c>
      <c r="G47" s="132">
        <f t="shared" si="5"/>
        <v>0</v>
      </c>
    </row>
    <row r="48" spans="1:7" x14ac:dyDescent="0.25">
      <c r="A48" s="142" t="s">
        <v>292</v>
      </c>
      <c r="B48" s="110" t="s">
        <v>94</v>
      </c>
      <c r="C48" s="111">
        <v>9986353219</v>
      </c>
      <c r="D48" s="111">
        <v>7694012267</v>
      </c>
      <c r="E48" s="111">
        <v>2292340952</v>
      </c>
      <c r="F48" s="132">
        <f t="shared" si="4"/>
        <v>2292340952</v>
      </c>
      <c r="G48" s="132">
        <f t="shared" si="5"/>
        <v>0</v>
      </c>
    </row>
    <row r="49" spans="1:7" x14ac:dyDescent="0.25">
      <c r="A49" s="691" t="s">
        <v>132</v>
      </c>
      <c r="B49" s="691"/>
      <c r="C49" s="549">
        <f>SUM(C32:C48)</f>
        <v>275190466740</v>
      </c>
      <c r="D49" s="549">
        <f>SUM(D32:D48)</f>
        <v>214739196005</v>
      </c>
      <c r="E49" s="549">
        <f>SUM(E32:E48)</f>
        <v>60451270735</v>
      </c>
    </row>
    <row r="52" spans="1:7" ht="22.5" x14ac:dyDescent="0.25">
      <c r="A52" s="390" t="s">
        <v>288</v>
      </c>
      <c r="B52" s="390" t="s">
        <v>5</v>
      </c>
      <c r="C52" s="391" t="s">
        <v>299</v>
      </c>
      <c r="D52" s="391" t="s">
        <v>300</v>
      </c>
      <c r="E52" s="550" t="s">
        <v>296</v>
      </c>
    </row>
    <row r="53" spans="1:7" x14ac:dyDescent="0.25">
      <c r="A53" s="142" t="s">
        <v>292</v>
      </c>
      <c r="B53" s="142" t="s">
        <v>301</v>
      </c>
      <c r="C53" s="111">
        <v>15581380880</v>
      </c>
      <c r="D53" s="111">
        <v>12465104704</v>
      </c>
      <c r="E53" s="132">
        <f>+D54+'Solo Dayi'!C32</f>
        <v>27620343436</v>
      </c>
    </row>
    <row r="54" spans="1:7" x14ac:dyDescent="0.25">
      <c r="A54" s="689" t="s">
        <v>132</v>
      </c>
      <c r="B54" s="689"/>
      <c r="C54" s="381">
        <f>SUM(C52:C53)</f>
        <v>15581380880</v>
      </c>
      <c r="D54" s="381">
        <f>SUM(D52:D53)</f>
        <v>12465104704</v>
      </c>
    </row>
    <row r="57" spans="1:7" ht="20.45" customHeight="1" x14ac:dyDescent="0.25">
      <c r="A57" s="377" t="s">
        <v>288</v>
      </c>
      <c r="B57" s="377" t="s">
        <v>5</v>
      </c>
      <c r="C57" s="378" t="s">
        <v>299</v>
      </c>
      <c r="D57" s="378" t="s">
        <v>302</v>
      </c>
      <c r="E57" s="378" t="s">
        <v>303</v>
      </c>
      <c r="F57" s="378" t="s">
        <v>304</v>
      </c>
    </row>
    <row r="58" spans="1:7" x14ac:dyDescent="0.25">
      <c r="A58" s="142" t="s">
        <v>292</v>
      </c>
      <c r="B58" s="142" t="s">
        <v>243</v>
      </c>
      <c r="C58" s="145">
        <v>303080037186</v>
      </c>
      <c r="D58" s="145">
        <f>ROUND(C58*80%,0)</f>
        <v>242464029749</v>
      </c>
      <c r="E58" s="145">
        <f>ROUND(C58*30%,0)</f>
        <v>90924011156</v>
      </c>
      <c r="F58" s="551">
        <f>D58-E58</f>
        <v>151540018593</v>
      </c>
      <c r="G58" s="132"/>
    </row>
    <row r="59" spans="1:7" x14ac:dyDescent="0.25">
      <c r="A59" s="692" t="s">
        <v>132</v>
      </c>
      <c r="B59" s="693"/>
      <c r="C59" s="381">
        <f>SUM(C58:C58)</f>
        <v>303080037186</v>
      </c>
      <c r="D59" s="381">
        <f>SUM(D58:D58)</f>
        <v>242464029749</v>
      </c>
      <c r="E59" s="381">
        <f>SUM(E58:E58)</f>
        <v>90924011156</v>
      </c>
      <c r="F59" s="381">
        <f>SUM(F58:F58)</f>
        <v>151540018593</v>
      </c>
    </row>
  </sheetData>
  <mergeCells count="5">
    <mergeCell ref="A4:B4"/>
    <mergeCell ref="A28:B28"/>
    <mergeCell ref="A49:B49"/>
    <mergeCell ref="A54:B54"/>
    <mergeCell ref="A59:B5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7D463-9892-4F42-94B6-F8A3EE56B76D}">
  <sheetPr>
    <tabColor rgb="FF53F5E5"/>
  </sheetPr>
  <dimension ref="A2:I39"/>
  <sheetViews>
    <sheetView topLeftCell="A25" workbookViewId="0">
      <selection activeCell="A41" sqref="A41"/>
    </sheetView>
  </sheetViews>
  <sheetFormatPr baseColWidth="10" defaultColWidth="11.42578125" defaultRowHeight="15" x14ac:dyDescent="0.25"/>
  <cols>
    <col min="1" max="1" width="37.85546875" customWidth="1"/>
    <col min="2" max="2" width="15.28515625" customWidth="1"/>
    <col min="3" max="3" width="17" customWidth="1"/>
    <col min="4" max="6" width="14.28515625" bestFit="1" customWidth="1"/>
    <col min="7" max="7" width="8.85546875" customWidth="1"/>
    <col min="8" max="8" width="11.5703125" bestFit="1" customWidth="1"/>
  </cols>
  <sheetData>
    <row r="2" spans="1:8" ht="36" x14ac:dyDescent="0.25">
      <c r="A2" s="440" t="s">
        <v>305</v>
      </c>
      <c r="B2" s="441" t="s">
        <v>306</v>
      </c>
      <c r="C2" s="441" t="s">
        <v>307</v>
      </c>
      <c r="D2" s="441" t="s">
        <v>308</v>
      </c>
      <c r="E2" s="441" t="s">
        <v>309</v>
      </c>
      <c r="F2" s="441" t="s">
        <v>310</v>
      </c>
      <c r="G2" s="441" t="s">
        <v>311</v>
      </c>
      <c r="H2" s="441" t="s">
        <v>312</v>
      </c>
    </row>
    <row r="3" spans="1:8" x14ac:dyDescent="0.25">
      <c r="A3" s="442" t="s">
        <v>313</v>
      </c>
      <c r="B3" s="443">
        <v>1487</v>
      </c>
      <c r="C3" s="443">
        <v>5781</v>
      </c>
      <c r="D3" s="443">
        <v>3277</v>
      </c>
      <c r="E3" s="443">
        <v>2797</v>
      </c>
      <c r="F3" s="443">
        <v>751</v>
      </c>
      <c r="G3" s="443">
        <v>230</v>
      </c>
      <c r="H3" s="443">
        <f>SUM(B3:G3)</f>
        <v>14323</v>
      </c>
    </row>
    <row r="4" spans="1:8" x14ac:dyDescent="0.25">
      <c r="A4" s="442" t="s">
        <v>314</v>
      </c>
      <c r="B4" s="443">
        <v>1222</v>
      </c>
      <c r="C4" s="443">
        <v>5024</v>
      </c>
      <c r="D4" s="443">
        <v>3029</v>
      </c>
      <c r="E4" s="443">
        <v>2500</v>
      </c>
      <c r="F4" s="443">
        <v>624</v>
      </c>
      <c r="G4" s="443">
        <v>151</v>
      </c>
      <c r="H4" s="443">
        <f>SUM(B4:G4)</f>
        <v>12550</v>
      </c>
    </row>
    <row r="5" spans="1:8" x14ac:dyDescent="0.25">
      <c r="A5" s="444" t="s">
        <v>315</v>
      </c>
      <c r="B5" s="445">
        <v>0.82178883658372559</v>
      </c>
      <c r="C5" s="445">
        <v>0.86905379692094797</v>
      </c>
      <c r="D5" s="445">
        <v>0.92432102532804394</v>
      </c>
      <c r="E5" s="445">
        <v>0.8938148015731141</v>
      </c>
      <c r="F5" s="445">
        <v>0.83089214380825571</v>
      </c>
      <c r="G5" s="445">
        <v>0.65652173913043477</v>
      </c>
      <c r="H5" s="445"/>
    </row>
    <row r="6" spans="1:8" ht="15.75" x14ac:dyDescent="0.25">
      <c r="A6" s="446" t="s">
        <v>316</v>
      </c>
      <c r="B6" s="447">
        <v>1718.10276</v>
      </c>
      <c r="C6" s="447">
        <v>11068.687486999999</v>
      </c>
      <c r="D6" s="447">
        <v>3740.768</v>
      </c>
      <c r="E6" s="447">
        <v>2213.1799999999998</v>
      </c>
      <c r="F6" s="447">
        <v>501.44449300000002</v>
      </c>
      <c r="G6" s="447">
        <v>82.118178999999998</v>
      </c>
      <c r="H6" s="447">
        <v>5900.1620999999996</v>
      </c>
    </row>
    <row r="7" spans="1:8" x14ac:dyDescent="0.25">
      <c r="A7" s="448"/>
    </row>
    <row r="8" spans="1:8" x14ac:dyDescent="0.25">
      <c r="A8" s="442" t="s">
        <v>317</v>
      </c>
      <c r="B8" s="443">
        <v>1452</v>
      </c>
      <c r="C8" s="443">
        <v>5224</v>
      </c>
      <c r="D8" s="443">
        <v>3607</v>
      </c>
      <c r="E8" s="443">
        <v>2866</v>
      </c>
      <c r="F8" s="443">
        <v>774</v>
      </c>
      <c r="G8" s="443">
        <v>263</v>
      </c>
      <c r="H8" s="443">
        <v>130809</v>
      </c>
    </row>
    <row r="9" spans="1:8" x14ac:dyDescent="0.25">
      <c r="A9" s="442" t="s">
        <v>318</v>
      </c>
      <c r="B9" s="443">
        <v>1184</v>
      </c>
      <c r="C9" s="443">
        <v>4672</v>
      </c>
      <c r="D9" s="443">
        <v>3237</v>
      </c>
      <c r="E9" s="443">
        <v>1699</v>
      </c>
      <c r="F9" s="443">
        <v>623</v>
      </c>
      <c r="G9" s="443">
        <v>163</v>
      </c>
      <c r="H9" s="443">
        <v>112593</v>
      </c>
    </row>
    <row r="10" spans="1:8" x14ac:dyDescent="0.25">
      <c r="A10" s="442" t="s">
        <v>319</v>
      </c>
      <c r="B10" s="445">
        <v>0.81542699724517909</v>
      </c>
      <c r="C10" s="445">
        <v>0.89433384379785608</v>
      </c>
      <c r="D10" s="445">
        <v>0.89742168006653733</v>
      </c>
      <c r="E10" s="445">
        <v>0.59281228192602931</v>
      </c>
      <c r="F10" s="445">
        <v>0.80490956072351416</v>
      </c>
      <c r="G10" s="445">
        <v>0.61977186311787069</v>
      </c>
      <c r="H10" s="445"/>
    </row>
    <row r="11" spans="1:8" ht="15.75" x14ac:dyDescent="0.25">
      <c r="A11" s="446" t="s">
        <v>320</v>
      </c>
      <c r="B11" s="447">
        <v>1702.24278</v>
      </c>
      <c r="C11" s="447">
        <v>6653.1722959999997</v>
      </c>
      <c r="D11" s="447">
        <v>4267.5529999999999</v>
      </c>
      <c r="E11" s="447">
        <v>1824.74</v>
      </c>
      <c r="F11" s="447">
        <v>504.906227</v>
      </c>
      <c r="G11" s="447">
        <v>86.570982000000001</v>
      </c>
      <c r="H11" s="447">
        <v>5265.2812000000004</v>
      </c>
    </row>
    <row r="12" spans="1:8" x14ac:dyDescent="0.25">
      <c r="A12" s="448"/>
    </row>
    <row r="13" spans="1:8" ht="24.75" x14ac:dyDescent="0.25">
      <c r="A13" s="449" t="s">
        <v>321</v>
      </c>
      <c r="B13" s="443">
        <v>1467</v>
      </c>
      <c r="C13" s="443">
        <v>8295</v>
      </c>
      <c r="D13" s="443">
        <v>3607</v>
      </c>
      <c r="E13" s="443">
        <v>3123</v>
      </c>
      <c r="F13" s="443">
        <v>797</v>
      </c>
      <c r="G13" s="443">
        <v>329</v>
      </c>
      <c r="H13" s="443">
        <v>134812</v>
      </c>
    </row>
    <row r="14" spans="1:8" x14ac:dyDescent="0.25">
      <c r="A14" s="442" t="s">
        <v>322</v>
      </c>
      <c r="B14" s="443">
        <v>1385</v>
      </c>
      <c r="C14" s="443">
        <v>8243</v>
      </c>
      <c r="D14" s="443">
        <v>3570</v>
      </c>
      <c r="E14" s="443">
        <v>3095</v>
      </c>
      <c r="F14" s="443">
        <v>785</v>
      </c>
      <c r="G14" s="443">
        <v>324</v>
      </c>
      <c r="H14" s="443">
        <v>131425</v>
      </c>
    </row>
    <row r="15" spans="1:8" x14ac:dyDescent="0.25">
      <c r="A15" s="442" t="s">
        <v>323</v>
      </c>
      <c r="B15" s="445">
        <v>0.94410361281526922</v>
      </c>
      <c r="C15" s="445">
        <v>0.99373116335141654</v>
      </c>
      <c r="D15" s="445">
        <v>0.98974216800665371</v>
      </c>
      <c r="E15" s="445">
        <v>0.99103426192763366</v>
      </c>
      <c r="F15" s="445">
        <v>0.98494353826850689</v>
      </c>
      <c r="G15" s="445">
        <v>0.98480243161094227</v>
      </c>
      <c r="H15" s="445"/>
    </row>
    <row r="16" spans="1:8" ht="15.75" x14ac:dyDescent="0.25">
      <c r="A16" s="446" t="s">
        <v>324</v>
      </c>
      <c r="B16" s="447">
        <v>2112.9185000000002</v>
      </c>
      <c r="C16" s="447">
        <v>19190.353254000001</v>
      </c>
      <c r="D16" s="447">
        <v>5173.9025000000001</v>
      </c>
      <c r="E16" s="447">
        <v>4307.2250000000004</v>
      </c>
      <c r="F16" s="447">
        <v>691.05215399999997</v>
      </c>
      <c r="G16" s="447">
        <v>171.606381</v>
      </c>
      <c r="H16" s="447">
        <v>4791.8395</v>
      </c>
    </row>
    <row r="18" spans="1:9" ht="15.75" x14ac:dyDescent="0.25">
      <c r="A18" s="450" t="s">
        <v>325</v>
      </c>
      <c r="B18" s="451">
        <v>5533.26404</v>
      </c>
      <c r="C18" s="451">
        <v>36912.213037000001</v>
      </c>
      <c r="D18" s="451">
        <v>13182.2235</v>
      </c>
      <c r="E18" s="451">
        <v>8345.1450000000004</v>
      </c>
      <c r="F18" s="451">
        <v>1697.4028740000001</v>
      </c>
      <c r="G18" s="451">
        <v>340.29554200000001</v>
      </c>
      <c r="H18" s="451">
        <v>279595.30081799999</v>
      </c>
    </row>
    <row r="21" spans="1:9" ht="33.75" x14ac:dyDescent="0.25">
      <c r="A21" s="418" t="s">
        <v>12</v>
      </c>
      <c r="B21" s="418" t="s">
        <v>326</v>
      </c>
      <c r="C21" s="418" t="s">
        <v>327</v>
      </c>
      <c r="D21" s="418" t="s">
        <v>328</v>
      </c>
      <c r="E21" s="418" t="s">
        <v>329</v>
      </c>
      <c r="F21" s="418" t="s">
        <v>330</v>
      </c>
      <c r="G21" s="418" t="s">
        <v>331</v>
      </c>
      <c r="H21" s="418" t="s">
        <v>332</v>
      </c>
    </row>
    <row r="22" spans="1:9" ht="60" x14ac:dyDescent="0.25">
      <c r="A22" s="315" t="s">
        <v>120</v>
      </c>
      <c r="B22" s="415">
        <v>2243379775</v>
      </c>
      <c r="C22" s="314">
        <v>1794703820</v>
      </c>
      <c r="D22" s="317">
        <v>318214680</v>
      </c>
      <c r="E22" s="314">
        <v>130461275</v>
      </c>
      <c r="F22" s="416">
        <v>-4.434922064127822E-2</v>
      </c>
      <c r="G22" s="416">
        <v>-1.4445314167793377E-2</v>
      </c>
      <c r="H22" s="414" t="s">
        <v>333</v>
      </c>
    </row>
    <row r="23" spans="1:9" ht="36" x14ac:dyDescent="0.25">
      <c r="A23" s="423" t="s">
        <v>334</v>
      </c>
      <c r="B23" s="415">
        <v>12722699426</v>
      </c>
      <c r="C23" s="314">
        <v>10178159541</v>
      </c>
      <c r="D23" s="420"/>
      <c r="E23" s="421"/>
      <c r="F23" s="416">
        <v>2.3516833255406988E-2</v>
      </c>
      <c r="G23" s="416">
        <v>0.47339065768068767</v>
      </c>
      <c r="H23" s="422" t="s">
        <v>335</v>
      </c>
    </row>
    <row r="24" spans="1:9" ht="60" x14ac:dyDescent="0.25">
      <c r="A24" s="315" t="s">
        <v>166</v>
      </c>
      <c r="B24" s="415">
        <v>5117892042</v>
      </c>
      <c r="C24" s="314">
        <v>4094313634</v>
      </c>
      <c r="D24" s="317">
        <v>1079588866</v>
      </c>
      <c r="E24" s="314">
        <v>-56010458</v>
      </c>
      <c r="F24" s="416">
        <v>-1.4173805101210357E-2</v>
      </c>
      <c r="G24" s="417">
        <v>2.5478987734466996E-2</v>
      </c>
      <c r="H24" s="414" t="s">
        <v>333</v>
      </c>
    </row>
    <row r="25" spans="1:9" ht="48" x14ac:dyDescent="0.25">
      <c r="A25" s="423" t="s">
        <v>229</v>
      </c>
      <c r="B25" s="415">
        <v>2996936464</v>
      </c>
      <c r="C25" s="314">
        <v>2397549172</v>
      </c>
      <c r="D25" s="420"/>
      <c r="E25" s="421"/>
      <c r="F25" s="416">
        <v>0.28740520311948425</v>
      </c>
      <c r="G25" s="416">
        <v>0.11636127542923091</v>
      </c>
      <c r="H25" s="422" t="s">
        <v>336</v>
      </c>
    </row>
    <row r="26" spans="1:9" ht="60" x14ac:dyDescent="0.25">
      <c r="A26" s="315" t="s">
        <v>184</v>
      </c>
      <c r="B26" s="415">
        <v>146585695</v>
      </c>
      <c r="C26" s="314">
        <v>117268556</v>
      </c>
      <c r="D26" s="317">
        <v>54337825</v>
      </c>
      <c r="E26" s="314">
        <v>-25020686</v>
      </c>
      <c r="F26" s="416">
        <v>-6.5254761394137328E-2</v>
      </c>
      <c r="G26" s="416">
        <v>0.25241592578275984</v>
      </c>
      <c r="H26" s="414" t="s">
        <v>333</v>
      </c>
    </row>
    <row r="27" spans="1:9" ht="60" x14ac:dyDescent="0.25">
      <c r="A27" s="315" t="s">
        <v>185</v>
      </c>
      <c r="B27" s="415">
        <v>640998840</v>
      </c>
      <c r="C27" s="314">
        <v>512799072</v>
      </c>
      <c r="D27" s="317">
        <v>180127082</v>
      </c>
      <c r="E27" s="314">
        <v>-51927314</v>
      </c>
      <c r="F27" s="416">
        <v>5.5736066942868145E-2</v>
      </c>
      <c r="G27" s="416">
        <v>2.3939630497007425E-2</v>
      </c>
      <c r="H27" s="414" t="s">
        <v>333</v>
      </c>
    </row>
    <row r="28" spans="1:9" x14ac:dyDescent="0.25">
      <c r="A28" s="418" t="s">
        <v>132</v>
      </c>
      <c r="B28" s="419">
        <f>SUM(B22:B27)</f>
        <v>23868492242</v>
      </c>
      <c r="C28" s="419">
        <f>SUM(C22:C27)</f>
        <v>19094793795</v>
      </c>
      <c r="D28" s="419">
        <f>SUM(D22:D27)</f>
        <v>1632268453</v>
      </c>
      <c r="E28" s="418"/>
      <c r="F28" s="418"/>
      <c r="G28" s="418"/>
      <c r="H28" s="418"/>
    </row>
    <row r="30" spans="1:9" ht="15.75" thickBot="1" x14ac:dyDescent="0.3"/>
    <row r="31" spans="1:9" ht="24" x14ac:dyDescent="0.25">
      <c r="A31" s="694" t="s">
        <v>5</v>
      </c>
      <c r="B31" s="694" t="s">
        <v>337</v>
      </c>
      <c r="C31" s="694" t="s">
        <v>338</v>
      </c>
      <c r="D31" s="694" t="s">
        <v>339</v>
      </c>
      <c r="E31" s="694" t="s">
        <v>340</v>
      </c>
      <c r="F31" s="694" t="s">
        <v>341</v>
      </c>
      <c r="G31" s="424" t="s">
        <v>342</v>
      </c>
      <c r="H31" s="694" t="s">
        <v>343</v>
      </c>
      <c r="I31" s="694" t="s">
        <v>344</v>
      </c>
    </row>
    <row r="32" spans="1:9" ht="15.75" thickBot="1" x14ac:dyDescent="0.3">
      <c r="A32" s="695"/>
      <c r="B32" s="695"/>
      <c r="C32" s="695"/>
      <c r="D32" s="695"/>
      <c r="E32" s="695"/>
      <c r="F32" s="695"/>
      <c r="G32" s="425" t="s">
        <v>345</v>
      </c>
      <c r="H32" s="695"/>
      <c r="I32" s="695"/>
    </row>
    <row r="33" spans="1:9" ht="24.75" thickBot="1" x14ac:dyDescent="0.3">
      <c r="A33" s="426" t="s">
        <v>120</v>
      </c>
      <c r="B33" s="427">
        <v>1542</v>
      </c>
      <c r="C33" s="427">
        <v>1466</v>
      </c>
      <c r="D33" s="438">
        <v>0.95071335927367051</v>
      </c>
      <c r="E33" s="433">
        <v>2243</v>
      </c>
      <c r="F33" s="434">
        <v>1794</v>
      </c>
      <c r="G33" s="435">
        <v>297001</v>
      </c>
      <c r="H33" s="435">
        <v>297001</v>
      </c>
      <c r="I33" s="436">
        <v>1361</v>
      </c>
    </row>
    <row r="34" spans="1:9" ht="15.75" thickBot="1" x14ac:dyDescent="0.3">
      <c r="A34" s="426" t="s">
        <v>334</v>
      </c>
      <c r="B34" s="427">
        <v>8485</v>
      </c>
      <c r="C34" s="427">
        <v>8398</v>
      </c>
      <c r="D34" s="437">
        <v>0.98974661166764877</v>
      </c>
      <c r="E34" s="433">
        <v>18353</v>
      </c>
      <c r="F34" s="434">
        <v>14682</v>
      </c>
      <c r="G34" s="435">
        <v>2429</v>
      </c>
      <c r="H34" s="435">
        <v>2429</v>
      </c>
      <c r="I34" s="436">
        <v>7908</v>
      </c>
    </row>
    <row r="35" spans="1:9" ht="24.75" thickBot="1" x14ac:dyDescent="0.3">
      <c r="A35" s="426" t="s">
        <v>166</v>
      </c>
      <c r="B35" s="427">
        <v>3669</v>
      </c>
      <c r="C35" s="427">
        <v>3519</v>
      </c>
      <c r="D35" s="438">
        <v>0.95911692559280459</v>
      </c>
      <c r="E35" s="433">
        <v>6466</v>
      </c>
      <c r="F35" s="434">
        <v>5173</v>
      </c>
      <c r="G35" s="435">
        <v>856102</v>
      </c>
      <c r="H35" s="435">
        <v>856102</v>
      </c>
      <c r="I35" s="436">
        <v>26488</v>
      </c>
    </row>
    <row r="36" spans="1:9" ht="36.75" thickBot="1" x14ac:dyDescent="0.3">
      <c r="A36" s="426" t="s">
        <v>229</v>
      </c>
      <c r="B36" s="427">
        <v>3736</v>
      </c>
      <c r="C36" s="427">
        <v>3647</v>
      </c>
      <c r="D36" s="438">
        <v>0.97617773019271947</v>
      </c>
      <c r="E36" s="433">
        <v>4826</v>
      </c>
      <c r="F36" s="434">
        <v>3861</v>
      </c>
      <c r="G36" s="435">
        <v>639019</v>
      </c>
      <c r="H36" s="435">
        <v>639019</v>
      </c>
      <c r="I36" s="436">
        <v>2982</v>
      </c>
    </row>
    <row r="37" spans="1:9" ht="36.75" thickBot="1" x14ac:dyDescent="0.3">
      <c r="A37" s="426" t="s">
        <v>184</v>
      </c>
      <c r="B37" s="429">
        <v>289</v>
      </c>
      <c r="C37" s="429">
        <v>280</v>
      </c>
      <c r="D37" s="438">
        <v>0.96885813148788924</v>
      </c>
      <c r="E37" s="433">
        <v>198494</v>
      </c>
      <c r="F37" s="434">
        <v>158795</v>
      </c>
      <c r="G37" s="435">
        <v>158795</v>
      </c>
      <c r="H37" s="435">
        <v>0</v>
      </c>
      <c r="I37" s="436">
        <v>0</v>
      </c>
    </row>
    <row r="38" spans="1:9" ht="24.75" thickBot="1" x14ac:dyDescent="0.3">
      <c r="A38" s="426" t="s">
        <v>185</v>
      </c>
      <c r="B38" s="429" t="s">
        <v>346</v>
      </c>
      <c r="C38" s="429" t="s">
        <v>346</v>
      </c>
      <c r="D38" s="429" t="s">
        <v>346</v>
      </c>
      <c r="E38" s="433">
        <v>731062</v>
      </c>
      <c r="F38" s="434">
        <v>584850</v>
      </c>
      <c r="G38" s="428">
        <v>584850</v>
      </c>
      <c r="H38" s="435">
        <v>0</v>
      </c>
      <c r="I38" s="436">
        <v>0</v>
      </c>
    </row>
    <row r="39" spans="1:9" ht="15.75" thickBot="1" x14ac:dyDescent="0.3">
      <c r="A39" s="430" t="s">
        <v>211</v>
      </c>
      <c r="B39" s="431">
        <f>B33+B34+B35+B36+B37</f>
        <v>17721</v>
      </c>
      <c r="C39" s="431">
        <f>C33+C34+C35+C36+C37</f>
        <v>17310</v>
      </c>
      <c r="D39" s="432"/>
      <c r="E39" s="439">
        <f>SUM(E33:E38)</f>
        <v>961444</v>
      </c>
      <c r="F39" s="439">
        <f t="shared" ref="F39:I39" si="0">SUM(F33:F38)</f>
        <v>769155</v>
      </c>
      <c r="G39" s="439">
        <f t="shared" si="0"/>
        <v>2538196</v>
      </c>
      <c r="H39" s="439">
        <f t="shared" si="0"/>
        <v>1794551</v>
      </c>
      <c r="I39" s="439">
        <f t="shared" si="0"/>
        <v>38739</v>
      </c>
    </row>
  </sheetData>
  <mergeCells count="8">
    <mergeCell ref="H31:H32"/>
    <mergeCell ref="I31:I32"/>
    <mergeCell ref="A31:A32"/>
    <mergeCell ref="B31:B32"/>
    <mergeCell ref="C31:C32"/>
    <mergeCell ref="D31:D32"/>
    <mergeCell ref="E31:E32"/>
    <mergeCell ref="F31:F32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20F37-85F5-407F-A261-3299C3A6BD8C}">
  <sheetPr>
    <tabColor rgb="FF53F5E5"/>
  </sheetPr>
  <dimension ref="A1:L46"/>
  <sheetViews>
    <sheetView topLeftCell="A28" workbookViewId="0">
      <selection activeCell="G13" sqref="G13"/>
    </sheetView>
  </sheetViews>
  <sheetFormatPr baseColWidth="10" defaultColWidth="11.42578125" defaultRowHeight="15" x14ac:dyDescent="0.25"/>
  <cols>
    <col min="1" max="1" width="46.7109375" bestFit="1" customWidth="1"/>
    <col min="2" max="4" width="11" style="325" customWidth="1"/>
    <col min="5" max="5" width="23.7109375" bestFit="1" customWidth="1"/>
    <col min="6" max="6" width="24" customWidth="1"/>
    <col min="7" max="7" width="19.28515625" bestFit="1" customWidth="1"/>
    <col min="8" max="8" width="26.140625" bestFit="1" customWidth="1"/>
    <col min="9" max="9" width="21.85546875" customWidth="1"/>
    <col min="10" max="10" width="18" bestFit="1" customWidth="1"/>
  </cols>
  <sheetData>
    <row r="1" spans="1:9" ht="36" x14ac:dyDescent="0.25">
      <c r="A1" s="362" t="s">
        <v>12</v>
      </c>
      <c r="B1" s="361" t="s">
        <v>347</v>
      </c>
      <c r="C1" s="361" t="s">
        <v>348</v>
      </c>
      <c r="D1" s="361" t="s">
        <v>349</v>
      </c>
      <c r="E1" s="362" t="s">
        <v>350</v>
      </c>
      <c r="F1" s="123"/>
      <c r="G1" s="123"/>
      <c r="H1" s="123"/>
      <c r="I1" s="123"/>
    </row>
    <row r="2" spans="1:9" x14ac:dyDescent="0.25">
      <c r="A2" s="340" t="s">
        <v>123</v>
      </c>
      <c r="B2" s="343">
        <v>2500</v>
      </c>
      <c r="C2" s="343">
        <v>2189</v>
      </c>
      <c r="D2" s="344">
        <v>0.88</v>
      </c>
      <c r="E2" s="342">
        <v>1061576359</v>
      </c>
      <c r="F2" s="326"/>
      <c r="G2" s="326"/>
      <c r="H2" s="326"/>
      <c r="I2" s="326"/>
    </row>
    <row r="3" spans="1:9" x14ac:dyDescent="0.25">
      <c r="A3" s="340" t="s">
        <v>106</v>
      </c>
      <c r="B3" s="343">
        <v>3537</v>
      </c>
      <c r="C3" s="343">
        <v>3040</v>
      </c>
      <c r="D3" s="344">
        <v>0.86</v>
      </c>
      <c r="E3" s="342">
        <v>8924641899</v>
      </c>
      <c r="F3" s="326"/>
      <c r="G3" s="326"/>
      <c r="H3" s="326"/>
      <c r="I3" s="326"/>
    </row>
    <row r="4" spans="1:9" x14ac:dyDescent="0.25">
      <c r="A4" s="340" t="s">
        <v>107</v>
      </c>
      <c r="B4" s="343">
        <v>12367</v>
      </c>
      <c r="C4" s="343">
        <v>11459</v>
      </c>
      <c r="D4" s="344">
        <v>0.93</v>
      </c>
      <c r="E4" s="342">
        <v>17658482800</v>
      </c>
      <c r="F4" s="326"/>
      <c r="G4" s="326"/>
      <c r="H4" s="326"/>
      <c r="I4" s="326"/>
    </row>
    <row r="5" spans="1:9" x14ac:dyDescent="0.25">
      <c r="A5" s="340" t="s">
        <v>114</v>
      </c>
      <c r="B5" s="343">
        <v>4012</v>
      </c>
      <c r="C5" s="343">
        <v>3356</v>
      </c>
      <c r="D5" s="344">
        <v>0.84</v>
      </c>
      <c r="E5" s="342">
        <v>1408610333</v>
      </c>
      <c r="F5" s="326"/>
      <c r="G5" s="326"/>
      <c r="H5" s="326"/>
      <c r="I5" s="326"/>
    </row>
    <row r="6" spans="1:9" x14ac:dyDescent="0.25">
      <c r="A6" s="340" t="s">
        <v>108</v>
      </c>
      <c r="B6" s="345">
        <v>750</v>
      </c>
      <c r="C6" s="345">
        <v>637</v>
      </c>
      <c r="D6" s="344">
        <v>0.85</v>
      </c>
      <c r="E6" s="342">
        <v>967323999</v>
      </c>
      <c r="F6" s="326"/>
      <c r="G6" s="326"/>
      <c r="H6" s="326"/>
      <c r="I6" s="326"/>
    </row>
    <row r="7" spans="1:9" ht="24.75" x14ac:dyDescent="0.25">
      <c r="A7" s="341" t="s">
        <v>186</v>
      </c>
      <c r="B7" s="343">
        <v>1837</v>
      </c>
      <c r="C7" s="343">
        <v>1523</v>
      </c>
      <c r="D7" s="344">
        <v>0.83</v>
      </c>
      <c r="E7" s="342">
        <v>961487403.39999998</v>
      </c>
      <c r="F7" s="326"/>
      <c r="G7" s="326"/>
      <c r="H7" s="326"/>
      <c r="I7" s="326"/>
    </row>
    <row r="8" spans="1:9" x14ac:dyDescent="0.25">
      <c r="A8" s="340" t="s">
        <v>113</v>
      </c>
      <c r="B8" s="343">
        <v>5312</v>
      </c>
      <c r="C8" s="343">
        <v>5001</v>
      </c>
      <c r="D8" s="344">
        <v>0.94</v>
      </c>
      <c r="E8" s="342">
        <v>10555244567.799999</v>
      </c>
      <c r="F8" s="326"/>
      <c r="G8" s="326"/>
      <c r="H8" s="326"/>
      <c r="I8" s="326"/>
    </row>
    <row r="9" spans="1:9" x14ac:dyDescent="0.25">
      <c r="A9" s="340" t="s">
        <v>351</v>
      </c>
      <c r="B9" s="343">
        <v>1073</v>
      </c>
      <c r="C9" s="345">
        <v>789</v>
      </c>
      <c r="D9" s="344">
        <v>0.74</v>
      </c>
      <c r="E9" s="342">
        <v>527147599.60000002</v>
      </c>
      <c r="F9" s="326"/>
      <c r="G9" s="326"/>
      <c r="H9" s="326"/>
      <c r="I9" s="326"/>
    </row>
    <row r="10" spans="1:9" x14ac:dyDescent="0.25">
      <c r="A10" s="312" t="s">
        <v>132</v>
      </c>
      <c r="B10" s="347">
        <f>SUM(B2:B9)</f>
        <v>31388</v>
      </c>
      <c r="C10" s="347">
        <f>SUM(C2:C9)</f>
        <v>27994</v>
      </c>
      <c r="D10" s="324"/>
      <c r="E10" s="313">
        <f>SUM(E2:E9)</f>
        <v>42064514960.799995</v>
      </c>
      <c r="F10" s="327"/>
      <c r="G10" s="327"/>
      <c r="H10" s="327"/>
      <c r="I10" s="327"/>
    </row>
    <row r="13" spans="1:9" ht="36" x14ac:dyDescent="0.25">
      <c r="A13" s="362" t="s">
        <v>12</v>
      </c>
      <c r="B13" s="361" t="s">
        <v>352</v>
      </c>
      <c r="C13" s="361" t="s">
        <v>353</v>
      </c>
      <c r="D13" s="361" t="s">
        <v>354</v>
      </c>
      <c r="E13" s="362" t="s">
        <v>355</v>
      </c>
    </row>
    <row r="14" spans="1:9" x14ac:dyDescent="0.25">
      <c r="A14" s="340" t="s">
        <v>123</v>
      </c>
      <c r="B14" s="345">
        <v>697</v>
      </c>
      <c r="C14" s="345">
        <v>665</v>
      </c>
      <c r="D14" s="344">
        <v>0.95</v>
      </c>
      <c r="E14" s="342">
        <v>1114976530</v>
      </c>
    </row>
    <row r="15" spans="1:9" x14ac:dyDescent="0.25">
      <c r="A15" s="340" t="s">
        <v>106</v>
      </c>
      <c r="B15" s="343">
        <v>4732</v>
      </c>
      <c r="C15" s="343">
        <v>3885</v>
      </c>
      <c r="D15" s="344">
        <v>0.82</v>
      </c>
      <c r="E15" s="342">
        <v>8530135087</v>
      </c>
    </row>
    <row r="16" spans="1:9" x14ac:dyDescent="0.25">
      <c r="A16" s="340" t="s">
        <v>107</v>
      </c>
      <c r="B16" s="343">
        <v>2560</v>
      </c>
      <c r="C16" s="343">
        <v>2162</v>
      </c>
      <c r="D16" s="344">
        <v>0.84</v>
      </c>
      <c r="E16" s="342">
        <v>19839871100</v>
      </c>
    </row>
    <row r="17" spans="1:12" x14ac:dyDescent="0.25">
      <c r="A17" s="340" t="s">
        <v>114</v>
      </c>
      <c r="B17" s="345">
        <v>542</v>
      </c>
      <c r="C17" s="345">
        <v>476</v>
      </c>
      <c r="D17" s="344">
        <v>0.88</v>
      </c>
      <c r="E17" s="342">
        <v>1591024686</v>
      </c>
    </row>
    <row r="18" spans="1:12" x14ac:dyDescent="0.25">
      <c r="A18" s="340" t="s">
        <v>108</v>
      </c>
      <c r="B18" s="343">
        <v>3481</v>
      </c>
      <c r="C18" s="343">
        <v>2875</v>
      </c>
      <c r="D18" s="344">
        <v>0.83</v>
      </c>
      <c r="E18" s="342">
        <v>959760000</v>
      </c>
    </row>
    <row r="19" spans="1:12" ht="24.75" x14ac:dyDescent="0.25">
      <c r="A19" s="341" t="s">
        <v>186</v>
      </c>
      <c r="B19" s="343">
        <v>3369</v>
      </c>
      <c r="C19" s="343">
        <v>2491</v>
      </c>
      <c r="D19" s="344">
        <v>0.74</v>
      </c>
      <c r="E19" s="342">
        <v>874680315</v>
      </c>
    </row>
    <row r="20" spans="1:12" x14ac:dyDescent="0.25">
      <c r="A20" s="340" t="s">
        <v>113</v>
      </c>
      <c r="B20" s="343">
        <v>12877</v>
      </c>
      <c r="C20" s="343">
        <v>11882</v>
      </c>
      <c r="D20" s="344">
        <v>0.92</v>
      </c>
      <c r="E20" s="342">
        <v>11767251360</v>
      </c>
    </row>
    <row r="21" spans="1:12" x14ac:dyDescent="0.25">
      <c r="A21" s="340" t="s">
        <v>351</v>
      </c>
      <c r="B21" s="343">
        <v>1452</v>
      </c>
      <c r="C21" s="343">
        <v>1184</v>
      </c>
      <c r="D21" s="344">
        <v>0.82</v>
      </c>
      <c r="E21" s="342">
        <v>729988000</v>
      </c>
    </row>
    <row r="22" spans="1:12" x14ac:dyDescent="0.25">
      <c r="A22" s="312" t="s">
        <v>132</v>
      </c>
      <c r="B22" s="324">
        <f>SUM(B14:B21)</f>
        <v>29710</v>
      </c>
      <c r="C22" s="324">
        <f>SUM(C14:C21)</f>
        <v>25620</v>
      </c>
      <c r="D22" s="324"/>
      <c r="E22" s="313">
        <f>SUM(E14:E21)</f>
        <v>45407687078</v>
      </c>
    </row>
    <row r="25" spans="1:12" ht="45" x14ac:dyDescent="0.25">
      <c r="A25" s="360" t="s">
        <v>12</v>
      </c>
      <c r="B25" s="361" t="s">
        <v>356</v>
      </c>
      <c r="C25" s="361" t="s">
        <v>357</v>
      </c>
      <c r="D25" s="361" t="s">
        <v>358</v>
      </c>
      <c r="E25" s="362" t="s">
        <v>359</v>
      </c>
      <c r="F25" s="360" t="s">
        <v>223</v>
      </c>
      <c r="G25" s="363" t="s">
        <v>296</v>
      </c>
      <c r="H25" s="360" t="s">
        <v>332</v>
      </c>
      <c r="I25" s="360" t="s">
        <v>360</v>
      </c>
      <c r="J25" s="364" t="s">
        <v>329</v>
      </c>
      <c r="K25" s="364" t="s">
        <v>330</v>
      </c>
      <c r="L25" s="360" t="s">
        <v>331</v>
      </c>
    </row>
    <row r="26" spans="1:12" ht="24" x14ac:dyDescent="0.25">
      <c r="A26" s="335" t="s">
        <v>123</v>
      </c>
      <c r="B26" s="352">
        <v>749</v>
      </c>
      <c r="C26" s="352">
        <v>742</v>
      </c>
      <c r="D26" s="353">
        <v>0.99</v>
      </c>
      <c r="E26" s="337">
        <v>2442872782</v>
      </c>
      <c r="F26" s="314">
        <v>1954228226</v>
      </c>
      <c r="G26" s="317">
        <v>598708270</v>
      </c>
      <c r="H26" s="317" t="s">
        <v>333</v>
      </c>
      <c r="I26" s="166"/>
      <c r="J26" s="354">
        <v>110133714</v>
      </c>
      <c r="K26" s="355">
        <v>-2.4387374839340836E-3</v>
      </c>
      <c r="L26" s="355">
        <v>4.7638603696098514E-2</v>
      </c>
    </row>
    <row r="27" spans="1:12" ht="24" x14ac:dyDescent="0.25">
      <c r="A27" s="335" t="s">
        <v>106</v>
      </c>
      <c r="B27" s="352">
        <v>4969</v>
      </c>
      <c r="C27" s="352">
        <v>4839</v>
      </c>
      <c r="D27" s="353">
        <v>0.97</v>
      </c>
      <c r="E27" s="337">
        <v>13175448809</v>
      </c>
      <c r="F27" s="314">
        <v>10540359047</v>
      </c>
      <c r="G27" s="317">
        <v>3519454799</v>
      </c>
      <c r="H27" s="317" t="s">
        <v>333</v>
      </c>
      <c r="I27" s="166"/>
      <c r="J27" s="354">
        <v>884180738</v>
      </c>
      <c r="K27" s="355">
        <v>3.0780456248158172E-2</v>
      </c>
      <c r="L27" s="355">
        <v>3.5242955938755038E-2</v>
      </c>
    </row>
    <row r="28" spans="1:12" ht="132" x14ac:dyDescent="0.25">
      <c r="A28" s="335" t="s">
        <v>107</v>
      </c>
      <c r="B28" s="352">
        <v>2613</v>
      </c>
      <c r="C28" s="352">
        <v>2551</v>
      </c>
      <c r="D28" s="353">
        <v>0.98</v>
      </c>
      <c r="E28" s="337">
        <v>42219259596</v>
      </c>
      <c r="F28" s="314">
        <v>33775407677</v>
      </c>
      <c r="G28" s="317">
        <v>15264869323</v>
      </c>
      <c r="H28" s="317" t="s">
        <v>43</v>
      </c>
      <c r="I28" s="315" t="s">
        <v>361</v>
      </c>
      <c r="J28" s="354">
        <v>6821017404</v>
      </c>
      <c r="K28" s="355">
        <v>-6.5173420427248052E-3</v>
      </c>
      <c r="L28" s="356">
        <v>0.16918170568645197</v>
      </c>
    </row>
    <row r="29" spans="1:12" ht="24" x14ac:dyDescent="0.25">
      <c r="A29" s="335" t="s">
        <v>114</v>
      </c>
      <c r="B29" s="352">
        <v>576</v>
      </c>
      <c r="C29" s="352">
        <v>561</v>
      </c>
      <c r="D29" s="353">
        <v>0.97</v>
      </c>
      <c r="E29" s="337">
        <v>4199121789</v>
      </c>
      <c r="F29" s="314">
        <v>3359297432</v>
      </c>
      <c r="G29" s="317">
        <v>2349022068</v>
      </c>
      <c r="H29" s="317" t="s">
        <v>333</v>
      </c>
      <c r="I29" s="166"/>
      <c r="J29" s="354">
        <v>1509197711</v>
      </c>
      <c r="K29" s="355">
        <v>3.3244255833428493E-2</v>
      </c>
      <c r="L29" s="355">
        <v>0.31566948680277607</v>
      </c>
    </row>
    <row r="30" spans="1:12" ht="24" x14ac:dyDescent="0.25">
      <c r="A30" s="335" t="s">
        <v>108</v>
      </c>
      <c r="B30" s="352">
        <v>3589</v>
      </c>
      <c r="C30" s="352">
        <v>3428</v>
      </c>
      <c r="D30" s="353">
        <v>0.96</v>
      </c>
      <c r="E30" s="337">
        <v>1615399686</v>
      </c>
      <c r="F30" s="314">
        <v>1292319749</v>
      </c>
      <c r="G30" s="317">
        <v>295191251</v>
      </c>
      <c r="H30" s="317" t="s">
        <v>333</v>
      </c>
      <c r="I30" s="166"/>
      <c r="J30" s="354">
        <v>-27888686</v>
      </c>
      <c r="K30" s="355">
        <v>-8.0713468153298384E-3</v>
      </c>
      <c r="L30" s="355">
        <v>-9.2677196188487576E-3</v>
      </c>
    </row>
    <row r="31" spans="1:12" ht="24" x14ac:dyDescent="0.25">
      <c r="A31" s="336" t="s">
        <v>186</v>
      </c>
      <c r="B31" s="352">
        <v>3575</v>
      </c>
      <c r="C31" s="352">
        <v>3515</v>
      </c>
      <c r="D31" s="353">
        <v>0.98</v>
      </c>
      <c r="E31" s="337">
        <v>1826073754</v>
      </c>
      <c r="F31" s="314">
        <v>1460859004</v>
      </c>
      <c r="G31" s="317">
        <v>210670608</v>
      </c>
      <c r="H31" s="317" t="s">
        <v>333</v>
      </c>
      <c r="I31" s="166"/>
      <c r="J31" s="354">
        <v>-155546142</v>
      </c>
      <c r="K31" s="355">
        <v>-2.0208283816531947E-2</v>
      </c>
      <c r="L31" s="355">
        <v>-6.6312422057149045E-2</v>
      </c>
    </row>
    <row r="32" spans="1:12" ht="36" x14ac:dyDescent="0.25">
      <c r="A32" s="335" t="s">
        <v>113</v>
      </c>
      <c r="B32" s="352">
        <v>14157</v>
      </c>
      <c r="C32" s="352">
        <v>14078</v>
      </c>
      <c r="D32" s="353">
        <v>0.99</v>
      </c>
      <c r="E32" s="337">
        <v>19972980121</v>
      </c>
      <c r="F32" s="314">
        <v>15978384097</v>
      </c>
      <c r="G32" s="317">
        <v>6166280095</v>
      </c>
      <c r="H32" s="317" t="s">
        <v>333</v>
      </c>
      <c r="I32" s="315" t="s">
        <v>362</v>
      </c>
      <c r="J32" s="354">
        <v>2171684071</v>
      </c>
      <c r="K32" s="355">
        <v>-1.4771921164435819E-2</v>
      </c>
      <c r="L32" s="356">
        <v>0.12535475027511245</v>
      </c>
    </row>
    <row r="33" spans="1:12" x14ac:dyDescent="0.25">
      <c r="A33" s="335" t="s">
        <v>351</v>
      </c>
      <c r="B33" s="352">
        <v>1467</v>
      </c>
      <c r="C33" s="352">
        <v>1385</v>
      </c>
      <c r="D33" s="353">
        <v>0.94</v>
      </c>
      <c r="E33" s="337">
        <v>1292042585</v>
      </c>
      <c r="F33" s="314">
        <v>1033634068</v>
      </c>
      <c r="G33" s="317">
        <v>559865632</v>
      </c>
      <c r="H33" s="317" t="s">
        <v>43</v>
      </c>
      <c r="I33" s="166"/>
      <c r="J33" s="354">
        <v>301457115</v>
      </c>
      <c r="K33" s="355">
        <v>9.1147930134350741E-2</v>
      </c>
      <c r="L33" s="355">
        <v>0.13029426773260755</v>
      </c>
    </row>
    <row r="34" spans="1:12" x14ac:dyDescent="0.25">
      <c r="A34" s="348" t="s">
        <v>132</v>
      </c>
      <c r="B34" s="349">
        <f>SUM(B26:B33)</f>
        <v>31695</v>
      </c>
      <c r="C34" s="349">
        <f>SUM(C26:C33)</f>
        <v>31099</v>
      </c>
      <c r="D34" s="338"/>
      <c r="E34" s="316">
        <f>SUM(E26:E33)</f>
        <v>86743199122</v>
      </c>
      <c r="F34" s="316">
        <f>SUM(F26:F33)</f>
        <v>69394489300</v>
      </c>
      <c r="G34" s="314">
        <v>28964062046</v>
      </c>
      <c r="H34" s="316">
        <f>SUM(H26:H33)</f>
        <v>0</v>
      </c>
      <c r="I34" s="166"/>
      <c r="J34" s="166"/>
      <c r="K34" s="166"/>
      <c r="L34" s="166"/>
    </row>
    <row r="37" spans="1:12" ht="45" x14ac:dyDescent="0.25">
      <c r="A37" s="358" t="s">
        <v>12</v>
      </c>
      <c r="B37" s="358" t="s">
        <v>363</v>
      </c>
      <c r="C37" s="358" t="s">
        <v>364</v>
      </c>
      <c r="D37" s="358" t="s">
        <v>365</v>
      </c>
      <c r="E37" s="358" t="s">
        <v>359</v>
      </c>
      <c r="F37" s="358" t="s">
        <v>366</v>
      </c>
      <c r="G37" s="358" t="s">
        <v>367</v>
      </c>
      <c r="H37" s="358" t="s">
        <v>368</v>
      </c>
      <c r="I37" s="358" t="s">
        <v>369</v>
      </c>
      <c r="J37" s="359" t="s">
        <v>370</v>
      </c>
    </row>
    <row r="38" spans="1:12" x14ac:dyDescent="0.25">
      <c r="A38" s="331" t="s">
        <v>123</v>
      </c>
      <c r="B38" s="357">
        <v>2767</v>
      </c>
      <c r="C38" s="357">
        <v>2695</v>
      </c>
      <c r="D38" s="346">
        <f>+C38/B38</f>
        <v>0.97397903867003977</v>
      </c>
      <c r="E38" s="332">
        <v>2542664385</v>
      </c>
      <c r="F38" s="320">
        <v>2034131508</v>
      </c>
      <c r="G38" s="321">
        <v>336624052</v>
      </c>
      <c r="H38" s="320">
        <v>336624050</v>
      </c>
      <c r="I38" s="320">
        <v>1360883406</v>
      </c>
      <c r="J38" s="323">
        <v>0</v>
      </c>
    </row>
    <row r="39" spans="1:12" x14ac:dyDescent="0.25">
      <c r="A39" s="331" t="s">
        <v>106</v>
      </c>
      <c r="B39" s="339"/>
      <c r="C39" s="339"/>
      <c r="D39" s="346"/>
      <c r="E39" s="332">
        <v>14774803852</v>
      </c>
      <c r="F39" s="320">
        <v>11819843082</v>
      </c>
      <c r="G39" s="321">
        <v>1956040429</v>
      </c>
      <c r="H39" s="320">
        <v>1956040418</v>
      </c>
      <c r="I39" s="320">
        <v>7907762235</v>
      </c>
      <c r="J39" s="323">
        <v>0</v>
      </c>
    </row>
    <row r="40" spans="1:12" x14ac:dyDescent="0.25">
      <c r="A40" s="331" t="s">
        <v>107</v>
      </c>
      <c r="B40" s="357">
        <v>15074</v>
      </c>
      <c r="C40" s="357">
        <v>15005</v>
      </c>
      <c r="D40" s="346">
        <f>+C40/B40</f>
        <v>0.99542258192914956</v>
      </c>
      <c r="E40" s="332">
        <v>49490632861</v>
      </c>
      <c r="F40" s="320">
        <v>39592506289</v>
      </c>
      <c r="G40" s="321">
        <v>6552078774</v>
      </c>
      <c r="H40" s="320">
        <v>6552078740</v>
      </c>
      <c r="I40" s="321">
        <v>26488348775</v>
      </c>
      <c r="J40" s="323">
        <v>0</v>
      </c>
    </row>
    <row r="41" spans="1:12" x14ac:dyDescent="0.25">
      <c r="A41" s="331" t="s">
        <v>114</v>
      </c>
      <c r="B41" s="357">
        <v>5100</v>
      </c>
      <c r="C41" s="357">
        <v>5007</v>
      </c>
      <c r="D41" s="346">
        <f>+C41/B41</f>
        <v>0.98176470588235298</v>
      </c>
      <c r="E41" s="332">
        <v>5570617211</v>
      </c>
      <c r="F41" s="320">
        <v>4456493768</v>
      </c>
      <c r="G41" s="321">
        <v>737495576</v>
      </c>
      <c r="H41" s="320">
        <v>737495572</v>
      </c>
      <c r="I41" s="320">
        <v>2981502620</v>
      </c>
      <c r="J41" s="323">
        <v>0</v>
      </c>
    </row>
    <row r="42" spans="1:12" x14ac:dyDescent="0.25">
      <c r="A42" s="331" t="s">
        <v>108</v>
      </c>
      <c r="B42" s="357">
        <v>842</v>
      </c>
      <c r="C42" s="357">
        <v>782</v>
      </c>
      <c r="D42" s="346">
        <f>+C42/B42</f>
        <v>0.92874109263657956</v>
      </c>
      <c r="E42" s="332">
        <v>1671655358</v>
      </c>
      <c r="F42" s="320">
        <v>1337324286</v>
      </c>
      <c r="G42" s="321">
        <v>221310922</v>
      </c>
      <c r="H42" s="320">
        <v>221310921</v>
      </c>
      <c r="I42" s="320">
        <v>894702443</v>
      </c>
      <c r="J42" s="323">
        <v>0</v>
      </c>
    </row>
    <row r="43" spans="1:12" ht="22.5" x14ac:dyDescent="0.25">
      <c r="A43" s="333" t="s">
        <v>186</v>
      </c>
      <c r="B43" s="339"/>
      <c r="C43" s="339"/>
      <c r="D43" s="346"/>
      <c r="E43" s="334">
        <v>2305977513</v>
      </c>
      <c r="F43" s="320">
        <v>1844782010</v>
      </c>
      <c r="G43" s="696" t="s">
        <v>371</v>
      </c>
      <c r="H43" s="697"/>
      <c r="I43" s="697"/>
      <c r="J43" s="698"/>
    </row>
    <row r="44" spans="1:12" x14ac:dyDescent="0.25">
      <c r="A44" s="331" t="s">
        <v>113</v>
      </c>
      <c r="B44" s="339"/>
      <c r="C44" s="339"/>
      <c r="D44" s="346"/>
      <c r="E44" s="332">
        <v>22693010272</v>
      </c>
      <c r="F44" s="320">
        <v>18154408218</v>
      </c>
      <c r="G44" s="321">
        <v>3004333999</v>
      </c>
      <c r="H44" s="320">
        <v>3004333999</v>
      </c>
      <c r="I44" s="320">
        <v>12145740220</v>
      </c>
      <c r="J44" s="323">
        <v>0</v>
      </c>
    </row>
    <row r="45" spans="1:12" x14ac:dyDescent="0.25">
      <c r="A45" s="331" t="s">
        <v>351</v>
      </c>
      <c r="B45" s="357">
        <v>1876</v>
      </c>
      <c r="C45" s="357">
        <v>1822</v>
      </c>
      <c r="D45" s="346">
        <f>+C45/B45</f>
        <v>0.97121535181236673</v>
      </c>
      <c r="E45" s="332">
        <v>2570382353</v>
      </c>
      <c r="F45" s="320">
        <v>2056305882</v>
      </c>
      <c r="G45" s="328">
        <v>340293641</v>
      </c>
      <c r="H45" s="329">
        <v>340293639</v>
      </c>
      <c r="I45" s="329">
        <v>1375718602</v>
      </c>
      <c r="J45" s="330">
        <v>0</v>
      </c>
    </row>
    <row r="46" spans="1:12" x14ac:dyDescent="0.25">
      <c r="A46" s="350" t="s">
        <v>132</v>
      </c>
      <c r="B46" s="351">
        <f>SUM(B38:B45)</f>
        <v>25659</v>
      </c>
      <c r="C46" s="351">
        <f>SUM(C38:C45)</f>
        <v>25311</v>
      </c>
      <c r="D46" s="318"/>
      <c r="E46" s="319"/>
      <c r="F46" s="322">
        <f>SUM(F38:F45)</f>
        <v>81295795043</v>
      </c>
      <c r="G46" s="322">
        <f>G38+G39+G40+G41+G42+G44+G45</f>
        <v>13148177393</v>
      </c>
      <c r="H46" s="322">
        <f>H38+H39+H40+H41+H42+H44+H45</f>
        <v>13148177339</v>
      </c>
      <c r="I46" s="322">
        <f t="shared" ref="I46" si="0">SUM(I38:I45)</f>
        <v>53154658301</v>
      </c>
      <c r="J46" s="166"/>
    </row>
  </sheetData>
  <sortState xmlns:xlrd2="http://schemas.microsoft.com/office/spreadsheetml/2017/richdata2" ref="A38:J45">
    <sortCondition ref="A38:A45"/>
  </sortState>
  <mergeCells count="1">
    <mergeCell ref="G43:J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2:E69"/>
  <sheetViews>
    <sheetView workbookViewId="0">
      <selection activeCell="B6" sqref="B6"/>
    </sheetView>
  </sheetViews>
  <sheetFormatPr baseColWidth="10" defaultColWidth="11.42578125" defaultRowHeight="15" x14ac:dyDescent="0.25"/>
  <cols>
    <col min="1" max="1" width="50.28515625" bestFit="1" customWidth="1"/>
    <col min="2" max="2" width="28.5703125" style="29" customWidth="1"/>
    <col min="3" max="3" width="16.42578125" style="29" bestFit="1" customWidth="1"/>
    <col min="4" max="4" width="12.85546875" style="29" bestFit="1" customWidth="1"/>
    <col min="5" max="5" width="20.28515625" style="29" bestFit="1" customWidth="1"/>
    <col min="6" max="6" width="12.5703125" bestFit="1" customWidth="1"/>
  </cols>
  <sheetData>
    <row r="2" spans="1:5" ht="15" customHeight="1" x14ac:dyDescent="0.25">
      <c r="A2" s="49" t="s">
        <v>8</v>
      </c>
      <c r="B2" s="470" t="s">
        <v>9</v>
      </c>
      <c r="C2" s="467"/>
      <c r="D2" s="50"/>
      <c r="E2"/>
    </row>
    <row r="3" spans="1:5" x14ac:dyDescent="0.25">
      <c r="A3" s="50"/>
      <c r="B3" s="467" t="s">
        <v>2</v>
      </c>
      <c r="C3" s="50" t="s">
        <v>3</v>
      </c>
      <c r="D3" s="50" t="s">
        <v>4</v>
      </c>
      <c r="E3"/>
    </row>
    <row r="4" spans="1:5" x14ac:dyDescent="0.25">
      <c r="A4" s="49" t="s">
        <v>5</v>
      </c>
      <c r="B4" s="468" t="s">
        <v>10</v>
      </c>
      <c r="C4" s="50"/>
      <c r="D4" s="50"/>
      <c r="E4"/>
    </row>
    <row r="5" spans="1:5" x14ac:dyDescent="0.25">
      <c r="A5" s="28" t="s">
        <v>7</v>
      </c>
      <c r="B5" s="469">
        <v>468075964</v>
      </c>
      <c r="C5">
        <v>468075964</v>
      </c>
      <c r="D5">
        <v>468075964</v>
      </c>
      <c r="E5"/>
    </row>
    <row r="6" spans="1:5" x14ac:dyDescent="0.25">
      <c r="A6" s="28" t="s">
        <v>4</v>
      </c>
      <c r="B6" s="469">
        <v>468075964</v>
      </c>
      <c r="C6">
        <v>468075964</v>
      </c>
      <c r="D6">
        <v>468075964</v>
      </c>
      <c r="E6"/>
    </row>
    <row r="7" spans="1:5" x14ac:dyDescent="0.25">
      <c r="B7"/>
      <c r="C7"/>
      <c r="D7"/>
      <c r="E7"/>
    </row>
    <row r="8" spans="1:5" x14ac:dyDescent="0.25">
      <c r="B8"/>
      <c r="C8"/>
      <c r="D8"/>
      <c r="E8"/>
    </row>
    <row r="9" spans="1:5" x14ac:dyDescent="0.25">
      <c r="B9"/>
      <c r="C9"/>
      <c r="D9"/>
      <c r="E9"/>
    </row>
    <row r="10" spans="1:5" x14ac:dyDescent="0.25">
      <c r="B10"/>
      <c r="C10"/>
      <c r="D10"/>
      <c r="E10"/>
    </row>
    <row r="11" spans="1:5" x14ac:dyDescent="0.25">
      <c r="B11"/>
      <c r="C11"/>
      <c r="D11"/>
      <c r="E11"/>
    </row>
    <row r="12" spans="1:5" x14ac:dyDescent="0.25">
      <c r="B12"/>
      <c r="C12"/>
      <c r="D12"/>
      <c r="E12"/>
    </row>
    <row r="13" spans="1:5" x14ac:dyDescent="0.25">
      <c r="B13"/>
      <c r="C13"/>
      <c r="D13"/>
      <c r="E13"/>
    </row>
    <row r="14" spans="1:5" x14ac:dyDescent="0.25">
      <c r="B14"/>
      <c r="C14"/>
      <c r="D14"/>
      <c r="E14"/>
    </row>
    <row r="15" spans="1:5" x14ac:dyDescent="0.25">
      <c r="B15"/>
      <c r="C15"/>
      <c r="D15"/>
      <c r="E15"/>
    </row>
    <row r="16" spans="1:5" x14ac:dyDescent="0.25">
      <c r="B16"/>
      <c r="C16"/>
      <c r="D16"/>
      <c r="E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AE458-0A05-4F12-B641-186130D39D85}">
  <sheetPr>
    <tabColor rgb="FFFFFF00"/>
  </sheetPr>
  <dimension ref="A1:G23"/>
  <sheetViews>
    <sheetView workbookViewId="0">
      <selection activeCell="G12" sqref="G12"/>
    </sheetView>
  </sheetViews>
  <sheetFormatPr baseColWidth="10" defaultColWidth="11.42578125" defaultRowHeight="15" x14ac:dyDescent="0.25"/>
  <cols>
    <col min="1" max="1" width="44.28515625" customWidth="1"/>
    <col min="2" max="2" width="19.7109375" bestFit="1" customWidth="1"/>
    <col min="3" max="3" width="22.7109375" customWidth="1"/>
    <col min="4" max="5" width="19" bestFit="1" customWidth="1"/>
    <col min="6" max="6" width="16.42578125" bestFit="1" customWidth="1"/>
    <col min="7" max="7" width="19" bestFit="1" customWidth="1"/>
  </cols>
  <sheetData>
    <row r="1" spans="1:7" ht="22.5" x14ac:dyDescent="0.25">
      <c r="A1" s="390" t="s">
        <v>5</v>
      </c>
      <c r="B1" s="391" t="s">
        <v>193</v>
      </c>
      <c r="C1" s="391" t="s">
        <v>295</v>
      </c>
      <c r="D1" s="391" t="s">
        <v>296</v>
      </c>
      <c r="E1" s="389" t="s">
        <v>291</v>
      </c>
    </row>
    <row r="2" spans="1:7" x14ac:dyDescent="0.25">
      <c r="A2" s="544" t="s">
        <v>334</v>
      </c>
      <c r="B2" s="545">
        <v>19189419170</v>
      </c>
      <c r="C2" s="545">
        <v>10178159541</v>
      </c>
      <c r="D2" s="545">
        <v>9011259629</v>
      </c>
      <c r="E2" s="546">
        <f>B2-C2</f>
        <v>9011259629</v>
      </c>
      <c r="F2" s="132">
        <f>D2-E2</f>
        <v>0</v>
      </c>
    </row>
    <row r="3" spans="1:7" ht="30" x14ac:dyDescent="0.25">
      <c r="A3" s="544" t="s">
        <v>239</v>
      </c>
      <c r="B3" s="545">
        <v>13378861500</v>
      </c>
      <c r="C3" s="545">
        <v>6509158585</v>
      </c>
      <c r="D3" s="545">
        <v>6869702915</v>
      </c>
      <c r="E3" s="546">
        <f>B3-C3</f>
        <v>6869702915</v>
      </c>
      <c r="F3" s="132">
        <f>D3-E3</f>
        <v>0</v>
      </c>
    </row>
    <row r="4" spans="1:7" x14ac:dyDescent="0.25">
      <c r="A4" s="536" t="s">
        <v>132</v>
      </c>
      <c r="B4" s="537">
        <f>SUM(B2:B3)</f>
        <v>32568280670</v>
      </c>
      <c r="C4" s="537">
        <f>SUM(C2:C3)</f>
        <v>16687318126</v>
      </c>
      <c r="D4" s="537">
        <f>SUM(D2:D3)</f>
        <v>15880962544</v>
      </c>
      <c r="E4" s="537">
        <f>SUM(E2:E3)</f>
        <v>15880962544</v>
      </c>
      <c r="F4" s="132"/>
    </row>
    <row r="5" spans="1:7" x14ac:dyDescent="0.25">
      <c r="A5" s="167"/>
      <c r="B5" s="354"/>
      <c r="C5" s="354"/>
      <c r="D5" s="354"/>
      <c r="E5" s="527"/>
      <c r="F5" s="132"/>
    </row>
    <row r="6" spans="1:7" x14ac:dyDescent="0.25">
      <c r="A6" s="167"/>
      <c r="B6" s="354"/>
      <c r="C6" s="354"/>
      <c r="D6" s="354"/>
      <c r="E6" s="527"/>
      <c r="F6" s="132"/>
    </row>
    <row r="7" spans="1:7" ht="22.5" x14ac:dyDescent="0.25">
      <c r="A7" s="390" t="s">
        <v>5</v>
      </c>
      <c r="B7" s="391" t="s">
        <v>193</v>
      </c>
      <c r="C7" s="391" t="s">
        <v>295</v>
      </c>
      <c r="D7" s="391" t="s">
        <v>296</v>
      </c>
      <c r="E7" s="389" t="s">
        <v>291</v>
      </c>
      <c r="F7" s="132"/>
      <c r="G7" s="541">
        <f>D4+D10</f>
        <v>30480021514</v>
      </c>
    </row>
    <row r="8" spans="1:7" x14ac:dyDescent="0.25">
      <c r="A8" s="544" t="s">
        <v>100</v>
      </c>
      <c r="B8" s="545">
        <v>37606749598</v>
      </c>
      <c r="C8" s="545">
        <v>25300031580</v>
      </c>
      <c r="D8" s="545">
        <v>12306718018</v>
      </c>
      <c r="E8" s="547">
        <f>B8-C8</f>
        <v>12306718018</v>
      </c>
      <c r="F8" s="132">
        <f>D8-E8</f>
        <v>0</v>
      </c>
    </row>
    <row r="9" spans="1:7" s="29" customFormat="1" x14ac:dyDescent="0.25">
      <c r="A9" s="544" t="s">
        <v>94</v>
      </c>
      <c r="B9" s="111">
        <v>9986353219</v>
      </c>
      <c r="C9" s="111">
        <v>7694012267</v>
      </c>
      <c r="D9" s="111">
        <v>2292340952</v>
      </c>
      <c r="E9" s="547">
        <f>B9-C9</f>
        <v>2292340952</v>
      </c>
    </row>
    <row r="10" spans="1:7" x14ac:dyDescent="0.25">
      <c r="A10" s="536" t="s">
        <v>132</v>
      </c>
      <c r="B10" s="537">
        <f>SUM(B8:B9)</f>
        <v>47593102817</v>
      </c>
      <c r="C10" s="537">
        <f t="shared" ref="C10:D10" si="0">SUM(C8:C9)</f>
        <v>32994043847</v>
      </c>
      <c r="D10" s="537">
        <f t="shared" si="0"/>
        <v>14599058970</v>
      </c>
      <c r="E10" s="537">
        <f t="shared" ref="E10" si="1">SUM(E8)</f>
        <v>12306718018</v>
      </c>
    </row>
    <row r="13" spans="1:7" ht="36" x14ac:dyDescent="0.25">
      <c r="A13" s="377" t="s">
        <v>5</v>
      </c>
      <c r="B13" s="378" t="s">
        <v>193</v>
      </c>
      <c r="C13" s="378" t="s">
        <v>295</v>
      </c>
      <c r="D13" s="378" t="s">
        <v>372</v>
      </c>
      <c r="E13" s="379" t="s">
        <v>291</v>
      </c>
    </row>
    <row r="14" spans="1:7" x14ac:dyDescent="0.25">
      <c r="A14" s="544" t="s">
        <v>71</v>
      </c>
      <c r="B14" s="545">
        <v>6015115060</v>
      </c>
      <c r="C14" s="545">
        <v>6747963549</v>
      </c>
      <c r="D14" s="545">
        <v>732848489</v>
      </c>
      <c r="E14" s="547">
        <f>B14-C14</f>
        <v>-732848489</v>
      </c>
      <c r="F14" s="132"/>
    </row>
    <row r="15" spans="1:7" x14ac:dyDescent="0.25">
      <c r="A15" s="536" t="s">
        <v>132</v>
      </c>
      <c r="B15" s="537">
        <f>SUM(B14)</f>
        <v>6015115060</v>
      </c>
      <c r="C15" s="381">
        <f>SUM(C13:C14)</f>
        <v>6747963549</v>
      </c>
      <c r="D15" s="381">
        <f t="shared" ref="D15:E15" si="2">SUM(D13:D14)</f>
        <v>732848489</v>
      </c>
      <c r="E15" s="381">
        <f t="shared" si="2"/>
        <v>-732848489</v>
      </c>
    </row>
    <row r="18" spans="1:6" ht="22.5" x14ac:dyDescent="0.25">
      <c r="A18" s="390" t="s">
        <v>5</v>
      </c>
      <c r="B18" s="391" t="s">
        <v>373</v>
      </c>
      <c r="C18" s="391" t="s">
        <v>374</v>
      </c>
      <c r="D18" s="391" t="s">
        <v>375</v>
      </c>
      <c r="E18" s="379" t="s">
        <v>291</v>
      </c>
    </row>
    <row r="19" spans="1:6" x14ac:dyDescent="0.25">
      <c r="A19" s="548" t="s">
        <v>90</v>
      </c>
      <c r="B19" s="545">
        <v>5017307353</v>
      </c>
      <c r="C19" s="545">
        <v>4376155618</v>
      </c>
      <c r="D19" s="545">
        <v>641151735</v>
      </c>
      <c r="E19" s="547">
        <f>B19-C19</f>
        <v>641151735</v>
      </c>
      <c r="F19" s="132">
        <f>D19-E19</f>
        <v>0</v>
      </c>
    </row>
    <row r="20" spans="1:6" x14ac:dyDescent="0.25">
      <c r="A20" s="548" t="s">
        <v>66</v>
      </c>
      <c r="B20" s="545">
        <v>50051300000</v>
      </c>
      <c r="C20" s="545">
        <v>35251502967</v>
      </c>
      <c r="D20" s="545">
        <v>14799797033</v>
      </c>
      <c r="E20" s="547">
        <f>B20-C20</f>
        <v>14799797033</v>
      </c>
      <c r="F20" s="132">
        <f>D20-E20</f>
        <v>0</v>
      </c>
    </row>
    <row r="21" spans="1:6" x14ac:dyDescent="0.25">
      <c r="A21" s="548" t="s">
        <v>121</v>
      </c>
      <c r="B21" s="545">
        <v>15950912975</v>
      </c>
      <c r="C21" s="545">
        <v>12834496363</v>
      </c>
      <c r="D21" s="545">
        <v>3116416612</v>
      </c>
      <c r="E21" s="547">
        <f>B21-C21</f>
        <v>3116416612</v>
      </c>
      <c r="F21" s="132">
        <f>D21-E21</f>
        <v>0</v>
      </c>
    </row>
    <row r="22" spans="1:6" x14ac:dyDescent="0.25">
      <c r="A22" s="536" t="s">
        <v>132</v>
      </c>
      <c r="B22" s="537">
        <f>SUM(B19:B21)</f>
        <v>71019520328</v>
      </c>
      <c r="C22" s="537">
        <f>SUM(C19:C21)</f>
        <v>52462154948</v>
      </c>
      <c r="D22" s="537">
        <f>SUM(D19:D21)</f>
        <v>18557365380</v>
      </c>
      <c r="E22" s="537">
        <f>SUM(E19:E21)</f>
        <v>18557365380</v>
      </c>
    </row>
    <row r="23" spans="1:6" x14ac:dyDescent="0.25">
      <c r="A23" s="157"/>
      <c r="B23" s="535"/>
      <c r="C23" s="535"/>
      <c r="D23" s="535"/>
      <c r="E23" s="157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FAFC4-FE13-47A3-BFDE-D8C33557BB63}">
  <dimension ref="A1:E85"/>
  <sheetViews>
    <sheetView topLeftCell="A64" workbookViewId="0">
      <selection activeCell="B19" sqref="B19:B82"/>
    </sheetView>
  </sheetViews>
  <sheetFormatPr baseColWidth="10" defaultColWidth="11.42578125" defaultRowHeight="15" x14ac:dyDescent="0.25"/>
  <cols>
    <col min="1" max="1" width="89.5703125" bestFit="1" customWidth="1"/>
    <col min="2" max="2" width="25.5703125" bestFit="1" customWidth="1"/>
    <col min="3" max="3" width="20" bestFit="1" customWidth="1"/>
    <col min="5" max="5" width="20" bestFit="1" customWidth="1"/>
  </cols>
  <sheetData>
    <row r="1" spans="1:5" x14ac:dyDescent="0.25">
      <c r="A1" s="701">
        <v>2023</v>
      </c>
      <c r="B1" s="701"/>
    </row>
    <row r="2" spans="1:5" x14ac:dyDescent="0.25">
      <c r="A2" s="591" t="s">
        <v>12</v>
      </c>
      <c r="B2" s="592" t="s">
        <v>376</v>
      </c>
    </row>
    <row r="3" spans="1:5" x14ac:dyDescent="0.25">
      <c r="A3" t="s">
        <v>115</v>
      </c>
      <c r="B3" s="29">
        <v>12342074449</v>
      </c>
      <c r="C3" s="702" t="s">
        <v>377</v>
      </c>
    </row>
    <row r="4" spans="1:5" x14ac:dyDescent="0.25">
      <c r="A4" t="s">
        <v>252</v>
      </c>
      <c r="B4" s="29">
        <v>48138430</v>
      </c>
      <c r="C4" s="702"/>
    </row>
    <row r="5" spans="1:5" x14ac:dyDescent="0.25">
      <c r="A5" s="701" t="s">
        <v>191</v>
      </c>
      <c r="B5" s="701"/>
    </row>
    <row r="6" spans="1:5" x14ac:dyDescent="0.25">
      <c r="A6" t="s">
        <v>378</v>
      </c>
      <c r="B6" s="29">
        <v>89044788</v>
      </c>
      <c r="C6" s="704" t="s">
        <v>379</v>
      </c>
    </row>
    <row r="7" spans="1:5" x14ac:dyDescent="0.25">
      <c r="A7" t="s">
        <v>76</v>
      </c>
      <c r="B7" s="29">
        <v>1383892029</v>
      </c>
      <c r="C7" s="704"/>
    </row>
    <row r="8" spans="1:5" x14ac:dyDescent="0.25">
      <c r="A8" t="s">
        <v>241</v>
      </c>
      <c r="B8" s="29">
        <v>2594079762</v>
      </c>
      <c r="C8" s="704"/>
    </row>
    <row r="9" spans="1:5" x14ac:dyDescent="0.25">
      <c r="A9" t="s">
        <v>70</v>
      </c>
      <c r="B9" s="29">
        <v>6987648551</v>
      </c>
      <c r="C9" s="704"/>
    </row>
    <row r="10" spans="1:5" x14ac:dyDescent="0.25">
      <c r="A10" t="s">
        <v>115</v>
      </c>
      <c r="B10" s="29">
        <v>17208892704</v>
      </c>
      <c r="C10" s="704"/>
    </row>
    <row r="11" spans="1:5" x14ac:dyDescent="0.25">
      <c r="A11" t="s">
        <v>243</v>
      </c>
      <c r="B11" s="29">
        <v>105104612950</v>
      </c>
      <c r="C11" s="704"/>
    </row>
    <row r="12" spans="1:5" x14ac:dyDescent="0.25">
      <c r="A12" t="s">
        <v>61</v>
      </c>
      <c r="B12" s="29">
        <v>8322556330</v>
      </c>
      <c r="C12" s="704"/>
      <c r="E12" s="132">
        <f>SUM(B6:B17)</f>
        <v>157839047303</v>
      </c>
    </row>
    <row r="13" spans="1:5" x14ac:dyDescent="0.25">
      <c r="A13" t="s">
        <v>60</v>
      </c>
      <c r="B13" s="29">
        <v>3613735248</v>
      </c>
      <c r="C13" s="704"/>
    </row>
    <row r="14" spans="1:5" x14ac:dyDescent="0.25">
      <c r="A14" t="s">
        <v>179</v>
      </c>
      <c r="B14" s="29">
        <v>3859641546</v>
      </c>
      <c r="C14" s="704"/>
    </row>
    <row r="15" spans="1:5" x14ac:dyDescent="0.25">
      <c r="A15" t="s">
        <v>240</v>
      </c>
      <c r="B15" s="29">
        <v>2374351933</v>
      </c>
      <c r="C15" s="704"/>
    </row>
    <row r="16" spans="1:5" x14ac:dyDescent="0.25">
      <c r="A16" t="s">
        <v>241</v>
      </c>
      <c r="B16" s="29">
        <v>2821794053</v>
      </c>
      <c r="C16" s="703" t="s">
        <v>380</v>
      </c>
    </row>
    <row r="17" spans="1:3" x14ac:dyDescent="0.25">
      <c r="A17" t="s">
        <v>60</v>
      </c>
      <c r="B17" s="29">
        <v>3478797409</v>
      </c>
      <c r="C17" s="703"/>
    </row>
    <row r="18" spans="1:3" x14ac:dyDescent="0.25">
      <c r="A18" s="701" t="s">
        <v>182</v>
      </c>
      <c r="B18" s="701"/>
    </row>
    <row r="19" spans="1:3" x14ac:dyDescent="0.25">
      <c r="A19" t="s">
        <v>195</v>
      </c>
      <c r="B19" s="29">
        <v>181236851</v>
      </c>
      <c r="C19" s="704" t="s">
        <v>381</v>
      </c>
    </row>
    <row r="20" spans="1:3" x14ac:dyDescent="0.25">
      <c r="A20" t="s">
        <v>83</v>
      </c>
      <c r="B20" s="29">
        <v>1458305698</v>
      </c>
      <c r="C20" s="704"/>
    </row>
    <row r="21" spans="1:3" x14ac:dyDescent="0.25">
      <c r="A21" t="s">
        <v>92</v>
      </c>
      <c r="B21" s="29">
        <v>390844464</v>
      </c>
      <c r="C21" s="704"/>
    </row>
    <row r="22" spans="1:3" x14ac:dyDescent="0.25">
      <c r="A22" s="599" t="s">
        <v>107</v>
      </c>
      <c r="B22" s="600">
        <v>9898126572</v>
      </c>
      <c r="C22" s="704"/>
    </row>
    <row r="23" spans="1:3" x14ac:dyDescent="0.25">
      <c r="A23" t="s">
        <v>120</v>
      </c>
      <c r="B23" s="29">
        <v>448675955</v>
      </c>
      <c r="C23" s="704"/>
    </row>
    <row r="24" spans="1:3" x14ac:dyDescent="0.25">
      <c r="A24" t="s">
        <v>334</v>
      </c>
      <c r="B24" s="29">
        <v>3670643919</v>
      </c>
      <c r="C24" s="704"/>
    </row>
    <row r="25" spans="1:3" x14ac:dyDescent="0.25">
      <c r="A25" t="s">
        <v>80</v>
      </c>
      <c r="B25" s="29">
        <v>2329590085</v>
      </c>
      <c r="C25" s="704"/>
    </row>
    <row r="26" spans="1:3" x14ac:dyDescent="0.25">
      <c r="A26" t="s">
        <v>239</v>
      </c>
      <c r="B26" s="29">
        <v>3906536000</v>
      </c>
      <c r="C26" s="704"/>
    </row>
    <row r="27" spans="1:3" x14ac:dyDescent="0.25">
      <c r="A27" t="s">
        <v>166</v>
      </c>
      <c r="B27" s="29">
        <v>1293301713</v>
      </c>
      <c r="C27" s="704"/>
    </row>
    <row r="28" spans="1:3" x14ac:dyDescent="0.25">
      <c r="A28" t="s">
        <v>85</v>
      </c>
      <c r="B28" s="29">
        <v>2225672575</v>
      </c>
      <c r="C28" s="704"/>
    </row>
    <row r="29" spans="1:3" x14ac:dyDescent="0.25">
      <c r="A29" t="s">
        <v>114</v>
      </c>
      <c r="B29" s="29">
        <v>1114123443</v>
      </c>
      <c r="C29" s="704"/>
    </row>
    <row r="30" spans="1:3" x14ac:dyDescent="0.25">
      <c r="A30" t="s">
        <v>108</v>
      </c>
      <c r="B30" s="29">
        <v>334331072</v>
      </c>
      <c r="C30" s="704"/>
    </row>
    <row r="31" spans="1:3" x14ac:dyDescent="0.25">
      <c r="A31" t="s">
        <v>185</v>
      </c>
      <c r="B31" s="29">
        <v>146212551</v>
      </c>
      <c r="C31" s="704"/>
    </row>
    <row r="32" spans="1:3" x14ac:dyDescent="0.25">
      <c r="A32" t="s">
        <v>242</v>
      </c>
      <c r="B32" s="29">
        <v>340135733.79999995</v>
      </c>
      <c r="C32" s="704"/>
    </row>
    <row r="33" spans="1:3" x14ac:dyDescent="0.25">
      <c r="A33" t="s">
        <v>126</v>
      </c>
      <c r="B33" s="29">
        <v>462190637</v>
      </c>
      <c r="C33" s="704"/>
    </row>
    <row r="34" spans="1:3" x14ac:dyDescent="0.25">
      <c r="A34" t="s">
        <v>89</v>
      </c>
      <c r="B34" s="29">
        <v>2207204813</v>
      </c>
      <c r="C34" s="704"/>
    </row>
    <row r="35" spans="1:3" x14ac:dyDescent="0.25">
      <c r="A35" t="s">
        <v>87</v>
      </c>
      <c r="B35" s="29">
        <v>6479991075</v>
      </c>
      <c r="C35" s="704"/>
    </row>
    <row r="36" spans="1:3" x14ac:dyDescent="0.25">
      <c r="A36" t="s">
        <v>113</v>
      </c>
      <c r="B36" s="29">
        <v>4538602054</v>
      </c>
      <c r="C36" s="704"/>
    </row>
    <row r="37" spans="1:3" x14ac:dyDescent="0.25">
      <c r="A37" t="s">
        <v>351</v>
      </c>
      <c r="B37" s="29">
        <v>514076471</v>
      </c>
      <c r="C37" s="704"/>
    </row>
    <row r="38" spans="1:3" x14ac:dyDescent="0.25">
      <c r="A38" t="s">
        <v>378</v>
      </c>
      <c r="B38" s="29">
        <v>108211528</v>
      </c>
      <c r="C38" s="704"/>
    </row>
    <row r="39" spans="1:3" x14ac:dyDescent="0.25">
      <c r="A39" t="s">
        <v>88</v>
      </c>
      <c r="B39" s="29">
        <v>3429229091</v>
      </c>
      <c r="C39" s="704"/>
    </row>
    <row r="40" spans="1:3" x14ac:dyDescent="0.25">
      <c r="A40" t="s">
        <v>76</v>
      </c>
      <c r="B40" s="29">
        <v>1506338393</v>
      </c>
      <c r="C40" s="704"/>
    </row>
    <row r="41" spans="1:3" x14ac:dyDescent="0.25">
      <c r="A41" t="s">
        <v>96</v>
      </c>
      <c r="B41" s="29">
        <v>1832053780</v>
      </c>
      <c r="C41" s="704"/>
    </row>
    <row r="42" spans="1:3" x14ac:dyDescent="0.25">
      <c r="A42" t="s">
        <v>241</v>
      </c>
      <c r="B42" s="29">
        <v>3116276176</v>
      </c>
      <c r="C42" s="704"/>
    </row>
    <row r="43" spans="1:3" x14ac:dyDescent="0.25">
      <c r="A43" t="s">
        <v>50</v>
      </c>
      <c r="B43" s="29">
        <v>4128356835</v>
      </c>
      <c r="C43" s="704"/>
    </row>
    <row r="44" spans="1:3" x14ac:dyDescent="0.25">
      <c r="A44" t="s">
        <v>79</v>
      </c>
      <c r="B44" s="29">
        <v>1119037554</v>
      </c>
      <c r="C44" s="704"/>
    </row>
    <row r="45" spans="1:3" x14ac:dyDescent="0.25">
      <c r="A45" t="s">
        <v>7</v>
      </c>
      <c r="B45" s="29">
        <v>1121199586</v>
      </c>
      <c r="C45" s="704"/>
    </row>
    <row r="46" spans="1:3" x14ac:dyDescent="0.25">
      <c r="A46" t="s">
        <v>100</v>
      </c>
      <c r="B46" s="29">
        <v>7016929466</v>
      </c>
      <c r="C46" s="704"/>
    </row>
    <row r="47" spans="1:3" x14ac:dyDescent="0.25">
      <c r="A47" t="s">
        <v>122</v>
      </c>
      <c r="B47" s="29">
        <v>1487398729</v>
      </c>
      <c r="C47" s="704"/>
    </row>
    <row r="48" spans="1:3" x14ac:dyDescent="0.25">
      <c r="A48" t="s">
        <v>125</v>
      </c>
      <c r="B48" s="29">
        <v>1651985931</v>
      </c>
      <c r="C48" s="704"/>
    </row>
    <row r="49" spans="1:3" x14ac:dyDescent="0.25">
      <c r="A49" t="s">
        <v>231</v>
      </c>
      <c r="B49" s="29">
        <v>5730072917</v>
      </c>
      <c r="C49" s="704"/>
    </row>
    <row r="50" spans="1:3" x14ac:dyDescent="0.25">
      <c r="A50" t="s">
        <v>74</v>
      </c>
      <c r="B50" s="29">
        <v>2652234033</v>
      </c>
      <c r="C50" s="704"/>
    </row>
    <row r="51" spans="1:3" x14ac:dyDescent="0.25">
      <c r="A51" t="s">
        <v>93</v>
      </c>
      <c r="B51" s="29">
        <v>6111965121</v>
      </c>
      <c r="C51" s="704"/>
    </row>
    <row r="52" spans="1:3" x14ac:dyDescent="0.25">
      <c r="A52" t="s">
        <v>111</v>
      </c>
      <c r="B52" s="29">
        <v>3033208623</v>
      </c>
      <c r="C52" s="704"/>
    </row>
    <row r="53" spans="1:3" x14ac:dyDescent="0.25">
      <c r="A53" t="s">
        <v>70</v>
      </c>
      <c r="B53" s="29">
        <v>2537970607</v>
      </c>
      <c r="C53" s="704"/>
    </row>
    <row r="54" spans="1:3" x14ac:dyDescent="0.25">
      <c r="A54" t="s">
        <v>102</v>
      </c>
      <c r="B54" s="29">
        <v>3093797722</v>
      </c>
      <c r="C54" s="704"/>
    </row>
    <row r="55" spans="1:3" x14ac:dyDescent="0.25">
      <c r="A55" t="s">
        <v>101</v>
      </c>
      <c r="B55" s="29">
        <v>863425650</v>
      </c>
      <c r="C55" s="704"/>
    </row>
    <row r="56" spans="1:3" x14ac:dyDescent="0.25">
      <c r="A56" t="s">
        <v>69</v>
      </c>
      <c r="B56" s="29">
        <v>5220949154</v>
      </c>
      <c r="C56" s="704"/>
    </row>
    <row r="57" spans="1:3" x14ac:dyDescent="0.25">
      <c r="A57" t="s">
        <v>62</v>
      </c>
      <c r="B57" s="29">
        <v>1004861379</v>
      </c>
      <c r="C57" s="704"/>
    </row>
    <row r="58" spans="1:3" x14ac:dyDescent="0.25">
      <c r="A58" t="s">
        <v>115</v>
      </c>
      <c r="B58" s="29">
        <v>17565516176</v>
      </c>
      <c r="C58" s="704"/>
    </row>
    <row r="59" spans="1:3" x14ac:dyDescent="0.25">
      <c r="A59" t="s">
        <v>243</v>
      </c>
      <c r="B59" s="29">
        <v>60616007437</v>
      </c>
      <c r="C59" s="704"/>
    </row>
    <row r="60" spans="1:3" x14ac:dyDescent="0.25">
      <c r="A60" t="s">
        <v>61</v>
      </c>
      <c r="B60" s="29">
        <v>8322556329.7999992</v>
      </c>
      <c r="C60" s="704"/>
    </row>
    <row r="61" spans="1:3" x14ac:dyDescent="0.25">
      <c r="A61" t="s">
        <v>71</v>
      </c>
      <c r="B61" s="29">
        <v>1686990887</v>
      </c>
      <c r="C61" s="704"/>
    </row>
    <row r="62" spans="1:3" x14ac:dyDescent="0.25">
      <c r="A62" t="s">
        <v>248</v>
      </c>
      <c r="B62" s="29">
        <v>4054317104</v>
      </c>
      <c r="C62" s="704"/>
    </row>
    <row r="63" spans="1:3" x14ac:dyDescent="0.25">
      <c r="A63" t="s">
        <v>60</v>
      </c>
      <c r="B63" s="29">
        <v>1870354714</v>
      </c>
      <c r="C63" s="704"/>
    </row>
    <row r="64" spans="1:3" x14ac:dyDescent="0.25">
      <c r="A64" t="s">
        <v>94</v>
      </c>
      <c r="B64" s="29">
        <v>1949356139</v>
      </c>
      <c r="C64" s="704"/>
    </row>
    <row r="65" spans="1:3" x14ac:dyDescent="0.25">
      <c r="A65" t="s">
        <v>179</v>
      </c>
      <c r="B65" s="29">
        <v>4030883547</v>
      </c>
      <c r="C65" s="704"/>
    </row>
    <row r="66" spans="1:3" x14ac:dyDescent="0.25">
      <c r="A66" t="s">
        <v>72</v>
      </c>
      <c r="B66" s="29">
        <v>3353287138</v>
      </c>
      <c r="C66" s="704"/>
    </row>
    <row r="67" spans="1:3" x14ac:dyDescent="0.25">
      <c r="A67" t="s">
        <v>240</v>
      </c>
      <c r="B67" s="29">
        <v>2722568606</v>
      </c>
      <c r="C67" s="704"/>
    </row>
    <row r="68" spans="1:3" x14ac:dyDescent="0.25">
      <c r="A68" s="597" t="s">
        <v>123</v>
      </c>
      <c r="B68" s="598">
        <v>625634773</v>
      </c>
      <c r="C68" s="699" t="s">
        <v>382</v>
      </c>
    </row>
    <row r="69" spans="1:3" x14ac:dyDescent="0.25">
      <c r="A69" s="597" t="s">
        <v>106</v>
      </c>
      <c r="B69" s="598">
        <v>2971797161</v>
      </c>
      <c r="C69" s="699"/>
    </row>
    <row r="70" spans="1:3" x14ac:dyDescent="0.25">
      <c r="A70" s="597" t="s">
        <v>298</v>
      </c>
      <c r="B70" s="598">
        <v>222217282</v>
      </c>
      <c r="C70" s="699"/>
    </row>
    <row r="71" spans="1:3" x14ac:dyDescent="0.25">
      <c r="A71" s="597" t="s">
        <v>53</v>
      </c>
      <c r="B71" s="598">
        <v>926914558</v>
      </c>
      <c r="C71" s="699"/>
    </row>
    <row r="72" spans="1:3" x14ac:dyDescent="0.25">
      <c r="A72" s="597" t="s">
        <v>229</v>
      </c>
      <c r="B72" s="598">
        <v>1250694275</v>
      </c>
      <c r="C72" s="699"/>
    </row>
    <row r="73" spans="1:3" x14ac:dyDescent="0.25">
      <c r="A73" s="597" t="s">
        <v>184</v>
      </c>
      <c r="B73" s="598"/>
      <c r="C73" s="699"/>
    </row>
    <row r="74" spans="1:3" x14ac:dyDescent="0.25">
      <c r="A74" s="597" t="s">
        <v>186</v>
      </c>
      <c r="B74" s="598"/>
      <c r="C74" s="699"/>
    </row>
    <row r="75" spans="1:3" x14ac:dyDescent="0.25">
      <c r="A75" s="597" t="s">
        <v>63</v>
      </c>
      <c r="B75" s="598">
        <v>1062282213</v>
      </c>
      <c r="C75" s="699"/>
    </row>
    <row r="76" spans="1:3" x14ac:dyDescent="0.25">
      <c r="A76" s="597" t="s">
        <v>86</v>
      </c>
      <c r="B76" s="598">
        <v>5667309391</v>
      </c>
      <c r="C76" s="699"/>
    </row>
    <row r="77" spans="1:3" x14ac:dyDescent="0.25">
      <c r="A77" s="597" t="s">
        <v>116</v>
      </c>
      <c r="B77" s="598">
        <v>2059016591</v>
      </c>
      <c r="C77" s="699"/>
    </row>
    <row r="78" spans="1:3" x14ac:dyDescent="0.25">
      <c r="A78" s="597" t="s">
        <v>98</v>
      </c>
      <c r="B78" s="598">
        <v>1923270700</v>
      </c>
      <c r="C78" s="699"/>
    </row>
    <row r="79" spans="1:3" x14ac:dyDescent="0.25">
      <c r="A79" s="597" t="s">
        <v>104</v>
      </c>
      <c r="B79" s="598">
        <v>8961850</v>
      </c>
      <c r="C79" s="699"/>
    </row>
    <row r="80" spans="1:3" x14ac:dyDescent="0.25">
      <c r="A80" s="595" t="s">
        <v>90</v>
      </c>
      <c r="B80" s="596">
        <v>641151735</v>
      </c>
      <c r="C80" s="700" t="s">
        <v>383</v>
      </c>
    </row>
    <row r="81" spans="1:3" x14ac:dyDescent="0.25">
      <c r="A81" s="595" t="s">
        <v>66</v>
      </c>
      <c r="B81" s="596">
        <v>14799797033</v>
      </c>
      <c r="C81" s="700"/>
    </row>
    <row r="82" spans="1:3" x14ac:dyDescent="0.25">
      <c r="A82" s="595" t="s">
        <v>121</v>
      </c>
      <c r="B82" s="596">
        <v>3116416612</v>
      </c>
      <c r="C82" s="700"/>
    </row>
    <row r="83" spans="1:3" ht="45" x14ac:dyDescent="0.25">
      <c r="A83" t="s">
        <v>132</v>
      </c>
      <c r="B83" s="593">
        <f>SUM(B3:B82)</f>
        <v>410381866390.59998</v>
      </c>
      <c r="C83" s="115" t="s">
        <v>384</v>
      </c>
    </row>
    <row r="85" spans="1:3" x14ac:dyDescent="0.25">
      <c r="C85" s="132"/>
    </row>
  </sheetData>
  <mergeCells count="9">
    <mergeCell ref="C68:C79"/>
    <mergeCell ref="C80:C82"/>
    <mergeCell ref="A18:B18"/>
    <mergeCell ref="A1:B1"/>
    <mergeCell ref="A5:B5"/>
    <mergeCell ref="C3:C4"/>
    <mergeCell ref="C16:C17"/>
    <mergeCell ref="C6:C15"/>
    <mergeCell ref="C19:C6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2B1D5-2B67-4315-9992-E5A1C2C574A7}">
  <sheetPr filterMode="1">
    <tabColor rgb="FFFFFF00"/>
  </sheetPr>
  <dimension ref="A1:H87"/>
  <sheetViews>
    <sheetView zoomScale="70" zoomScaleNormal="70" workbookViewId="0">
      <selection activeCell="A89" sqref="A89"/>
    </sheetView>
  </sheetViews>
  <sheetFormatPr baseColWidth="10" defaultColWidth="11.42578125" defaultRowHeight="15" x14ac:dyDescent="0.25"/>
  <cols>
    <col min="1" max="1" width="89.5703125" bestFit="1" customWidth="1"/>
    <col min="2" max="2" width="21.42578125" bestFit="1" customWidth="1"/>
    <col min="3" max="3" width="22.7109375" customWidth="1"/>
    <col min="4" max="5" width="19" bestFit="1" customWidth="1"/>
    <col min="6" max="6" width="16.42578125" bestFit="1" customWidth="1"/>
    <col min="7" max="7" width="19" bestFit="1" customWidth="1"/>
    <col min="8" max="8" width="21.5703125" bestFit="1" customWidth="1"/>
  </cols>
  <sheetData>
    <row r="1" spans="1:7" ht="22.5" x14ac:dyDescent="0.25">
      <c r="A1" s="390" t="s">
        <v>5</v>
      </c>
      <c r="B1" s="391" t="s">
        <v>193</v>
      </c>
      <c r="C1" s="391" t="s">
        <v>295</v>
      </c>
      <c r="D1" s="391" t="s">
        <v>296</v>
      </c>
      <c r="E1" s="389" t="s">
        <v>291</v>
      </c>
    </row>
    <row r="2" spans="1:7" x14ac:dyDescent="0.25">
      <c r="A2" s="579" t="s">
        <v>241</v>
      </c>
      <c r="B2" s="580">
        <v>13198113100</v>
      </c>
      <c r="C2" s="580">
        <v>10376319047</v>
      </c>
      <c r="D2" s="580">
        <v>2821794053</v>
      </c>
      <c r="E2" s="582">
        <f>B2-C2</f>
        <v>2821794053</v>
      </c>
      <c r="F2" s="132">
        <f>D2-E2</f>
        <v>0</v>
      </c>
    </row>
    <row r="3" spans="1:7" x14ac:dyDescent="0.25">
      <c r="A3" s="579" t="s">
        <v>60</v>
      </c>
      <c r="B3" s="580">
        <v>17933738400</v>
      </c>
      <c r="C3" s="580">
        <v>14454940991</v>
      </c>
      <c r="D3" s="580">
        <v>3478797409</v>
      </c>
      <c r="E3" s="582">
        <f>B3-C3</f>
        <v>3478797409</v>
      </c>
      <c r="F3" s="132">
        <f>D3-E3</f>
        <v>0</v>
      </c>
      <c r="G3">
        <v>6300591462</v>
      </c>
    </row>
    <row r="4" spans="1:7" x14ac:dyDescent="0.25">
      <c r="A4" s="536" t="s">
        <v>132</v>
      </c>
      <c r="B4" s="537">
        <f>SUM(B2:B3)</f>
        <v>31131851500</v>
      </c>
      <c r="C4" s="537">
        <f>SUM(C2:C3)</f>
        <v>24831260038</v>
      </c>
      <c r="D4" s="537">
        <f>SUM(D2:D3)</f>
        <v>6300591462</v>
      </c>
      <c r="E4" s="537">
        <f>SUM(E2:E3)</f>
        <v>6300591462</v>
      </c>
      <c r="F4" s="132"/>
    </row>
    <row r="5" spans="1:7" x14ac:dyDescent="0.25">
      <c r="A5" s="167"/>
      <c r="B5" s="354"/>
      <c r="C5" s="354"/>
      <c r="D5" s="354"/>
      <c r="E5" s="527"/>
      <c r="F5" s="132"/>
    </row>
    <row r="6" spans="1:7" x14ac:dyDescent="0.25">
      <c r="A6" s="167"/>
      <c r="B6" s="354"/>
      <c r="C6" s="354"/>
      <c r="D6" s="354"/>
      <c r="E6" s="527"/>
      <c r="F6" s="132"/>
    </row>
    <row r="7" spans="1:7" ht="22.5" x14ac:dyDescent="0.25">
      <c r="A7" s="390" t="s">
        <v>5</v>
      </c>
      <c r="B7" s="391" t="s">
        <v>373</v>
      </c>
      <c r="C7" s="391" t="s">
        <v>374</v>
      </c>
      <c r="D7" s="391" t="s">
        <v>375</v>
      </c>
      <c r="E7" s="389" t="s">
        <v>291</v>
      </c>
      <c r="F7" s="132"/>
      <c r="G7" s="541">
        <f>D4+D20</f>
        <v>37649893405</v>
      </c>
    </row>
    <row r="8" spans="1:7" x14ac:dyDescent="0.25">
      <c r="A8" s="579" t="s">
        <v>123</v>
      </c>
      <c r="B8" s="580">
        <v>2659766281</v>
      </c>
      <c r="C8" s="580">
        <v>2034131508</v>
      </c>
      <c r="D8" s="580">
        <v>625634773</v>
      </c>
      <c r="E8" s="581">
        <f>B8-C8</f>
        <v>625634773</v>
      </c>
      <c r="F8" s="132">
        <f>D8-E8</f>
        <v>0</v>
      </c>
    </row>
    <row r="9" spans="1:7" x14ac:dyDescent="0.25">
      <c r="A9" s="579" t="s">
        <v>298</v>
      </c>
      <c r="B9" s="580">
        <v>1763178627</v>
      </c>
      <c r="C9" s="580">
        <v>1540961345</v>
      </c>
      <c r="D9" s="580">
        <v>222217282</v>
      </c>
      <c r="E9" s="581">
        <f t="shared" ref="E9:E19" si="0">B9-C9</f>
        <v>222217282</v>
      </c>
      <c r="F9" s="132">
        <f t="shared" ref="F9:F12" si="1">D9-E9</f>
        <v>0</v>
      </c>
      <c r="G9">
        <v>13732545881</v>
      </c>
    </row>
    <row r="10" spans="1:7" x14ac:dyDescent="0.25">
      <c r="A10" s="579" t="s">
        <v>229</v>
      </c>
      <c r="B10" s="580">
        <v>5112120000</v>
      </c>
      <c r="C10" s="580">
        <v>3861425725</v>
      </c>
      <c r="D10" s="580">
        <v>1250694275</v>
      </c>
      <c r="E10" s="581">
        <f t="shared" si="0"/>
        <v>1250694275</v>
      </c>
      <c r="F10" s="132">
        <f t="shared" si="1"/>
        <v>0</v>
      </c>
    </row>
    <row r="11" spans="1:7" x14ac:dyDescent="0.25">
      <c r="A11" s="579" t="s">
        <v>86</v>
      </c>
      <c r="B11" s="580">
        <v>23404993200</v>
      </c>
      <c r="C11" s="580">
        <v>17737683809</v>
      </c>
      <c r="D11" s="580">
        <v>5667309391</v>
      </c>
      <c r="E11" s="581">
        <f t="shared" si="0"/>
        <v>5667309391</v>
      </c>
      <c r="F11" s="132">
        <f t="shared" si="1"/>
        <v>0</v>
      </c>
    </row>
    <row r="12" spans="1:7" x14ac:dyDescent="0.25">
      <c r="A12" s="579" t="s">
        <v>116</v>
      </c>
      <c r="B12" s="580">
        <v>8409569250</v>
      </c>
      <c r="C12" s="580">
        <v>6350552659</v>
      </c>
      <c r="D12" s="580">
        <v>2059016591</v>
      </c>
      <c r="E12" s="581">
        <f t="shared" si="0"/>
        <v>2059016591</v>
      </c>
      <c r="F12" s="132">
        <f t="shared" si="1"/>
        <v>0</v>
      </c>
    </row>
    <row r="13" spans="1:7" x14ac:dyDescent="0.25">
      <c r="A13" s="579" t="s">
        <v>104</v>
      </c>
      <c r="B13" s="580">
        <v>854388800</v>
      </c>
      <c r="C13" s="580">
        <v>845426950</v>
      </c>
      <c r="D13" s="580">
        <v>8961850</v>
      </c>
      <c r="E13" s="581">
        <f t="shared" si="0"/>
        <v>8961850</v>
      </c>
      <c r="F13" s="132">
        <f>D13-E13</f>
        <v>0</v>
      </c>
    </row>
    <row r="14" spans="1:7" x14ac:dyDescent="0.25">
      <c r="A14" s="601" t="s">
        <v>98</v>
      </c>
      <c r="B14" s="602">
        <v>8546599700</v>
      </c>
      <c r="C14" s="602">
        <v>6623329000</v>
      </c>
      <c r="D14" s="602">
        <v>1923270700</v>
      </c>
      <c r="E14" s="603">
        <f t="shared" si="0"/>
        <v>1923270700</v>
      </c>
      <c r="F14" s="479">
        <f>D14-E14</f>
        <v>0</v>
      </c>
    </row>
    <row r="15" spans="1:7" x14ac:dyDescent="0.25">
      <c r="A15" s="601" t="s">
        <v>106</v>
      </c>
      <c r="B15" s="602">
        <v>14791640243</v>
      </c>
      <c r="C15" s="602">
        <v>11819843082</v>
      </c>
      <c r="D15" s="602">
        <v>2971797161</v>
      </c>
      <c r="E15" s="603">
        <f t="shared" si="0"/>
        <v>2971797161</v>
      </c>
      <c r="F15" s="479">
        <f>D15-E15</f>
        <v>0</v>
      </c>
    </row>
    <row r="16" spans="1:7" x14ac:dyDescent="0.25">
      <c r="A16" s="601" t="s">
        <v>107</v>
      </c>
      <c r="B16" s="602">
        <v>52389317500</v>
      </c>
      <c r="C16" s="602">
        <v>39592506289</v>
      </c>
      <c r="D16" s="602">
        <v>12796811211</v>
      </c>
      <c r="E16" s="603">
        <f t="shared" si="0"/>
        <v>12796811211</v>
      </c>
      <c r="F16" s="479">
        <f t="shared" ref="F16:F19" si="2">D16-E16</f>
        <v>0</v>
      </c>
    </row>
    <row r="17" spans="1:6" x14ac:dyDescent="0.25">
      <c r="A17" s="601" t="s">
        <v>63</v>
      </c>
      <c r="B17" s="602">
        <v>5663319176</v>
      </c>
      <c r="C17" s="602">
        <v>4601036963</v>
      </c>
      <c r="D17" s="602">
        <v>1062282213</v>
      </c>
      <c r="E17" s="603">
        <f t="shared" si="0"/>
        <v>1062282213</v>
      </c>
      <c r="F17" s="479">
        <f t="shared" si="2"/>
        <v>0</v>
      </c>
    </row>
    <row r="18" spans="1:6" x14ac:dyDescent="0.25">
      <c r="A18" s="601" t="s">
        <v>93</v>
      </c>
      <c r="B18" s="602">
        <v>26677300000</v>
      </c>
      <c r="C18" s="602">
        <v>24447860484</v>
      </c>
      <c r="D18" s="602">
        <v>2229439516</v>
      </c>
      <c r="E18" s="603">
        <f t="shared" si="0"/>
        <v>2229439516</v>
      </c>
      <c r="F18" s="479">
        <f t="shared" si="2"/>
        <v>0</v>
      </c>
    </row>
    <row r="19" spans="1:6" x14ac:dyDescent="0.25">
      <c r="A19" s="601" t="s">
        <v>120</v>
      </c>
      <c r="B19" s="602">
        <v>2326570800</v>
      </c>
      <c r="C19" s="602">
        <v>1794703820</v>
      </c>
      <c r="D19" s="602">
        <v>531866980</v>
      </c>
      <c r="E19" s="603">
        <f t="shared" si="0"/>
        <v>531866980</v>
      </c>
      <c r="F19" s="479">
        <f t="shared" si="2"/>
        <v>0</v>
      </c>
    </row>
    <row r="20" spans="1:6" x14ac:dyDescent="0.25">
      <c r="A20" s="536" t="s">
        <v>132</v>
      </c>
      <c r="B20" s="537">
        <f>SUM(B8:B19)</f>
        <v>152598763577</v>
      </c>
      <c r="C20" s="537">
        <f>SUM(C8:C19)</f>
        <v>121249461634</v>
      </c>
      <c r="D20" s="537">
        <f>SUM(D8:D19)</f>
        <v>31349301943</v>
      </c>
      <c r="E20" s="537">
        <f>SUM(E8:E19)</f>
        <v>31349301943</v>
      </c>
    </row>
    <row r="23" spans="1:6" ht="36" x14ac:dyDescent="0.25">
      <c r="A23" s="377" t="s">
        <v>5</v>
      </c>
      <c r="B23" s="378" t="s">
        <v>373</v>
      </c>
      <c r="C23" s="378" t="s">
        <v>374</v>
      </c>
      <c r="D23" s="378" t="s">
        <v>385</v>
      </c>
      <c r="E23" s="379" t="s">
        <v>291</v>
      </c>
    </row>
    <row r="24" spans="1:6" x14ac:dyDescent="0.25">
      <c r="A24" s="579" t="s">
        <v>186</v>
      </c>
      <c r="B24" s="580">
        <v>1596341800</v>
      </c>
      <c r="C24" s="580">
        <v>1844782010</v>
      </c>
      <c r="D24" s="580">
        <v>248440210</v>
      </c>
      <c r="E24" s="581">
        <f>C24-B24</f>
        <v>248440210</v>
      </c>
      <c r="F24" s="132">
        <f>D24-E24</f>
        <v>0</v>
      </c>
    </row>
    <row r="25" spans="1:6" x14ac:dyDescent="0.25">
      <c r="A25" s="536" t="s">
        <v>132</v>
      </c>
      <c r="B25" s="537">
        <f>SUM(B24)</f>
        <v>1596341800</v>
      </c>
      <c r="C25" s="537">
        <f t="shared" ref="C25:E25" si="3">SUM(C24)</f>
        <v>1844782010</v>
      </c>
      <c r="D25" s="537">
        <f t="shared" si="3"/>
        <v>248440210</v>
      </c>
      <c r="E25" s="537">
        <f t="shared" si="3"/>
        <v>248440210</v>
      </c>
    </row>
    <row r="28" spans="1:6" ht="22.5" x14ac:dyDescent="0.25">
      <c r="A28" s="390" t="s">
        <v>5</v>
      </c>
      <c r="B28" s="391" t="s">
        <v>386</v>
      </c>
      <c r="C28" s="577" t="s">
        <v>387</v>
      </c>
      <c r="D28" s="550"/>
      <c r="E28" s="578"/>
    </row>
    <row r="29" spans="1:6" hidden="1" x14ac:dyDescent="0.25">
      <c r="A29" s="586" t="s">
        <v>195</v>
      </c>
      <c r="B29" s="580">
        <v>894315111</v>
      </c>
      <c r="C29" s="580">
        <v>715452089</v>
      </c>
      <c r="D29" s="587">
        <f t="shared" ref="D29:D60" si="4">+C29/B29</f>
        <v>0.80000000022363482</v>
      </c>
      <c r="E29" s="582" t="s">
        <v>388</v>
      </c>
      <c r="F29" s="132" t="e">
        <f>D29-E29</f>
        <v>#VALUE!</v>
      </c>
    </row>
    <row r="30" spans="1:6" hidden="1" x14ac:dyDescent="0.25">
      <c r="A30" s="586" t="s">
        <v>83</v>
      </c>
      <c r="B30" s="580">
        <v>7724006891</v>
      </c>
      <c r="C30" s="580">
        <v>6179205513</v>
      </c>
      <c r="D30" s="585">
        <f t="shared" si="4"/>
        <v>0.80000000002589333</v>
      </c>
      <c r="E30" s="582" t="s">
        <v>389</v>
      </c>
      <c r="F30" s="132" t="e">
        <f>D30-E30</f>
        <v>#VALUE!</v>
      </c>
    </row>
    <row r="31" spans="1:6" ht="75" hidden="1" x14ac:dyDescent="0.25">
      <c r="A31" s="586" t="s">
        <v>123</v>
      </c>
      <c r="B31" s="580">
        <v>2745198947</v>
      </c>
      <c r="C31" s="580">
        <v>2196159158</v>
      </c>
      <c r="D31" s="585">
        <f t="shared" si="4"/>
        <v>0.80000000014570893</v>
      </c>
      <c r="E31" s="588" t="s">
        <v>390</v>
      </c>
      <c r="F31" s="132" t="e">
        <f>D31-E31</f>
        <v>#VALUE!</v>
      </c>
    </row>
    <row r="32" spans="1:6" hidden="1" x14ac:dyDescent="0.25">
      <c r="A32" s="586" t="s">
        <v>92</v>
      </c>
      <c r="B32" s="580">
        <v>1875425871</v>
      </c>
      <c r="C32" s="580">
        <v>1500340697</v>
      </c>
      <c r="D32" s="585">
        <f t="shared" si="4"/>
        <v>0.80000000010664241</v>
      </c>
      <c r="E32" s="589"/>
    </row>
    <row r="33" spans="1:5" hidden="1" x14ac:dyDescent="0.25">
      <c r="A33" s="583" t="s">
        <v>106</v>
      </c>
      <c r="B33" s="584">
        <v>15114458202</v>
      </c>
      <c r="C33" s="584">
        <v>12091566562</v>
      </c>
      <c r="D33" s="585">
        <f t="shared" si="4"/>
        <v>0.80000000002646476</v>
      </c>
      <c r="E33" s="590"/>
    </row>
    <row r="34" spans="1:5" x14ac:dyDescent="0.25">
      <c r="A34" s="606" t="s">
        <v>53</v>
      </c>
      <c r="B34" s="584">
        <v>5307634601</v>
      </c>
      <c r="C34" s="584">
        <v>4246107681</v>
      </c>
      <c r="D34" s="585">
        <f t="shared" si="4"/>
        <v>0.80000000003768157</v>
      </c>
      <c r="E34" s="590"/>
    </row>
    <row r="35" spans="1:5" hidden="1" x14ac:dyDescent="0.25">
      <c r="A35" s="583" t="s">
        <v>107</v>
      </c>
      <c r="B35" s="584">
        <v>53524198336</v>
      </c>
      <c r="C35" s="584">
        <v>42819358669</v>
      </c>
      <c r="D35" s="585">
        <f t="shared" si="4"/>
        <v>0.80000000000373661</v>
      </c>
      <c r="E35" s="590"/>
    </row>
    <row r="36" spans="1:5" hidden="1" x14ac:dyDescent="0.25">
      <c r="A36" s="583" t="s">
        <v>120</v>
      </c>
      <c r="B36" s="584">
        <v>2271607681</v>
      </c>
      <c r="C36" s="584">
        <v>1817286145</v>
      </c>
      <c r="D36" s="585">
        <f t="shared" si="4"/>
        <v>0.80000000008804339</v>
      </c>
      <c r="E36" s="590"/>
    </row>
    <row r="37" spans="1:5" hidden="1" x14ac:dyDescent="0.25">
      <c r="A37" s="583" t="s">
        <v>249</v>
      </c>
      <c r="B37" s="584">
        <v>20461668737</v>
      </c>
      <c r="C37" s="584">
        <v>16369334990</v>
      </c>
      <c r="D37" s="585">
        <f t="shared" si="4"/>
        <v>0.80000000001954874</v>
      </c>
      <c r="E37" s="590"/>
    </row>
    <row r="38" spans="1:5" hidden="1" x14ac:dyDescent="0.25">
      <c r="A38" s="583" t="s">
        <v>80</v>
      </c>
      <c r="B38" s="584">
        <v>12245016466</v>
      </c>
      <c r="C38" s="584">
        <v>9796013173</v>
      </c>
      <c r="D38" s="585">
        <f t="shared" si="4"/>
        <v>0.8000000000163332</v>
      </c>
      <c r="E38" s="590"/>
    </row>
    <row r="39" spans="1:5" hidden="1" x14ac:dyDescent="0.25">
      <c r="A39" s="583" t="s">
        <v>239</v>
      </c>
      <c r="B39" s="584">
        <v>18600880000</v>
      </c>
      <c r="C39" s="584">
        <v>14880704000</v>
      </c>
      <c r="D39" s="585">
        <f t="shared" si="4"/>
        <v>0.8</v>
      </c>
      <c r="E39" s="590"/>
    </row>
    <row r="40" spans="1:5" hidden="1" x14ac:dyDescent="0.25">
      <c r="A40" s="583" t="s">
        <v>166</v>
      </c>
      <c r="B40" s="584">
        <v>5647727622</v>
      </c>
      <c r="C40" s="584">
        <v>4518182098</v>
      </c>
      <c r="D40" s="585">
        <f t="shared" si="4"/>
        <v>0.80000000007082495</v>
      </c>
      <c r="E40" s="590"/>
    </row>
    <row r="41" spans="1:5" hidden="1" x14ac:dyDescent="0.25">
      <c r="A41" s="583" t="s">
        <v>85</v>
      </c>
      <c r="B41" s="584">
        <v>10888013147</v>
      </c>
      <c r="C41" s="584">
        <v>8710410518</v>
      </c>
      <c r="D41" s="585">
        <f t="shared" si="4"/>
        <v>0.80000000003673766</v>
      </c>
      <c r="E41" s="590"/>
    </row>
    <row r="42" spans="1:5" hidden="1" x14ac:dyDescent="0.25">
      <c r="A42" s="583" t="s">
        <v>114</v>
      </c>
      <c r="B42" s="584">
        <v>6029746579</v>
      </c>
      <c r="C42" s="584">
        <v>4823797263</v>
      </c>
      <c r="D42" s="585">
        <f t="shared" si="4"/>
        <v>0.79999999996683113</v>
      </c>
      <c r="E42" s="590"/>
    </row>
    <row r="43" spans="1:5" hidden="1" x14ac:dyDescent="0.25">
      <c r="A43" s="583" t="s">
        <v>108</v>
      </c>
      <c r="B43" s="584">
        <v>1734444660</v>
      </c>
      <c r="C43" s="584">
        <v>1387555728</v>
      </c>
      <c r="D43" s="585">
        <f t="shared" si="4"/>
        <v>0.8</v>
      </c>
      <c r="E43" s="590" t="s">
        <v>391</v>
      </c>
    </row>
    <row r="44" spans="1:5" hidden="1" x14ac:dyDescent="0.25">
      <c r="A44" s="583" t="s">
        <v>229</v>
      </c>
      <c r="B44" s="584">
        <v>3651573151</v>
      </c>
      <c r="C44" s="584">
        <v>2921258521</v>
      </c>
      <c r="D44" s="585">
        <f t="shared" si="4"/>
        <v>0.8000000000547709</v>
      </c>
      <c r="E44" s="590"/>
    </row>
    <row r="45" spans="1:5" x14ac:dyDescent="0.25">
      <c r="A45" s="606" t="s">
        <v>184</v>
      </c>
      <c r="B45" s="584">
        <v>184745816</v>
      </c>
      <c r="C45" s="584">
        <v>147796653</v>
      </c>
      <c r="D45" s="585">
        <f t="shared" si="4"/>
        <v>0.80000000108256852</v>
      </c>
      <c r="E45" s="590"/>
    </row>
    <row r="46" spans="1:5" x14ac:dyDescent="0.25">
      <c r="A46" s="606" t="s">
        <v>185</v>
      </c>
      <c r="B46" s="584">
        <v>744929045</v>
      </c>
      <c r="C46" s="584">
        <v>595943236</v>
      </c>
      <c r="D46" s="585">
        <f t="shared" si="4"/>
        <v>0.8</v>
      </c>
      <c r="E46" s="590"/>
    </row>
    <row r="47" spans="1:5" hidden="1" x14ac:dyDescent="0.25">
      <c r="A47" s="583" t="s">
        <v>242</v>
      </c>
      <c r="B47" s="584">
        <v>990296496</v>
      </c>
      <c r="C47" s="584">
        <v>792237197</v>
      </c>
      <c r="D47" s="585">
        <f t="shared" si="4"/>
        <v>0.80000000020195972</v>
      </c>
      <c r="E47" s="590"/>
    </row>
    <row r="48" spans="1:5" hidden="1" x14ac:dyDescent="0.25">
      <c r="A48" s="583" t="s">
        <v>126</v>
      </c>
      <c r="B48" s="584">
        <v>2210114274</v>
      </c>
      <c r="C48" s="584">
        <v>1768091419</v>
      </c>
      <c r="D48" s="585">
        <f t="shared" si="4"/>
        <v>0.79999999990950699</v>
      </c>
      <c r="E48" s="590"/>
    </row>
    <row r="49" spans="1:5" hidden="1" x14ac:dyDescent="0.25">
      <c r="A49" s="583" t="s">
        <v>86</v>
      </c>
      <c r="B49" s="584">
        <v>23860458230</v>
      </c>
      <c r="C49" s="584">
        <v>19088366584</v>
      </c>
      <c r="D49" s="585">
        <f t="shared" si="4"/>
        <v>0.8</v>
      </c>
      <c r="E49" s="590"/>
    </row>
    <row r="50" spans="1:5" hidden="1" x14ac:dyDescent="0.25">
      <c r="A50" s="583" t="s">
        <v>63</v>
      </c>
      <c r="B50" s="584">
        <v>5755330742</v>
      </c>
      <c r="C50" s="584">
        <v>4604264594</v>
      </c>
      <c r="D50" s="585">
        <f t="shared" si="4"/>
        <v>0.80000000006950078</v>
      </c>
      <c r="E50" s="590"/>
    </row>
    <row r="51" spans="1:5" hidden="1" x14ac:dyDescent="0.25">
      <c r="A51" s="583" t="s">
        <v>89</v>
      </c>
      <c r="B51" s="584">
        <v>10804984946</v>
      </c>
      <c r="C51" s="584">
        <v>8643987957</v>
      </c>
      <c r="D51" s="585">
        <f t="shared" si="4"/>
        <v>0.80000000001851002</v>
      </c>
      <c r="E51" s="590"/>
    </row>
    <row r="52" spans="1:5" hidden="1" x14ac:dyDescent="0.25">
      <c r="A52" s="583" t="s">
        <v>82</v>
      </c>
      <c r="B52" s="584">
        <v>1779209649</v>
      </c>
      <c r="C52" s="584">
        <v>1423367719</v>
      </c>
      <c r="D52" s="585">
        <f t="shared" si="4"/>
        <v>0.79999999988759052</v>
      </c>
      <c r="E52" s="590"/>
    </row>
    <row r="53" spans="1:5" hidden="1" x14ac:dyDescent="0.25">
      <c r="A53" s="583" t="s">
        <v>113</v>
      </c>
      <c r="B53" s="584">
        <v>24173586363</v>
      </c>
      <c r="C53" s="584">
        <v>19338869090</v>
      </c>
      <c r="D53" s="585">
        <f t="shared" si="4"/>
        <v>0.79999999998345306</v>
      </c>
      <c r="E53" s="590"/>
    </row>
    <row r="54" spans="1:5" hidden="1" x14ac:dyDescent="0.25">
      <c r="A54" s="583" t="s">
        <v>351</v>
      </c>
      <c r="B54" s="584">
        <v>1616297110</v>
      </c>
      <c r="C54" s="584">
        <v>1293037688</v>
      </c>
      <c r="D54" s="585">
        <f t="shared" si="4"/>
        <v>0.8</v>
      </c>
      <c r="E54" s="590"/>
    </row>
    <row r="55" spans="1:5" hidden="1" x14ac:dyDescent="0.25">
      <c r="A55" s="583" t="s">
        <v>66</v>
      </c>
      <c r="B55" s="584">
        <v>49080401136</v>
      </c>
      <c r="C55" s="584">
        <v>39264320909</v>
      </c>
      <c r="D55" s="585">
        <f t="shared" si="4"/>
        <v>0.8000000000040749</v>
      </c>
      <c r="E55" s="590"/>
    </row>
    <row r="56" spans="1:5" hidden="1" x14ac:dyDescent="0.25">
      <c r="A56" s="583" t="s">
        <v>88</v>
      </c>
      <c r="B56" s="584">
        <v>16558449240</v>
      </c>
      <c r="C56" s="584">
        <v>13246759392</v>
      </c>
      <c r="D56" s="585">
        <f t="shared" si="4"/>
        <v>0.8</v>
      </c>
      <c r="E56" s="590"/>
    </row>
    <row r="57" spans="1:5" hidden="1" x14ac:dyDescent="0.25">
      <c r="A57" s="583" t="s">
        <v>121</v>
      </c>
      <c r="B57" s="584">
        <v>15444383661</v>
      </c>
      <c r="C57" s="584">
        <v>12355506929</v>
      </c>
      <c r="D57" s="585">
        <f t="shared" si="4"/>
        <v>0.80000000001294969</v>
      </c>
      <c r="E57" s="590"/>
    </row>
    <row r="58" spans="1:5" hidden="1" x14ac:dyDescent="0.25">
      <c r="A58" s="583" t="s">
        <v>96</v>
      </c>
      <c r="B58" s="584">
        <v>10015396721</v>
      </c>
      <c r="C58" s="584">
        <v>8012317377</v>
      </c>
      <c r="D58" s="585">
        <f t="shared" si="4"/>
        <v>0.80000000001996929</v>
      </c>
      <c r="E58" s="590"/>
    </row>
    <row r="59" spans="1:5" hidden="1" x14ac:dyDescent="0.25">
      <c r="A59" s="583" t="s">
        <v>116</v>
      </c>
      <c r="B59" s="584">
        <v>8803902683</v>
      </c>
      <c r="C59" s="584">
        <v>7043122146</v>
      </c>
      <c r="D59" s="585">
        <f t="shared" si="4"/>
        <v>0.79999999995456561</v>
      </c>
      <c r="E59" s="590"/>
    </row>
    <row r="60" spans="1:5" hidden="1" x14ac:dyDescent="0.25">
      <c r="A60" s="583" t="s">
        <v>50</v>
      </c>
      <c r="B60" s="584">
        <v>22374682995</v>
      </c>
      <c r="C60" s="584">
        <v>17899746396</v>
      </c>
      <c r="D60" s="585">
        <f t="shared" si="4"/>
        <v>0.8</v>
      </c>
      <c r="E60" s="590"/>
    </row>
    <row r="61" spans="1:5" hidden="1" x14ac:dyDescent="0.25">
      <c r="A61" s="583" t="s">
        <v>79</v>
      </c>
      <c r="B61" s="584">
        <v>6142347772</v>
      </c>
      <c r="C61" s="584">
        <v>4913878217</v>
      </c>
      <c r="D61" s="585">
        <f t="shared" ref="D61:D83" si="5">+C61/B61</f>
        <v>0.79999999990231752</v>
      </c>
      <c r="E61" s="590"/>
    </row>
    <row r="62" spans="1:5" hidden="1" x14ac:dyDescent="0.25">
      <c r="A62" s="583" t="s">
        <v>7</v>
      </c>
      <c r="B62" s="584">
        <v>6453750790</v>
      </c>
      <c r="C62" s="584">
        <v>5163000632</v>
      </c>
      <c r="D62" s="585">
        <f t="shared" si="5"/>
        <v>0.8</v>
      </c>
      <c r="E62" s="590"/>
    </row>
    <row r="63" spans="1:5" hidden="1" x14ac:dyDescent="0.25">
      <c r="A63" s="583" t="s">
        <v>100</v>
      </c>
      <c r="B63" s="584">
        <v>37878081374</v>
      </c>
      <c r="C63" s="584">
        <v>30302465099</v>
      </c>
      <c r="D63" s="585">
        <f t="shared" si="5"/>
        <v>0.79999999999471993</v>
      </c>
      <c r="E63" s="590"/>
    </row>
    <row r="64" spans="1:5" hidden="1" x14ac:dyDescent="0.25">
      <c r="A64" s="583" t="s">
        <v>98</v>
      </c>
      <c r="B64" s="584">
        <v>8998177862</v>
      </c>
      <c r="C64" s="584">
        <v>7198542290</v>
      </c>
      <c r="D64" s="585">
        <f t="shared" si="5"/>
        <v>0.80000000004445349</v>
      </c>
      <c r="E64" s="590"/>
    </row>
    <row r="65" spans="1:8" hidden="1" x14ac:dyDescent="0.25">
      <c r="A65" s="583" t="s">
        <v>122</v>
      </c>
      <c r="B65" s="584">
        <v>5222225736</v>
      </c>
      <c r="C65" s="584">
        <v>4177780589</v>
      </c>
      <c r="D65" s="585">
        <f t="shared" si="5"/>
        <v>0.80000000003829785</v>
      </c>
      <c r="E65" s="590"/>
    </row>
    <row r="66" spans="1:8" hidden="1" x14ac:dyDescent="0.25">
      <c r="A66" s="583" t="s">
        <v>125</v>
      </c>
      <c r="B66" s="584">
        <v>6964245903</v>
      </c>
      <c r="C66" s="584">
        <v>5571396722</v>
      </c>
      <c r="D66" s="585">
        <f t="shared" si="5"/>
        <v>0.79999999994256377</v>
      </c>
      <c r="E66" s="590"/>
    </row>
    <row r="67" spans="1:8" hidden="1" x14ac:dyDescent="0.25">
      <c r="A67" s="583" t="s">
        <v>231</v>
      </c>
      <c r="B67" s="584">
        <v>31386488346</v>
      </c>
      <c r="C67" s="584">
        <v>25109190677</v>
      </c>
      <c r="D67" s="585">
        <f t="shared" si="5"/>
        <v>0.80000000000637217</v>
      </c>
      <c r="E67" s="590"/>
    </row>
    <row r="68" spans="1:8" hidden="1" x14ac:dyDescent="0.25">
      <c r="A68" s="583" t="s">
        <v>104</v>
      </c>
      <c r="B68" s="584">
        <v>935255034</v>
      </c>
      <c r="C68" s="584">
        <v>748204027</v>
      </c>
      <c r="D68" s="585">
        <f t="shared" si="5"/>
        <v>0.79999999978615455</v>
      </c>
      <c r="E68" s="590"/>
    </row>
    <row r="69" spans="1:8" hidden="1" x14ac:dyDescent="0.25">
      <c r="A69" s="583" t="s">
        <v>74</v>
      </c>
      <c r="B69" s="584">
        <v>14625484001</v>
      </c>
      <c r="C69" s="584">
        <v>11700387201</v>
      </c>
      <c r="D69" s="585">
        <f t="shared" si="5"/>
        <v>0.80000000001367477</v>
      </c>
      <c r="E69" s="590"/>
    </row>
    <row r="70" spans="1:8" hidden="1" x14ac:dyDescent="0.25">
      <c r="A70" s="583" t="s">
        <v>93</v>
      </c>
      <c r="B70" s="584">
        <v>26802604733</v>
      </c>
      <c r="C70" s="584">
        <v>21442083786</v>
      </c>
      <c r="D70" s="585">
        <f t="shared" si="5"/>
        <v>0.79999999998507609</v>
      </c>
      <c r="E70" s="590"/>
    </row>
    <row r="71" spans="1:8" hidden="1" x14ac:dyDescent="0.25">
      <c r="A71" s="583" t="s">
        <v>111</v>
      </c>
      <c r="B71" s="584">
        <v>16834591591</v>
      </c>
      <c r="C71" s="584">
        <v>13467673273</v>
      </c>
      <c r="D71" s="585">
        <f t="shared" si="5"/>
        <v>0.80000000001188032</v>
      </c>
      <c r="E71" s="590"/>
    </row>
    <row r="72" spans="1:8" hidden="1" x14ac:dyDescent="0.25">
      <c r="A72" s="583" t="s">
        <v>70</v>
      </c>
      <c r="B72" s="584">
        <v>8804011134</v>
      </c>
      <c r="C72" s="584">
        <v>7043208907</v>
      </c>
      <c r="D72" s="585">
        <f t="shared" si="5"/>
        <v>0.7999999999772831</v>
      </c>
      <c r="E72" s="590"/>
    </row>
    <row r="73" spans="1:8" hidden="1" x14ac:dyDescent="0.25">
      <c r="A73" s="583" t="s">
        <v>101</v>
      </c>
      <c r="B73" s="584">
        <v>4603609019</v>
      </c>
      <c r="C73" s="584">
        <v>3682887216</v>
      </c>
      <c r="D73" s="585">
        <f t="shared" si="5"/>
        <v>0.8000000001737767</v>
      </c>
      <c r="E73" s="590"/>
    </row>
    <row r="74" spans="1:8" hidden="1" x14ac:dyDescent="0.25">
      <c r="A74" s="583" t="s">
        <v>392</v>
      </c>
      <c r="B74" s="584">
        <v>17405188614</v>
      </c>
      <c r="C74" s="584">
        <v>13924150892</v>
      </c>
      <c r="D74" s="585">
        <f t="shared" si="5"/>
        <v>0.80000000004596328</v>
      </c>
      <c r="E74" s="590"/>
    </row>
    <row r="75" spans="1:8" hidden="1" x14ac:dyDescent="0.25">
      <c r="A75" s="583" t="s">
        <v>69</v>
      </c>
      <c r="B75" s="584">
        <v>25183838180</v>
      </c>
      <c r="C75" s="584">
        <v>20147070544</v>
      </c>
      <c r="D75" s="585">
        <f t="shared" si="5"/>
        <v>0.8</v>
      </c>
      <c r="E75" s="590"/>
    </row>
    <row r="76" spans="1:8" hidden="1" x14ac:dyDescent="0.25">
      <c r="A76" s="583" t="s">
        <v>62</v>
      </c>
      <c r="B76" s="584">
        <v>5212948577</v>
      </c>
      <c r="C76" s="584">
        <v>4170358862</v>
      </c>
      <c r="D76" s="585">
        <f t="shared" si="5"/>
        <v>0.800000000076732</v>
      </c>
      <c r="E76" s="590"/>
      <c r="H76" s="132"/>
    </row>
    <row r="77" spans="1:8" hidden="1" x14ac:dyDescent="0.25">
      <c r="A77" s="583" t="s">
        <v>243</v>
      </c>
      <c r="B77" s="584">
        <v>342872644132</v>
      </c>
      <c r="C77" s="584">
        <v>274298115306</v>
      </c>
      <c r="D77" s="585">
        <f t="shared" si="5"/>
        <v>0.80000000000116667</v>
      </c>
      <c r="E77" s="590"/>
    </row>
    <row r="78" spans="1:8" hidden="1" x14ac:dyDescent="0.25">
      <c r="A78" s="583" t="s">
        <v>71</v>
      </c>
      <c r="B78" s="584">
        <v>6565223089</v>
      </c>
      <c r="C78" s="584">
        <v>5252178472</v>
      </c>
      <c r="D78" s="585">
        <f t="shared" si="5"/>
        <v>0.80000000012185424</v>
      </c>
      <c r="E78" s="590"/>
    </row>
    <row r="79" spans="1:8" hidden="1" x14ac:dyDescent="0.25">
      <c r="A79" s="583" t="s">
        <v>248</v>
      </c>
      <c r="B79" s="584">
        <v>22532963115</v>
      </c>
      <c r="C79" s="584">
        <v>18026370492</v>
      </c>
      <c r="D79" s="585">
        <f t="shared" si="5"/>
        <v>0.8</v>
      </c>
      <c r="E79" s="590"/>
    </row>
    <row r="80" spans="1:8" hidden="1" x14ac:dyDescent="0.25">
      <c r="A80" s="583" t="s">
        <v>60</v>
      </c>
      <c r="B80" s="584">
        <v>10226344757</v>
      </c>
      <c r="C80" s="584">
        <v>8181075806</v>
      </c>
      <c r="D80" s="585">
        <f t="shared" si="5"/>
        <v>0.80000000003911464</v>
      </c>
      <c r="E80" s="590"/>
    </row>
    <row r="81" spans="1:5" hidden="1" x14ac:dyDescent="0.25">
      <c r="A81" s="583" t="s">
        <v>94</v>
      </c>
      <c r="B81" s="584">
        <v>10734716878</v>
      </c>
      <c r="C81" s="584">
        <v>8587773502</v>
      </c>
      <c r="D81" s="585">
        <f t="shared" si="5"/>
        <v>0.79999999996273774</v>
      </c>
      <c r="E81" s="590"/>
    </row>
    <row r="82" spans="1:5" hidden="1" x14ac:dyDescent="0.25">
      <c r="A82" s="583" t="s">
        <v>179</v>
      </c>
      <c r="B82" s="584">
        <v>19902920850</v>
      </c>
      <c r="C82" s="584">
        <v>15922336680</v>
      </c>
      <c r="D82" s="585">
        <f t="shared" si="5"/>
        <v>0.8</v>
      </c>
      <c r="E82" s="590"/>
    </row>
    <row r="83" spans="1:5" hidden="1" x14ac:dyDescent="0.25">
      <c r="A83" s="583" t="s">
        <v>72</v>
      </c>
      <c r="B83" s="584">
        <v>18603853329</v>
      </c>
      <c r="C83" s="584">
        <v>14883082664</v>
      </c>
      <c r="D83" s="585">
        <f t="shared" si="5"/>
        <v>0.80000000004300187</v>
      </c>
      <c r="E83" s="590"/>
    </row>
    <row r="84" spans="1:5" hidden="1" x14ac:dyDescent="0.25">
      <c r="A84" s="583" t="s">
        <v>115</v>
      </c>
      <c r="B84" s="584">
        <v>92786146052</v>
      </c>
      <c r="C84" s="584">
        <v>74228916842</v>
      </c>
      <c r="D84" s="585">
        <f>+C84/B84</f>
        <v>0.80000000000431104</v>
      </c>
      <c r="E84" s="590"/>
    </row>
    <row r="85" spans="1:5" x14ac:dyDescent="0.25">
      <c r="A85" s="606" t="s">
        <v>90</v>
      </c>
      <c r="B85" s="584">
        <v>5674989658</v>
      </c>
      <c r="C85" s="584">
        <v>4539991726</v>
      </c>
      <c r="D85" s="585">
        <f>+C85/B85</f>
        <v>0.79999999992951532</v>
      </c>
      <c r="E85" s="590"/>
    </row>
    <row r="86" spans="1:5" hidden="1" x14ac:dyDescent="0.25">
      <c r="A86" s="583" t="s">
        <v>87</v>
      </c>
      <c r="B86" s="584">
        <v>28115756797</v>
      </c>
      <c r="C86" s="584">
        <v>22492605438</v>
      </c>
      <c r="D86" s="585">
        <f>+C86/B86</f>
        <v>0.80000000001422689</v>
      </c>
      <c r="E86" s="590"/>
    </row>
    <row r="87" spans="1:5" hidden="1" x14ac:dyDescent="0.25">
      <c r="A87" s="536" t="s">
        <v>132</v>
      </c>
      <c r="B87" s="537">
        <f>SUM(B29:B86)</f>
        <v>1144581492432</v>
      </c>
      <c r="C87" s="537">
        <f>SUM(C29:C86)</f>
        <v>915665193953</v>
      </c>
    </row>
  </sheetData>
  <autoFilter ref="A28:F87" xr:uid="{F1A2B1D5-2B67-4315-9992-E5A1C2C574A7}">
    <filterColumn colId="0">
      <colorFilter dxfId="154"/>
    </filterColumn>
  </autoFilter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36E1F-DDE5-4912-864E-AC9ECBADC165}">
  <dimension ref="A2:C8"/>
  <sheetViews>
    <sheetView workbookViewId="0">
      <selection activeCell="E13" sqref="E13"/>
    </sheetView>
  </sheetViews>
  <sheetFormatPr baseColWidth="10" defaultColWidth="11.42578125" defaultRowHeight="15" x14ac:dyDescent="0.25"/>
  <cols>
    <col min="2" max="2" width="18" bestFit="1" customWidth="1"/>
    <col min="3" max="3" width="21.42578125" bestFit="1" customWidth="1"/>
  </cols>
  <sheetData>
    <row r="2" spans="1:3" x14ac:dyDescent="0.25">
      <c r="A2" t="s">
        <v>393</v>
      </c>
      <c r="B2" s="29">
        <v>4094313634</v>
      </c>
      <c r="C2" t="s">
        <v>394</v>
      </c>
    </row>
    <row r="3" spans="1:3" x14ac:dyDescent="0.25">
      <c r="A3" t="s">
        <v>395</v>
      </c>
      <c r="B3" s="29">
        <v>1079588866</v>
      </c>
      <c r="C3" t="s">
        <v>396</v>
      </c>
    </row>
    <row r="4" spans="1:3" x14ac:dyDescent="0.25">
      <c r="A4" s="705" t="s">
        <v>397</v>
      </c>
      <c r="B4" s="29">
        <v>856102883</v>
      </c>
      <c r="C4" t="s">
        <v>394</v>
      </c>
    </row>
    <row r="5" spans="1:3" x14ac:dyDescent="0.25">
      <c r="A5" s="705"/>
      <c r="B5" s="29">
        <v>856102879</v>
      </c>
      <c r="C5" t="s">
        <v>394</v>
      </c>
    </row>
    <row r="6" spans="1:3" x14ac:dyDescent="0.25">
      <c r="A6" s="705"/>
      <c r="B6" s="29">
        <v>2543981748</v>
      </c>
      <c r="C6" t="s">
        <v>394</v>
      </c>
    </row>
    <row r="7" spans="1:3" x14ac:dyDescent="0.25">
      <c r="A7" s="705"/>
      <c r="B7" s="29">
        <v>423996958</v>
      </c>
      <c r="C7" t="s">
        <v>394</v>
      </c>
    </row>
    <row r="8" spans="1:3" x14ac:dyDescent="0.25">
      <c r="A8" s="705"/>
      <c r="B8" s="29">
        <v>493022381</v>
      </c>
      <c r="C8" t="s">
        <v>398</v>
      </c>
    </row>
  </sheetData>
  <mergeCells count="1">
    <mergeCell ref="A4:A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5F3A0-3879-4217-9E3C-22EF22658A94}">
  <dimension ref="A1:E12"/>
  <sheetViews>
    <sheetView workbookViewId="0">
      <selection activeCell="D5" sqref="D5"/>
    </sheetView>
  </sheetViews>
  <sheetFormatPr baseColWidth="10" defaultColWidth="11.42578125" defaultRowHeight="15" x14ac:dyDescent="0.25"/>
  <cols>
    <col min="1" max="1" width="9.7109375" bestFit="1" customWidth="1"/>
    <col min="2" max="2" width="37.28515625" customWidth="1"/>
    <col min="3" max="3" width="12.7109375" bestFit="1" customWidth="1"/>
    <col min="4" max="4" width="15.140625" bestFit="1" customWidth="1"/>
    <col min="5" max="5" width="16.28515625" bestFit="1" customWidth="1"/>
  </cols>
  <sheetData>
    <row r="1" spans="1:5" ht="15.75" thickBot="1" x14ac:dyDescent="0.3">
      <c r="A1" s="708" t="s">
        <v>399</v>
      </c>
      <c r="B1" s="708"/>
      <c r="C1" s="708"/>
    </row>
    <row r="2" spans="1:5" ht="15.75" thickBot="1" x14ac:dyDescent="0.3">
      <c r="A2" s="489" t="s">
        <v>400</v>
      </c>
      <c r="B2" s="490" t="s">
        <v>401</v>
      </c>
      <c r="C2" s="491" t="s">
        <v>402</v>
      </c>
    </row>
    <row r="3" spans="1:5" ht="23.25" thickBot="1" x14ac:dyDescent="0.3">
      <c r="A3" s="492">
        <v>890802678</v>
      </c>
      <c r="B3" s="493" t="s">
        <v>77</v>
      </c>
      <c r="C3" s="494">
        <v>356707143</v>
      </c>
    </row>
    <row r="4" spans="1:5" ht="15.75" thickBot="1" x14ac:dyDescent="0.3">
      <c r="A4" s="492">
        <v>890980134</v>
      </c>
      <c r="B4" s="493" t="s">
        <v>83</v>
      </c>
      <c r="C4" s="494">
        <v>2085063987</v>
      </c>
    </row>
    <row r="5" spans="1:5" ht="23.25" thickBot="1" x14ac:dyDescent="0.3">
      <c r="A5" s="496">
        <v>805000889</v>
      </c>
      <c r="B5" s="497" t="s">
        <v>403</v>
      </c>
      <c r="C5" s="498">
        <v>6430267096.8000002</v>
      </c>
      <c r="D5" s="499">
        <v>8834602226.2000008</v>
      </c>
      <c r="E5" s="633">
        <f>C5+D5</f>
        <v>15264869323</v>
      </c>
    </row>
    <row r="6" spans="1:5" ht="23.25" thickBot="1" x14ac:dyDescent="0.3">
      <c r="A6" s="492">
        <v>800124023</v>
      </c>
      <c r="B6" s="493" t="s">
        <v>404</v>
      </c>
      <c r="C6" s="494">
        <v>559865632</v>
      </c>
    </row>
    <row r="7" spans="1:5" ht="15.75" thickBot="1" x14ac:dyDescent="0.3">
      <c r="A7" s="492">
        <v>800214750</v>
      </c>
      <c r="B7" s="493" t="s">
        <v>405</v>
      </c>
      <c r="C7" s="494">
        <v>5691846150</v>
      </c>
    </row>
    <row r="8" spans="1:5" ht="15.75" thickBot="1" x14ac:dyDescent="0.3">
      <c r="A8" s="492">
        <v>891190346</v>
      </c>
      <c r="B8" s="493" t="s">
        <v>116</v>
      </c>
      <c r="C8" s="494">
        <v>1733901753</v>
      </c>
    </row>
    <row r="9" spans="1:5" ht="15.75" thickBot="1" x14ac:dyDescent="0.3">
      <c r="A9" s="492">
        <v>800118954</v>
      </c>
      <c r="B9" s="493" t="s">
        <v>7</v>
      </c>
      <c r="C9" s="494">
        <v>2046414221</v>
      </c>
      <c r="E9" s="500">
        <f>C12+D5</f>
        <v>31889435742</v>
      </c>
    </row>
    <row r="10" spans="1:5" ht="15.75" thickBot="1" x14ac:dyDescent="0.3">
      <c r="A10" s="492">
        <v>835000300</v>
      </c>
      <c r="B10" s="493" t="s">
        <v>104</v>
      </c>
      <c r="C10" s="494">
        <v>234869053</v>
      </c>
    </row>
    <row r="11" spans="1:5" ht="15.75" thickBot="1" x14ac:dyDescent="0.3">
      <c r="A11" s="492">
        <v>890399010</v>
      </c>
      <c r="B11" s="493" t="s">
        <v>111</v>
      </c>
      <c r="C11" s="494">
        <v>3915898480</v>
      </c>
    </row>
    <row r="12" spans="1:5" ht="15.75" thickBot="1" x14ac:dyDescent="0.3">
      <c r="A12" s="706" t="s">
        <v>132</v>
      </c>
      <c r="B12" s="707"/>
      <c r="C12" s="495">
        <v>23054833515.799999</v>
      </c>
    </row>
  </sheetData>
  <mergeCells count="2">
    <mergeCell ref="A12:B12"/>
    <mergeCell ref="A1:C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B1999-9AFD-491B-99BE-8835CFC55103}">
  <dimension ref="A2:C9"/>
  <sheetViews>
    <sheetView workbookViewId="0">
      <selection activeCell="C20" sqref="C20"/>
    </sheetView>
  </sheetViews>
  <sheetFormatPr baseColWidth="10" defaultColWidth="11.42578125" defaultRowHeight="15" x14ac:dyDescent="0.25"/>
  <cols>
    <col min="1" max="1" width="32" bestFit="1" customWidth="1"/>
    <col min="2" max="2" width="20" bestFit="1" customWidth="1"/>
    <col min="3" max="3" width="19" bestFit="1" customWidth="1"/>
  </cols>
  <sheetData>
    <row r="2" spans="1:3" x14ac:dyDescent="0.25">
      <c r="A2" s="406" t="s">
        <v>406</v>
      </c>
      <c r="B2" s="111">
        <v>211236022235.64001</v>
      </c>
    </row>
    <row r="3" spans="1:3" x14ac:dyDescent="0.25">
      <c r="A3" s="406" t="s">
        <v>407</v>
      </c>
      <c r="B3" s="407">
        <v>393850604</v>
      </c>
    </row>
    <row r="4" spans="1:3" x14ac:dyDescent="0.25">
      <c r="A4" s="406" t="s">
        <v>408</v>
      </c>
      <c r="B4" s="111">
        <v>23000000000</v>
      </c>
    </row>
    <row r="5" spans="1:3" x14ac:dyDescent="0.25">
      <c r="A5" s="406" t="s">
        <v>409</v>
      </c>
      <c r="B5" s="111">
        <f>2792000000</f>
        <v>2792000000</v>
      </c>
    </row>
    <row r="6" spans="1:3" x14ac:dyDescent="0.25">
      <c r="A6" s="406" t="s">
        <v>410</v>
      </c>
      <c r="B6" s="111">
        <f>2792000000</f>
        <v>2792000000</v>
      </c>
    </row>
    <row r="7" spans="1:3" x14ac:dyDescent="0.25">
      <c r="A7" s="406" t="s">
        <v>411</v>
      </c>
      <c r="B7" s="111">
        <v>30041469376.799999</v>
      </c>
    </row>
    <row r="8" spans="1:3" x14ac:dyDescent="0.25">
      <c r="A8" s="406" t="s">
        <v>412</v>
      </c>
      <c r="B8" s="111">
        <v>1200000000</v>
      </c>
    </row>
    <row r="9" spans="1:3" x14ac:dyDescent="0.25">
      <c r="A9" s="406" t="s">
        <v>132</v>
      </c>
      <c r="B9" s="146">
        <f>B2-B3-B4-B5-B6-B7-B8</f>
        <v>151016702254.84003</v>
      </c>
      <c r="C9" s="132"/>
    </row>
  </sheetData>
  <conditionalFormatting sqref="B3">
    <cfRule type="duplicateValues" dxfId="43" priority="1"/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53CBC-CCB9-48CE-833E-A25CB93AF583}">
  <dimension ref="A1:K14"/>
  <sheetViews>
    <sheetView workbookViewId="0">
      <selection activeCell="G14" sqref="G14"/>
    </sheetView>
  </sheetViews>
  <sheetFormatPr baseColWidth="10" defaultColWidth="11.42578125" defaultRowHeight="15" x14ac:dyDescent="0.25"/>
  <cols>
    <col min="1" max="1" width="10.42578125" bestFit="1" customWidth="1"/>
    <col min="2" max="2" width="42.85546875" style="115" bestFit="1" customWidth="1"/>
    <col min="3" max="3" width="17.5703125" style="115" hidden="1" customWidth="1"/>
    <col min="4" max="4" width="19" bestFit="1" customWidth="1"/>
    <col min="5" max="7" width="16.7109375" bestFit="1" customWidth="1"/>
    <col min="10" max="10" width="16.42578125" bestFit="1" customWidth="1"/>
  </cols>
  <sheetData>
    <row r="1" spans="1:11" ht="39" customHeight="1" x14ac:dyDescent="0.25">
      <c r="A1" s="395" t="s">
        <v>288</v>
      </c>
      <c r="B1" s="395" t="s">
        <v>5</v>
      </c>
      <c r="C1" s="395"/>
      <c r="D1" s="395" t="s">
        <v>413</v>
      </c>
      <c r="E1" s="395" t="s">
        <v>414</v>
      </c>
      <c r="F1" s="395" t="s">
        <v>415</v>
      </c>
      <c r="G1" s="395" t="s">
        <v>416</v>
      </c>
    </row>
    <row r="2" spans="1:11" x14ac:dyDescent="0.25">
      <c r="A2" s="392" t="s">
        <v>297</v>
      </c>
      <c r="B2" s="396" t="s">
        <v>53</v>
      </c>
      <c r="C2" s="397">
        <v>5252884303</v>
      </c>
      <c r="D2" s="399">
        <f>(C2*20%)+C2</f>
        <v>6303461163.6000004</v>
      </c>
      <c r="E2" s="400">
        <f>(D2*20%)+D2</f>
        <v>7564153396.3200006</v>
      </c>
      <c r="F2" s="400">
        <f>(E2*20%)+E2</f>
        <v>9076984075.5840015</v>
      </c>
      <c r="G2" s="400">
        <f>(F2*20%)+F2</f>
        <v>10892380890.700802</v>
      </c>
      <c r="J2" s="394"/>
      <c r="K2" s="116"/>
    </row>
    <row r="3" spans="1:11" ht="39" x14ac:dyDescent="0.25">
      <c r="A3" s="392" t="s">
        <v>297</v>
      </c>
      <c r="B3" s="396" t="s">
        <v>184</v>
      </c>
      <c r="C3" s="397">
        <v>198494143</v>
      </c>
      <c r="D3" s="399">
        <f t="shared" ref="D3:G7" si="0">(C3*20%)+C3</f>
        <v>238192971.59999999</v>
      </c>
      <c r="E3" s="400">
        <f t="shared" si="0"/>
        <v>285831565.92000002</v>
      </c>
      <c r="F3" s="400">
        <f t="shared" si="0"/>
        <v>342997879.10400003</v>
      </c>
      <c r="G3" s="400">
        <f t="shared" si="0"/>
        <v>411597454.92480004</v>
      </c>
    </row>
    <row r="4" spans="1:11" ht="26.25" x14ac:dyDescent="0.25">
      <c r="A4" s="392" t="s">
        <v>297</v>
      </c>
      <c r="B4" s="396" t="s">
        <v>185</v>
      </c>
      <c r="C4" s="397">
        <v>731062754</v>
      </c>
      <c r="D4" s="399">
        <f t="shared" si="0"/>
        <v>877275304.79999995</v>
      </c>
      <c r="E4" s="400">
        <f t="shared" si="0"/>
        <v>1052730365.76</v>
      </c>
      <c r="F4" s="400">
        <f t="shared" si="0"/>
        <v>1263276438.9119999</v>
      </c>
      <c r="G4" s="400">
        <f t="shared" si="0"/>
        <v>1515931726.6943998</v>
      </c>
    </row>
    <row r="5" spans="1:11" ht="26.25" x14ac:dyDescent="0.25">
      <c r="A5" s="392" t="s">
        <v>297</v>
      </c>
      <c r="B5" s="396" t="s">
        <v>186</v>
      </c>
      <c r="C5" s="397">
        <v>2305977513</v>
      </c>
      <c r="D5" s="399">
        <f t="shared" si="0"/>
        <v>2767173015.5999999</v>
      </c>
      <c r="E5" s="400">
        <f t="shared" si="0"/>
        <v>3320607618.7199998</v>
      </c>
      <c r="F5" s="400">
        <f t="shared" si="0"/>
        <v>3984729142.4639997</v>
      </c>
      <c r="G5" s="400">
        <f t="shared" si="0"/>
        <v>4781674970.9567995</v>
      </c>
    </row>
    <row r="6" spans="1:11" ht="26.25" x14ac:dyDescent="0.25">
      <c r="A6" s="392" t="s">
        <v>297</v>
      </c>
      <c r="B6" s="396" t="s">
        <v>90</v>
      </c>
      <c r="C6" s="397">
        <v>5470194522</v>
      </c>
      <c r="D6" s="399">
        <f t="shared" si="0"/>
        <v>6564233426.3999996</v>
      </c>
      <c r="E6" s="400">
        <f t="shared" si="0"/>
        <v>7877080111.6799994</v>
      </c>
      <c r="F6" s="400">
        <f t="shared" si="0"/>
        <v>9452496134.0159988</v>
      </c>
      <c r="G6" s="400">
        <f t="shared" si="0"/>
        <v>11342995360.819199</v>
      </c>
    </row>
    <row r="7" spans="1:11" x14ac:dyDescent="0.25">
      <c r="A7" s="709" t="s">
        <v>132</v>
      </c>
      <c r="B7" s="710"/>
      <c r="C7" s="398"/>
      <c r="D7" s="401">
        <f>SUM(D2:D6)</f>
        <v>16750335882</v>
      </c>
      <c r="E7" s="401">
        <f>SUM(E2:E6)</f>
        <v>20100403058.399998</v>
      </c>
      <c r="F7" s="401">
        <f>SUM(F2:F6)</f>
        <v>24120483670.080002</v>
      </c>
      <c r="G7" s="401">
        <f t="shared" si="0"/>
        <v>28944580404.096001</v>
      </c>
    </row>
    <row r="9" spans="1:11" x14ac:dyDescent="0.25">
      <c r="B9" s="403" t="s">
        <v>417</v>
      </c>
      <c r="C9" s="404"/>
      <c r="D9" s="405">
        <f>D7+E7+F7+G7</f>
        <v>89915803014.575989</v>
      </c>
    </row>
    <row r="10" spans="1:11" x14ac:dyDescent="0.25">
      <c r="B10" s="402" t="s">
        <v>191</v>
      </c>
      <c r="D10" s="29">
        <f>2792000000</f>
        <v>2792000000</v>
      </c>
    </row>
    <row r="11" spans="1:11" x14ac:dyDescent="0.25">
      <c r="B11" s="402" t="s">
        <v>182</v>
      </c>
      <c r="D11" s="29">
        <f>2792000000</f>
        <v>2792000000</v>
      </c>
    </row>
    <row r="12" spans="1:11" x14ac:dyDescent="0.25">
      <c r="B12" s="402" t="s">
        <v>165</v>
      </c>
      <c r="D12" s="29">
        <v>22650441106</v>
      </c>
    </row>
    <row r="13" spans="1:11" x14ac:dyDescent="0.25">
      <c r="B13" s="402" t="s">
        <v>163</v>
      </c>
      <c r="D13" s="29">
        <v>393850604</v>
      </c>
    </row>
    <row r="14" spans="1:11" x14ac:dyDescent="0.25">
      <c r="D14" s="393">
        <f>SUM(D10:D13)</f>
        <v>28628291710</v>
      </c>
    </row>
  </sheetData>
  <mergeCells count="1">
    <mergeCell ref="A7:B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B29CA-9442-4E16-84BB-19A3F8009098}">
  <dimension ref="A1:H51"/>
  <sheetViews>
    <sheetView topLeftCell="A29" workbookViewId="0">
      <selection activeCell="F44" sqref="F44"/>
    </sheetView>
  </sheetViews>
  <sheetFormatPr baseColWidth="10" defaultColWidth="11.42578125" defaultRowHeight="15" x14ac:dyDescent="0.25"/>
  <cols>
    <col min="1" max="1" width="9.140625" bestFit="1" customWidth="1"/>
    <col min="2" max="2" width="73.5703125" bestFit="1" customWidth="1"/>
    <col min="3" max="3" width="22.28515625" style="29" customWidth="1"/>
    <col min="4" max="4" width="22.42578125" style="29" bestFit="1" customWidth="1"/>
    <col min="5" max="5" width="20" style="29" bestFit="1" customWidth="1"/>
    <col min="6" max="6" width="20" bestFit="1" customWidth="1"/>
    <col min="8" max="8" width="20" bestFit="1" customWidth="1"/>
  </cols>
  <sheetData>
    <row r="1" spans="1:6" s="325" customFormat="1" ht="36" x14ac:dyDescent="0.25">
      <c r="A1" s="377" t="s">
        <v>288</v>
      </c>
      <c r="B1" s="377" t="s">
        <v>5</v>
      </c>
      <c r="C1" s="378" t="s">
        <v>193</v>
      </c>
      <c r="D1" s="378" t="s">
        <v>295</v>
      </c>
      <c r="E1" s="378" t="s">
        <v>296</v>
      </c>
      <c r="F1" s="379" t="s">
        <v>291</v>
      </c>
    </row>
    <row r="2" spans="1:6" x14ac:dyDescent="0.25">
      <c r="A2" s="376" t="s">
        <v>297</v>
      </c>
      <c r="B2" s="376" t="s">
        <v>123</v>
      </c>
      <c r="C2" s="386">
        <v>2553006496</v>
      </c>
      <c r="D2" s="386">
        <v>1954298226</v>
      </c>
      <c r="E2" s="386">
        <v>598708270</v>
      </c>
      <c r="F2" s="132">
        <f>C2-D2</f>
        <v>598708270</v>
      </c>
    </row>
    <row r="3" spans="1:6" x14ac:dyDescent="0.25">
      <c r="A3" s="383" t="s">
        <v>297</v>
      </c>
      <c r="B3" s="383" t="s">
        <v>92</v>
      </c>
      <c r="C3" s="384">
        <v>1716027978</v>
      </c>
      <c r="D3" s="384">
        <v>1458213239</v>
      </c>
      <c r="E3" s="384">
        <v>257814739</v>
      </c>
      <c r="F3" s="385">
        <f t="shared" ref="F3:F35" si="0">C3-D3</f>
        <v>257814739</v>
      </c>
    </row>
    <row r="4" spans="1:6" x14ac:dyDescent="0.25">
      <c r="A4" s="383" t="s">
        <v>297</v>
      </c>
      <c r="B4" s="383" t="s">
        <v>106</v>
      </c>
      <c r="C4" s="384">
        <v>14059813847</v>
      </c>
      <c r="D4" s="384">
        <v>10540359048</v>
      </c>
      <c r="E4" s="384">
        <v>3519454799</v>
      </c>
      <c r="F4" s="385">
        <f t="shared" si="0"/>
        <v>3519454799</v>
      </c>
    </row>
    <row r="5" spans="1:6" x14ac:dyDescent="0.25">
      <c r="A5" s="383" t="s">
        <v>297</v>
      </c>
      <c r="B5" s="383" t="s">
        <v>298</v>
      </c>
      <c r="C5" s="384">
        <v>1628971978</v>
      </c>
      <c r="D5" s="384">
        <v>1338585586</v>
      </c>
      <c r="E5" s="384">
        <v>290386392</v>
      </c>
      <c r="F5" s="385">
        <f t="shared" si="0"/>
        <v>290386392</v>
      </c>
    </row>
    <row r="6" spans="1:6" x14ac:dyDescent="0.25">
      <c r="A6" s="383" t="s">
        <v>297</v>
      </c>
      <c r="B6" s="383" t="s">
        <v>53</v>
      </c>
      <c r="C6" s="384">
        <v>4862194000</v>
      </c>
      <c r="D6" s="384">
        <v>3852818497</v>
      </c>
      <c r="E6" s="384">
        <v>1009375503</v>
      </c>
      <c r="F6" s="385">
        <f t="shared" si="0"/>
        <v>1009375503</v>
      </c>
    </row>
    <row r="7" spans="1:6" x14ac:dyDescent="0.25">
      <c r="A7" s="376" t="s">
        <v>297</v>
      </c>
      <c r="B7" s="376" t="s">
        <v>120</v>
      </c>
      <c r="C7" s="386">
        <v>2112918500</v>
      </c>
      <c r="D7" s="386">
        <v>1794703820</v>
      </c>
      <c r="E7" s="386">
        <v>318214680</v>
      </c>
      <c r="F7" s="132">
        <f t="shared" si="0"/>
        <v>318214680</v>
      </c>
    </row>
    <row r="8" spans="1:6" x14ac:dyDescent="0.25">
      <c r="A8" s="383" t="s">
        <v>297</v>
      </c>
      <c r="B8" s="383" t="s">
        <v>80</v>
      </c>
      <c r="C8" s="384">
        <v>11638363214</v>
      </c>
      <c r="D8" s="384">
        <v>8386929883</v>
      </c>
      <c r="E8" s="384">
        <v>3251433331</v>
      </c>
      <c r="F8" s="385">
        <f t="shared" si="0"/>
        <v>3251433331</v>
      </c>
    </row>
    <row r="9" spans="1:6" x14ac:dyDescent="0.25">
      <c r="A9" s="376" t="s">
        <v>297</v>
      </c>
      <c r="B9" s="376" t="s">
        <v>166</v>
      </c>
      <c r="C9" s="386">
        <v>5173902500</v>
      </c>
      <c r="D9" s="386">
        <v>4094313634</v>
      </c>
      <c r="E9" s="386">
        <v>1079588866</v>
      </c>
      <c r="F9" s="132">
        <f t="shared" si="0"/>
        <v>1079588866</v>
      </c>
    </row>
    <row r="10" spans="1:6" x14ac:dyDescent="0.25">
      <c r="A10" s="383" t="s">
        <v>297</v>
      </c>
      <c r="B10" s="383" t="s">
        <v>85</v>
      </c>
      <c r="C10" s="384">
        <v>9977802263</v>
      </c>
      <c r="D10" s="384">
        <v>7727221971</v>
      </c>
      <c r="E10" s="384">
        <v>2250580292</v>
      </c>
      <c r="F10" s="385">
        <f t="shared" si="0"/>
        <v>2250580292</v>
      </c>
    </row>
    <row r="11" spans="1:6" x14ac:dyDescent="0.25">
      <c r="A11" s="383" t="s">
        <v>297</v>
      </c>
      <c r="B11" s="383" t="s">
        <v>114</v>
      </c>
      <c r="C11" s="384">
        <v>5708319500</v>
      </c>
      <c r="D11" s="384">
        <v>3359297432</v>
      </c>
      <c r="E11" s="384">
        <v>2349022068</v>
      </c>
      <c r="F11" s="385">
        <f t="shared" si="0"/>
        <v>2349022068</v>
      </c>
    </row>
    <row r="12" spans="1:6" x14ac:dyDescent="0.25">
      <c r="A12" s="383" t="s">
        <v>297</v>
      </c>
      <c r="B12" s="383" t="s">
        <v>108</v>
      </c>
      <c r="C12" s="384">
        <v>1587511000</v>
      </c>
      <c r="D12" s="384">
        <v>1292319749</v>
      </c>
      <c r="E12" s="384">
        <v>295191251</v>
      </c>
      <c r="F12" s="385">
        <f t="shared" si="0"/>
        <v>295191251</v>
      </c>
    </row>
    <row r="13" spans="1:6" x14ac:dyDescent="0.25">
      <c r="A13" s="383" t="s">
        <v>297</v>
      </c>
      <c r="B13" s="383" t="s">
        <v>229</v>
      </c>
      <c r="C13" s="384">
        <v>4307225000</v>
      </c>
      <c r="D13" s="384">
        <v>2397549172</v>
      </c>
      <c r="E13" s="384">
        <v>1909675828</v>
      </c>
      <c r="F13" s="385">
        <f t="shared" si="0"/>
        <v>1909675828</v>
      </c>
    </row>
    <row r="14" spans="1:6" x14ac:dyDescent="0.25">
      <c r="A14" s="383" t="s">
        <v>297</v>
      </c>
      <c r="B14" s="383" t="s">
        <v>184</v>
      </c>
      <c r="C14" s="384">
        <v>171606381</v>
      </c>
      <c r="D14" s="384">
        <v>117268556</v>
      </c>
      <c r="E14" s="384">
        <v>54337825</v>
      </c>
      <c r="F14" s="385">
        <f t="shared" si="0"/>
        <v>54337825</v>
      </c>
    </row>
    <row r="15" spans="1:6" x14ac:dyDescent="0.25">
      <c r="A15" s="376" t="s">
        <v>297</v>
      </c>
      <c r="B15" s="376" t="s">
        <v>185</v>
      </c>
      <c r="C15" s="386">
        <v>692926154</v>
      </c>
      <c r="D15" s="386">
        <v>512799072</v>
      </c>
      <c r="E15" s="386">
        <v>180127082</v>
      </c>
      <c r="F15" s="132">
        <f t="shared" si="0"/>
        <v>180127082</v>
      </c>
    </row>
    <row r="16" spans="1:6" x14ac:dyDescent="0.25">
      <c r="A16" s="383" t="s">
        <v>297</v>
      </c>
      <c r="B16" s="383" t="s">
        <v>242</v>
      </c>
      <c r="C16" s="384">
        <v>911450000</v>
      </c>
      <c r="D16" s="384">
        <v>688515773</v>
      </c>
      <c r="E16" s="384">
        <v>222934227</v>
      </c>
      <c r="F16" s="385">
        <f t="shared" si="0"/>
        <v>222934227</v>
      </c>
    </row>
    <row r="17" spans="1:8" x14ac:dyDescent="0.25">
      <c r="A17" s="383" t="s">
        <v>297</v>
      </c>
      <c r="B17" s="383" t="s">
        <v>186</v>
      </c>
      <c r="C17" s="384">
        <v>1671529612</v>
      </c>
      <c r="D17" s="384">
        <v>1460859004</v>
      </c>
      <c r="E17" s="384">
        <v>210670608</v>
      </c>
      <c r="F17" s="385">
        <f t="shared" si="0"/>
        <v>210670608</v>
      </c>
    </row>
    <row r="18" spans="1:8" x14ac:dyDescent="0.25">
      <c r="A18" s="376" t="s">
        <v>297</v>
      </c>
      <c r="B18" s="376" t="s">
        <v>126</v>
      </c>
      <c r="C18" s="386">
        <v>2055296800</v>
      </c>
      <c r="D18" s="386">
        <v>1848762548</v>
      </c>
      <c r="E18" s="386">
        <v>206534252</v>
      </c>
      <c r="F18" s="132">
        <f t="shared" si="0"/>
        <v>206534252</v>
      </c>
    </row>
    <row r="19" spans="1:8" x14ac:dyDescent="0.25">
      <c r="A19" s="383" t="s">
        <v>297</v>
      </c>
      <c r="B19" s="383" t="s">
        <v>63</v>
      </c>
      <c r="C19" s="384">
        <v>5272684716</v>
      </c>
      <c r="D19" s="384">
        <v>4175685591</v>
      </c>
      <c r="E19" s="384">
        <v>1096999125</v>
      </c>
      <c r="F19" s="385">
        <f t="shared" si="0"/>
        <v>1096999125</v>
      </c>
    </row>
    <row r="20" spans="1:8" x14ac:dyDescent="0.25">
      <c r="A20" s="383" t="s">
        <v>297</v>
      </c>
      <c r="B20" s="383" t="s">
        <v>89</v>
      </c>
      <c r="C20" s="384">
        <v>10074420450</v>
      </c>
      <c r="D20" s="384">
        <v>8828819251</v>
      </c>
      <c r="E20" s="384">
        <v>1245601199</v>
      </c>
      <c r="F20" s="385">
        <f t="shared" si="0"/>
        <v>1245601199</v>
      </c>
    </row>
    <row r="21" spans="1:8" x14ac:dyDescent="0.25">
      <c r="A21" s="383" t="s">
        <v>297</v>
      </c>
      <c r="B21" s="383" t="s">
        <v>87</v>
      </c>
      <c r="C21" s="384">
        <v>25761184530</v>
      </c>
      <c r="D21" s="384">
        <v>20017015916</v>
      </c>
      <c r="E21" s="384">
        <v>5744168614</v>
      </c>
      <c r="F21" s="385">
        <f t="shared" si="0"/>
        <v>5744168614</v>
      </c>
    </row>
    <row r="22" spans="1:8" x14ac:dyDescent="0.25">
      <c r="A22" s="383" t="s">
        <v>297</v>
      </c>
      <c r="B22" s="383" t="s">
        <v>66</v>
      </c>
      <c r="C22" s="384">
        <v>48285445000</v>
      </c>
      <c r="D22" s="384">
        <v>33043534743</v>
      </c>
      <c r="E22" s="384">
        <v>15241910257</v>
      </c>
      <c r="F22" s="385">
        <f t="shared" si="0"/>
        <v>15241910257</v>
      </c>
    </row>
    <row r="23" spans="1:8" x14ac:dyDescent="0.25">
      <c r="A23" s="692" t="s">
        <v>132</v>
      </c>
      <c r="B23" s="693"/>
      <c r="C23" s="380">
        <f>SUM(C2:C22)</f>
        <v>160222599919</v>
      </c>
      <c r="D23" s="380">
        <f>SUM(D2:D22)</f>
        <v>118889870711</v>
      </c>
      <c r="E23" s="380">
        <f>SUM(E2:E22)</f>
        <v>41332729208</v>
      </c>
      <c r="F23" s="132"/>
    </row>
    <row r="24" spans="1:8" x14ac:dyDescent="0.25">
      <c r="A24" s="376"/>
      <c r="B24" s="376"/>
      <c r="C24" s="245"/>
      <c r="D24" s="245"/>
      <c r="E24" s="245"/>
      <c r="F24" s="132"/>
    </row>
    <row r="25" spans="1:8" ht="36" x14ac:dyDescent="0.25">
      <c r="A25" s="377" t="s">
        <v>288</v>
      </c>
      <c r="B25" s="377" t="s">
        <v>5</v>
      </c>
      <c r="C25" s="378" t="s">
        <v>193</v>
      </c>
      <c r="D25" s="378" t="s">
        <v>295</v>
      </c>
      <c r="E25" s="378" t="s">
        <v>296</v>
      </c>
      <c r="F25" s="379" t="s">
        <v>291</v>
      </c>
    </row>
    <row r="26" spans="1:8" x14ac:dyDescent="0.25">
      <c r="A26" s="376" t="s">
        <v>292</v>
      </c>
      <c r="B26" s="376" t="s">
        <v>121</v>
      </c>
      <c r="C26" s="245">
        <v>14150834417</v>
      </c>
      <c r="D26" s="245">
        <v>12382083343</v>
      </c>
      <c r="E26" s="245">
        <v>1768751074</v>
      </c>
      <c r="F26" s="132">
        <f t="shared" si="0"/>
        <v>1768751074</v>
      </c>
    </row>
    <row r="27" spans="1:8" x14ac:dyDescent="0.25">
      <c r="A27" s="383" t="s">
        <v>292</v>
      </c>
      <c r="B27" s="383" t="s">
        <v>96</v>
      </c>
      <c r="C27" s="384">
        <v>9176057900</v>
      </c>
      <c r="D27" s="384">
        <v>7246926608</v>
      </c>
      <c r="E27" s="384">
        <v>1929131292</v>
      </c>
      <c r="F27" s="385">
        <f t="shared" si="0"/>
        <v>1929131292</v>
      </c>
    </row>
    <row r="28" spans="1:8" x14ac:dyDescent="0.25">
      <c r="A28" s="383" t="s">
        <v>292</v>
      </c>
      <c r="B28" s="383" t="s">
        <v>98</v>
      </c>
      <c r="C28" s="384">
        <v>8347927200</v>
      </c>
      <c r="D28" s="384">
        <v>6054635250</v>
      </c>
      <c r="E28" s="384">
        <v>2293291950</v>
      </c>
      <c r="F28" s="385">
        <f t="shared" si="0"/>
        <v>2293291950</v>
      </c>
    </row>
    <row r="29" spans="1:8" x14ac:dyDescent="0.25">
      <c r="A29" s="383" t="s">
        <v>292</v>
      </c>
      <c r="B29" s="383" t="s">
        <v>231</v>
      </c>
      <c r="C29" s="384">
        <v>29200666153</v>
      </c>
      <c r="D29" s="384">
        <v>21301218741</v>
      </c>
      <c r="E29" s="384">
        <v>7899447412</v>
      </c>
      <c r="F29" s="385">
        <f t="shared" si="0"/>
        <v>7899447412</v>
      </c>
    </row>
    <row r="30" spans="1:8" x14ac:dyDescent="0.25">
      <c r="A30" s="376" t="s">
        <v>292</v>
      </c>
      <c r="B30" s="376" t="s">
        <v>74</v>
      </c>
      <c r="C30" s="245">
        <v>13606080489</v>
      </c>
      <c r="D30" s="245">
        <v>10615660628</v>
      </c>
      <c r="E30" s="245">
        <v>2990419861</v>
      </c>
      <c r="F30" s="132">
        <f t="shared" si="0"/>
        <v>2990419861</v>
      </c>
    </row>
    <row r="31" spans="1:8" x14ac:dyDescent="0.25">
      <c r="A31" s="376" t="s">
        <v>292</v>
      </c>
      <c r="B31" s="376" t="s">
        <v>93</v>
      </c>
      <c r="C31" s="245">
        <v>24561290000</v>
      </c>
      <c r="D31" s="245">
        <v>22482869192</v>
      </c>
      <c r="E31" s="245">
        <v>2078420808</v>
      </c>
      <c r="F31" s="132">
        <f t="shared" si="0"/>
        <v>2078420808</v>
      </c>
      <c r="H31" s="382">
        <f>E36+E23</f>
        <v>69042238107</v>
      </c>
    </row>
    <row r="32" spans="1:8" x14ac:dyDescent="0.25">
      <c r="A32" s="383" t="s">
        <v>292</v>
      </c>
      <c r="B32" s="383" t="s">
        <v>101</v>
      </c>
      <c r="C32" s="384">
        <v>4282506500</v>
      </c>
      <c r="D32" s="384">
        <v>3172339085</v>
      </c>
      <c r="E32" s="384">
        <v>1110167415</v>
      </c>
      <c r="F32" s="385">
        <f t="shared" si="0"/>
        <v>1110167415</v>
      </c>
    </row>
    <row r="33" spans="1:6" x14ac:dyDescent="0.25">
      <c r="A33" s="383" t="s">
        <v>292</v>
      </c>
      <c r="B33" s="383" t="s">
        <v>69</v>
      </c>
      <c r="C33" s="384">
        <v>23138873434</v>
      </c>
      <c r="D33" s="384">
        <v>20883796616</v>
      </c>
      <c r="E33" s="384">
        <v>2255076818</v>
      </c>
      <c r="F33" s="385">
        <f t="shared" si="0"/>
        <v>2255076818</v>
      </c>
    </row>
    <row r="34" spans="1:6" x14ac:dyDescent="0.25">
      <c r="A34" s="383" t="s">
        <v>292</v>
      </c>
      <c r="B34" s="383" t="s">
        <v>62</v>
      </c>
      <c r="C34" s="384">
        <v>4795390500</v>
      </c>
      <c r="D34" s="384">
        <v>3471873871</v>
      </c>
      <c r="E34" s="384">
        <v>1323516629</v>
      </c>
      <c r="F34" s="385">
        <f t="shared" si="0"/>
        <v>1323516629</v>
      </c>
    </row>
    <row r="35" spans="1:6" x14ac:dyDescent="0.25">
      <c r="A35" s="383" t="s">
        <v>292</v>
      </c>
      <c r="B35" s="383" t="s">
        <v>72</v>
      </c>
      <c r="C35" s="384">
        <v>17045632500</v>
      </c>
      <c r="D35" s="384">
        <v>12984346860</v>
      </c>
      <c r="E35" s="384">
        <v>4061285640</v>
      </c>
      <c r="F35" s="385">
        <f t="shared" si="0"/>
        <v>4061285640</v>
      </c>
    </row>
    <row r="36" spans="1:6" x14ac:dyDescent="0.25">
      <c r="A36" s="692" t="s">
        <v>132</v>
      </c>
      <c r="B36" s="693"/>
      <c r="C36" s="380">
        <f>SUM(C26:C35)</f>
        <v>148305259093</v>
      </c>
      <c r="D36" s="380">
        <f>SUM(D26:D35)</f>
        <v>120595750194</v>
      </c>
      <c r="E36" s="380">
        <f>SUM(E26:E35)</f>
        <v>27709508899</v>
      </c>
    </row>
    <row r="39" spans="1:6" ht="36" x14ac:dyDescent="0.25">
      <c r="A39" s="377" t="s">
        <v>288</v>
      </c>
      <c r="B39" s="377" t="s">
        <v>5</v>
      </c>
      <c r="C39" s="378" t="s">
        <v>193</v>
      </c>
      <c r="D39" s="378" t="s">
        <v>295</v>
      </c>
      <c r="E39" s="378" t="s">
        <v>372</v>
      </c>
      <c r="F39" s="379" t="s">
        <v>291</v>
      </c>
    </row>
    <row r="40" spans="1:6" x14ac:dyDescent="0.25">
      <c r="A40" s="110" t="s">
        <v>292</v>
      </c>
      <c r="B40" s="110" t="s">
        <v>125</v>
      </c>
      <c r="C40" s="111">
        <v>6380996000</v>
      </c>
      <c r="D40" s="111">
        <v>6607943724</v>
      </c>
      <c r="E40" s="111">
        <v>226947724</v>
      </c>
      <c r="F40" s="132">
        <f t="shared" ref="F40" si="1">C40-D40</f>
        <v>-226947724</v>
      </c>
    </row>
    <row r="41" spans="1:6" x14ac:dyDescent="0.25">
      <c r="A41" s="692" t="s">
        <v>132</v>
      </c>
      <c r="B41" s="693"/>
      <c r="C41" s="381">
        <f>SUM(C40)</f>
        <v>6380996000</v>
      </c>
      <c r="D41" s="381">
        <f t="shared" ref="D41:E41" si="2">SUM(D40)</f>
        <v>6607943724</v>
      </c>
      <c r="E41" s="381">
        <f t="shared" si="2"/>
        <v>226947724</v>
      </c>
    </row>
    <row r="44" spans="1:6" ht="36" x14ac:dyDescent="0.25">
      <c r="A44" s="377" t="s">
        <v>288</v>
      </c>
      <c r="B44" s="377" t="s">
        <v>5</v>
      </c>
      <c r="C44" s="378" t="s">
        <v>299</v>
      </c>
      <c r="D44" s="378" t="s">
        <v>374</v>
      </c>
    </row>
    <row r="45" spans="1:6" x14ac:dyDescent="0.25">
      <c r="A45" s="387" t="s">
        <v>292</v>
      </c>
      <c r="B45" s="387" t="s">
        <v>241</v>
      </c>
      <c r="C45" s="388">
        <v>15581380880</v>
      </c>
      <c r="D45" s="388">
        <v>12465104704</v>
      </c>
    </row>
    <row r="46" spans="1:6" x14ac:dyDescent="0.25">
      <c r="A46" s="387" t="s">
        <v>292</v>
      </c>
      <c r="B46" s="387" t="s">
        <v>61</v>
      </c>
      <c r="C46" s="388">
        <v>41612781649</v>
      </c>
      <c r="D46" s="388">
        <v>33290225319</v>
      </c>
    </row>
    <row r="47" spans="1:6" x14ac:dyDescent="0.25">
      <c r="A47" s="692" t="s">
        <v>132</v>
      </c>
      <c r="B47" s="693"/>
      <c r="C47" s="381">
        <f>SUM(C45:C46)</f>
        <v>57194162529</v>
      </c>
      <c r="D47" s="381">
        <f>SUM(D45:D46)</f>
        <v>45755330023</v>
      </c>
    </row>
    <row r="49" spans="1:8" ht="36" x14ac:dyDescent="0.25">
      <c r="A49" s="377" t="s">
        <v>288</v>
      </c>
      <c r="B49" s="377" t="s">
        <v>5</v>
      </c>
      <c r="C49" s="378" t="s">
        <v>299</v>
      </c>
      <c r="D49" s="378" t="s">
        <v>302</v>
      </c>
      <c r="E49" s="378" t="s">
        <v>303</v>
      </c>
      <c r="F49" s="378" t="s">
        <v>304</v>
      </c>
    </row>
    <row r="50" spans="1:8" x14ac:dyDescent="0.25">
      <c r="A50" s="142" t="s">
        <v>292</v>
      </c>
      <c r="B50" s="142" t="s">
        <v>243</v>
      </c>
      <c r="C50" s="186">
        <v>303080037186</v>
      </c>
      <c r="D50" s="186">
        <f>C50*80%</f>
        <v>242464029748.80002</v>
      </c>
      <c r="E50" s="186">
        <f>C50*30%</f>
        <v>90924011155.800003</v>
      </c>
      <c r="F50" s="111">
        <f>D50-E50</f>
        <v>151540018593</v>
      </c>
      <c r="H50" s="382">
        <f>F51+D47</f>
        <v>197295348616</v>
      </c>
    </row>
    <row r="51" spans="1:8" x14ac:dyDescent="0.25">
      <c r="A51" s="692" t="s">
        <v>132</v>
      </c>
      <c r="B51" s="693"/>
      <c r="C51" s="381">
        <f>SUM(C50:C50)</f>
        <v>303080037186</v>
      </c>
      <c r="D51" s="381">
        <f>SUM(D50:D50)</f>
        <v>242464029748.80002</v>
      </c>
      <c r="E51" s="381">
        <f>SUM(E50:E50)</f>
        <v>90924011155.800003</v>
      </c>
      <c r="F51" s="381">
        <f>SUM(F50:F50)</f>
        <v>151540018593</v>
      </c>
    </row>
  </sheetData>
  <mergeCells count="5">
    <mergeCell ref="A23:B23"/>
    <mergeCell ref="A36:B36"/>
    <mergeCell ref="A41:B41"/>
    <mergeCell ref="A47:B47"/>
    <mergeCell ref="A51:B5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AA945-C05F-43D3-9E93-A3484DBF5BDE}">
  <sheetPr filterMode="1">
    <tabColor rgb="FFFFFF00"/>
  </sheetPr>
  <dimension ref="A1:I59"/>
  <sheetViews>
    <sheetView topLeftCell="B39" workbookViewId="0">
      <selection activeCell="E58" sqref="E58"/>
    </sheetView>
  </sheetViews>
  <sheetFormatPr baseColWidth="10" defaultColWidth="11.42578125" defaultRowHeight="15" x14ac:dyDescent="0.25"/>
  <cols>
    <col min="2" max="2" width="77.5703125" bestFit="1" customWidth="1"/>
    <col min="3" max="3" width="20" bestFit="1" customWidth="1"/>
    <col min="4" max="4" width="22.28515625" customWidth="1"/>
    <col min="5" max="5" width="19" bestFit="1" customWidth="1"/>
    <col min="6" max="6" width="20" bestFit="1" customWidth="1"/>
    <col min="7" max="9" width="19" bestFit="1" customWidth="1"/>
  </cols>
  <sheetData>
    <row r="1" spans="1:7" ht="22.5" x14ac:dyDescent="0.25">
      <c r="A1" s="390" t="s">
        <v>288</v>
      </c>
      <c r="B1" s="390" t="s">
        <v>5</v>
      </c>
      <c r="C1" s="391" t="s">
        <v>193</v>
      </c>
      <c r="D1" s="391" t="s">
        <v>295</v>
      </c>
      <c r="E1" s="391" t="s">
        <v>296</v>
      </c>
      <c r="F1" s="389" t="s">
        <v>291</v>
      </c>
    </row>
    <row r="2" spans="1:7" x14ac:dyDescent="0.25">
      <c r="A2" s="452" t="s">
        <v>297</v>
      </c>
      <c r="B2" s="453" t="s">
        <v>123</v>
      </c>
      <c r="C2" s="454">
        <v>2553006496</v>
      </c>
      <c r="D2" s="454">
        <v>1954298226</v>
      </c>
      <c r="E2" s="454">
        <v>598708270</v>
      </c>
      <c r="F2" s="455">
        <f>C2-D2</f>
        <v>598708270</v>
      </c>
      <c r="G2" s="385">
        <f>E2-F2</f>
        <v>0</v>
      </c>
    </row>
    <row r="3" spans="1:7" x14ac:dyDescent="0.25">
      <c r="A3" s="452" t="s">
        <v>297</v>
      </c>
      <c r="B3" s="453" t="s">
        <v>92</v>
      </c>
      <c r="C3" s="454">
        <v>1716027978</v>
      </c>
      <c r="D3" s="454">
        <v>1458213239</v>
      </c>
      <c r="E3" s="454">
        <v>257814739</v>
      </c>
      <c r="F3" s="455">
        <f t="shared" ref="F3:F23" si="0">C3-D3</f>
        <v>257814739</v>
      </c>
      <c r="G3" s="385">
        <f t="shared" ref="G3:G23" si="1">E3-F3</f>
        <v>0</v>
      </c>
    </row>
    <row r="4" spans="1:7" x14ac:dyDescent="0.25">
      <c r="A4" s="452" t="s">
        <v>297</v>
      </c>
      <c r="B4" s="453" t="s">
        <v>106</v>
      </c>
      <c r="C4" s="454">
        <v>14059813847</v>
      </c>
      <c r="D4" s="454">
        <v>10540359048</v>
      </c>
      <c r="E4" s="454">
        <v>3519454799</v>
      </c>
      <c r="F4" s="455">
        <f t="shared" si="0"/>
        <v>3519454799</v>
      </c>
      <c r="G4" s="385">
        <f t="shared" si="1"/>
        <v>0</v>
      </c>
    </row>
    <row r="5" spans="1:7" x14ac:dyDescent="0.25">
      <c r="A5" s="452" t="s">
        <v>297</v>
      </c>
      <c r="B5" s="453" t="s">
        <v>298</v>
      </c>
      <c r="C5" s="454">
        <v>1628971978</v>
      </c>
      <c r="D5" s="454">
        <v>1338585586</v>
      </c>
      <c r="E5" s="454">
        <v>290386392</v>
      </c>
      <c r="F5" s="455">
        <f t="shared" si="0"/>
        <v>290386392</v>
      </c>
      <c r="G5" s="385">
        <f t="shared" si="1"/>
        <v>0</v>
      </c>
    </row>
    <row r="6" spans="1:7" hidden="1" x14ac:dyDescent="0.25">
      <c r="A6" s="452" t="s">
        <v>297</v>
      </c>
      <c r="B6" s="478" t="s">
        <v>53</v>
      </c>
      <c r="C6" s="454">
        <v>4862194000</v>
      </c>
      <c r="D6" s="454">
        <v>3852818497</v>
      </c>
      <c r="E6" s="454">
        <v>1009375503</v>
      </c>
      <c r="F6" s="455">
        <f t="shared" si="0"/>
        <v>1009375503</v>
      </c>
      <c r="G6" s="385">
        <f t="shared" si="1"/>
        <v>0</v>
      </c>
    </row>
    <row r="7" spans="1:7" x14ac:dyDescent="0.25">
      <c r="A7" s="452" t="s">
        <v>297</v>
      </c>
      <c r="B7" s="453" t="s">
        <v>120</v>
      </c>
      <c r="C7" s="454">
        <v>2112918500</v>
      </c>
      <c r="D7" s="454">
        <v>1794703820</v>
      </c>
      <c r="E7" s="454">
        <v>318214680</v>
      </c>
      <c r="F7" s="455">
        <f t="shared" si="0"/>
        <v>318214680</v>
      </c>
      <c r="G7" s="385">
        <f t="shared" si="1"/>
        <v>0</v>
      </c>
    </row>
    <row r="8" spans="1:7" x14ac:dyDescent="0.25">
      <c r="A8" s="452" t="s">
        <v>297</v>
      </c>
      <c r="B8" s="453" t="s">
        <v>80</v>
      </c>
      <c r="C8" s="454">
        <v>11638363214</v>
      </c>
      <c r="D8" s="454">
        <v>8386929883</v>
      </c>
      <c r="E8" s="454">
        <v>3251433331</v>
      </c>
      <c r="F8" s="455">
        <f t="shared" si="0"/>
        <v>3251433331</v>
      </c>
      <c r="G8" s="385">
        <f t="shared" si="1"/>
        <v>0</v>
      </c>
    </row>
    <row r="9" spans="1:7" x14ac:dyDescent="0.25">
      <c r="A9" s="452" t="s">
        <v>297</v>
      </c>
      <c r="B9" s="453" t="s">
        <v>166</v>
      </c>
      <c r="C9" s="454">
        <v>5173902500</v>
      </c>
      <c r="D9" s="454">
        <v>4094313634</v>
      </c>
      <c r="E9" s="454">
        <v>1079588866</v>
      </c>
      <c r="F9" s="455">
        <f t="shared" si="0"/>
        <v>1079588866</v>
      </c>
      <c r="G9" s="385">
        <f t="shared" si="1"/>
        <v>0</v>
      </c>
    </row>
    <row r="10" spans="1:7" x14ac:dyDescent="0.25">
      <c r="A10" s="452" t="s">
        <v>297</v>
      </c>
      <c r="B10" s="453" t="s">
        <v>85</v>
      </c>
      <c r="C10" s="454">
        <v>9977802263</v>
      </c>
      <c r="D10" s="454">
        <v>7727221971</v>
      </c>
      <c r="E10" s="454">
        <v>2250580292</v>
      </c>
      <c r="F10" s="455">
        <f t="shared" si="0"/>
        <v>2250580292</v>
      </c>
      <c r="G10" s="385">
        <f t="shared" si="1"/>
        <v>0</v>
      </c>
    </row>
    <row r="11" spans="1:7" x14ac:dyDescent="0.25">
      <c r="A11" s="452" t="s">
        <v>297</v>
      </c>
      <c r="B11" s="453" t="s">
        <v>114</v>
      </c>
      <c r="C11" s="454">
        <v>5708319500</v>
      </c>
      <c r="D11" s="454">
        <v>3359297432</v>
      </c>
      <c r="E11" s="454">
        <v>2349022068</v>
      </c>
      <c r="F11" s="455">
        <f t="shared" si="0"/>
        <v>2349022068</v>
      </c>
      <c r="G11" s="385">
        <f t="shared" si="1"/>
        <v>0</v>
      </c>
    </row>
    <row r="12" spans="1:7" x14ac:dyDescent="0.25">
      <c r="A12" s="452" t="s">
        <v>297</v>
      </c>
      <c r="B12" s="453" t="s">
        <v>108</v>
      </c>
      <c r="C12" s="454">
        <v>1587511000</v>
      </c>
      <c r="D12" s="454">
        <v>1292319749</v>
      </c>
      <c r="E12" s="454">
        <v>295191251</v>
      </c>
      <c r="F12" s="455">
        <f t="shared" si="0"/>
        <v>295191251</v>
      </c>
      <c r="G12" s="385">
        <f t="shared" si="1"/>
        <v>0</v>
      </c>
    </row>
    <row r="13" spans="1:7" hidden="1" x14ac:dyDescent="0.25">
      <c r="A13" s="452" t="s">
        <v>297</v>
      </c>
      <c r="B13" s="478" t="s">
        <v>184</v>
      </c>
      <c r="C13" s="454">
        <v>171606381</v>
      </c>
      <c r="D13" s="454">
        <v>117268556</v>
      </c>
      <c r="E13" s="454">
        <v>54337825</v>
      </c>
      <c r="F13" s="455">
        <f t="shared" si="0"/>
        <v>54337825</v>
      </c>
      <c r="G13" s="385">
        <f t="shared" si="1"/>
        <v>0</v>
      </c>
    </row>
    <row r="14" spans="1:7" hidden="1" x14ac:dyDescent="0.25">
      <c r="A14" s="452" t="s">
        <v>297</v>
      </c>
      <c r="B14" s="478" t="s">
        <v>185</v>
      </c>
      <c r="C14" s="454">
        <v>692926154</v>
      </c>
      <c r="D14" s="454">
        <v>512799072</v>
      </c>
      <c r="E14" s="454">
        <v>180127082</v>
      </c>
      <c r="F14" s="455">
        <f t="shared" si="0"/>
        <v>180127082</v>
      </c>
      <c r="G14" s="385">
        <f t="shared" si="1"/>
        <v>0</v>
      </c>
    </row>
    <row r="15" spans="1:7" x14ac:dyDescent="0.25">
      <c r="A15" s="452" t="s">
        <v>297</v>
      </c>
      <c r="B15" s="453" t="s">
        <v>242</v>
      </c>
      <c r="C15" s="454">
        <v>911450000</v>
      </c>
      <c r="D15" s="454">
        <v>688515773</v>
      </c>
      <c r="E15" s="454">
        <v>222934227</v>
      </c>
      <c r="F15" s="455">
        <f t="shared" si="0"/>
        <v>222934227</v>
      </c>
      <c r="G15" s="385">
        <f t="shared" si="1"/>
        <v>0</v>
      </c>
    </row>
    <row r="16" spans="1:7" hidden="1" x14ac:dyDescent="0.25">
      <c r="A16" s="452" t="s">
        <v>297</v>
      </c>
      <c r="B16" s="478" t="s">
        <v>186</v>
      </c>
      <c r="C16" s="454">
        <v>1671529612</v>
      </c>
      <c r="D16" s="454">
        <v>1460859004</v>
      </c>
      <c r="E16" s="454">
        <v>210670608</v>
      </c>
      <c r="F16" s="455">
        <f t="shared" si="0"/>
        <v>210670608</v>
      </c>
      <c r="G16" s="385">
        <f t="shared" si="1"/>
        <v>0</v>
      </c>
    </row>
    <row r="17" spans="1:9" x14ac:dyDescent="0.25">
      <c r="A17" s="452" t="s">
        <v>297</v>
      </c>
      <c r="B17" s="453" t="s">
        <v>126</v>
      </c>
      <c r="C17" s="454">
        <v>2055296800</v>
      </c>
      <c r="D17" s="454">
        <v>1848762548</v>
      </c>
      <c r="E17" s="454">
        <v>206534252</v>
      </c>
      <c r="F17" s="455">
        <f t="shared" si="0"/>
        <v>206534252</v>
      </c>
      <c r="G17" s="385">
        <f t="shared" si="1"/>
        <v>0</v>
      </c>
    </row>
    <row r="18" spans="1:9" hidden="1" x14ac:dyDescent="0.25">
      <c r="A18" s="452" t="s">
        <v>297</v>
      </c>
      <c r="B18" s="478" t="s">
        <v>90</v>
      </c>
      <c r="C18" s="454">
        <v>5279248739</v>
      </c>
      <c r="D18" s="454">
        <v>4070077998</v>
      </c>
      <c r="E18" s="454">
        <v>1209170741</v>
      </c>
      <c r="F18" s="455">
        <f t="shared" si="0"/>
        <v>1209170741</v>
      </c>
      <c r="G18" s="385">
        <f t="shared" si="1"/>
        <v>0</v>
      </c>
    </row>
    <row r="19" spans="1:9" x14ac:dyDescent="0.25">
      <c r="A19" s="452" t="s">
        <v>297</v>
      </c>
      <c r="B19" s="453" t="s">
        <v>63</v>
      </c>
      <c r="C19" s="454">
        <v>5272684716</v>
      </c>
      <c r="D19" s="454">
        <v>4175685591</v>
      </c>
      <c r="E19" s="454">
        <v>1096999125</v>
      </c>
      <c r="F19" s="455">
        <f t="shared" si="0"/>
        <v>1096999125</v>
      </c>
      <c r="G19" s="385">
        <f t="shared" si="1"/>
        <v>0</v>
      </c>
    </row>
    <row r="20" spans="1:9" x14ac:dyDescent="0.25">
      <c r="A20" s="452" t="s">
        <v>297</v>
      </c>
      <c r="B20" s="453" t="s">
        <v>89</v>
      </c>
      <c r="C20" s="454">
        <v>10074420450</v>
      </c>
      <c r="D20" s="454">
        <v>8828819251</v>
      </c>
      <c r="E20" s="454">
        <v>1245601199</v>
      </c>
      <c r="F20" s="455">
        <f t="shared" si="0"/>
        <v>1245601199</v>
      </c>
      <c r="G20" s="385">
        <f t="shared" si="1"/>
        <v>0</v>
      </c>
    </row>
    <row r="21" spans="1:9" x14ac:dyDescent="0.25">
      <c r="A21" s="452" t="s">
        <v>297</v>
      </c>
      <c r="B21" s="453" t="s">
        <v>87</v>
      </c>
      <c r="C21" s="454">
        <v>25761184530</v>
      </c>
      <c r="D21" s="454">
        <v>20017015916</v>
      </c>
      <c r="E21" s="454">
        <v>5744168614</v>
      </c>
      <c r="F21" s="455">
        <f t="shared" si="0"/>
        <v>5744168614</v>
      </c>
      <c r="G21" s="385">
        <f t="shared" si="1"/>
        <v>0</v>
      </c>
    </row>
    <row r="22" spans="1:9" x14ac:dyDescent="0.25">
      <c r="A22" s="452" t="s">
        <v>297</v>
      </c>
      <c r="B22" s="453" t="s">
        <v>113</v>
      </c>
      <c r="C22" s="454">
        <v>22147589192</v>
      </c>
      <c r="D22" s="454">
        <v>15978384097</v>
      </c>
      <c r="E22" s="454">
        <v>6169205095</v>
      </c>
      <c r="F22" s="455">
        <f t="shared" si="0"/>
        <v>6169205095</v>
      </c>
      <c r="G22" s="385">
        <f t="shared" si="1"/>
        <v>0</v>
      </c>
    </row>
    <row r="23" spans="1:9" x14ac:dyDescent="0.25">
      <c r="A23" s="452" t="s">
        <v>297</v>
      </c>
      <c r="B23" s="453" t="s">
        <v>66</v>
      </c>
      <c r="C23" s="454">
        <v>48285445000</v>
      </c>
      <c r="D23" s="454">
        <v>33043534743</v>
      </c>
      <c r="E23" s="454">
        <v>15241910257</v>
      </c>
      <c r="F23" s="455">
        <f t="shared" si="0"/>
        <v>15241910257</v>
      </c>
      <c r="G23" s="385">
        <f t="shared" si="1"/>
        <v>0</v>
      </c>
    </row>
    <row r="24" spans="1:9" hidden="1" x14ac:dyDescent="0.25">
      <c r="A24" s="689" t="s">
        <v>132</v>
      </c>
      <c r="B24" s="689"/>
      <c r="C24" s="380">
        <f>SUM(C2:C23)</f>
        <v>183342212850</v>
      </c>
      <c r="D24" s="380">
        <f>SUM(D2:D23)</f>
        <v>136540783634</v>
      </c>
      <c r="E24" s="380">
        <f>SUM(E2:E23)</f>
        <v>46801429216</v>
      </c>
      <c r="F24" s="132"/>
    </row>
    <row r="27" spans="1:9" ht="22.5" x14ac:dyDescent="0.25">
      <c r="A27" s="390" t="s">
        <v>288</v>
      </c>
      <c r="B27" s="390" t="s">
        <v>5</v>
      </c>
      <c r="C27" s="391" t="s">
        <v>193</v>
      </c>
      <c r="D27" s="391" t="s">
        <v>295</v>
      </c>
      <c r="E27" s="391" t="s">
        <v>296</v>
      </c>
      <c r="F27" s="389" t="s">
        <v>291</v>
      </c>
    </row>
    <row r="28" spans="1:9" x14ac:dyDescent="0.25">
      <c r="A28" s="452" t="s">
        <v>292</v>
      </c>
      <c r="B28" s="383" t="s">
        <v>88</v>
      </c>
      <c r="C28" s="384">
        <v>15773347900</v>
      </c>
      <c r="D28" s="384">
        <v>13716916364</v>
      </c>
      <c r="E28" s="384">
        <v>2056431536</v>
      </c>
      <c r="F28" s="456">
        <f>C28-D28</f>
        <v>2056431536</v>
      </c>
      <c r="G28" s="385">
        <f>E28-F28</f>
        <v>0</v>
      </c>
      <c r="I28">
        <f>15+17</f>
        <v>32</v>
      </c>
    </row>
    <row r="29" spans="1:9" x14ac:dyDescent="0.25">
      <c r="A29" s="452" t="s">
        <v>292</v>
      </c>
      <c r="B29" s="383" t="s">
        <v>121</v>
      </c>
      <c r="C29" s="384">
        <v>14150834417</v>
      </c>
      <c r="D29" s="384">
        <v>12382083343</v>
      </c>
      <c r="E29" s="384">
        <v>1768751074</v>
      </c>
      <c r="F29" s="456">
        <f t="shared" ref="F29:F41" si="2">C29-D29</f>
        <v>1768751074</v>
      </c>
      <c r="G29" s="385">
        <f t="shared" ref="G29:G41" si="3">E29-F29</f>
        <v>0</v>
      </c>
      <c r="I29" s="412">
        <f>E24+E43</f>
        <v>92653640981</v>
      </c>
    </row>
    <row r="30" spans="1:9" x14ac:dyDescent="0.25">
      <c r="A30" s="452" t="s">
        <v>292</v>
      </c>
      <c r="B30" s="383" t="s">
        <v>96</v>
      </c>
      <c r="C30" s="384">
        <v>9176057900</v>
      </c>
      <c r="D30" s="384">
        <v>7246926608</v>
      </c>
      <c r="E30" s="384">
        <v>1929131292</v>
      </c>
      <c r="F30" s="456">
        <f t="shared" si="2"/>
        <v>1929131292</v>
      </c>
      <c r="G30" s="385">
        <f t="shared" si="3"/>
        <v>0</v>
      </c>
      <c r="I30" s="413">
        <f>14+23</f>
        <v>37</v>
      </c>
    </row>
    <row r="31" spans="1:9" x14ac:dyDescent="0.25">
      <c r="A31" s="452" t="s">
        <v>292</v>
      </c>
      <c r="B31" s="383" t="s">
        <v>50</v>
      </c>
      <c r="C31" s="384">
        <v>21074881722</v>
      </c>
      <c r="D31" s="384">
        <v>14681001976</v>
      </c>
      <c r="E31" s="384">
        <v>6393879746</v>
      </c>
      <c r="F31" s="456">
        <f t="shared" si="2"/>
        <v>6393879746</v>
      </c>
      <c r="G31" s="385">
        <f t="shared" si="3"/>
        <v>0</v>
      </c>
      <c r="I31" s="132">
        <v>44137747457</v>
      </c>
    </row>
    <row r="32" spans="1:9" x14ac:dyDescent="0.25">
      <c r="A32" s="452" t="s">
        <v>292</v>
      </c>
      <c r="B32" s="383" t="s">
        <v>79</v>
      </c>
      <c r="C32" s="384">
        <v>5627842418</v>
      </c>
      <c r="D32" s="384">
        <v>4251351066</v>
      </c>
      <c r="E32" s="384">
        <v>1376491352</v>
      </c>
      <c r="F32" s="456">
        <f t="shared" si="2"/>
        <v>1376491352</v>
      </c>
      <c r="G32" s="385">
        <f t="shared" si="3"/>
        <v>0</v>
      </c>
      <c r="I32" s="132">
        <f>+E43</f>
        <v>45852211765</v>
      </c>
    </row>
    <row r="33" spans="1:9" x14ac:dyDescent="0.25">
      <c r="A33" s="452" t="s">
        <v>292</v>
      </c>
      <c r="B33" s="383" t="s">
        <v>98</v>
      </c>
      <c r="C33" s="384">
        <v>8347927200</v>
      </c>
      <c r="D33" s="384">
        <v>6054635250</v>
      </c>
      <c r="E33" s="384">
        <v>2293291950</v>
      </c>
      <c r="F33" s="456">
        <f t="shared" si="2"/>
        <v>2293291950</v>
      </c>
      <c r="G33" s="385">
        <f t="shared" si="3"/>
        <v>0</v>
      </c>
      <c r="I33" s="132">
        <f>SUM(I31+I32)</f>
        <v>89989959222</v>
      </c>
    </row>
    <row r="34" spans="1:9" x14ac:dyDescent="0.25">
      <c r="A34" s="452" t="s">
        <v>292</v>
      </c>
      <c r="B34" s="383" t="s">
        <v>231</v>
      </c>
      <c r="C34" s="384">
        <v>29200666153</v>
      </c>
      <c r="D34" s="384">
        <v>21301218741</v>
      </c>
      <c r="E34" s="384">
        <v>7899447412</v>
      </c>
      <c r="F34" s="456">
        <f t="shared" si="2"/>
        <v>7899447412</v>
      </c>
      <c r="G34" s="385">
        <f t="shared" si="3"/>
        <v>0</v>
      </c>
    </row>
    <row r="35" spans="1:9" x14ac:dyDescent="0.25">
      <c r="A35" s="452" t="s">
        <v>292</v>
      </c>
      <c r="B35" s="383" t="s">
        <v>74</v>
      </c>
      <c r="C35" s="384">
        <v>13606080489</v>
      </c>
      <c r="D35" s="384">
        <v>10615660628</v>
      </c>
      <c r="E35" s="384">
        <v>2990419861</v>
      </c>
      <c r="F35" s="456">
        <f t="shared" si="2"/>
        <v>2990419861</v>
      </c>
      <c r="G35" s="385">
        <f t="shared" si="3"/>
        <v>0</v>
      </c>
    </row>
    <row r="36" spans="1:9" x14ac:dyDescent="0.25">
      <c r="A36" s="452" t="s">
        <v>292</v>
      </c>
      <c r="B36" s="383" t="s">
        <v>93</v>
      </c>
      <c r="C36" s="384">
        <v>24557390000</v>
      </c>
      <c r="D36" s="384">
        <v>22482869192</v>
      </c>
      <c r="E36" s="384">
        <v>2074520808</v>
      </c>
      <c r="F36" s="456">
        <f t="shared" si="2"/>
        <v>2074520808</v>
      </c>
      <c r="G36" s="385">
        <f t="shared" si="3"/>
        <v>0</v>
      </c>
    </row>
    <row r="37" spans="1:9" x14ac:dyDescent="0.25">
      <c r="A37" s="452" t="s">
        <v>292</v>
      </c>
      <c r="B37" s="383" t="s">
        <v>102</v>
      </c>
      <c r="C37" s="384">
        <v>15946500940</v>
      </c>
      <c r="D37" s="384">
        <v>12206451486</v>
      </c>
      <c r="E37" s="384">
        <v>3740049454</v>
      </c>
      <c r="F37" s="456">
        <f t="shared" si="2"/>
        <v>3740049454</v>
      </c>
      <c r="G37" s="385">
        <f t="shared" si="3"/>
        <v>0</v>
      </c>
    </row>
    <row r="38" spans="1:9" x14ac:dyDescent="0.25">
      <c r="A38" s="452" t="s">
        <v>292</v>
      </c>
      <c r="B38" s="383" t="s">
        <v>101</v>
      </c>
      <c r="C38" s="384">
        <v>4282506500</v>
      </c>
      <c r="D38" s="384">
        <v>3172339085</v>
      </c>
      <c r="E38" s="384">
        <v>1110167415</v>
      </c>
      <c r="F38" s="456">
        <f t="shared" si="2"/>
        <v>1110167415</v>
      </c>
      <c r="G38" s="385">
        <f t="shared" si="3"/>
        <v>0</v>
      </c>
    </row>
    <row r="39" spans="1:9" x14ac:dyDescent="0.25">
      <c r="A39" s="452" t="s">
        <v>292</v>
      </c>
      <c r="B39" s="383" t="s">
        <v>69</v>
      </c>
      <c r="C39" s="384">
        <v>23138873434</v>
      </c>
      <c r="D39" s="384">
        <v>20883796616</v>
      </c>
      <c r="E39" s="384">
        <v>2255076818</v>
      </c>
      <c r="F39" s="456">
        <f t="shared" si="2"/>
        <v>2255076818</v>
      </c>
      <c r="G39" s="385">
        <f t="shared" si="3"/>
        <v>0</v>
      </c>
    </row>
    <row r="40" spans="1:9" x14ac:dyDescent="0.25">
      <c r="A40" s="452" t="s">
        <v>292</v>
      </c>
      <c r="B40" s="383" t="s">
        <v>62</v>
      </c>
      <c r="C40" s="384">
        <v>4795390500</v>
      </c>
      <c r="D40" s="384">
        <v>3471873871</v>
      </c>
      <c r="E40" s="384">
        <v>1323516629</v>
      </c>
      <c r="F40" s="456">
        <f t="shared" si="2"/>
        <v>1323516629</v>
      </c>
      <c r="G40" s="385">
        <f t="shared" si="3"/>
        <v>0</v>
      </c>
    </row>
    <row r="41" spans="1:9" x14ac:dyDescent="0.25">
      <c r="A41" s="452" t="s">
        <v>292</v>
      </c>
      <c r="B41" s="383" t="s">
        <v>248</v>
      </c>
      <c r="C41" s="384">
        <v>20873431850</v>
      </c>
      <c r="D41" s="384">
        <v>16293681072</v>
      </c>
      <c r="E41" s="384">
        <v>4579750778</v>
      </c>
      <c r="F41" s="456">
        <f t="shared" si="2"/>
        <v>4579750778</v>
      </c>
      <c r="G41" s="385">
        <f t="shared" si="3"/>
        <v>0</v>
      </c>
    </row>
    <row r="42" spans="1:9" x14ac:dyDescent="0.25">
      <c r="A42" s="452" t="s">
        <v>292</v>
      </c>
      <c r="B42" s="383" t="s">
        <v>72</v>
      </c>
      <c r="C42" s="384">
        <v>17045632500</v>
      </c>
      <c r="D42" s="384">
        <v>12984346860</v>
      </c>
      <c r="E42" s="384">
        <v>4061285640</v>
      </c>
      <c r="F42" s="456">
        <f>C42-D42</f>
        <v>4061285640</v>
      </c>
      <c r="G42" s="385">
        <f>E42-F42</f>
        <v>0</v>
      </c>
    </row>
    <row r="43" spans="1:9" x14ac:dyDescent="0.25">
      <c r="A43" s="689" t="s">
        <v>132</v>
      </c>
      <c r="B43" s="689"/>
      <c r="C43" s="380">
        <f>SUM(C28:C42)</f>
        <v>227597363923</v>
      </c>
      <c r="D43" s="380">
        <f>SUM(D28:D42)</f>
        <v>181745152158</v>
      </c>
      <c r="E43" s="380">
        <f>SUM(E28:E42)</f>
        <v>45852211765</v>
      </c>
      <c r="F43" s="132"/>
    </row>
    <row r="46" spans="1:9" ht="36" x14ac:dyDescent="0.25">
      <c r="A46" s="377" t="s">
        <v>288</v>
      </c>
      <c r="B46" s="377" t="s">
        <v>5</v>
      </c>
      <c r="C46" s="378" t="s">
        <v>193</v>
      </c>
      <c r="D46" s="378" t="s">
        <v>295</v>
      </c>
      <c r="E46" s="378" t="s">
        <v>372</v>
      </c>
      <c r="F46" s="379" t="s">
        <v>291</v>
      </c>
    </row>
    <row r="47" spans="1:9" x14ac:dyDescent="0.25">
      <c r="A47" s="457" t="s">
        <v>292</v>
      </c>
      <c r="B47" s="458" t="s">
        <v>125</v>
      </c>
      <c r="C47" s="459">
        <v>6380996000</v>
      </c>
      <c r="D47" s="459">
        <v>6607943724</v>
      </c>
      <c r="E47" s="459">
        <v>226947724</v>
      </c>
      <c r="F47" s="385">
        <f t="shared" ref="F47:F48" si="4">C47-D47</f>
        <v>-226947724</v>
      </c>
    </row>
    <row r="48" spans="1:9" x14ac:dyDescent="0.25">
      <c r="A48" s="457" t="s">
        <v>292</v>
      </c>
      <c r="B48" s="460" t="s">
        <v>122</v>
      </c>
      <c r="C48" s="459">
        <v>4790279500</v>
      </c>
      <c r="D48" s="459">
        <v>5949594916</v>
      </c>
      <c r="E48" s="459">
        <v>1159315416</v>
      </c>
      <c r="F48" s="385">
        <f t="shared" si="4"/>
        <v>-1159315416</v>
      </c>
    </row>
    <row r="49" spans="1:8" x14ac:dyDescent="0.25">
      <c r="A49" s="711" t="s">
        <v>132</v>
      </c>
      <c r="B49" s="712"/>
      <c r="C49" s="381">
        <f>SUM(C47:C48)</f>
        <v>11171275500</v>
      </c>
      <c r="D49" s="381">
        <f t="shared" ref="D49:E49" si="5">SUM(D47:D48)</f>
        <v>12557538640</v>
      </c>
      <c r="E49" s="381">
        <f t="shared" si="5"/>
        <v>1386263140</v>
      </c>
    </row>
    <row r="52" spans="1:8" ht="36" x14ac:dyDescent="0.25">
      <c r="A52" s="377" t="s">
        <v>288</v>
      </c>
      <c r="B52" s="377" t="s">
        <v>5</v>
      </c>
      <c r="C52" s="378" t="s">
        <v>299</v>
      </c>
      <c r="D52" s="378" t="s">
        <v>374</v>
      </c>
      <c r="E52" s="29"/>
    </row>
    <row r="53" spans="1:8" x14ac:dyDescent="0.25">
      <c r="A53" s="387" t="s">
        <v>292</v>
      </c>
      <c r="B53" s="387" t="s">
        <v>241</v>
      </c>
      <c r="C53" s="388">
        <v>15581380880</v>
      </c>
      <c r="D53" s="388">
        <v>12465104704</v>
      </c>
      <c r="E53" s="29"/>
    </row>
    <row r="54" spans="1:8" x14ac:dyDescent="0.25">
      <c r="A54" s="387" t="s">
        <v>292</v>
      </c>
      <c r="B54" s="387" t="s">
        <v>61</v>
      </c>
      <c r="C54" s="388">
        <v>41612781649</v>
      </c>
      <c r="D54" s="388">
        <v>33290225319</v>
      </c>
      <c r="E54" s="29"/>
    </row>
    <row r="55" spans="1:8" x14ac:dyDescent="0.25">
      <c r="A55" s="692" t="s">
        <v>132</v>
      </c>
      <c r="B55" s="693"/>
      <c r="C55" s="381">
        <f>SUM(C53:C54)</f>
        <v>57194162529</v>
      </c>
      <c r="D55" s="381">
        <f>SUM(D53:D54)</f>
        <v>45755330023</v>
      </c>
      <c r="E55" s="29"/>
    </row>
    <row r="56" spans="1:8" x14ac:dyDescent="0.25">
      <c r="C56" s="29"/>
      <c r="D56" s="29"/>
      <c r="E56" s="29"/>
    </row>
    <row r="57" spans="1:8" ht="36" x14ac:dyDescent="0.25">
      <c r="A57" s="377" t="s">
        <v>288</v>
      </c>
      <c r="B57" s="377" t="s">
        <v>5</v>
      </c>
      <c r="C57" s="378" t="s">
        <v>299</v>
      </c>
      <c r="D57" s="378" t="s">
        <v>302</v>
      </c>
      <c r="E57" s="378" t="s">
        <v>303</v>
      </c>
      <c r="F57" s="378" t="s">
        <v>304</v>
      </c>
      <c r="H57" s="132">
        <f>C58-D58</f>
        <v>60616007437</v>
      </c>
    </row>
    <row r="58" spans="1:8" x14ac:dyDescent="0.25">
      <c r="A58" s="387" t="s">
        <v>292</v>
      </c>
      <c r="B58" s="387" t="s">
        <v>243</v>
      </c>
      <c r="C58" s="388">
        <v>303080037186</v>
      </c>
      <c r="D58" s="388">
        <f>ROUND(C58*80%,0)</f>
        <v>242464029749</v>
      </c>
      <c r="E58" s="388">
        <f>ROUND(C58*30%,0)</f>
        <v>90924011156</v>
      </c>
      <c r="F58" s="461">
        <f>D58-E58</f>
        <v>151540018593</v>
      </c>
      <c r="G58" s="132">
        <f>C58-D58</f>
        <v>60616007437</v>
      </c>
    </row>
    <row r="59" spans="1:8" x14ac:dyDescent="0.25">
      <c r="A59" s="692" t="s">
        <v>132</v>
      </c>
      <c r="B59" s="693"/>
      <c r="C59" s="381">
        <f>SUM(C58:C58)</f>
        <v>303080037186</v>
      </c>
      <c r="D59" s="381">
        <f>SUM(D58:D58)</f>
        <v>242464029749</v>
      </c>
      <c r="E59" s="381">
        <f>SUM(E58:E58)</f>
        <v>90924011156</v>
      </c>
      <c r="F59" s="381">
        <f>SUM(F58:F58)</f>
        <v>151540018593</v>
      </c>
    </row>
  </sheetData>
  <autoFilter ref="A1:G24" xr:uid="{D15AA945-C05F-43D3-9E93-A3484DBF5BDE}">
    <filterColumn colId="1">
      <colorFilter dxfId="153"/>
    </filterColumn>
  </autoFilter>
  <mergeCells count="5">
    <mergeCell ref="A24:B24"/>
    <mergeCell ref="A43:B43"/>
    <mergeCell ref="A49:B49"/>
    <mergeCell ref="A55:B55"/>
    <mergeCell ref="A59:B59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62E8F-EF55-4C23-9738-F20BF909CFB1}">
  <sheetPr>
    <tabColor rgb="FFC00000"/>
  </sheetPr>
  <dimension ref="A1:G12"/>
  <sheetViews>
    <sheetView workbookViewId="0">
      <selection activeCell="F8" sqref="F8:G8"/>
    </sheetView>
  </sheetViews>
  <sheetFormatPr baseColWidth="10" defaultColWidth="11.42578125" defaultRowHeight="15" x14ac:dyDescent="0.25"/>
  <cols>
    <col min="1" max="1" width="21.28515625" customWidth="1"/>
    <col min="2" max="2" width="29.7109375" customWidth="1"/>
    <col min="3" max="3" width="19.140625" customWidth="1"/>
    <col min="4" max="4" width="21.42578125" customWidth="1"/>
    <col min="5" max="5" width="29.28515625" customWidth="1"/>
    <col min="7" max="7" width="63.140625" customWidth="1"/>
  </cols>
  <sheetData>
    <row r="1" spans="1:7" ht="33.75" x14ac:dyDescent="0.25">
      <c r="A1" s="390" t="s">
        <v>5</v>
      </c>
      <c r="B1" s="391" t="s">
        <v>193</v>
      </c>
      <c r="C1" s="391" t="s">
        <v>295</v>
      </c>
      <c r="D1" s="391" t="s">
        <v>296</v>
      </c>
      <c r="E1" s="389" t="s">
        <v>291</v>
      </c>
    </row>
    <row r="2" spans="1:7" ht="45" x14ac:dyDescent="0.25">
      <c r="A2" s="167" t="s">
        <v>60</v>
      </c>
      <c r="B2" s="354">
        <v>17933738400</v>
      </c>
      <c r="C2" s="354">
        <v>14454940991</v>
      </c>
      <c r="D2" s="354">
        <v>3478797408</v>
      </c>
      <c r="E2" s="540">
        <f t="shared" ref="E2" si="0">B2-C2</f>
        <v>3478797409</v>
      </c>
      <c r="F2" s="539">
        <f>D2-E2</f>
        <v>-1</v>
      </c>
      <c r="G2" s="538" t="s">
        <v>418</v>
      </c>
    </row>
    <row r="5" spans="1:7" ht="33.75" x14ac:dyDescent="0.25">
      <c r="A5" s="390" t="s">
        <v>5</v>
      </c>
      <c r="B5" s="391" t="s">
        <v>373</v>
      </c>
      <c r="C5" s="391" t="s">
        <v>374</v>
      </c>
      <c r="D5" s="391" t="s">
        <v>375</v>
      </c>
      <c r="E5" s="379" t="s">
        <v>291</v>
      </c>
    </row>
    <row r="6" spans="1:7" ht="75" x14ac:dyDescent="0.25">
      <c r="A6" s="166" t="s">
        <v>123</v>
      </c>
      <c r="B6" s="354">
        <v>2659766281</v>
      </c>
      <c r="C6" s="354">
        <v>2034131508</v>
      </c>
      <c r="D6" s="354">
        <v>625634772</v>
      </c>
      <c r="E6" s="540">
        <f>B6-C6</f>
        <v>625634773</v>
      </c>
      <c r="F6" s="539">
        <f>D6-E6</f>
        <v>-1</v>
      </c>
      <c r="G6" s="538" t="s">
        <v>419</v>
      </c>
    </row>
    <row r="7" spans="1:7" ht="75" x14ac:dyDescent="0.25">
      <c r="A7" s="166" t="s">
        <v>86</v>
      </c>
      <c r="B7" s="354">
        <v>23404993200</v>
      </c>
      <c r="C7" s="354">
        <v>17737683809</v>
      </c>
      <c r="D7" s="354">
        <v>5667309392</v>
      </c>
      <c r="E7" s="540">
        <f t="shared" ref="E7" si="1">B7-C7</f>
        <v>5667309391</v>
      </c>
      <c r="F7" s="539">
        <f t="shared" ref="F7" si="2">D7-E7</f>
        <v>1</v>
      </c>
      <c r="G7" s="538" t="s">
        <v>420</v>
      </c>
    </row>
    <row r="8" spans="1:7" ht="30" x14ac:dyDescent="0.25">
      <c r="A8" s="167" t="s">
        <v>106</v>
      </c>
      <c r="B8" s="542">
        <v>14791640243</v>
      </c>
      <c r="C8" s="542">
        <v>11819843082</v>
      </c>
      <c r="D8" s="542">
        <v>2971797161</v>
      </c>
      <c r="E8" s="542">
        <v>2971797161</v>
      </c>
      <c r="F8" s="543"/>
      <c r="G8" s="543" t="s">
        <v>421</v>
      </c>
    </row>
    <row r="10" spans="1:7" ht="36" x14ac:dyDescent="0.25">
      <c r="A10" s="377" t="s">
        <v>5</v>
      </c>
      <c r="B10" s="378" t="s">
        <v>373</v>
      </c>
      <c r="C10" s="378" t="s">
        <v>374</v>
      </c>
      <c r="D10" s="378" t="s">
        <v>385</v>
      </c>
      <c r="E10" s="379" t="s">
        <v>291</v>
      </c>
    </row>
    <row r="11" spans="1:7" ht="75" x14ac:dyDescent="0.25">
      <c r="A11" s="167" t="s">
        <v>186</v>
      </c>
      <c r="B11" s="354">
        <v>1596341800</v>
      </c>
      <c r="C11" s="354">
        <v>1844782010</v>
      </c>
      <c r="D11" s="354">
        <v>248440211</v>
      </c>
      <c r="E11" s="540">
        <f>C11-B11</f>
        <v>248440210</v>
      </c>
      <c r="F11" s="539">
        <f>D11-E11</f>
        <v>1</v>
      </c>
      <c r="G11" s="538" t="s">
        <v>422</v>
      </c>
    </row>
    <row r="12" spans="1:7" x14ac:dyDescent="0.25">
      <c r="A12" s="536" t="s">
        <v>132</v>
      </c>
      <c r="B12" s="537">
        <f>SUM(B11)</f>
        <v>1596341800</v>
      </c>
      <c r="C12" s="537">
        <f t="shared" ref="C12:E12" si="3">SUM(C11)</f>
        <v>1844782010</v>
      </c>
      <c r="D12" s="537">
        <f t="shared" si="3"/>
        <v>248440211</v>
      </c>
      <c r="E12" s="537">
        <f t="shared" si="3"/>
        <v>248440210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70"/>
  <sheetViews>
    <sheetView topLeftCell="B1" workbookViewId="0">
      <pane xSplit="1" topLeftCell="C1" activePane="topRight" state="frozen"/>
      <selection activeCell="B1" sqref="B1"/>
      <selection pane="topRight" activeCell="B7" sqref="B7"/>
    </sheetView>
  </sheetViews>
  <sheetFormatPr baseColWidth="10" defaultColWidth="11.42578125" defaultRowHeight="15" x14ac:dyDescent="0.25"/>
  <cols>
    <col min="1" max="1" width="4.7109375" style="1" customWidth="1"/>
    <col min="2" max="2" width="62.5703125" style="1" bestFit="1" customWidth="1"/>
    <col min="3" max="3" width="24.140625" style="1" bestFit="1" customWidth="1"/>
    <col min="4" max="4" width="24.42578125" style="1" bestFit="1" customWidth="1"/>
    <col min="5" max="6" width="23.28515625" style="1" customWidth="1"/>
    <col min="7" max="9" width="13.140625" style="1" customWidth="1"/>
    <col min="10" max="10" width="18" style="1" customWidth="1"/>
    <col min="11" max="11" width="26.140625" style="1" bestFit="1" customWidth="1"/>
    <col min="12" max="13" width="25.140625" style="1" customWidth="1"/>
    <col min="14" max="14" width="27.42578125" style="15" customWidth="1"/>
    <col min="15" max="15" width="42.7109375" style="15" customWidth="1"/>
    <col min="16" max="16" width="27.140625" style="1" customWidth="1"/>
    <col min="17" max="17" width="25.140625" style="6" bestFit="1" customWidth="1"/>
    <col min="18" max="20" width="28.140625" style="6" customWidth="1"/>
    <col min="21" max="21" width="24.42578125" style="1" bestFit="1" customWidth="1"/>
    <col min="22" max="22" width="15.42578125" style="1" bestFit="1" customWidth="1"/>
    <col min="23" max="23" width="15.85546875" style="1" bestFit="1" customWidth="1"/>
    <col min="24" max="24" width="18.7109375" style="1" bestFit="1" customWidth="1"/>
    <col min="25" max="25" width="33.42578125" style="1" customWidth="1"/>
    <col min="26" max="26" width="27.140625" style="85" customWidth="1"/>
    <col min="27" max="29" width="27.140625" style="1" customWidth="1"/>
    <col min="30" max="30" width="44.85546875" style="1" bestFit="1" customWidth="1"/>
  </cols>
  <sheetData>
    <row r="1" spans="1:30" s="4" customFormat="1" ht="66.599999999999994" customHeight="1" x14ac:dyDescent="0.25">
      <c r="A1" s="3" t="s">
        <v>11</v>
      </c>
      <c r="B1" s="3" t="s">
        <v>12</v>
      </c>
      <c r="C1" s="3" t="s">
        <v>13</v>
      </c>
      <c r="D1" s="3" t="s">
        <v>14</v>
      </c>
      <c r="E1" s="3" t="s">
        <v>15</v>
      </c>
      <c r="F1" s="27" t="s">
        <v>16</v>
      </c>
      <c r="G1" s="99" t="s">
        <v>17</v>
      </c>
      <c r="H1" s="38" t="s">
        <v>18</v>
      </c>
      <c r="I1" s="52" t="s">
        <v>19</v>
      </c>
      <c r="J1" s="27" t="s">
        <v>20</v>
      </c>
      <c r="K1" s="102" t="s">
        <v>21</v>
      </c>
      <c r="L1" s="3" t="s">
        <v>22</v>
      </c>
      <c r="M1" s="3" t="s">
        <v>23</v>
      </c>
      <c r="N1" s="19" t="s">
        <v>24</v>
      </c>
      <c r="O1" s="19" t="s">
        <v>25</v>
      </c>
      <c r="P1" s="3" t="s">
        <v>26</v>
      </c>
      <c r="Q1" s="39" t="s">
        <v>27</v>
      </c>
      <c r="R1" s="39" t="s">
        <v>28</v>
      </c>
      <c r="S1" s="39" t="s">
        <v>29</v>
      </c>
      <c r="T1" s="39" t="s">
        <v>30</v>
      </c>
      <c r="U1" s="99" t="s">
        <v>31</v>
      </c>
      <c r="V1" s="39" t="s">
        <v>32</v>
      </c>
      <c r="W1" s="39" t="s">
        <v>33</v>
      </c>
      <c r="X1" s="39" t="s">
        <v>34</v>
      </c>
      <c r="Y1" s="39" t="s">
        <v>35</v>
      </c>
      <c r="Z1" s="105" t="s">
        <v>36</v>
      </c>
      <c r="AA1" s="38" t="s">
        <v>37</v>
      </c>
      <c r="AB1" s="52" t="s">
        <v>38</v>
      </c>
      <c r="AC1" s="27" t="s">
        <v>39</v>
      </c>
      <c r="AD1" s="102" t="s">
        <v>40</v>
      </c>
    </row>
    <row r="2" spans="1:30" x14ac:dyDescent="0.25">
      <c r="A2" s="2">
        <v>1</v>
      </c>
      <c r="B2" s="53" t="s">
        <v>41</v>
      </c>
      <c r="C2" s="2" t="s">
        <v>42</v>
      </c>
      <c r="D2" s="30">
        <v>13861872203</v>
      </c>
      <c r="E2" s="13">
        <f>Tabla136[[#This Row],[VALOR PROYECTADO 2023-1]]*80%</f>
        <v>11089497762.400002</v>
      </c>
      <c r="F2" s="13"/>
      <c r="G2" s="8" t="s">
        <v>43</v>
      </c>
      <c r="H2" s="8" t="s">
        <v>44</v>
      </c>
      <c r="I2" s="8" t="s">
        <v>45</v>
      </c>
      <c r="J2" s="14">
        <v>45266</v>
      </c>
      <c r="K2" s="14"/>
      <c r="L2" s="40">
        <v>1418216941</v>
      </c>
      <c r="N2" s="74">
        <v>12507714704</v>
      </c>
      <c r="O2" s="25">
        <f>Tabla136[[#This Row],[VALOR PROYECTADO 2023-1]]-Tabla136[[#This Row],[VALOR EJECUTADO 2023-1]]</f>
        <v>1354157499</v>
      </c>
      <c r="P2" s="26">
        <f>Tabla136[[#This Row],[VALOR EJECUTADO 2023-1]]/Tabla136[[#This Row],[VALOR PROYECTADO 2023-1]]</f>
        <v>0.90231063458318916</v>
      </c>
      <c r="Q2" s="6">
        <f>VLOOKUP(Tabla136[[#This Row],[NOMBRE IES]],'[1]INFORMACIÓN IES'!$B:$M,12,0)</f>
        <v>13373301126</v>
      </c>
      <c r="R2" s="6">
        <f>Tabla136[[#This Row],[VALOR PROYECTADO 2023-2]]*80/100</f>
        <v>10698640900.799999</v>
      </c>
      <c r="S2" s="7">
        <f>+Tabla136[[#This Row],[VALOR PROYECTADO 2023-2]]-Tabla136[[#This Row],[VALOR DESEMBOLSADO 2023-2 
80%3]]</f>
        <v>2674660225.2000008</v>
      </c>
      <c r="T2" s="41" t="s">
        <v>46</v>
      </c>
      <c r="U2" s="8" t="s">
        <v>2</v>
      </c>
      <c r="V2" s="8"/>
      <c r="W2" s="7"/>
      <c r="X2" s="7"/>
      <c r="Y2" s="10">
        <f>Tabla136[[#This Row],[VALOR PROYECTADO 2023-2]]-Tabla136[[#This Row],[VALOR EJECUTADO 2023-2]]</f>
        <v>13373301126</v>
      </c>
      <c r="Z2" s="5">
        <f>Tabla136[[#This Row],[VALOR EJECUTADO 2023-2]]/Tabla136[[#This Row],[VALOR PROYECTADO 2023-2]]</f>
        <v>0</v>
      </c>
      <c r="AA2" s="5"/>
      <c r="AB2" s="5"/>
      <c r="AC2" s="5"/>
      <c r="AD2" s="5"/>
    </row>
    <row r="3" spans="1:30" x14ac:dyDescent="0.25">
      <c r="A3" s="2">
        <v>2</v>
      </c>
      <c r="B3" s="53" t="s">
        <v>47</v>
      </c>
      <c r="C3" s="2" t="s">
        <v>42</v>
      </c>
      <c r="D3" s="12">
        <v>1282801511</v>
      </c>
      <c r="E3" s="13">
        <v>1026241209</v>
      </c>
      <c r="F3" s="13">
        <v>256560302</v>
      </c>
      <c r="G3" s="8" t="s">
        <v>43</v>
      </c>
      <c r="H3" s="8" t="s">
        <v>44</v>
      </c>
      <c r="I3" s="8" t="s">
        <v>45</v>
      </c>
      <c r="J3" s="14">
        <v>45266</v>
      </c>
      <c r="K3" s="103" t="s">
        <v>48</v>
      </c>
      <c r="L3" s="40">
        <v>522532791</v>
      </c>
      <c r="M3" s="13"/>
      <c r="N3" s="73">
        <v>1548774000</v>
      </c>
      <c r="O3" s="24">
        <f>Tabla136[[#This Row],[VALOR PROYECTADO 2023-1]]-Tabla136[[#This Row],[VALOR EJECUTADO 2023-1]]</f>
        <v>-265972489</v>
      </c>
      <c r="P3" s="26">
        <f>Tabla136[[#This Row],[VALOR EJECUTADO 2023-1]]/Tabla136[[#This Row],[VALOR PROYECTADO 2023-1]]</f>
        <v>1.2073372121246277</v>
      </c>
      <c r="Q3" s="6">
        <f>VLOOKUP(Tabla136[[#This Row],[NOMBRE IES]],'[1]INFORMACIÓN IES'!$B:$M,12,0)</f>
        <v>1575479400</v>
      </c>
      <c r="R3" s="6">
        <f>Tabla136[[#This Row],[VALOR PROYECTADO 2023-2]]*80/100</f>
        <v>1260383520</v>
      </c>
      <c r="S3" s="7">
        <f>+Tabla136[[#This Row],[VALOR PROYECTADO 2023-2]]-Tabla136[[#This Row],[VALOR DESEMBOLSADO 2023-2 
80%3]]</f>
        <v>315095880</v>
      </c>
      <c r="T3" s="41" t="s">
        <v>46</v>
      </c>
      <c r="U3" s="8" t="s">
        <v>2</v>
      </c>
      <c r="V3" s="7"/>
      <c r="W3" s="7"/>
      <c r="X3" s="7"/>
      <c r="Y3" s="9">
        <f>Tabla136[[#This Row],[VALOR PROYECTADO 2023-2]]-Tabla136[[#This Row],[VALOR EJECUTADO 2023-2]]</f>
        <v>1575479400</v>
      </c>
      <c r="Z3" s="85">
        <f>Tabla136[[#This Row],[VALOR EJECUTADO 2023-2]]/Tabla136[[#This Row],[VALOR PROYECTADO 2023-2]]</f>
        <v>0</v>
      </c>
      <c r="AA3" s="107">
        <v>45292</v>
      </c>
      <c r="AB3" s="1" t="s">
        <v>11</v>
      </c>
      <c r="AD3" s="1" t="s">
        <v>49</v>
      </c>
    </row>
    <row r="4" spans="1:30" x14ac:dyDescent="0.25">
      <c r="A4" s="2">
        <v>3</v>
      </c>
      <c r="B4" s="2" t="s">
        <v>50</v>
      </c>
      <c r="C4" s="2" t="s">
        <v>42</v>
      </c>
      <c r="D4" s="12">
        <v>4183866401</v>
      </c>
      <c r="E4" s="13">
        <f>Tabla136[[#This Row],[VALOR PROYECTADO 2023-1]]*80%</f>
        <v>3347093120.8000002</v>
      </c>
      <c r="F4" s="13">
        <v>3438605429</v>
      </c>
      <c r="G4" s="8" t="s">
        <v>43</v>
      </c>
      <c r="H4" s="8" t="s">
        <v>51</v>
      </c>
      <c r="I4" s="8" t="s">
        <v>45</v>
      </c>
      <c r="J4" s="14">
        <v>45245</v>
      </c>
      <c r="K4" s="14"/>
      <c r="L4" s="40">
        <f>Tabla136[[#This Row],[VALOR ESTIMADO  POR DESEMBOLSAR 2023-1 
(20%)]]</f>
        <v>3438605429</v>
      </c>
      <c r="N4" s="32">
        <v>6785698550</v>
      </c>
      <c r="O4" s="24">
        <f>Tabla136[[#This Row],[VALOR PROYECTADO 2023-1]]-Tabla136[[#This Row],[VALOR EJECUTADO 2023-1]]</f>
        <v>-2601832149</v>
      </c>
      <c r="P4" s="26">
        <f>Tabla136[[#This Row],[VALOR EJECUTADO 2023-1]]/Tabla136[[#This Row],[VALOR PROYECTADO 2023-1]]</f>
        <v>1.6218726650492776</v>
      </c>
      <c r="Q4" s="6">
        <f>VLOOKUP(Tabla136[[#This Row],[NOMBRE IES]],'[1]INFORMACIÓN IES'!$B:$M,12,0)</f>
        <v>7426059429</v>
      </c>
      <c r="R4" s="6">
        <f>Tabla136[[#This Row],[VALOR PROYECTADO 2023-2]]*80/100</f>
        <v>5940847543.1999998</v>
      </c>
      <c r="S4" s="7">
        <f>+Tabla136[[#This Row],[VALOR PROYECTADO 2023-2]]-Tabla136[[#This Row],[VALOR DESEMBOLSADO 2023-2 
80%3]]</f>
        <v>1485211885.8000002</v>
      </c>
      <c r="T4" s="40" t="s">
        <v>44</v>
      </c>
      <c r="U4" s="8" t="s">
        <v>2</v>
      </c>
      <c r="V4" s="7"/>
      <c r="W4" s="7"/>
      <c r="X4" s="7"/>
      <c r="Y4" s="9">
        <f>Tabla136[[#This Row],[VALOR PROYECTADO 2023-2]]-Tabla136[[#This Row],[VALOR EJECUTADO 2023-2]]</f>
        <v>7426059429</v>
      </c>
      <c r="Z4" s="1">
        <f>Tabla136[[#This Row],[VALOR EJECUTADO 2023-2]]/Tabla136[[#This Row],[VALOR PROYECTADO 2023-2]]</f>
        <v>0</v>
      </c>
    </row>
    <row r="5" spans="1:30" x14ac:dyDescent="0.25">
      <c r="A5" s="2">
        <v>4</v>
      </c>
      <c r="B5" s="53" t="s">
        <v>52</v>
      </c>
      <c r="C5" s="2" t="s">
        <v>42</v>
      </c>
      <c r="D5" s="12">
        <v>14695076294</v>
      </c>
      <c r="E5" s="13">
        <f>Tabla136[[#This Row],[VALOR PROYECTADO 2023-1]]*80%</f>
        <v>11756061035.200001</v>
      </c>
      <c r="F5" s="13"/>
      <c r="G5" s="8" t="s">
        <v>43</v>
      </c>
      <c r="H5" s="8" t="s">
        <v>44</v>
      </c>
      <c r="I5" s="8" t="s">
        <v>45</v>
      </c>
      <c r="J5" s="14">
        <v>45266</v>
      </c>
      <c r="K5" s="14"/>
      <c r="L5" s="40">
        <v>938734922</v>
      </c>
      <c r="N5" s="74">
        <v>12687739666</v>
      </c>
      <c r="O5" s="25">
        <f>Tabla136[[#This Row],[VALOR PROYECTADO 2023-1]]-Tabla136[[#This Row],[VALOR EJECUTADO 2023-1]]</f>
        <v>2007336628</v>
      </c>
      <c r="P5" s="26">
        <f>Tabla136[[#This Row],[VALOR EJECUTADO 2023-1]]/Tabla136[[#This Row],[VALOR PROYECTADO 2023-1]]</f>
        <v>0.86340073451543797</v>
      </c>
      <c r="Q5" s="6">
        <f>VLOOKUP(Tabla136[[#This Row],[NOMBRE IES]],'[1]INFORMACIÓN IES'!$B:$M,12,0)</f>
        <v>13720183871</v>
      </c>
      <c r="R5" s="6">
        <f>Tabla136[[#This Row],[VALOR PROYECTADO 2023-2]]*80/100</f>
        <v>10976147096.799999</v>
      </c>
      <c r="S5" s="7">
        <f>+Tabla136[[#This Row],[VALOR PROYECTADO 2023-2]]-Tabla136[[#This Row],[VALOR DESEMBOLSADO 2023-2 
80%3]]</f>
        <v>2744036774.2000008</v>
      </c>
      <c r="T5" s="41" t="s">
        <v>46</v>
      </c>
      <c r="U5" s="8" t="s">
        <v>2</v>
      </c>
      <c r="V5" s="7"/>
      <c r="W5" s="7"/>
      <c r="X5" s="7"/>
      <c r="Y5" s="9">
        <f>Tabla136[[#This Row],[VALOR PROYECTADO 2023-2]]-Tabla136[[#This Row],[VALOR EJECUTADO 2023-2]]</f>
        <v>13720183871</v>
      </c>
      <c r="Z5" s="1">
        <f>Tabla136[[#This Row],[VALOR EJECUTADO 2023-2]]/Tabla136[[#This Row],[VALOR PROYECTADO 2023-2]]</f>
        <v>0</v>
      </c>
    </row>
    <row r="6" spans="1:30" x14ac:dyDescent="0.25">
      <c r="A6" s="2">
        <v>5</v>
      </c>
      <c r="B6" s="53" t="s">
        <v>53</v>
      </c>
      <c r="C6" s="2" t="s">
        <v>54</v>
      </c>
      <c r="D6" s="12">
        <v>3472234794</v>
      </c>
      <c r="E6" s="13">
        <f>Tabla136[[#This Row],[VALOR PROYECTADO 2023-1]]*80%</f>
        <v>2777787835.2000003</v>
      </c>
      <c r="F6" s="13">
        <f>Tabla136[[#This Row],[VALOR EJECUTADO 2023-1]]-Tabla136[[#This Row],[VALOR DESEMBOLSADO 2023-1 
80% (Concepto técnico)]]</f>
        <v>254752164.79999971</v>
      </c>
      <c r="G6" s="8" t="s">
        <v>43</v>
      </c>
      <c r="H6" s="8" t="s">
        <v>51</v>
      </c>
      <c r="I6" s="8" t="s">
        <v>45</v>
      </c>
      <c r="J6" s="14">
        <v>45245</v>
      </c>
      <c r="K6" s="77" t="s">
        <v>55</v>
      </c>
      <c r="L6" s="90">
        <v>254752165</v>
      </c>
      <c r="M6" s="1" t="s">
        <v>56</v>
      </c>
      <c r="N6" s="32">
        <v>3032540000</v>
      </c>
      <c r="O6" s="25">
        <f>Tabla136[[#This Row],[VALOR PROYECTADO 2023-1]]-Tabla136[[#This Row],[VALOR EJECUTADO 2023-1]]</f>
        <v>439694794</v>
      </c>
      <c r="P6" s="26">
        <f>Tabla136[[#This Row],[VALOR EJECUTADO 2023-1]]/Tabla136[[#This Row],[VALOR PROYECTADO 2023-1]]</f>
        <v>0.87336835781964117</v>
      </c>
      <c r="Q6" s="6">
        <f>VLOOKUP(Tabla136[[#This Row],[NOMBRE IES]],'[1]INFORMACIÓN IES'!$B:$M,12,0)</f>
        <v>3383420700</v>
      </c>
      <c r="R6" s="6">
        <f>Tabla136[[#This Row],[VALOR PROYECTADO 2023-2]]*80/100</f>
        <v>2706736560</v>
      </c>
      <c r="S6" s="7">
        <f>+Tabla136[[#This Row],[VALOR PROYECTADO 2023-2]]-Tabla136[[#This Row],[VALOR DESEMBOLSADO 2023-2 
80%3]]</f>
        <v>676684140</v>
      </c>
      <c r="T6" s="40" t="s">
        <v>44</v>
      </c>
      <c r="U6" s="8" t="s">
        <v>2</v>
      </c>
      <c r="V6" s="7"/>
      <c r="W6" s="7"/>
      <c r="X6" s="7"/>
      <c r="Y6" s="9">
        <f>Tabla136[[#This Row],[VALOR PROYECTADO 2023-2]]-Tabla136[[#This Row],[VALOR EJECUTADO 2023-2]]</f>
        <v>3383420700</v>
      </c>
      <c r="Z6" s="85">
        <f>Tabla136[[#This Row],[VALOR EJECUTADO 2023-2]]/Tabla136[[#This Row],[VALOR PROYECTADO 2023-2]]</f>
        <v>0</v>
      </c>
      <c r="AA6" s="107">
        <f>+AA3</f>
        <v>45292</v>
      </c>
      <c r="AB6" s="1" t="s">
        <v>11</v>
      </c>
      <c r="AD6" s="1" t="s">
        <v>49</v>
      </c>
    </row>
    <row r="7" spans="1:30" x14ac:dyDescent="0.25">
      <c r="A7" s="2">
        <v>6</v>
      </c>
      <c r="B7" s="53" t="s">
        <v>57</v>
      </c>
      <c r="C7" s="2" t="s">
        <v>54</v>
      </c>
      <c r="D7" s="12">
        <v>9565497049</v>
      </c>
      <c r="E7" s="13">
        <f>Tabla136[[#This Row],[VALOR PROYECTADO 2023-1]]*80%</f>
        <v>7652397639.2000008</v>
      </c>
      <c r="F7" s="13">
        <f>Tabla136[[#This Row],[VALOR EJECUTADO 2023-1]]-Tabla136[[#This Row],[VALOR DESEMBOLSADO 2023-1 
80% (Concepto técnico)]]</f>
        <v>613849360.79999924</v>
      </c>
      <c r="G7" s="8" t="s">
        <v>43</v>
      </c>
      <c r="H7" s="8" t="s">
        <v>44</v>
      </c>
      <c r="I7" s="8" t="s">
        <v>45</v>
      </c>
      <c r="J7" s="14">
        <v>45266</v>
      </c>
      <c r="K7" s="14"/>
      <c r="L7" s="40">
        <v>613849360</v>
      </c>
      <c r="N7" s="73">
        <v>8266247000</v>
      </c>
      <c r="O7" s="25">
        <f>Tabla136[[#This Row],[VALOR PROYECTADO 2023-1]]-Tabla136[[#This Row],[VALOR EJECUTADO 2023-1]]</f>
        <v>1299250049</v>
      </c>
      <c r="P7" s="26">
        <f>Tabla136[[#This Row],[VALOR EJECUTADO 2023-1]]/Tabla136[[#This Row],[VALOR PROYECTADO 2023-1]]</f>
        <v>0.8641732842167541</v>
      </c>
      <c r="Q7" s="6">
        <f>VLOOKUP(Tabla136[[#This Row],[NOMBRE IES]],'[1]INFORMACIÓN IES'!$B:$M,12,0)</f>
        <v>9088227500</v>
      </c>
      <c r="R7" s="6">
        <f>Tabla136[[#This Row],[VALOR PROYECTADO 2023-2]]*80/100</f>
        <v>7270582000</v>
      </c>
      <c r="S7" s="7">
        <f>+Tabla136[[#This Row],[VALOR PROYECTADO 2023-2]]-Tabla136[[#This Row],[VALOR DESEMBOLSADO 2023-2 
80%3]]</f>
        <v>1817645500</v>
      </c>
      <c r="T7" s="41" t="s">
        <v>46</v>
      </c>
      <c r="U7" s="8" t="s">
        <v>2</v>
      </c>
      <c r="V7" s="7"/>
      <c r="W7" s="7"/>
      <c r="X7" s="7"/>
      <c r="Y7" s="9">
        <f>Tabla136[[#This Row],[VALOR PROYECTADO 2023-2]]-Tabla136[[#This Row],[VALOR EJECUTADO 2023-2]]</f>
        <v>9088227500</v>
      </c>
      <c r="Z7" s="1">
        <f>Tabla136[[#This Row],[VALOR EJECUTADO 2023-2]]/Tabla136[[#This Row],[VALOR PROYECTADO 2023-2]]</f>
        <v>0</v>
      </c>
    </row>
    <row r="8" spans="1:30" x14ac:dyDescent="0.25">
      <c r="A8" s="2">
        <v>61</v>
      </c>
      <c r="B8" s="2" t="s">
        <v>58</v>
      </c>
      <c r="C8" s="2" t="s">
        <v>54</v>
      </c>
      <c r="D8" s="12">
        <v>244117310</v>
      </c>
      <c r="E8" s="13">
        <f>Tabla136[[#This Row],[VALOR PROYECTADO 2023-1]]*80%</f>
        <v>195293848</v>
      </c>
      <c r="F8" s="13">
        <f>Tabla136[[#This Row],[VALOR EJECUTADO 2023-1]]-Tabla136[[#This Row],[VALOR DESEMBOLSADO 2023-1 
80% (Concepto técnico)]]</f>
        <v>38921825</v>
      </c>
      <c r="G8" s="8" t="s">
        <v>2</v>
      </c>
      <c r="H8" s="8" t="s">
        <v>44</v>
      </c>
      <c r="I8" s="8"/>
      <c r="J8" s="8"/>
      <c r="K8" s="104" t="s">
        <v>59</v>
      </c>
      <c r="L8" s="40">
        <f>Tabla136[[#This Row],[VALOR EJECUTADO 2023-1]]-Tabla136[[#This Row],[VALOR DESEMBOLSADO 2023-1 
80% (Concepto técnico)]]</f>
        <v>38921825</v>
      </c>
      <c r="M8" s="1" t="s">
        <v>56</v>
      </c>
      <c r="N8" s="32">
        <v>234215673</v>
      </c>
      <c r="O8" s="25">
        <f>Tabla136[[#This Row],[VALOR PROYECTADO 2023-1]]-Tabla136[[#This Row],[VALOR EJECUTADO 2023-1]]</f>
        <v>9901637</v>
      </c>
      <c r="P8" s="26">
        <f>Tabla136[[#This Row],[VALOR EJECUTADO 2023-1]]/Tabla136[[#This Row],[VALOR PROYECTADO 2023-1]]</f>
        <v>0.95943902134592585</v>
      </c>
      <c r="Q8" s="6">
        <f>VLOOKUP(Tabla136[[#This Row],[NOMBRE IES]],'[1]INFORMACIÓN IES'!$B:$M,12,0)</f>
        <v>238695832</v>
      </c>
      <c r="R8" s="6">
        <f>Tabla136[[#This Row],[VALOR PROYECTADO 2023-2]]*80/100</f>
        <v>190956665.59999999</v>
      </c>
      <c r="S8" s="7">
        <f>+Tabla136[[#This Row],[VALOR PROYECTADO 2023-2]]-Tabla136[[#This Row],[VALOR DESEMBOLSADO 2023-2 
80%3]]</f>
        <v>47739166.400000006</v>
      </c>
      <c r="T8" s="41" t="s">
        <v>46</v>
      </c>
      <c r="U8" s="8" t="s">
        <v>2</v>
      </c>
      <c r="V8" s="7"/>
      <c r="W8" s="7"/>
      <c r="X8" s="7"/>
      <c r="Y8" s="9">
        <f>Tabla136[[#This Row],[VALOR PROYECTADO 2023-2]]-Tabla136[[#This Row],[VALOR EJECUTADO 2023-2]]</f>
        <v>238695832</v>
      </c>
      <c r="Z8" s="85">
        <f>Tabla136[[#This Row],[VALOR EJECUTADO 2023-2]]/Tabla136[[#This Row],[VALOR PROYECTADO 2023-2]]</f>
        <v>0</v>
      </c>
      <c r="AA8" s="107">
        <f>+AA6</f>
        <v>45292</v>
      </c>
      <c r="AB8" s="1" t="s">
        <v>11</v>
      </c>
      <c r="AD8" s="1" t="s">
        <v>49</v>
      </c>
    </row>
    <row r="9" spans="1:30" x14ac:dyDescent="0.25">
      <c r="A9" s="2">
        <v>62</v>
      </c>
      <c r="B9" s="2" t="s">
        <v>60</v>
      </c>
      <c r="C9" s="2" t="s">
        <v>54</v>
      </c>
      <c r="D9" s="12">
        <v>10334311869</v>
      </c>
      <c r="E9" s="13">
        <f>Tabla136[[#This Row],[VALOR PROYECTADO 2023-1]]*80%</f>
        <v>8267449495.2000008</v>
      </c>
      <c r="F9" s="20">
        <f>Tabla136[[#This Row],[VALOR EJECUTADO 2023-1]]-Tabla136[[#This Row],[VALOR DESEMBOLSADO 2023-1 
80% (Concepto técnico)]]</f>
        <v>-1980689345.2000008</v>
      </c>
      <c r="G9" s="8" t="s">
        <v>2</v>
      </c>
      <c r="H9" s="8" t="s">
        <v>44</v>
      </c>
      <c r="I9" s="8"/>
      <c r="J9" s="8"/>
      <c r="K9" s="8"/>
      <c r="L9" s="40"/>
      <c r="M9" s="20">
        <f>Tabla136[[#This Row],[VALOR EJECUTADO 2023-1]]-Tabla136[[#This Row],[VALOR DESEMBOLSADO 2023-1 
80% (Concepto técnico)]]</f>
        <v>-1980689345.2000008</v>
      </c>
      <c r="N9" s="32">
        <v>6286760150</v>
      </c>
      <c r="O9" s="25">
        <f>Tabla136[[#This Row],[VALOR PROYECTADO 2023-1]]-Tabla136[[#This Row],[VALOR EJECUTADO 2023-1]]</f>
        <v>4047551719</v>
      </c>
      <c r="P9" s="26">
        <f>Tabla136[[#This Row],[VALOR EJECUTADO 2023-1]]/Tabla136[[#This Row],[VALOR PROYECTADO 2023-1]]</f>
        <v>0.60833853571407059</v>
      </c>
      <c r="Q9" s="6">
        <f>VLOOKUP(Tabla136[[#This Row],[NOMBRE IES]],'[1]INFORMACIÓN IES'!$B:$M,12,0)</f>
        <v>8643036930</v>
      </c>
      <c r="R9" s="6">
        <f>Tabla136[[#This Row],[VALOR PROYECTADO 2023-2]]*80/100</f>
        <v>6914429544</v>
      </c>
      <c r="S9" s="7">
        <f>+Tabla136[[#This Row],[VALOR PROYECTADO 2023-2]]-Tabla136[[#This Row],[VALOR DESEMBOLSADO 2023-2 
80%3]]</f>
        <v>1728607386</v>
      </c>
      <c r="T9" s="41" t="s">
        <v>46</v>
      </c>
      <c r="U9" s="8" t="s">
        <v>2</v>
      </c>
      <c r="V9" s="7"/>
      <c r="W9" s="7"/>
      <c r="X9" s="7"/>
      <c r="Y9" s="9">
        <f>Tabla136[[#This Row],[VALOR PROYECTADO 2023-2]]-Tabla136[[#This Row],[VALOR EJECUTADO 2023-2]]</f>
        <v>8643036930</v>
      </c>
      <c r="Z9" s="1">
        <f>Tabla136[[#This Row],[VALOR EJECUTADO 2023-2]]/Tabla136[[#This Row],[VALOR PROYECTADO 2023-2]]</f>
        <v>0</v>
      </c>
    </row>
    <row r="10" spans="1:30" x14ac:dyDescent="0.25">
      <c r="A10" s="2">
        <v>63</v>
      </c>
      <c r="B10" s="53" t="s">
        <v>61</v>
      </c>
      <c r="C10" s="2" t="s">
        <v>54</v>
      </c>
      <c r="D10" s="12">
        <v>26619140077</v>
      </c>
      <c r="E10" s="13">
        <f>Tabla136[[#This Row],[VALOR PROYECTADO 2023-1]]*80%</f>
        <v>21295312061.600002</v>
      </c>
      <c r="F10" s="13">
        <f>Tabla136[[#This Row],[VALOR EJECUTADO 2023-1]]-Tabla136[[#This Row],[VALOR DESEMBOLSADO 2023-1 
80% (Concepto técnico)]]</f>
        <v>1498409641.3999977</v>
      </c>
      <c r="G10" s="8" t="s">
        <v>43</v>
      </c>
      <c r="H10" s="8" t="s">
        <v>51</v>
      </c>
      <c r="I10" s="8" t="s">
        <v>45</v>
      </c>
      <c r="J10" s="14">
        <v>45245</v>
      </c>
      <c r="K10" s="14"/>
      <c r="L10" s="40">
        <f>Tabla136[[#This Row],[VALOR EJECUTADO 2023-1]]-Tabla136[[#This Row],[VALOR DESEMBOLSADO 2023-1 
80% (Concepto técnico)]]</f>
        <v>1498409641.3999977</v>
      </c>
      <c r="M10" s="1" t="s">
        <v>56</v>
      </c>
      <c r="N10" s="32">
        <v>22793721703</v>
      </c>
      <c r="O10" s="25">
        <f>Tabla136[[#This Row],[VALOR PROYECTADO 2023-1]]-Tabla136[[#This Row],[VALOR EJECUTADO 2023-1]]</f>
        <v>3825418374</v>
      </c>
      <c r="P10" s="26">
        <f>Tabla136[[#This Row],[VALOR EJECUTADO 2023-1]]/Tabla136[[#This Row],[VALOR PROYECTADO 2023-1]]</f>
        <v>0.85629068546412912</v>
      </c>
      <c r="Q10" s="6">
        <f>VLOOKUP(Tabla136[[#This Row],[NOMBRE IES]],'[1]INFORMACIÓN IES'!$B:$M,12,0)</f>
        <v>24624230866</v>
      </c>
      <c r="R10" s="6">
        <f>Tabla136[[#This Row],[VALOR PROYECTADO 2023-2]]*80/100</f>
        <v>19699384692.799999</v>
      </c>
      <c r="S10" s="7">
        <f>+Tabla136[[#This Row],[VALOR PROYECTADO 2023-2]]-Tabla136[[#This Row],[VALOR DESEMBOLSADO 2023-2 
80%3]]</f>
        <v>4924846173.2000008</v>
      </c>
      <c r="T10" s="41" t="s">
        <v>46</v>
      </c>
      <c r="U10" s="8" t="s">
        <v>2</v>
      </c>
      <c r="V10" s="7"/>
      <c r="W10" s="7"/>
      <c r="X10" s="7"/>
      <c r="Y10" s="9">
        <f>Tabla136[[#This Row],[VALOR PROYECTADO 2023-2]]-Tabla136[[#This Row],[VALOR EJECUTADO 2023-2]]</f>
        <v>24624230866</v>
      </c>
      <c r="Z10" s="1">
        <f>Tabla136[[#This Row],[VALOR EJECUTADO 2023-2]]/Tabla136[[#This Row],[VALOR PROYECTADO 2023-2]]</f>
        <v>0</v>
      </c>
    </row>
    <row r="11" spans="1:30" x14ac:dyDescent="0.25">
      <c r="A11" s="2">
        <v>64</v>
      </c>
      <c r="B11" s="53" t="s">
        <v>62</v>
      </c>
      <c r="C11" s="2" t="s">
        <v>54</v>
      </c>
      <c r="D11" s="12">
        <v>3228310277</v>
      </c>
      <c r="E11" s="13">
        <f>Tabla136[[#This Row],[VALOR PROYECTADO 2023-1]]*80%</f>
        <v>2582648221.6000004</v>
      </c>
      <c r="F11" s="13">
        <f>Tabla136[[#This Row],[VALOR EJECUTADO 2023-1]]-Tabla136[[#This Row],[VALOR DESEMBOLSADO 2023-1 
80% (Concepto técnico)]]</f>
        <v>349033778.39999962</v>
      </c>
      <c r="G11" s="8" t="s">
        <v>43</v>
      </c>
      <c r="H11" s="8" t="s">
        <v>51</v>
      </c>
      <c r="I11" s="8" t="s">
        <v>45</v>
      </c>
      <c r="J11" s="14">
        <v>45245</v>
      </c>
      <c r="K11" s="14"/>
      <c r="L11" s="40">
        <v>349033779</v>
      </c>
      <c r="M11" s="1" t="s">
        <v>56</v>
      </c>
      <c r="N11" s="32">
        <v>2931682000</v>
      </c>
      <c r="O11" s="25">
        <f>Tabla136[[#This Row],[VALOR PROYECTADO 2023-1]]-Tabla136[[#This Row],[VALOR EJECUTADO 2023-1]]</f>
        <v>296628277</v>
      </c>
      <c r="P11" s="26">
        <f>Tabla136[[#This Row],[VALOR EJECUTADO 2023-1]]/Tabla136[[#This Row],[VALOR PROYECTADO 2023-1]]</f>
        <v>0.90811655276343195</v>
      </c>
      <c r="Q11" s="6">
        <f>VLOOKUP(Tabla136[[#This Row],[NOMBRE IES]],'[1]INFORMACIÓN IES'!$B:$M,12,0)</f>
        <v>3133424800</v>
      </c>
      <c r="R11" s="6">
        <f>Tabla136[[#This Row],[VALOR PROYECTADO 2023-2]]*80/100</f>
        <v>2506739840</v>
      </c>
      <c r="S11" s="7">
        <f>+Tabla136[[#This Row],[VALOR PROYECTADO 2023-2]]-Tabla136[[#This Row],[VALOR DESEMBOLSADO 2023-2 
80%3]]</f>
        <v>626684960</v>
      </c>
      <c r="T11" s="40" t="s">
        <v>44</v>
      </c>
      <c r="U11" s="8" t="s">
        <v>2</v>
      </c>
      <c r="V11" s="7"/>
      <c r="W11" s="7"/>
      <c r="X11" s="7"/>
      <c r="Y11" s="9">
        <f>Tabla136[[#This Row],[VALOR PROYECTADO 2023-2]]-Tabla136[[#This Row],[VALOR EJECUTADO 2023-2]]</f>
        <v>3133424800</v>
      </c>
      <c r="Z11" s="1">
        <f>Tabla136[[#This Row],[VALOR EJECUTADO 2023-2]]/Tabla136[[#This Row],[VALOR PROYECTADO 2023-2]]</f>
        <v>0</v>
      </c>
    </row>
    <row r="12" spans="1:30" x14ac:dyDescent="0.25">
      <c r="A12" s="2">
        <v>54</v>
      </c>
      <c r="B12" s="53" t="s">
        <v>63</v>
      </c>
      <c r="C12" s="2" t="s">
        <v>64</v>
      </c>
      <c r="D12" s="12">
        <v>2215707677</v>
      </c>
      <c r="E12" s="13">
        <f>Tabla136[[#This Row],[VALOR PROYECTADO 2023-1]]*80%</f>
        <v>1772566141.6000001</v>
      </c>
      <c r="F12" s="12">
        <v>710880442</v>
      </c>
      <c r="G12" s="8" t="s">
        <v>43</v>
      </c>
      <c r="H12" s="8" t="s">
        <v>51</v>
      </c>
      <c r="I12" s="8" t="s">
        <v>45</v>
      </c>
      <c r="J12" s="14">
        <v>45245</v>
      </c>
      <c r="K12" s="77" t="s">
        <v>55</v>
      </c>
      <c r="L12" s="40">
        <f>Tabla136[[#This Row],[VALOR ESTIMADO  POR DESEMBOLSAR 2023-1 
(20%)]]</f>
        <v>710880442</v>
      </c>
      <c r="N12" s="32">
        <v>2483446583</v>
      </c>
      <c r="O12" s="24">
        <f>Tabla136[[#This Row],[VALOR PROYECTADO 2023-1]]-Tabla136[[#This Row],[VALOR EJECUTADO 2023-1]]</f>
        <v>-267738906</v>
      </c>
      <c r="P12" s="26">
        <f>Tabla136[[#This Row],[VALOR EJECUTADO 2023-1]]/Tabla136[[#This Row],[VALOR PROYECTADO 2023-1]]</f>
        <v>1.1208367461011419</v>
      </c>
      <c r="Q12" s="6">
        <f>VLOOKUP(Tabla136[[#This Row],[NOMBRE IES]],'[1]INFORMACIÓN IES'!$B:$M,12,0)</f>
        <v>2713207581</v>
      </c>
      <c r="R12" s="6">
        <f>Tabla136[[#This Row],[VALOR PROYECTADO 2023-2]]*80/100</f>
        <v>2170566064.8000002</v>
      </c>
      <c r="S12" s="7">
        <f>+Tabla136[[#This Row],[VALOR PROYECTADO 2023-2]]-Tabla136[[#This Row],[VALOR DESEMBOLSADO 2023-2 
80%3]]</f>
        <v>542641516.19999981</v>
      </c>
      <c r="T12" s="40" t="s">
        <v>44</v>
      </c>
      <c r="U12" s="8" t="s">
        <v>43</v>
      </c>
      <c r="V12" s="7">
        <v>652645255</v>
      </c>
      <c r="W12" s="7"/>
      <c r="X12" s="7">
        <v>2823211320</v>
      </c>
      <c r="Y12" s="9">
        <f>Tabla136[[#This Row],[VALOR PROYECTADO 2023-2]]-Tabla136[[#This Row],[VALOR EJECUTADO 2023-2]]</f>
        <v>-110003739</v>
      </c>
      <c r="Z12" s="85">
        <f>Tabla136[[#This Row],[VALOR EJECUTADO 2023-2]]/Tabla136[[#This Row],[VALOR PROYECTADO 2023-2]]</f>
        <v>1.0405437975960012</v>
      </c>
      <c r="AA12" s="85" t="s">
        <v>44</v>
      </c>
      <c r="AB12" s="85" t="s">
        <v>45</v>
      </c>
      <c r="AC12" s="95">
        <v>45266</v>
      </c>
      <c r="AD12" s="108" t="s">
        <v>65</v>
      </c>
    </row>
    <row r="13" spans="1:30" x14ac:dyDescent="0.25">
      <c r="A13" s="2">
        <v>55</v>
      </c>
      <c r="B13" s="53" t="s">
        <v>66</v>
      </c>
      <c r="C13" s="2" t="s">
        <v>64</v>
      </c>
      <c r="D13" s="12">
        <v>14623077531</v>
      </c>
      <c r="E13" s="13">
        <f>Tabla136[[#This Row],[VALOR PROYECTADO 2023-1]]*80%</f>
        <v>11698462024.800001</v>
      </c>
      <c r="F13" s="12">
        <v>6013503975</v>
      </c>
      <c r="G13" s="8" t="s">
        <v>43</v>
      </c>
      <c r="H13" s="8" t="s">
        <v>51</v>
      </c>
      <c r="I13" s="8" t="s">
        <v>45</v>
      </c>
      <c r="J13" s="14">
        <v>45245</v>
      </c>
      <c r="K13" s="77" t="s">
        <v>55</v>
      </c>
      <c r="L13" s="40">
        <f>Tabla136[[#This Row],[VALOR ESTIMADO  POR DESEMBOLSAR 2023-1 
(20%)]]</f>
        <v>6013503975</v>
      </c>
      <c r="N13" s="32">
        <v>17711966000</v>
      </c>
      <c r="O13" s="24">
        <f>Tabla136[[#This Row],[VALOR PROYECTADO 2023-1]]-Tabla136[[#This Row],[VALOR EJECUTADO 2023-1]]</f>
        <v>-3088888469</v>
      </c>
      <c r="P13" s="26">
        <f>Tabla136[[#This Row],[VALOR EJECUTADO 2023-1]]/Tabla136[[#This Row],[VALOR PROYECTADO 2023-1]]</f>
        <v>1.2112338160316631</v>
      </c>
      <c r="Q13" s="6">
        <f>VLOOKUP(Tabla136[[#This Row],[NOMBRE IES]],'[1]INFORMACIÓN IES'!$B:$M,12,0)</f>
        <v>18794106650</v>
      </c>
      <c r="R13" s="6">
        <f>Tabla136[[#This Row],[VALOR PROYECTADO 2023-2]]*80/100</f>
        <v>15035285320</v>
      </c>
      <c r="S13" s="7">
        <f>+Tabla136[[#This Row],[VALOR PROYECTADO 2023-2]]-Tabla136[[#This Row],[VALOR DESEMBOLSADO 2023-2 
80%3]]</f>
        <v>3758821330</v>
      </c>
      <c r="T13" s="40" t="s">
        <v>44</v>
      </c>
      <c r="U13" s="8" t="s">
        <v>67</v>
      </c>
      <c r="V13" s="7">
        <v>4551055880</v>
      </c>
      <c r="W13" s="7"/>
      <c r="X13" s="7">
        <v>19586341200</v>
      </c>
      <c r="Y13" s="9">
        <f>Tabla136[[#This Row],[VALOR PROYECTADO 2023-2]]-Tabla136[[#This Row],[VALOR EJECUTADO 2023-2]]</f>
        <v>-792234550</v>
      </c>
      <c r="Z13" s="85">
        <f>Tabla136[[#This Row],[VALOR EJECUTADO 2023-2]]/Tabla136[[#This Row],[VALOR PROYECTADO 2023-2]]</f>
        <v>1.0421533497044404</v>
      </c>
      <c r="AA13" s="106">
        <v>45292</v>
      </c>
      <c r="AB13" s="1" t="s">
        <v>45</v>
      </c>
      <c r="AC13" s="96">
        <v>45278</v>
      </c>
      <c r="AD13" s="109" t="s">
        <v>68</v>
      </c>
    </row>
    <row r="14" spans="1:30" x14ac:dyDescent="0.25">
      <c r="A14" s="2">
        <v>56</v>
      </c>
      <c r="B14" s="53" t="s">
        <v>69</v>
      </c>
      <c r="C14" s="2" t="s">
        <v>64</v>
      </c>
      <c r="D14" s="12">
        <v>11045018362</v>
      </c>
      <c r="E14" s="13">
        <v>8836014689</v>
      </c>
      <c r="F14" s="12">
        <v>2384691680</v>
      </c>
      <c r="G14" s="8" t="s">
        <v>43</v>
      </c>
      <c r="H14" s="8" t="s">
        <v>51</v>
      </c>
      <c r="I14" s="8" t="s">
        <v>45</v>
      </c>
      <c r="J14" s="14">
        <v>45245</v>
      </c>
      <c r="K14" s="14"/>
      <c r="L14" s="40">
        <f>Tabla136[[#This Row],[VALOR ESTIMADO  POR DESEMBOLSAR 2023-1 
(20%)]]</f>
        <v>2384691680</v>
      </c>
      <c r="N14" s="32">
        <v>11220706369</v>
      </c>
      <c r="O14" s="24">
        <f>Tabla136[[#This Row],[VALOR PROYECTADO 2023-1]]-Tabla136[[#This Row],[VALOR EJECUTADO 2023-1]]</f>
        <v>-175688007</v>
      </c>
      <c r="P14" s="26">
        <f>Tabla136[[#This Row],[VALOR EJECUTADO 2023-1]]/Tabla136[[#This Row],[VALOR PROYECTADO 2023-1]]</f>
        <v>1.0159065382457351</v>
      </c>
      <c r="Q14" s="6">
        <f>VLOOKUP(Tabla136[[#This Row],[NOMBRE IES]],'[1]INFORMACIÓN IES'!$B:$M,12,0)</f>
        <v>11735034863</v>
      </c>
      <c r="R14" s="6">
        <f>Tabla136[[#This Row],[VALOR PROYECTADO 2023-2]]*80/100</f>
        <v>9388027890.3999996</v>
      </c>
      <c r="S14" s="7">
        <f>+Tabla136[[#This Row],[VALOR PROYECTADO 2023-2]]-Tabla136[[#This Row],[VALOR DESEMBOLSADO 2023-2 
80%3]]</f>
        <v>2347006972.6000004</v>
      </c>
      <c r="T14" s="40" t="s">
        <v>44</v>
      </c>
      <c r="U14" s="8" t="s">
        <v>2</v>
      </c>
      <c r="V14" s="7"/>
      <c r="W14" s="7"/>
      <c r="X14" s="7"/>
      <c r="Y14" s="9">
        <f>Tabla136[[#This Row],[VALOR PROYECTADO 2023-2]]-Tabla136[[#This Row],[VALOR EJECUTADO 2023-2]]</f>
        <v>11735034863</v>
      </c>
      <c r="Z14" s="1">
        <f>Tabla136[[#This Row],[VALOR EJECUTADO 2023-2]]/Tabla136[[#This Row],[VALOR PROYECTADO 2023-2]]</f>
        <v>0</v>
      </c>
    </row>
    <row r="15" spans="1:30" x14ac:dyDescent="0.25">
      <c r="A15" s="2">
        <v>57</v>
      </c>
      <c r="B15" s="53" t="s">
        <v>70</v>
      </c>
      <c r="C15" s="2" t="s">
        <v>64</v>
      </c>
      <c r="D15" s="30">
        <v>6988372088</v>
      </c>
      <c r="E15" s="13">
        <f>Tabla136[[#This Row],[VALOR PROYECTADO 2023-1]]*80%</f>
        <v>5590697670.4000006</v>
      </c>
      <c r="F15" s="12">
        <v>471786705</v>
      </c>
      <c r="G15" s="8" t="s">
        <v>43</v>
      </c>
      <c r="H15" s="8" t="s">
        <v>51</v>
      </c>
      <c r="I15" s="8" t="s">
        <v>45</v>
      </c>
      <c r="J15" s="14">
        <v>45245</v>
      </c>
      <c r="K15" s="14"/>
      <c r="L15" s="40">
        <f>Tabla136[[#This Row],[VALOR ESTIMADO  POR DESEMBOLSAR 2023-1 
(20%)]]</f>
        <v>471786705</v>
      </c>
      <c r="N15" s="32">
        <v>6062484376</v>
      </c>
      <c r="O15" s="24">
        <f>Tabla136[[#This Row],[VALOR PROYECTADO 2023-1]]-Tabla136[[#This Row],[VALOR EJECUTADO 2023-1]]</f>
        <v>925887712</v>
      </c>
      <c r="P15" s="26">
        <f>Tabla136[[#This Row],[VALOR EJECUTADO 2023-1]]/Tabla136[[#This Row],[VALOR PROYECTADO 2023-1]]</f>
        <v>0.8675102441110889</v>
      </c>
      <c r="Q15" s="6">
        <f>VLOOKUP(Tabla136[[#This Row],[NOMBRE IES]],'[1]INFORMACIÓN IES'!$B:$M,12,0)</f>
        <v>4094189543</v>
      </c>
      <c r="R15" s="6">
        <f>Tabla136[[#This Row],[VALOR PROYECTADO 2023-2]]*80/100</f>
        <v>3275351634.4000001</v>
      </c>
      <c r="S15" s="7">
        <f>+Tabla136[[#This Row],[VALOR PROYECTADO 2023-2]]-Tabla136[[#This Row],[VALOR DESEMBOLSADO 2023-2 
80%3]]</f>
        <v>818837908.5999999</v>
      </c>
      <c r="T15" s="41" t="s">
        <v>46</v>
      </c>
      <c r="U15" s="8" t="s">
        <v>67</v>
      </c>
      <c r="V15" s="7">
        <v>819443987</v>
      </c>
      <c r="W15" s="7"/>
      <c r="X15" s="7">
        <v>4094795622</v>
      </c>
      <c r="Y15" s="9">
        <f>Tabla136[[#This Row],[VALOR PROYECTADO 2023-2]]-Tabla136[[#This Row],[VALOR EJECUTADO 2023-2]]</f>
        <v>-606079</v>
      </c>
      <c r="Z15" s="1">
        <f>Tabla136[[#This Row],[VALOR EJECUTADO 2023-2]]/Tabla136[[#This Row],[VALOR PROYECTADO 2023-2]]</f>
        <v>1.0001480339377633</v>
      </c>
    </row>
    <row r="16" spans="1:30" x14ac:dyDescent="0.25">
      <c r="A16" s="2">
        <v>58</v>
      </c>
      <c r="B16" s="53" t="s">
        <v>71</v>
      </c>
      <c r="C16" s="2" t="s">
        <v>64</v>
      </c>
      <c r="D16" s="12">
        <v>5890764095</v>
      </c>
      <c r="E16" s="13">
        <f>Tabla136[[#This Row],[VALOR PROYECTADO 2023-1]]*80%</f>
        <v>4712611276</v>
      </c>
      <c r="F16" s="12"/>
      <c r="G16" s="8" t="s">
        <v>43</v>
      </c>
      <c r="H16" s="8" t="s">
        <v>51</v>
      </c>
      <c r="I16" s="8" t="s">
        <v>45</v>
      </c>
      <c r="J16" s="14">
        <v>45245</v>
      </c>
      <c r="K16" s="14"/>
      <c r="L16" s="40"/>
      <c r="M16" s="44">
        <v>534993276</v>
      </c>
      <c r="N16" s="16">
        <v>4177618000</v>
      </c>
      <c r="O16" s="25">
        <f>Tabla136[[#This Row],[VALOR PROYECTADO 2023-1]]-Tabla136[[#This Row],[VALOR EJECUTADO 2023-1]]</f>
        <v>1713146095</v>
      </c>
      <c r="P16" s="26">
        <f>Tabla136[[#This Row],[VALOR EJECUTADO 2023-1]]/Tabla136[[#This Row],[VALOR PROYECTADO 2023-1]]</f>
        <v>0.70918100481156676</v>
      </c>
      <c r="Q16" s="6">
        <f>VLOOKUP(Tabla136[[#This Row],[NOMBRE IES]],'[1]INFORMACIÓN IES'!$B:$M,12,0)</f>
        <v>4552466050</v>
      </c>
      <c r="R16" s="6">
        <f>Tabla136[[#This Row],[VALOR PROYECTADO 2023-2]]*80/100</f>
        <v>3641972840</v>
      </c>
      <c r="S16" s="7">
        <f>+Tabla136[[#This Row],[VALOR PROYECTADO 2023-2]]-Tabla136[[#This Row],[VALOR DESEMBOLSADO 2023-2 
80%3]]</f>
        <v>910493210</v>
      </c>
      <c r="T16" s="40" t="s">
        <v>44</v>
      </c>
      <c r="U16" s="8" t="s">
        <v>2</v>
      </c>
      <c r="V16" s="7"/>
      <c r="W16" s="7"/>
      <c r="X16" s="7"/>
      <c r="Y16" s="9">
        <f>Tabla136[[#This Row],[VALOR PROYECTADO 2023-2]]-Tabla136[[#This Row],[VALOR EJECUTADO 2023-2]]</f>
        <v>4552466050</v>
      </c>
      <c r="Z16" s="1">
        <f>Tabla136[[#This Row],[VALOR EJECUTADO 2023-2]]/Tabla136[[#This Row],[VALOR PROYECTADO 2023-2]]</f>
        <v>0</v>
      </c>
    </row>
    <row r="17" spans="1:30" x14ac:dyDescent="0.25">
      <c r="A17" s="2">
        <v>59</v>
      </c>
      <c r="B17" s="53" t="s">
        <v>72</v>
      </c>
      <c r="C17" s="2" t="s">
        <v>64</v>
      </c>
      <c r="D17" s="12">
        <v>6876897849</v>
      </c>
      <c r="E17" s="13">
        <f>Tabla136[[#This Row],[VALOR PROYECTADO 2023-1]]*80%</f>
        <v>5501518279.2000008</v>
      </c>
      <c r="F17" s="12">
        <v>1815451421</v>
      </c>
      <c r="G17" s="8" t="s">
        <v>43</v>
      </c>
      <c r="H17" s="8" t="s">
        <v>51</v>
      </c>
      <c r="I17" s="8" t="s">
        <v>45</v>
      </c>
      <c r="J17" s="14">
        <v>45245</v>
      </c>
      <c r="K17" s="14"/>
      <c r="L17" s="40">
        <f>Tabla136[[#This Row],[VALOR ESTIMADO  POR DESEMBOLSAR 2023-1 
(20%)]]</f>
        <v>1815451421</v>
      </c>
      <c r="N17" s="32">
        <v>7316969700</v>
      </c>
      <c r="O17" s="24">
        <f>Tabla136[[#This Row],[VALOR PROYECTADO 2023-1]]-Tabla136[[#This Row],[VALOR EJECUTADO 2023-1]]</f>
        <v>-440071851</v>
      </c>
      <c r="P17" s="26">
        <f>Tabla136[[#This Row],[VALOR EJECUTADO 2023-1]]/Tabla136[[#This Row],[VALOR PROYECTADO 2023-1]]</f>
        <v>1.0639927857971589</v>
      </c>
      <c r="Q17" s="6">
        <f>VLOOKUP(Tabla136[[#This Row],[NOMBRE IES]],'[1]INFORMACIÓN IES'!$B:$M,12,0)</f>
        <v>7334126690</v>
      </c>
      <c r="R17" s="6">
        <f>Tabla136[[#This Row],[VALOR PROYECTADO 2023-2]]*80/100</f>
        <v>5867301352</v>
      </c>
      <c r="S17" s="7">
        <f>+Tabla136[[#This Row],[VALOR PROYECTADO 2023-2]]-Tabla136[[#This Row],[VALOR DESEMBOLSADO 2023-2 
80%3]]</f>
        <v>1466825338</v>
      </c>
      <c r="T17" s="40" t="s">
        <v>44</v>
      </c>
      <c r="U17" s="8" t="s">
        <v>43</v>
      </c>
      <c r="V17" s="7">
        <v>1020717748</v>
      </c>
      <c r="W17" s="7"/>
      <c r="X17" s="7">
        <v>6888019100</v>
      </c>
      <c r="Y17" s="9">
        <f>Tabla136[[#This Row],[VALOR PROYECTADO 2023-2]]-Tabla136[[#This Row],[VALOR EJECUTADO 2023-2]]</f>
        <v>446107590</v>
      </c>
      <c r="Z17" s="85">
        <f>Tabla136[[#This Row],[VALOR EJECUTADO 2023-2]]/Tabla136[[#This Row],[VALOR PROYECTADO 2023-2]]</f>
        <v>0.93917372730849291</v>
      </c>
      <c r="AA17" s="85" t="s">
        <v>44</v>
      </c>
      <c r="AB17" s="85" t="s">
        <v>45</v>
      </c>
      <c r="AC17" s="95">
        <f>+AC12</f>
        <v>45266</v>
      </c>
      <c r="AD17" s="95"/>
    </row>
    <row r="18" spans="1:30" x14ac:dyDescent="0.25">
      <c r="A18" s="2">
        <v>60</v>
      </c>
      <c r="B18" s="53" t="s">
        <v>73</v>
      </c>
      <c r="C18" s="2" t="s">
        <v>64</v>
      </c>
      <c r="D18" s="31">
        <v>0</v>
      </c>
      <c r="E18" s="20">
        <v>0</v>
      </c>
      <c r="F18" s="32">
        <v>52207584</v>
      </c>
      <c r="G18" s="8" t="s">
        <v>43</v>
      </c>
      <c r="H18" s="8" t="s">
        <v>44</v>
      </c>
      <c r="I18" s="8" t="s">
        <v>45</v>
      </c>
      <c r="J18" s="14">
        <v>45245</v>
      </c>
      <c r="K18" s="77" t="s">
        <v>55</v>
      </c>
      <c r="L18" s="40">
        <f>Tabla136[[#This Row],[VALOR ESTIMADO  POR DESEMBOLSAR 2023-1 
(20%)]]</f>
        <v>52207584</v>
      </c>
      <c r="N18" s="16">
        <v>52207584</v>
      </c>
      <c r="O18" s="24">
        <f>Tabla136[[#This Row],[VALOR PROYECTADO 2023-1]]-Tabla136[[#This Row],[VALOR EJECUTADO 2023-1]]</f>
        <v>-52207584</v>
      </c>
      <c r="P18" s="26">
        <v>1</v>
      </c>
      <c r="Q18" s="6">
        <f>VLOOKUP(Tabla136[[#This Row],[NOMBRE IES]],'[1]INFORMACIÓN IES'!$B:$M,12,0)</f>
        <v>56830131</v>
      </c>
      <c r="R18" s="6">
        <f>Tabla136[[#This Row],[VALOR PROYECTADO 2023-2]]*80/100</f>
        <v>45464104.799999997</v>
      </c>
      <c r="S18" s="7">
        <f>+Tabla136[[#This Row],[VALOR PROYECTADO 2023-2]]-Tabla136[[#This Row],[VALOR DESEMBOLSADO 2023-2 
80%3]]</f>
        <v>11366026.200000003</v>
      </c>
      <c r="T18" s="41" t="s">
        <v>46</v>
      </c>
      <c r="U18" s="8" t="s">
        <v>67</v>
      </c>
      <c r="V18" s="7">
        <v>25131836</v>
      </c>
      <c r="W18" s="7"/>
      <c r="X18" s="7">
        <v>70595941</v>
      </c>
      <c r="Y18" s="9">
        <f>Tabla136[[#This Row],[VALOR PROYECTADO 2023-2]]-Tabla136[[#This Row],[VALOR EJECUTADO 2023-2]]</f>
        <v>-13765810</v>
      </c>
      <c r="Z18" s="85">
        <f>Tabla136[[#This Row],[VALOR EJECUTADO 2023-2]]/Tabla136[[#This Row],[VALOR PROYECTADO 2023-2]]</f>
        <v>1.2422273142393425</v>
      </c>
      <c r="AA18" s="106">
        <v>45292</v>
      </c>
      <c r="AB18" s="1" t="s">
        <v>45</v>
      </c>
      <c r="AC18" s="96">
        <v>45278</v>
      </c>
      <c r="AD18" s="109" t="s">
        <v>68</v>
      </c>
    </row>
    <row r="19" spans="1:30" x14ac:dyDescent="0.25">
      <c r="A19" s="2">
        <v>7</v>
      </c>
      <c r="B19" s="53" t="s">
        <v>74</v>
      </c>
      <c r="C19" s="2" t="s">
        <v>75</v>
      </c>
      <c r="D19" s="12">
        <v>9435109011</v>
      </c>
      <c r="E19" s="13">
        <f>Tabla136[[#This Row],[VALOR PROYECTADO 2023-1]]*80%</f>
        <v>7548087208.8000002</v>
      </c>
      <c r="F19" s="17">
        <v>547937297</v>
      </c>
      <c r="G19" s="8" t="s">
        <v>43</v>
      </c>
      <c r="H19" s="8" t="s">
        <v>51</v>
      </c>
      <c r="I19" s="8" t="s">
        <v>45</v>
      </c>
      <c r="J19" s="14">
        <v>45245</v>
      </c>
      <c r="K19" s="14"/>
      <c r="L19" s="40">
        <f>Tabla136[[#This Row],[VALOR ESTIMADO  POR DESEMBOLSAR 2023-1 
(20%)]]</f>
        <v>547937297</v>
      </c>
      <c r="N19" s="16">
        <v>8096024506</v>
      </c>
      <c r="O19" s="25">
        <f>Tabla136[[#This Row],[VALOR PROYECTADO 2023-1]]-Tabla136[[#This Row],[VALOR EJECUTADO 2023-1]]</f>
        <v>1339084505</v>
      </c>
      <c r="P19" s="26">
        <f>Tabla136[[#This Row],[VALOR EJECUTADO 2023-1]]/Tabla136[[#This Row],[VALOR PROYECTADO 2023-1]]</f>
        <v>0.85807429427271931</v>
      </c>
      <c r="Q19" s="6">
        <f>VLOOKUP(Tabla136[[#This Row],[NOMBRE IES]],'[1]INFORMACIÓN IES'!$B:$M,12,0)</f>
        <v>8559653045</v>
      </c>
      <c r="R19" s="6">
        <f>Tabla136[[#This Row],[VALOR PROYECTADO 2023-2]]*80/100</f>
        <v>6847722436</v>
      </c>
      <c r="S19" s="7">
        <f>+Tabla136[[#This Row],[VALOR PROYECTADO 2023-2]]-Tabla136[[#This Row],[VALOR DESEMBOLSADO 2023-2 
80%3]]</f>
        <v>1711930609</v>
      </c>
      <c r="T19" s="40" t="s">
        <v>44</v>
      </c>
      <c r="U19" s="8" t="s">
        <v>2</v>
      </c>
      <c r="V19" s="7"/>
      <c r="W19" s="7"/>
      <c r="X19" s="7"/>
      <c r="Y19" s="9">
        <f>Tabla136[[#This Row],[VALOR PROYECTADO 2023-2]]-Tabla136[[#This Row],[VALOR EJECUTADO 2023-2]]</f>
        <v>8559653045</v>
      </c>
      <c r="Z19" s="1">
        <f>Tabla136[[#This Row],[VALOR EJECUTADO 2023-2]]/Tabla136[[#This Row],[VALOR PROYECTADO 2023-2]]</f>
        <v>0</v>
      </c>
    </row>
    <row r="20" spans="1:30" x14ac:dyDescent="0.25">
      <c r="A20" s="2">
        <v>8</v>
      </c>
      <c r="B20" s="53" t="s">
        <v>76</v>
      </c>
      <c r="C20" s="2" t="s">
        <v>75</v>
      </c>
      <c r="D20" s="12">
        <v>4289147704</v>
      </c>
      <c r="E20" s="13">
        <f>Tabla136[[#This Row],[VALOR PROYECTADO 2023-1]]*80%</f>
        <v>3431318163.2000003</v>
      </c>
      <c r="F20" s="17">
        <v>563897532</v>
      </c>
      <c r="G20" s="8" t="s">
        <v>43</v>
      </c>
      <c r="H20" s="8" t="s">
        <v>51</v>
      </c>
      <c r="I20" s="8" t="s">
        <v>45</v>
      </c>
      <c r="J20" s="14">
        <v>45245</v>
      </c>
      <c r="K20" s="14"/>
      <c r="L20" s="40">
        <f>Tabla136[[#This Row],[VALOR ESTIMADO  POR DESEMBOLSAR 2023-1 
(20%)]]</f>
        <v>563897532</v>
      </c>
      <c r="N20" s="16">
        <v>3995215695</v>
      </c>
      <c r="O20" s="25">
        <f>Tabla136[[#This Row],[VALOR PROYECTADO 2023-1]]-Tabla136[[#This Row],[VALOR EJECUTADO 2023-1]]</f>
        <v>293932009</v>
      </c>
      <c r="P20" s="26">
        <f>Tabla136[[#This Row],[VALOR EJECUTADO 2023-1]]/Tabla136[[#This Row],[VALOR PROYECTADO 2023-1]]</f>
        <v>0.93147076545629726</v>
      </c>
      <c r="Q20" s="6">
        <f>VLOOKUP(Tabla136[[#This Row],[NOMBRE IES]],'[1]INFORMACIÓN IES'!$B:$M,12,0)</f>
        <v>2874801031</v>
      </c>
      <c r="R20" s="6">
        <f>Tabla136[[#This Row],[VALOR PROYECTADO 2023-2]]*80/100</f>
        <v>2299840824.8000002</v>
      </c>
      <c r="S20" s="7">
        <f>+Tabla136[[#This Row],[VALOR PROYECTADO 2023-2]]-Tabla136[[#This Row],[VALOR DESEMBOLSADO 2023-2 
80%3]]</f>
        <v>574960206.19999981</v>
      </c>
      <c r="T20" s="40" t="s">
        <v>44</v>
      </c>
      <c r="U20" s="8" t="s">
        <v>2</v>
      </c>
      <c r="V20" s="7"/>
      <c r="W20" s="7"/>
      <c r="X20" s="7"/>
      <c r="Y20" s="9">
        <f>Tabla136[[#This Row],[VALOR PROYECTADO 2023-2]]-Tabla136[[#This Row],[VALOR EJECUTADO 2023-2]]</f>
        <v>2874801031</v>
      </c>
      <c r="Z20" s="1">
        <f>Tabla136[[#This Row],[VALOR EJECUTADO 2023-2]]/Tabla136[[#This Row],[VALOR PROYECTADO 2023-2]]</f>
        <v>0</v>
      </c>
    </row>
    <row r="21" spans="1:30" x14ac:dyDescent="0.25">
      <c r="A21" s="2">
        <v>9</v>
      </c>
      <c r="B21" s="53" t="s">
        <v>77</v>
      </c>
      <c r="C21" s="2" t="s">
        <v>75</v>
      </c>
      <c r="D21" s="12">
        <v>221455584</v>
      </c>
      <c r="E21" s="13">
        <f>Tabla136[[#This Row],[VALOR PROYECTADO 2023-1]]*80%</f>
        <v>177164467.20000002</v>
      </c>
      <c r="F21" s="17">
        <v>66334035</v>
      </c>
      <c r="G21" s="8" t="s">
        <v>43</v>
      </c>
      <c r="H21" s="8" t="s">
        <v>51</v>
      </c>
      <c r="I21" s="8" t="s">
        <v>45</v>
      </c>
      <c r="J21" s="14">
        <v>45245</v>
      </c>
      <c r="K21" s="77" t="s">
        <v>55</v>
      </c>
      <c r="L21" s="40">
        <f>Tabla136[[#This Row],[VALOR ESTIMADO  POR DESEMBOLSAR 2023-1 
(20%)]]</f>
        <v>66334035</v>
      </c>
      <c r="N21" s="16">
        <v>243498502</v>
      </c>
      <c r="O21" s="24">
        <f>Tabla136[[#This Row],[VALOR PROYECTADO 2023-1]]-Tabla136[[#This Row],[VALOR EJECUTADO 2023-1]]</f>
        <v>-22042918</v>
      </c>
      <c r="P21" s="26">
        <f>Tabla136[[#This Row],[VALOR EJECUTADO 2023-1]]/Tabla136[[#This Row],[VALOR PROYECTADO 2023-1]]</f>
        <v>1.0995365192507407</v>
      </c>
      <c r="Q21" s="6">
        <f>VLOOKUP(Tabla136[[#This Row],[NOMBRE IES]],'[1]INFORMACIÓN IES'!$B:$M,12,0)</f>
        <v>264020022</v>
      </c>
      <c r="R21" s="6">
        <f>Tabla136[[#This Row],[VALOR PROYECTADO 2023-2]]*80/100</f>
        <v>211216017.59999999</v>
      </c>
      <c r="S21" s="7">
        <f>+Tabla136[[#This Row],[VALOR PROYECTADO 2023-2]]-Tabla136[[#This Row],[VALOR DESEMBOLSADO 2023-2 
80%3]]</f>
        <v>52804004.400000006</v>
      </c>
      <c r="T21" s="40" t="s">
        <v>44</v>
      </c>
      <c r="U21" s="8" t="s">
        <v>2</v>
      </c>
      <c r="V21" s="7"/>
      <c r="W21" s="7"/>
      <c r="X21" s="7"/>
      <c r="Y21" s="9">
        <f>Tabla136[[#This Row],[VALOR PROYECTADO 2023-2]]-Tabla136[[#This Row],[VALOR EJECUTADO 2023-2]]</f>
        <v>264020022</v>
      </c>
      <c r="Z21" s="85">
        <f>Tabla136[[#This Row],[VALOR EJECUTADO 2023-2]]/Tabla136[[#This Row],[VALOR PROYECTADO 2023-2]]</f>
        <v>0</v>
      </c>
      <c r="AA21" s="107">
        <f>+AA8</f>
        <v>45292</v>
      </c>
      <c r="AB21" s="1" t="s">
        <v>11</v>
      </c>
      <c r="AD21" s="1" t="s">
        <v>49</v>
      </c>
    </row>
    <row r="22" spans="1:30" x14ac:dyDescent="0.25">
      <c r="A22" s="2">
        <v>10</v>
      </c>
      <c r="B22" s="2" t="s">
        <v>78</v>
      </c>
      <c r="C22" s="2" t="s">
        <v>75</v>
      </c>
      <c r="D22" s="12">
        <v>9136609132</v>
      </c>
      <c r="E22" s="13">
        <f>Tabla136[[#This Row],[VALOR PROYECTADO 2023-1]]*80%</f>
        <v>7309287305.6000004</v>
      </c>
      <c r="G22" s="8" t="s">
        <v>2</v>
      </c>
      <c r="H22" s="8" t="s">
        <v>44</v>
      </c>
      <c r="I22" s="8"/>
      <c r="J22" s="8"/>
      <c r="K22" s="8"/>
      <c r="L22" s="91">
        <f>Tabla136[[#This Row],[VALOR EJECUTADO 2023-1]]-Tabla136[[#This Row],[VALOR DESEMBOLSADO 2023-1 
80% (Concepto técnico)]]</f>
        <v>1126934721.3999996</v>
      </c>
      <c r="N22" s="42">
        <v>8436222027</v>
      </c>
      <c r="O22" s="25">
        <f>Tabla136[[#This Row],[VALOR PROYECTADO 2023-1]]-Tabla136[[#This Row],[VALOR EJECUTADO 2023-1]]</f>
        <v>700387105</v>
      </c>
      <c r="P22" s="26">
        <f>Tabla136[[#This Row],[VALOR EJECUTADO 2023-1]]/Tabla136[[#This Row],[VALOR PROYECTADO 2023-1]]</f>
        <v>0.92334277466823345</v>
      </c>
      <c r="Q22" s="6">
        <f>VLOOKUP(Tabla136[[#This Row],[NOMBRE IES]],'[1]INFORMACIÓN IES'!$B:$M,12,0)</f>
        <v>9136609132</v>
      </c>
      <c r="R22" s="6">
        <f>Tabla136[[#This Row],[VALOR PROYECTADO 2023-2]]*80/100</f>
        <v>7309287305.6000004</v>
      </c>
      <c r="S22" s="7">
        <f>+Tabla136[[#This Row],[VALOR PROYECTADO 2023-2]]-Tabla136[[#This Row],[VALOR DESEMBOLSADO 2023-2 
80%3]]</f>
        <v>1827321826.3999996</v>
      </c>
      <c r="T22" s="41" t="s">
        <v>46</v>
      </c>
      <c r="U22" s="8" t="s">
        <v>2</v>
      </c>
      <c r="V22" s="7"/>
      <c r="W22" s="7"/>
      <c r="X22" s="7"/>
      <c r="Y22" s="9">
        <f>Tabla136[[#This Row],[VALOR PROYECTADO 2023-2]]-Tabla136[[#This Row],[VALOR EJECUTADO 2023-2]]</f>
        <v>9136609132</v>
      </c>
      <c r="Z22" s="1">
        <f>Tabla136[[#This Row],[VALOR EJECUTADO 2023-2]]/Tabla136[[#This Row],[VALOR PROYECTADO 2023-2]]</f>
        <v>0</v>
      </c>
    </row>
    <row r="23" spans="1:30" x14ac:dyDescent="0.25">
      <c r="A23" s="2">
        <v>11</v>
      </c>
      <c r="B23" s="2" t="s">
        <v>7</v>
      </c>
      <c r="C23" s="2" t="s">
        <v>75</v>
      </c>
      <c r="D23" s="12">
        <v>2340379819</v>
      </c>
      <c r="E23" s="13">
        <f>Tabla136[[#This Row],[VALOR PROYECTADO 2023-1]]*80%</f>
        <v>1872303855.2</v>
      </c>
      <c r="G23" s="8" t="s">
        <v>2</v>
      </c>
      <c r="H23" s="8" t="s">
        <v>44</v>
      </c>
      <c r="I23" s="8"/>
      <c r="J23" s="8"/>
      <c r="K23" s="8"/>
      <c r="L23" s="91">
        <f>Tabla136[[#This Row],[VALOR EJECUTADO 2023-1]]-Tabla136[[#This Row],[VALOR DESEMBOLSADO 2023-1 
80% (Concepto técnico)]]</f>
        <v>141232829.79999995</v>
      </c>
      <c r="N23" s="42">
        <v>2013536685</v>
      </c>
      <c r="O23" s="25">
        <f>Tabla136[[#This Row],[VALOR PROYECTADO 2023-1]]-Tabla136[[#This Row],[VALOR EJECUTADO 2023-1]]</f>
        <v>326843134</v>
      </c>
      <c r="P23" s="26">
        <f>Tabla136[[#This Row],[VALOR EJECUTADO 2023-1]]/Tabla136[[#This Row],[VALOR PROYECTADO 2023-1]]</f>
        <v>0.86034611504227809</v>
      </c>
      <c r="Q23" s="6">
        <f>VLOOKUP(Tabla136[[#This Row],[NOMBRE IES]],'[1]INFORMACIÓN IES'!$B:$M,12,0)</f>
        <v>2340379819</v>
      </c>
      <c r="R23" s="6">
        <f>Tabla136[[#This Row],[VALOR PROYECTADO 2023-2]]*80/100</f>
        <v>1872303855.2</v>
      </c>
      <c r="S23" s="7">
        <f>+Tabla136[[#This Row],[VALOR PROYECTADO 2023-2]]-Tabla136[[#This Row],[VALOR DESEMBOLSADO 2023-2 
80%3]]</f>
        <v>468075963.79999995</v>
      </c>
      <c r="T23" s="41" t="s">
        <v>46</v>
      </c>
      <c r="U23" s="8" t="s">
        <v>2</v>
      </c>
      <c r="V23" s="7"/>
      <c r="W23" s="7"/>
      <c r="X23" s="7"/>
      <c r="Y23" s="9">
        <f>Tabla136[[#This Row],[VALOR PROYECTADO 2023-2]]-Tabla136[[#This Row],[VALOR EJECUTADO 2023-2]]</f>
        <v>2340379819</v>
      </c>
      <c r="Z23" s="1">
        <f>Tabla136[[#This Row],[VALOR EJECUTADO 2023-2]]/Tabla136[[#This Row],[VALOR PROYECTADO 2023-2]]</f>
        <v>0</v>
      </c>
    </row>
    <row r="24" spans="1:30" x14ac:dyDescent="0.25">
      <c r="A24" s="2">
        <v>12</v>
      </c>
      <c r="B24" s="2" t="s">
        <v>79</v>
      </c>
      <c r="C24" s="2" t="s">
        <v>75</v>
      </c>
      <c r="D24" s="12">
        <v>2871488245</v>
      </c>
      <c r="E24" s="13">
        <f>Tabla136[[#This Row],[VALOR PROYECTADO 2023-1]]*80%</f>
        <v>2297190596</v>
      </c>
      <c r="G24" s="8" t="s">
        <v>2</v>
      </c>
      <c r="H24" s="8" t="s">
        <v>44</v>
      </c>
      <c r="I24" s="8"/>
      <c r="J24" s="8"/>
      <c r="K24" s="8"/>
      <c r="L24" s="91">
        <f>Tabla136[[#This Row],[VALOR EJECUTADO 2023-1]]-Tabla136[[#This Row],[VALOR DESEMBOLSADO 2023-1 
80% (Concepto técnico)]]</f>
        <v>423917463</v>
      </c>
      <c r="N24" s="42">
        <v>2721108059</v>
      </c>
      <c r="O24" s="25">
        <f>Tabla136[[#This Row],[VALOR PROYECTADO 2023-1]]-Tabla136[[#This Row],[VALOR EJECUTADO 2023-1]]</f>
        <v>150380186</v>
      </c>
      <c r="P24" s="26">
        <f>Tabla136[[#This Row],[VALOR EJECUTADO 2023-1]]/Tabla136[[#This Row],[VALOR PROYECTADO 2023-1]]</f>
        <v>0.94762987929278464</v>
      </c>
      <c r="Q24" s="6">
        <f>VLOOKUP(Tabla136[[#This Row],[NOMBRE IES]],'[1]INFORMACIÓN IES'!$B:$M,12,0)</f>
        <v>2871488245</v>
      </c>
      <c r="R24" s="6">
        <f>Tabla136[[#This Row],[VALOR PROYECTADO 2023-2]]*80/100</f>
        <v>2297190596</v>
      </c>
      <c r="S24" s="7">
        <f>+Tabla136[[#This Row],[VALOR PROYECTADO 2023-2]]-Tabla136[[#This Row],[VALOR DESEMBOLSADO 2023-2 
80%3]]</f>
        <v>574297649</v>
      </c>
      <c r="T24" s="41" t="s">
        <v>46</v>
      </c>
      <c r="U24" s="8" t="s">
        <v>2</v>
      </c>
      <c r="V24" s="7"/>
      <c r="W24" s="7"/>
      <c r="X24" s="7"/>
      <c r="Y24" s="9">
        <f>Tabla136[[#This Row],[VALOR PROYECTADO 2023-2]]-Tabla136[[#This Row],[VALOR EJECUTADO 2023-2]]</f>
        <v>2871488245</v>
      </c>
      <c r="Z24" s="1">
        <f>Tabla136[[#This Row],[VALOR EJECUTADO 2023-2]]/Tabla136[[#This Row],[VALOR PROYECTADO 2023-2]]</f>
        <v>0</v>
      </c>
    </row>
    <row r="25" spans="1:30" x14ac:dyDescent="0.25">
      <c r="A25" s="2">
        <v>38</v>
      </c>
      <c r="B25" s="53" t="s">
        <v>80</v>
      </c>
      <c r="C25" s="2" t="s">
        <v>81</v>
      </c>
      <c r="D25" s="30">
        <v>7850101502</v>
      </c>
      <c r="E25" s="13">
        <v>6280081202</v>
      </c>
      <c r="F25" s="13">
        <f>Tabla136[[#This Row],[VALOR PROYECTADO 2023-1]]*0.2</f>
        <v>1570020300.4000001</v>
      </c>
      <c r="G25" s="8" t="s">
        <v>43</v>
      </c>
      <c r="H25" s="8" t="s">
        <v>51</v>
      </c>
      <c r="I25" s="8" t="s">
        <v>45</v>
      </c>
      <c r="J25" s="14">
        <v>45245</v>
      </c>
      <c r="K25" s="77" t="s">
        <v>55</v>
      </c>
      <c r="L25" s="92">
        <v>1061514898</v>
      </c>
      <c r="N25" s="16">
        <v>7341596100</v>
      </c>
      <c r="O25" s="25">
        <f>Tabla136[[#This Row],[VALOR PROYECTADO 2023-1]]-Tabla136[[#This Row],[VALOR EJECUTADO 2023-1]]</f>
        <v>508505402</v>
      </c>
      <c r="P25" s="26">
        <f>Tabla136[[#This Row],[VALOR EJECUTADO 2023-1]]/Tabla136[[#This Row],[VALOR PROYECTADO 2023-1]]</f>
        <v>0.93522307936140114</v>
      </c>
      <c r="Q25" s="6">
        <f>VLOOKUP(Tabla136[[#This Row],[NOMBRE IES]],'[1]INFORMACIÓN IES'!$B:$M,12,0)</f>
        <v>7999358180</v>
      </c>
      <c r="R25" s="6">
        <f>Tabla136[[#This Row],[VALOR PROYECTADO 2023-2]]*80/100</f>
        <v>6399486544</v>
      </c>
      <c r="S25" s="7">
        <f>+Tabla136[[#This Row],[VALOR PROYECTADO 2023-2]]-Tabla136[[#This Row],[VALOR DESEMBOLSADO 2023-2 
80%3]]</f>
        <v>1599871636</v>
      </c>
      <c r="T25" s="40" t="s">
        <v>44</v>
      </c>
      <c r="U25" s="8" t="s">
        <v>67</v>
      </c>
      <c r="V25" s="101">
        <v>1234400006</v>
      </c>
      <c r="W25" s="7"/>
      <c r="X25" s="7">
        <v>7633886550</v>
      </c>
      <c r="Y25" s="9">
        <f>Tabla136[[#This Row],[VALOR PROYECTADO 2023-2]]-Tabla136[[#This Row],[VALOR EJECUTADO 2023-2]]</f>
        <v>365471630</v>
      </c>
      <c r="Z25" s="85">
        <f>Tabla136[[#This Row],[VALOR EJECUTADO 2023-2]]/Tabla136[[#This Row],[VALOR PROYECTADO 2023-2]]</f>
        <v>0.95431238084653436</v>
      </c>
      <c r="AA25" s="106">
        <v>45292</v>
      </c>
      <c r="AB25" s="1" t="s">
        <v>45</v>
      </c>
      <c r="AC25" s="96">
        <v>45278</v>
      </c>
      <c r="AD25" s="109" t="s">
        <v>68</v>
      </c>
    </row>
    <row r="26" spans="1:30" x14ac:dyDescent="0.25">
      <c r="A26" s="2">
        <v>39</v>
      </c>
      <c r="B26" s="53" t="s">
        <v>82</v>
      </c>
      <c r="C26" s="2" t="s">
        <v>81</v>
      </c>
      <c r="D26" s="30">
        <v>1062641445</v>
      </c>
      <c r="E26" s="13">
        <v>850113156</v>
      </c>
      <c r="F26" s="13">
        <f>Tabla136[[#This Row],[VALOR PROYECTADO 2023-1]]*0.2</f>
        <v>212528289</v>
      </c>
      <c r="G26" s="8" t="s">
        <v>43</v>
      </c>
      <c r="H26" s="8" t="s">
        <v>44</v>
      </c>
      <c r="I26" s="8" t="s">
        <v>45</v>
      </c>
      <c r="J26" s="14">
        <v>45266</v>
      </c>
      <c r="K26" s="103" t="s">
        <v>48</v>
      </c>
      <c r="L26" s="40">
        <v>105728973</v>
      </c>
      <c r="N26" s="73">
        <v>955842130</v>
      </c>
      <c r="O26" s="25">
        <f>Tabla136[[#This Row],[VALOR PROYECTADO 2023-1]]-Tabla136[[#This Row],[VALOR EJECUTADO 2023-1]]</f>
        <v>106799315</v>
      </c>
      <c r="P26" s="26">
        <f>Tabla136[[#This Row],[VALOR EJECUTADO 2023-1]]/Tabla136[[#This Row],[VALOR PROYECTADO 2023-1]]</f>
        <v>0.89949637716228925</v>
      </c>
      <c r="Q26" s="6">
        <f>VLOOKUP(Tabla136[[#This Row],[NOMBRE IES]],'[1]INFORMACIÓN IES'!$B:$M,12,0)</f>
        <v>1017667214</v>
      </c>
      <c r="R26" s="6">
        <f>Tabla136[[#This Row],[VALOR PROYECTADO 2023-2]]*80/100</f>
        <v>814133771.20000005</v>
      </c>
      <c r="S26" s="7">
        <f>+Tabla136[[#This Row],[VALOR PROYECTADO 2023-2]]-Tabla136[[#This Row],[VALOR DESEMBOLSADO 2023-2 
80%3]]</f>
        <v>203533442.79999995</v>
      </c>
      <c r="T26" s="41" t="s">
        <v>46</v>
      </c>
      <c r="U26" s="8" t="s">
        <v>67</v>
      </c>
      <c r="V26" s="101">
        <v>36199480</v>
      </c>
      <c r="W26" s="7"/>
      <c r="X26" s="7">
        <v>850333252</v>
      </c>
      <c r="Y26" s="9">
        <f>Tabla136[[#This Row],[VALOR PROYECTADO 2023-2]]-Tabla136[[#This Row],[VALOR EJECUTADO 2023-2]]</f>
        <v>167333962</v>
      </c>
      <c r="Z26" s="85">
        <f>Tabla136[[#This Row],[VALOR EJECUTADO 2023-2]]/Tabla136[[#This Row],[VALOR PROYECTADO 2023-2]]</f>
        <v>0.83557103963064294</v>
      </c>
      <c r="AA26" s="106">
        <v>45292</v>
      </c>
      <c r="AB26" s="1" t="s">
        <v>45</v>
      </c>
      <c r="AC26" s="96">
        <v>45278</v>
      </c>
      <c r="AD26" s="109" t="s">
        <v>68</v>
      </c>
    </row>
    <row r="27" spans="1:30" x14ac:dyDescent="0.25">
      <c r="A27" s="2">
        <v>40</v>
      </c>
      <c r="B27" s="53" t="s">
        <v>83</v>
      </c>
      <c r="C27" s="2" t="s">
        <v>81</v>
      </c>
      <c r="D27" s="30">
        <v>4373230862</v>
      </c>
      <c r="E27" s="13">
        <v>3498584690</v>
      </c>
      <c r="F27" s="13">
        <f>Tabla136[[#This Row],[VALOR PROYECTADO 2023-1]]*0.2</f>
        <v>874646172.4000001</v>
      </c>
      <c r="G27" s="8" t="s">
        <v>43</v>
      </c>
      <c r="H27" s="8" t="s">
        <v>44</v>
      </c>
      <c r="I27" s="8" t="s">
        <v>45</v>
      </c>
      <c r="J27" s="14">
        <v>45266</v>
      </c>
      <c r="K27" s="103" t="s">
        <v>48</v>
      </c>
      <c r="L27" s="40">
        <v>343581041</v>
      </c>
      <c r="N27" s="73">
        <v>3842165731</v>
      </c>
      <c r="O27" s="25">
        <f>Tabla136[[#This Row],[VALOR PROYECTADO 2023-1]]-Tabla136[[#This Row],[VALOR EJECUTADO 2023-1]]</f>
        <v>531065131</v>
      </c>
      <c r="P27" s="26">
        <f>Tabla136[[#This Row],[VALOR EJECUTADO 2023-1]]/Tabla136[[#This Row],[VALOR PROYECTADO 2023-1]]</f>
        <v>0.87856457896733831</v>
      </c>
      <c r="Q27" s="6">
        <f>VLOOKUP(Tabla136[[#This Row],[NOMBRE IES]],'[1]INFORMACIÓN IES'!$B:$M,12,0)</f>
        <v>4178440131</v>
      </c>
      <c r="R27" s="6">
        <f>Tabla136[[#This Row],[VALOR PROYECTADO 2023-2]]*80/100</f>
        <v>3342752104.8000002</v>
      </c>
      <c r="S27" s="7">
        <f>+Tabla136[[#This Row],[VALOR PROYECTADO 2023-2]]-Tabla136[[#This Row],[VALOR DESEMBOLSADO 2023-2 
80%3]]</f>
        <v>835688026.19999981</v>
      </c>
      <c r="T27" s="41" t="s">
        <v>44</v>
      </c>
      <c r="U27" s="8" t="s">
        <v>67</v>
      </c>
      <c r="V27" s="101">
        <v>791573634</v>
      </c>
      <c r="W27" s="7"/>
      <c r="X27" s="7">
        <v>4134325739</v>
      </c>
      <c r="Y27" s="9">
        <f>Tabla136[[#This Row],[VALOR PROYECTADO 2023-2]]-Tabla136[[#This Row],[VALOR EJECUTADO 2023-2]]</f>
        <v>44114392</v>
      </c>
      <c r="Z27" s="85">
        <f>Tabla136[[#This Row],[VALOR EJECUTADO 2023-2]]/Tabla136[[#This Row],[VALOR PROYECTADO 2023-2]]</f>
        <v>0.98944237786902489</v>
      </c>
      <c r="AA27" s="106">
        <v>45292</v>
      </c>
      <c r="AB27" s="1" t="s">
        <v>45</v>
      </c>
      <c r="AC27" s="96">
        <v>45278</v>
      </c>
      <c r="AD27" s="109" t="s">
        <v>68</v>
      </c>
    </row>
    <row r="28" spans="1:30" x14ac:dyDescent="0.25">
      <c r="A28" s="2">
        <v>41</v>
      </c>
      <c r="B28" s="53" t="s">
        <v>84</v>
      </c>
      <c r="C28" s="2" t="s">
        <v>81</v>
      </c>
      <c r="D28" s="30">
        <v>2496575230</v>
      </c>
      <c r="E28" s="13">
        <v>1997260184</v>
      </c>
      <c r="F28" s="13">
        <f>Tabla136[[#This Row],[VALOR PROYECTADO 2023-1]]*0.2</f>
        <v>499315046</v>
      </c>
      <c r="G28" s="8" t="s">
        <v>43</v>
      </c>
      <c r="H28" s="8" t="s">
        <v>51</v>
      </c>
      <c r="I28" s="8" t="s">
        <v>45</v>
      </c>
      <c r="J28" s="14">
        <v>45245</v>
      </c>
      <c r="K28" s="77" t="s">
        <v>55</v>
      </c>
      <c r="L28" s="40">
        <v>593058816</v>
      </c>
      <c r="N28" s="16">
        <v>2590319000</v>
      </c>
      <c r="O28" s="25">
        <f>Tabla136[[#This Row],[VALOR PROYECTADO 2023-1]]-Tabla136[[#This Row],[VALOR EJECUTADO 2023-1]]</f>
        <v>-93743770</v>
      </c>
      <c r="P28" s="26">
        <f>Tabla136[[#This Row],[VALOR EJECUTADO 2023-1]]/Tabla136[[#This Row],[VALOR PROYECTADO 2023-1]]</f>
        <v>1.0375489466023422</v>
      </c>
      <c r="Q28" s="6">
        <f>VLOOKUP(Tabla136[[#This Row],[NOMBRE IES]],'[1]INFORMACIÓN IES'!$B:$M,12,0)</f>
        <v>2699101907</v>
      </c>
      <c r="R28" s="6">
        <f>Tabla136[[#This Row],[VALOR PROYECTADO 2023-2]]*80/100</f>
        <v>2159281525.5999999</v>
      </c>
      <c r="S28" s="7">
        <f>+Tabla136[[#This Row],[VALOR PROYECTADO 2023-2]]-Tabla136[[#This Row],[VALOR DESEMBOLSADO 2023-2 
80%3]]</f>
        <v>539820381.4000001</v>
      </c>
      <c r="T28" s="41" t="s">
        <v>44</v>
      </c>
      <c r="U28" s="8" t="s">
        <v>67</v>
      </c>
      <c r="V28" s="101">
        <v>2805866474</v>
      </c>
      <c r="W28" s="7"/>
      <c r="X28" s="7">
        <v>4965148000</v>
      </c>
      <c r="Y28" s="9">
        <f>Tabla136[[#This Row],[VALOR PROYECTADO 2023-2]]-Tabla136[[#This Row],[VALOR EJECUTADO 2023-2]]</f>
        <v>-2266046093</v>
      </c>
      <c r="Z28" s="85">
        <f>Tabla136[[#This Row],[VALOR EJECUTADO 2023-2]]/Tabla136[[#This Row],[VALOR PROYECTADO 2023-2]]</f>
        <v>1.8395555896289468</v>
      </c>
      <c r="AA28" s="106">
        <v>45292</v>
      </c>
      <c r="AB28" s="1" t="s">
        <v>45</v>
      </c>
      <c r="AC28" s="96">
        <v>45278</v>
      </c>
      <c r="AD28" s="109" t="s">
        <v>68</v>
      </c>
    </row>
    <row r="29" spans="1:30" x14ac:dyDescent="0.25">
      <c r="A29" s="2">
        <v>42</v>
      </c>
      <c r="B29" s="53" t="s">
        <v>85</v>
      </c>
      <c r="C29" s="2" t="s">
        <v>81</v>
      </c>
      <c r="D29" s="30">
        <v>7235460742</v>
      </c>
      <c r="E29" s="13">
        <v>5788368594</v>
      </c>
      <c r="F29" s="13">
        <f>Tabla136[[#This Row],[VALOR PROYECTADO 2023-1]]*0.2</f>
        <v>1447092148.4000001</v>
      </c>
      <c r="G29" s="8" t="s">
        <v>43</v>
      </c>
      <c r="H29" s="8" t="s">
        <v>51</v>
      </c>
      <c r="I29" s="8" t="s">
        <v>45</v>
      </c>
      <c r="J29" s="14">
        <v>45245</v>
      </c>
      <c r="K29" s="77" t="s">
        <v>55</v>
      </c>
      <c r="L29" s="40">
        <v>631719631</v>
      </c>
      <c r="N29" s="16">
        <f>Tabla136[[#This Row],[VALOR DESEMBOLSADO 2023-1 
80% (Concepto técnico)]]+Tabla136[[#This Row],[VALOR A GIRAR
CIERRE 2023-1 ]]</f>
        <v>6420088225</v>
      </c>
      <c r="O29" s="25">
        <f>Tabla136[[#This Row],[VALOR PROYECTADO 2023-1]]-Tabla136[[#This Row],[VALOR EJECUTADO 2023-1]]</f>
        <v>815372517</v>
      </c>
      <c r="P29" s="26">
        <f>Tabla136[[#This Row],[VALOR EJECUTADO 2023-1]]/Tabla136[[#This Row],[VALOR PROYECTADO 2023-1]]</f>
        <v>0.88730883269575755</v>
      </c>
      <c r="Q29" s="6">
        <f>VLOOKUP(Tabla136[[#This Row],[NOMBRE IES]],'[1]INFORMACIÓN IES'!$B:$M,12,0)</f>
        <v>6941515048</v>
      </c>
      <c r="R29" s="6">
        <f>Tabla136[[#This Row],[VALOR PROYECTADO 2023-2]]*80/100</f>
        <v>5553212038.3999996</v>
      </c>
      <c r="S29" s="7">
        <f>+Tabla136[[#This Row],[VALOR PROYECTADO 2023-2]]-Tabla136[[#This Row],[VALOR DESEMBOLSADO 2023-2 
80%3]]</f>
        <v>1388303009.6000004</v>
      </c>
      <c r="T29" s="40" t="s">
        <v>44</v>
      </c>
      <c r="U29" s="8" t="s">
        <v>67</v>
      </c>
      <c r="V29" s="101">
        <v>758612393</v>
      </c>
      <c r="W29" s="7"/>
      <c r="X29" s="7">
        <v>6311824432</v>
      </c>
      <c r="Y29" s="9">
        <f>Tabla136[[#This Row],[VALOR PROYECTADO 2023-2]]-Tabla136[[#This Row],[VALOR EJECUTADO 2023-2]]</f>
        <v>629690616</v>
      </c>
      <c r="Z29" s="85">
        <f>Tabla136[[#This Row],[VALOR EJECUTADO 2023-2]]/Tabla136[[#This Row],[VALOR PROYECTADO 2023-2]]</f>
        <v>0.90928628524958288</v>
      </c>
      <c r="AA29" s="106">
        <v>45292</v>
      </c>
      <c r="AB29" s="1" t="s">
        <v>45</v>
      </c>
      <c r="AC29" s="96">
        <v>45278</v>
      </c>
      <c r="AD29" s="109" t="s">
        <v>68</v>
      </c>
    </row>
    <row r="30" spans="1:30" x14ac:dyDescent="0.25">
      <c r="A30" s="2">
        <v>43</v>
      </c>
      <c r="B30" s="53" t="s">
        <v>86</v>
      </c>
      <c r="C30" s="2" t="s">
        <v>81</v>
      </c>
      <c r="D30" s="30">
        <v>14538266912</v>
      </c>
      <c r="E30" s="13">
        <v>11630613530</v>
      </c>
      <c r="F30" s="13">
        <f>Tabla136[[#This Row],[VALOR PROYECTADO 2023-1]]*0.2</f>
        <v>2907653382.4000001</v>
      </c>
      <c r="G30" s="8" t="s">
        <v>43</v>
      </c>
      <c r="H30" s="8" t="s">
        <v>51</v>
      </c>
      <c r="I30" s="8" t="s">
        <v>45</v>
      </c>
      <c r="J30" s="14">
        <v>45245</v>
      </c>
      <c r="K30" s="77" t="s">
        <v>55</v>
      </c>
      <c r="L30" s="40">
        <v>554058953</v>
      </c>
      <c r="N30" s="16">
        <v>12184672483</v>
      </c>
      <c r="O30" s="25">
        <f>Tabla136[[#This Row],[VALOR PROYECTADO 2023-1]]-Tabla136[[#This Row],[VALOR EJECUTADO 2023-1]]</f>
        <v>2353594429</v>
      </c>
      <c r="P30" s="26">
        <f>Tabla136[[#This Row],[VALOR EJECUTADO 2023-1]]/Tabla136[[#This Row],[VALOR PROYECTADO 2023-1]]</f>
        <v>0.83811038528551673</v>
      </c>
      <c r="Q30" s="6">
        <f>VLOOKUP(Tabla136[[#This Row],[NOMBRE IES]],'[1]INFORMACIÓN IES'!$B:$M,12,0)</f>
        <v>13034680269</v>
      </c>
      <c r="R30" s="6">
        <f>Tabla136[[#This Row],[VALOR PROYECTADO 2023-2]]*80/100</f>
        <v>10427744215.200001</v>
      </c>
      <c r="S30" s="7">
        <f>+Tabla136[[#This Row],[VALOR PROYECTADO 2023-2]]-Tabla136[[#This Row],[VALOR DESEMBOLSADO 2023-2 
80%3]]</f>
        <v>2606936053.7999992</v>
      </c>
      <c r="T30" s="40" t="s">
        <v>44</v>
      </c>
      <c r="U30" s="8" t="s">
        <v>43</v>
      </c>
      <c r="V30" s="7">
        <v>604018557</v>
      </c>
      <c r="W30" s="7"/>
      <c r="X30" s="7">
        <v>11031762773</v>
      </c>
      <c r="Y30" s="9">
        <f>Tabla136[[#This Row],[VALOR PROYECTADO 2023-2]]-Tabla136[[#This Row],[VALOR EJECUTADO 2023-2]]</f>
        <v>2002917496</v>
      </c>
      <c r="Z30" s="85">
        <f>Tabla136[[#This Row],[VALOR EJECUTADO 2023-2]]/Tabla136[[#This Row],[VALOR PROYECTADO 2023-2]]</f>
        <v>0.84633934590912208</v>
      </c>
      <c r="AA30" s="85" t="s">
        <v>44</v>
      </c>
      <c r="AB30" s="85" t="s">
        <v>45</v>
      </c>
      <c r="AC30" s="95">
        <f>+AC17</f>
        <v>45266</v>
      </c>
      <c r="AD30" s="108" t="s">
        <v>65</v>
      </c>
    </row>
    <row r="31" spans="1:30" x14ac:dyDescent="0.25">
      <c r="A31" s="2">
        <v>44</v>
      </c>
      <c r="B31" s="53" t="s">
        <v>87</v>
      </c>
      <c r="C31" s="2" t="s">
        <v>81</v>
      </c>
      <c r="D31" s="30">
        <v>12861265399</v>
      </c>
      <c r="E31" s="13">
        <v>10289012319</v>
      </c>
      <c r="F31" s="13">
        <f>Tabla136[[#This Row],[VALOR PROYECTADO 2023-1]]*0.2</f>
        <v>2572253079.8000002</v>
      </c>
      <c r="G31" s="8" t="s">
        <v>43</v>
      </c>
      <c r="H31" s="8" t="s">
        <v>51</v>
      </c>
      <c r="I31" s="8" t="s">
        <v>45</v>
      </c>
      <c r="J31" s="14">
        <v>45245</v>
      </c>
      <c r="K31" s="77" t="s">
        <v>55</v>
      </c>
      <c r="L31" s="40">
        <v>3748647481</v>
      </c>
      <c r="N31" s="16">
        <v>14037659800</v>
      </c>
      <c r="O31" s="25">
        <f>Tabla136[[#This Row],[VALOR PROYECTADO 2023-1]]-Tabla136[[#This Row],[VALOR EJECUTADO 2023-1]]</f>
        <v>-1176394401</v>
      </c>
      <c r="P31" s="26">
        <f>Tabla136[[#This Row],[VALOR EJECUTADO 2023-1]]/Tabla136[[#This Row],[VALOR PROYECTADO 2023-1]]</f>
        <v>1.0914680137999071</v>
      </c>
      <c r="Q31" s="6">
        <f>VLOOKUP(Tabla136[[#This Row],[NOMBRE IES]],'[1]INFORMACIÓN IES'!$B:$M,12,0)</f>
        <v>14311258280</v>
      </c>
      <c r="R31" s="6">
        <f>Tabla136[[#This Row],[VALOR PROYECTADO 2023-2]]*80/100</f>
        <v>11449006624</v>
      </c>
      <c r="S31" s="7">
        <f>+Tabla136[[#This Row],[VALOR PROYECTADO 2023-2]]-Tabla136[[#This Row],[VALOR DESEMBOLSADO 2023-2 
80%3]]</f>
        <v>2862251656</v>
      </c>
      <c r="T31" s="41" t="s">
        <v>44</v>
      </c>
      <c r="U31" s="8" t="s">
        <v>67</v>
      </c>
      <c r="V31" s="101">
        <v>5301591142</v>
      </c>
      <c r="W31" s="7"/>
      <c r="X31" s="7">
        <v>16750597766</v>
      </c>
      <c r="Y31" s="9">
        <f>Tabla136[[#This Row],[VALOR PROYECTADO 2023-2]]-Tabla136[[#This Row],[VALOR EJECUTADO 2023-2]]</f>
        <v>-2439339486</v>
      </c>
      <c r="Z31" s="85">
        <f>Tabla136[[#This Row],[VALOR EJECUTADO 2023-2]]/Tabla136[[#This Row],[VALOR PROYECTADO 2023-2]]</f>
        <v>1.1704489876623203</v>
      </c>
      <c r="AA31" s="106">
        <v>45292</v>
      </c>
      <c r="AB31" s="1" t="s">
        <v>45</v>
      </c>
      <c r="AC31" s="96">
        <v>45278</v>
      </c>
      <c r="AD31" s="109" t="s">
        <v>68</v>
      </c>
    </row>
    <row r="32" spans="1:30" x14ac:dyDescent="0.25">
      <c r="A32" s="2">
        <v>45</v>
      </c>
      <c r="B32" s="2" t="s">
        <v>88</v>
      </c>
      <c r="C32" s="2" t="s">
        <v>81</v>
      </c>
      <c r="D32" s="30">
        <v>10781898069</v>
      </c>
      <c r="E32" s="13">
        <v>8625518455</v>
      </c>
      <c r="F32" s="13">
        <f>Tabla136[[#This Row],[VALOR PROYECTADO 2023-1]]*0.2</f>
        <v>2156379613.8000002</v>
      </c>
      <c r="G32" s="8" t="s">
        <v>67</v>
      </c>
      <c r="H32" s="8" t="s">
        <v>44</v>
      </c>
      <c r="I32" s="8" t="s">
        <v>45</v>
      </c>
      <c r="J32" s="14">
        <v>45275</v>
      </c>
      <c r="K32" s="14"/>
      <c r="L32" s="40">
        <v>766470593</v>
      </c>
      <c r="N32" s="16">
        <f>Tabla136[[#This Row],[VALOR DESEMBOLSADO 2023-1 
80% (Concepto técnico)]]+Tabla136[[#This Row],[VALOR A GIRAR
CIERRE 2023-1 ]]</f>
        <v>9391989048</v>
      </c>
      <c r="O32" s="25">
        <f>Tabla136[[#This Row],[VALOR PROYECTADO 2023-1]]-Tabla136[[#This Row],[VALOR EJECUTADO 2023-1]]</f>
        <v>1389909021</v>
      </c>
      <c r="P32" s="26">
        <f>Tabla136[[#This Row],[VALOR EJECUTADO 2023-1]]/Tabla136[[#This Row],[VALOR PROYECTADO 2023-1]]</f>
        <v>0.87108865135757019</v>
      </c>
      <c r="Q32" s="6">
        <f>VLOOKUP(Tabla136[[#This Row],[NOMBRE IES]],'[1]INFORMACIÓN IES'!$B:$M,12,0)</f>
        <v>6746242853</v>
      </c>
      <c r="R32" s="6">
        <f>Tabla136[[#This Row],[VALOR PROYECTADO 2023-2]]*80/100</f>
        <v>5396994282.3999996</v>
      </c>
      <c r="S32" s="7">
        <f>+Tabla136[[#This Row],[VALOR PROYECTADO 2023-2]]-Tabla136[[#This Row],[VALOR DESEMBOLSADO 2023-2 
80%3]]</f>
        <v>1349248570.6000004</v>
      </c>
      <c r="T32" s="41" t="s">
        <v>46</v>
      </c>
      <c r="U32" s="8" t="s">
        <v>2</v>
      </c>
      <c r="V32" s="7"/>
      <c r="W32" s="7"/>
      <c r="X32" s="7"/>
      <c r="Y32" s="9">
        <f>Tabla136[[#This Row],[VALOR PROYECTADO 2023-2]]-Tabla136[[#This Row],[VALOR EJECUTADO 2023-2]]</f>
        <v>6746242853</v>
      </c>
      <c r="Z32" s="1">
        <f>Tabla136[[#This Row],[VALOR EJECUTADO 2023-2]]/Tabla136[[#This Row],[VALOR PROYECTADO 2023-2]]</f>
        <v>0</v>
      </c>
    </row>
    <row r="33" spans="1:30" x14ac:dyDescent="0.25">
      <c r="A33" s="2">
        <v>46</v>
      </c>
      <c r="B33" s="53" t="s">
        <v>89</v>
      </c>
      <c r="C33" s="2" t="s">
        <v>81</v>
      </c>
      <c r="D33" s="30">
        <v>8875077165</v>
      </c>
      <c r="E33" s="13">
        <v>7100061732</v>
      </c>
      <c r="F33" s="13">
        <f>Tabla136[[#This Row],[VALOR PROYECTADO 2023-1]]*0.2</f>
        <v>1775015433</v>
      </c>
      <c r="G33" s="8" t="s">
        <v>43</v>
      </c>
      <c r="H33" s="8" t="s">
        <v>44</v>
      </c>
      <c r="I33" s="8" t="s">
        <v>45</v>
      </c>
      <c r="J33" s="14">
        <v>45266</v>
      </c>
      <c r="K33" s="103" t="s">
        <v>48</v>
      </c>
      <c r="L33" s="40"/>
      <c r="M33" s="81">
        <v>325672715</v>
      </c>
      <c r="N33" s="73">
        <v>6774389017</v>
      </c>
      <c r="O33" s="25">
        <f>Tabla136[[#This Row],[VALOR PROYECTADO 2023-1]]-Tabla136[[#This Row],[VALOR EJECUTADO 2023-1]]</f>
        <v>2100688148</v>
      </c>
      <c r="P33" s="26">
        <f>Tabla136[[#This Row],[VALOR EJECUTADO 2023-1]]/Tabla136[[#This Row],[VALOR PROYECTADO 2023-1]]</f>
        <v>0.76330480186872829</v>
      </c>
      <c r="Q33" s="6">
        <f>VLOOKUP(Tabla136[[#This Row],[NOMBRE IES]],'[1]INFORMACIÓN IES'!$B:$M,12,0)</f>
        <v>7254318640</v>
      </c>
      <c r="R33" s="6">
        <f>Tabla136[[#This Row],[VALOR PROYECTADO 2023-2]]*80/100</f>
        <v>5803454912</v>
      </c>
      <c r="S33" s="7">
        <f>+Tabla136[[#This Row],[VALOR PROYECTADO 2023-2]]-Tabla136[[#This Row],[VALOR DESEMBOLSADO 2023-2 
80%3]]</f>
        <v>1450863728</v>
      </c>
      <c r="T33" s="41" t="s">
        <v>44</v>
      </c>
      <c r="U33" s="8" t="s">
        <v>67</v>
      </c>
      <c r="V33" s="101">
        <v>1201454084</v>
      </c>
      <c r="W33" s="7"/>
      <c r="X33" s="7">
        <v>7004908996</v>
      </c>
      <c r="Y33" s="9">
        <f>Tabla136[[#This Row],[VALOR PROYECTADO 2023-2]]-Tabla136[[#This Row],[VALOR EJECUTADO 2023-2]]</f>
        <v>249409644</v>
      </c>
      <c r="Z33" s="85">
        <f>Tabla136[[#This Row],[VALOR EJECUTADO 2023-2]]/Tabla136[[#This Row],[VALOR PROYECTADO 2023-2]]</f>
        <v>0.96561914958838924</v>
      </c>
      <c r="AA33" s="106">
        <v>45292</v>
      </c>
      <c r="AB33" s="1" t="s">
        <v>45</v>
      </c>
      <c r="AC33" s="96">
        <v>45278</v>
      </c>
      <c r="AD33" s="109" t="s">
        <v>68</v>
      </c>
    </row>
    <row r="34" spans="1:30" x14ac:dyDescent="0.25">
      <c r="A34" s="2">
        <v>13</v>
      </c>
      <c r="B34" s="53" t="s">
        <v>90</v>
      </c>
      <c r="C34" s="2" t="s">
        <v>91</v>
      </c>
      <c r="D34" s="12">
        <v>710730824</v>
      </c>
      <c r="E34" s="13">
        <f>Tabla136[[#This Row],[VALOR PROYECTADO 2023-1]]*80%</f>
        <v>568584659.20000005</v>
      </c>
      <c r="F34" s="13">
        <f>Tabla136[[#This Row],[VALOR PROYECTADO 2023-1]]*0.2</f>
        <v>142146164.80000001</v>
      </c>
      <c r="G34" s="8" t="s">
        <v>43</v>
      </c>
      <c r="H34" s="8" t="s">
        <v>44</v>
      </c>
      <c r="I34" s="8" t="s">
        <v>45</v>
      </c>
      <c r="J34" s="14">
        <v>45266</v>
      </c>
      <c r="K34" s="103" t="s">
        <v>48</v>
      </c>
      <c r="L34" s="40">
        <v>914259658</v>
      </c>
      <c r="M34" s="80"/>
      <c r="N34" s="73">
        <v>1482844318</v>
      </c>
      <c r="O34" s="25">
        <f>Tabla136[[#This Row],[VALOR PROYECTADO 2023-1]]-Tabla136[[#This Row],[VALOR EJECUTADO 2023-1]]</f>
        <v>-772113494</v>
      </c>
      <c r="P34" s="26">
        <f>Tabla136[[#This Row],[VALOR EJECUTADO 2023-1]]/Tabla136[[#This Row],[VALOR PROYECTADO 2023-1]]</f>
        <v>2.0863655661570126</v>
      </c>
      <c r="Q34" s="6">
        <f>VLOOKUP(Tabla136[[#This Row],[NOMBRE IES]],'[1]INFORMACIÓN IES'!$B:$M,12,0)</f>
        <v>149470874</v>
      </c>
      <c r="R34" s="6">
        <f>Tabla136[[#This Row],[VALOR PROYECTADO 2023-2]]*80/100</f>
        <v>119576699.2</v>
      </c>
      <c r="S34" s="7">
        <f>+Tabla136[[#This Row],[VALOR PROYECTADO 2023-2]]-Tabla136[[#This Row],[VALOR DESEMBOLSADO 2023-2 
80%3]]</f>
        <v>29894174.799999997</v>
      </c>
      <c r="T34" s="41" t="s">
        <v>46</v>
      </c>
      <c r="U34" s="8" t="s">
        <v>2</v>
      </c>
      <c r="V34" s="7"/>
      <c r="W34" s="7"/>
      <c r="X34" s="7"/>
      <c r="Y34" s="9">
        <f>Tabla136[[#This Row],[VALOR PROYECTADO 2023-2]]-Tabla136[[#This Row],[VALOR EJECUTADO 2023-2]]</f>
        <v>149470874</v>
      </c>
      <c r="Z34" s="85">
        <f>Tabla136[[#This Row],[VALOR EJECUTADO 2023-2]]/Tabla136[[#This Row],[VALOR PROYECTADO 2023-2]]</f>
        <v>0</v>
      </c>
      <c r="AA34" s="107">
        <f>+AA21</f>
        <v>45292</v>
      </c>
      <c r="AB34" s="1" t="s">
        <v>11</v>
      </c>
      <c r="AD34" s="1" t="s">
        <v>49</v>
      </c>
    </row>
    <row r="35" spans="1:30" x14ac:dyDescent="0.25">
      <c r="A35" s="2">
        <v>14</v>
      </c>
      <c r="B35" s="53" t="s">
        <v>92</v>
      </c>
      <c r="C35" s="2" t="s">
        <v>91</v>
      </c>
      <c r="D35" s="12">
        <v>243697305</v>
      </c>
      <c r="E35" s="13">
        <f>Tabla136[[#This Row],[VALOR PROYECTADO 2023-1]]*80%</f>
        <v>194957844</v>
      </c>
      <c r="F35" s="13">
        <f>Tabla136[[#This Row],[VALOR PROYECTADO 2023-1]]*0.2</f>
        <v>48739461</v>
      </c>
      <c r="G35" s="8" t="s">
        <v>43</v>
      </c>
      <c r="H35" s="8" t="s">
        <v>51</v>
      </c>
      <c r="I35" s="8" t="s">
        <v>45</v>
      </c>
      <c r="J35" s="14">
        <v>45245</v>
      </c>
      <c r="K35" s="77" t="s">
        <v>55</v>
      </c>
      <c r="L35" s="40">
        <v>60011317</v>
      </c>
      <c r="N35" s="16">
        <v>254969161</v>
      </c>
      <c r="O35" s="24">
        <f>Tabla136[[#This Row],[VALOR PROYECTADO 2023-1]]-Tabla136[[#This Row],[VALOR EJECUTADO 2023-1]]</f>
        <v>-11271856</v>
      </c>
      <c r="P35" s="26">
        <f>Tabla136[[#This Row],[VALOR EJECUTADO 2023-1]]/Tabla136[[#This Row],[VALOR PROYECTADO 2023-1]]</f>
        <v>1.0462535110923774</v>
      </c>
      <c r="Q35" s="6">
        <f>VLOOKUP(Tabla136[[#This Row],[NOMBRE IES]],'[1]INFORMACIÓN IES'!$B:$M,12,0)</f>
        <v>280466077</v>
      </c>
      <c r="R35" s="6">
        <f>Tabla136[[#This Row],[VALOR PROYECTADO 2023-2]]*80/100</f>
        <v>224372861.59999999</v>
      </c>
      <c r="S35" s="7">
        <f>+Tabla136[[#This Row],[VALOR PROYECTADO 2023-2]]-Tabla136[[#This Row],[VALOR DESEMBOLSADO 2023-2 
80%3]]</f>
        <v>56093215.400000006</v>
      </c>
      <c r="T35" s="40" t="s">
        <v>44</v>
      </c>
      <c r="U35" s="8" t="s">
        <v>2</v>
      </c>
      <c r="V35" s="7"/>
      <c r="W35" s="7"/>
      <c r="X35" s="7"/>
      <c r="Y35" s="9">
        <f>Tabla136[[#This Row],[VALOR PROYECTADO 2023-2]]-Tabla136[[#This Row],[VALOR EJECUTADO 2023-2]]</f>
        <v>280466077</v>
      </c>
      <c r="Z35" s="85">
        <f>Tabla136[[#This Row],[VALOR EJECUTADO 2023-2]]/Tabla136[[#This Row],[VALOR PROYECTADO 2023-2]]</f>
        <v>0</v>
      </c>
      <c r="AA35" s="107">
        <f>+AA34</f>
        <v>45292</v>
      </c>
      <c r="AB35" s="1" t="s">
        <v>11</v>
      </c>
      <c r="AD35" s="1" t="s">
        <v>49</v>
      </c>
    </row>
    <row r="36" spans="1:30" x14ac:dyDescent="0.25">
      <c r="A36" s="2">
        <v>15</v>
      </c>
      <c r="B36" s="53" t="s">
        <v>93</v>
      </c>
      <c r="C36" s="2" t="s">
        <v>91</v>
      </c>
      <c r="D36" s="12">
        <v>8831728849</v>
      </c>
      <c r="E36" s="13">
        <f>Tabla136[[#This Row],[VALOR PROYECTADO 2023-1]]*80%</f>
        <v>7065383079.2000008</v>
      </c>
      <c r="F36" s="13">
        <f>Tabla136[[#This Row],[VALOR PROYECTADO 2023-1]]*0.2</f>
        <v>1766345769.8000002</v>
      </c>
      <c r="G36" s="8" t="s">
        <v>43</v>
      </c>
      <c r="H36" s="8" t="s">
        <v>44</v>
      </c>
      <c r="I36" s="8" t="s">
        <v>45</v>
      </c>
      <c r="J36" s="14">
        <v>45266</v>
      </c>
      <c r="K36" s="14"/>
      <c r="L36" s="40">
        <v>2531876921</v>
      </c>
      <c r="M36" s="2"/>
      <c r="N36" s="74">
        <v>9578932000</v>
      </c>
      <c r="O36" s="25">
        <f>Tabla136[[#This Row],[VALOR PROYECTADO 2023-1]]-Tabla136[[#This Row],[VALOR EJECUTADO 2023-1]]</f>
        <v>-747203151</v>
      </c>
      <c r="P36" s="26">
        <f>Tabla136[[#This Row],[VALOR EJECUTADO 2023-1]]/Tabla136[[#This Row],[VALOR PROYECTADO 2023-1]]</f>
        <v>1.0846044034837645</v>
      </c>
      <c r="Q36" s="6">
        <f>VLOOKUP(Tabla136[[#This Row],[NOMBRE IES]],'[1]INFORMACIÓN IES'!$B:$M,12,0)</f>
        <v>9251638000</v>
      </c>
      <c r="R36" s="6">
        <f>Tabla136[[#This Row],[VALOR PROYECTADO 2023-2]]*80/100</f>
        <v>7401310400</v>
      </c>
      <c r="S36" s="7">
        <f>+Tabla136[[#This Row],[VALOR PROYECTADO 2023-2]]-Tabla136[[#This Row],[VALOR DESEMBOLSADO 2023-2 
80%3]]</f>
        <v>1850327600</v>
      </c>
      <c r="T36" s="41" t="s">
        <v>46</v>
      </c>
      <c r="U36" s="8" t="s">
        <v>2</v>
      </c>
      <c r="V36" s="7"/>
      <c r="W36" s="7"/>
      <c r="X36" s="7"/>
      <c r="Y36" s="9">
        <f>Tabla136[[#This Row],[VALOR PROYECTADO 2023-2]]-Tabla136[[#This Row],[VALOR EJECUTADO 2023-2]]</f>
        <v>9251638000</v>
      </c>
      <c r="Z36" s="1">
        <f>Tabla136[[#This Row],[VALOR EJECUTADO 2023-2]]/Tabla136[[#This Row],[VALOR PROYECTADO 2023-2]]</f>
        <v>0</v>
      </c>
    </row>
    <row r="37" spans="1:30" x14ac:dyDescent="0.25">
      <c r="A37" s="2">
        <v>16</v>
      </c>
      <c r="B37" s="53" t="s">
        <v>94</v>
      </c>
      <c r="C37" s="2" t="s">
        <v>91</v>
      </c>
      <c r="D37" s="12">
        <v>6442433158</v>
      </c>
      <c r="E37" s="13">
        <f>Tabla136[[#This Row],[VALOR PROYECTADO 2023-1]]*80%</f>
        <v>5153946526.4000006</v>
      </c>
      <c r="F37" s="13">
        <f>Tabla136[[#This Row],[VALOR PROYECTADO 2023-1]]*0.2</f>
        <v>1288486631.6000001</v>
      </c>
      <c r="G37" s="8" t="s">
        <v>43</v>
      </c>
      <c r="H37" s="8" t="s">
        <v>44</v>
      </c>
      <c r="I37" s="8" t="s">
        <v>45</v>
      </c>
      <c r="J37" s="14">
        <v>45266</v>
      </c>
      <c r="K37" s="14"/>
      <c r="L37" s="40">
        <v>609757609</v>
      </c>
      <c r="M37" s="2"/>
      <c r="N37" s="74">
        <v>5763704136</v>
      </c>
      <c r="O37" s="25">
        <f>Tabla136[[#This Row],[VALOR PROYECTADO 2023-1]]-Tabla136[[#This Row],[VALOR EJECUTADO 2023-1]]</f>
        <v>678729022</v>
      </c>
      <c r="P37" s="26">
        <f>Tabla136[[#This Row],[VALOR EJECUTADO 2023-1]]/Tabla136[[#This Row],[VALOR PROYECTADO 2023-1]]</f>
        <v>0.89464709910770646</v>
      </c>
      <c r="Q37" s="6">
        <f>VLOOKUP(Tabla136[[#This Row],[NOMBRE IES]],'[1]INFORMACIÓN IES'!$B:$M,12,0)</f>
        <v>5846245947</v>
      </c>
      <c r="R37" s="6">
        <f>Tabla136[[#This Row],[VALOR PROYECTADO 2023-2]]*80/100</f>
        <v>4676996757.6000004</v>
      </c>
      <c r="S37" s="7">
        <f>+Tabla136[[#This Row],[VALOR PROYECTADO 2023-2]]-Tabla136[[#This Row],[VALOR DESEMBOLSADO 2023-2 
80%3]]</f>
        <v>1169249189.3999996</v>
      </c>
      <c r="T37" s="41" t="s">
        <v>46</v>
      </c>
      <c r="U37" s="8" t="s">
        <v>2</v>
      </c>
      <c r="V37" s="7"/>
      <c r="W37" s="7"/>
      <c r="X37" s="7"/>
      <c r="Y37" s="9">
        <f>Tabla136[[#This Row],[VALOR PROYECTADO 2023-2]]-Tabla136[[#This Row],[VALOR EJECUTADO 2023-2]]</f>
        <v>5846245947</v>
      </c>
      <c r="Z37" s="1">
        <f>Tabla136[[#This Row],[VALOR EJECUTADO 2023-2]]/Tabla136[[#This Row],[VALOR PROYECTADO 2023-2]]</f>
        <v>0</v>
      </c>
    </row>
    <row r="38" spans="1:30" x14ac:dyDescent="0.25">
      <c r="A38" s="2">
        <v>17</v>
      </c>
      <c r="B38" s="53" t="s">
        <v>95</v>
      </c>
      <c r="C38" s="2" t="s">
        <v>91</v>
      </c>
      <c r="D38" s="12">
        <v>10252255310</v>
      </c>
      <c r="E38" s="13">
        <f>Tabla136[[#This Row],[VALOR PROYECTADO 2023-1]]*80%</f>
        <v>8201804248</v>
      </c>
      <c r="F38" s="13">
        <f>Tabla136[[#This Row],[VALOR PROYECTADO 2023-1]]*0.2</f>
        <v>2050451062</v>
      </c>
      <c r="G38" s="8" t="s">
        <v>67</v>
      </c>
      <c r="H38" s="8" t="s">
        <v>44</v>
      </c>
      <c r="I38" s="8" t="s">
        <v>45</v>
      </c>
      <c r="J38" s="14">
        <v>45275</v>
      </c>
      <c r="K38" s="14"/>
      <c r="L38" s="40"/>
      <c r="M38" s="43">
        <f>Tabla136[[#This Row],[VALOR EJECUTADO 2023-1]]-Tabla136[[#This Row],[VALOR DESEMBOLSADO 2023-1 
80% (Concepto técnico)]]</f>
        <v>-512539661</v>
      </c>
      <c r="N38" s="42">
        <v>7689264587</v>
      </c>
      <c r="O38" s="25">
        <f>Tabla136[[#This Row],[VALOR PROYECTADO 2023-1]]-Tabla136[[#This Row],[VALOR EJECUTADO 2023-1]]</f>
        <v>2562990723</v>
      </c>
      <c r="P38" s="26">
        <f>Tabla136[[#This Row],[VALOR EJECUTADO 2023-1]]/Tabla136[[#This Row],[VALOR PROYECTADO 2023-1]]</f>
        <v>0.75000713057739876</v>
      </c>
      <c r="Q38" s="6">
        <f>VLOOKUP(Tabla136[[#This Row],[NOMBRE IES]],'[1]INFORMACIÓN IES'!$B:$M,12,0)</f>
        <v>8159406846</v>
      </c>
      <c r="R38" s="6">
        <f>Tabla136[[#This Row],[VALOR PROYECTADO 2023-2]]*80/100</f>
        <v>6527525476.8000002</v>
      </c>
      <c r="S38" s="7">
        <f>+Tabla136[[#This Row],[VALOR PROYECTADO 2023-2]]-Tabla136[[#This Row],[VALOR DESEMBOLSADO 2023-2 
80%3]]</f>
        <v>1631881369.1999998</v>
      </c>
      <c r="T38" s="41" t="s">
        <v>46</v>
      </c>
      <c r="U38" s="8" t="s">
        <v>2</v>
      </c>
      <c r="V38" s="7"/>
      <c r="W38" s="7"/>
      <c r="X38" s="7"/>
      <c r="Y38" s="9">
        <f>Tabla136[[#This Row],[VALOR PROYECTADO 2023-2]]-Tabla136[[#This Row],[VALOR EJECUTADO 2023-2]]</f>
        <v>8159406846</v>
      </c>
      <c r="Z38" s="1">
        <f>Tabla136[[#This Row],[VALOR EJECUTADO 2023-2]]/Tabla136[[#This Row],[VALOR PROYECTADO 2023-2]]</f>
        <v>0</v>
      </c>
    </row>
    <row r="39" spans="1:30" x14ac:dyDescent="0.25">
      <c r="A39" s="2">
        <v>47</v>
      </c>
      <c r="B39" s="53" t="s">
        <v>96</v>
      </c>
      <c r="C39" s="2" t="s">
        <v>97</v>
      </c>
      <c r="D39" s="12">
        <v>4872056574</v>
      </c>
      <c r="E39" s="13">
        <f>Tabla136[[#This Row],[VALOR PROYECTADO 2023-1]]*80%</f>
        <v>3897645259.2000003</v>
      </c>
      <c r="F39" s="13">
        <v>239536271</v>
      </c>
      <c r="G39" s="8" t="s">
        <v>43</v>
      </c>
      <c r="H39" s="8" t="s">
        <v>51</v>
      </c>
      <c r="I39" s="8" t="s">
        <v>45</v>
      </c>
      <c r="J39" s="14">
        <v>45245</v>
      </c>
      <c r="K39" s="14"/>
      <c r="L39" s="91">
        <f>Tabla136[[#This Row],[VALOR EJECUTADO 2023-1]]-Tabla136[[#This Row],[VALOR DESEMBOLSADO 2023-1 
80% (Concepto técnico)]]</f>
        <v>239536270.79999971</v>
      </c>
      <c r="M39" s="1">
        <v>0</v>
      </c>
      <c r="N39" s="42">
        <v>4137181530</v>
      </c>
      <c r="O39" s="25">
        <f>Tabla136[[#This Row],[VALOR PROYECTADO 2023-1]]-Tabla136[[#This Row],[VALOR EJECUTADO 2023-1]]</f>
        <v>734875044</v>
      </c>
      <c r="P39" s="26">
        <f>Tabla136[[#This Row],[VALOR EJECUTADO 2023-1]]/Tabla136[[#This Row],[VALOR PROYECTADO 2023-1]]</f>
        <v>0.84916533032032071</v>
      </c>
      <c r="Q39" s="6">
        <f>VLOOKUP(Tabla136[[#This Row],[NOMBRE IES]],'[1]INFORMACIÓN IES'!$B:$M,12,0)</f>
        <v>4470544441</v>
      </c>
      <c r="R39" s="6">
        <f>Tabla136[[#This Row],[VALOR PROYECTADO 2023-2]]*80/100</f>
        <v>3576435552.8000002</v>
      </c>
      <c r="S39" s="7">
        <f>+Tabla136[[#This Row],[VALOR PROYECTADO 2023-2]]-Tabla136[[#This Row],[VALOR DESEMBOLSADO 2023-2 
80%3]]</f>
        <v>894108888.19999981</v>
      </c>
      <c r="T39" s="41" t="s">
        <v>46</v>
      </c>
      <c r="U39" s="8" t="s">
        <v>2</v>
      </c>
      <c r="V39" s="7"/>
      <c r="W39" s="7"/>
      <c r="X39" s="7"/>
      <c r="Y39" s="9">
        <f>Tabla136[[#This Row],[VALOR PROYECTADO 2023-2]]-Tabla136[[#This Row],[VALOR EJECUTADO 2023-2]]</f>
        <v>4470544441</v>
      </c>
      <c r="Z39" s="1">
        <f>Tabla136[[#This Row],[VALOR EJECUTADO 2023-2]]/Tabla136[[#This Row],[VALOR PROYECTADO 2023-2]]</f>
        <v>0</v>
      </c>
    </row>
    <row r="40" spans="1:30" x14ac:dyDescent="0.25">
      <c r="A40" s="2">
        <v>48</v>
      </c>
      <c r="B40" s="53" t="s">
        <v>98</v>
      </c>
      <c r="C40" s="2" t="s">
        <v>97</v>
      </c>
      <c r="D40" s="12">
        <v>3560472162</v>
      </c>
      <c r="E40" s="13">
        <v>2848377730</v>
      </c>
      <c r="F40" s="13">
        <v>461773870</v>
      </c>
      <c r="G40" s="8" t="s">
        <v>43</v>
      </c>
      <c r="H40" s="8" t="s">
        <v>51</v>
      </c>
      <c r="I40" s="8" t="s">
        <v>45</v>
      </c>
      <c r="J40" s="14">
        <v>45245</v>
      </c>
      <c r="K40" s="14"/>
      <c r="L40" s="91">
        <f>Tabla136[[#This Row],[VALOR EJECUTADO 2023-1]]-Tabla136[[#This Row],[VALOR DESEMBOLSADO 2023-1 
80% (Concepto técnico)]]</f>
        <v>461773870</v>
      </c>
      <c r="M40" s="1">
        <v>0</v>
      </c>
      <c r="N40" s="42">
        <v>3310151600</v>
      </c>
      <c r="O40" s="25">
        <f>Tabla136[[#This Row],[VALOR PROYECTADO 2023-1]]-Tabla136[[#This Row],[VALOR EJECUTADO 2023-1]]</f>
        <v>250320562</v>
      </c>
      <c r="P40" s="26">
        <f>Tabla136[[#This Row],[VALOR EJECUTADO 2023-1]]/Tabla136[[#This Row],[VALOR PROYECTADO 2023-1]]</f>
        <v>0.92969455998796824</v>
      </c>
      <c r="Q40" s="6">
        <f>VLOOKUP(Tabla136[[#This Row],[NOMBRE IES]],'[1]INFORMACIÓN IES'!$B:$M,12,0)</f>
        <v>3519743920</v>
      </c>
      <c r="R40" s="6">
        <f>Tabla136[[#This Row],[VALOR PROYECTADO 2023-2]]*80/100</f>
        <v>2815795136</v>
      </c>
      <c r="S40" s="7">
        <f>+Tabla136[[#This Row],[VALOR PROYECTADO 2023-2]]-Tabla136[[#This Row],[VALOR DESEMBOLSADO 2023-2 
80%3]]</f>
        <v>703948784</v>
      </c>
      <c r="T40" s="41" t="s">
        <v>46</v>
      </c>
      <c r="U40" s="8" t="s">
        <v>2</v>
      </c>
      <c r="V40" s="7"/>
      <c r="W40" s="7"/>
      <c r="X40" s="7"/>
      <c r="Y40" s="9">
        <f>Tabla136[[#This Row],[VALOR PROYECTADO 2023-2]]-Tabla136[[#This Row],[VALOR EJECUTADO 2023-2]]</f>
        <v>3519743920</v>
      </c>
      <c r="Z40" s="1">
        <f>Tabla136[[#This Row],[VALOR EJECUTADO 2023-2]]/Tabla136[[#This Row],[VALOR PROYECTADO 2023-2]]</f>
        <v>0</v>
      </c>
    </row>
    <row r="41" spans="1:30" x14ac:dyDescent="0.25">
      <c r="A41" s="2">
        <v>49</v>
      </c>
      <c r="B41" s="53" t="s">
        <v>99</v>
      </c>
      <c r="C41" s="2" t="s">
        <v>97</v>
      </c>
      <c r="D41" s="12">
        <v>237002667</v>
      </c>
      <c r="E41" s="13">
        <f>Tabla136[[#This Row],[VALOR PROYECTADO 2023-1]]*80%</f>
        <v>189602133.60000002</v>
      </c>
      <c r="F41" s="13">
        <v>114322016</v>
      </c>
      <c r="G41" s="8" t="s">
        <v>43</v>
      </c>
      <c r="H41" s="8" t="s">
        <v>51</v>
      </c>
      <c r="I41" s="8" t="s">
        <v>45</v>
      </c>
      <c r="J41" s="14">
        <v>45245</v>
      </c>
      <c r="K41" s="77" t="s">
        <v>55</v>
      </c>
      <c r="L41" s="91">
        <f>Tabla136[[#This Row],[VALOR ESTIMADO  POR DESEMBOLSAR 2023-1 
(20%)]]</f>
        <v>114322016</v>
      </c>
      <c r="M41" s="1">
        <v>0</v>
      </c>
      <c r="N41" s="42">
        <v>303924150</v>
      </c>
      <c r="O41" s="24">
        <f>Tabla136[[#This Row],[VALOR PROYECTADO 2023-1]]-Tabla136[[#This Row],[VALOR EJECUTADO 2023-1]]</f>
        <v>-66921483</v>
      </c>
      <c r="P41" s="26">
        <f>Tabla136[[#This Row],[VALOR EJECUTADO 2023-1]]/Tabla136[[#This Row],[VALOR PROYECTADO 2023-1]]</f>
        <v>1.2823659490717882</v>
      </c>
      <c r="Q41" s="6">
        <f>VLOOKUP(Tabla136[[#This Row],[NOMBRE IES]],'[1]INFORMACIÓN IES'!$B:$M,12,0)</f>
        <v>359864010</v>
      </c>
      <c r="R41" s="6">
        <f>Tabla136[[#This Row],[VALOR PROYECTADO 2023-2]]*80/100</f>
        <v>287891208</v>
      </c>
      <c r="S41" s="7">
        <f>+Tabla136[[#This Row],[VALOR PROYECTADO 2023-2]]-Tabla136[[#This Row],[VALOR DESEMBOLSADO 2023-2 
80%3]]</f>
        <v>71972802</v>
      </c>
      <c r="T41" s="40" t="s">
        <v>44</v>
      </c>
      <c r="U41" s="8" t="s">
        <v>2</v>
      </c>
      <c r="V41" s="7"/>
      <c r="W41" s="7"/>
      <c r="X41" s="7"/>
      <c r="Y41" s="9">
        <f>Tabla136[[#This Row],[VALOR PROYECTADO 2023-2]]-Tabla136[[#This Row],[VALOR EJECUTADO 2023-2]]</f>
        <v>359864010</v>
      </c>
      <c r="Z41" s="85">
        <f>Tabla136[[#This Row],[VALOR EJECUTADO 2023-2]]/Tabla136[[#This Row],[VALOR PROYECTADO 2023-2]]</f>
        <v>0</v>
      </c>
      <c r="AA41" s="107">
        <f>+AA35</f>
        <v>45292</v>
      </c>
      <c r="AB41" s="1" t="s">
        <v>11</v>
      </c>
      <c r="AD41" s="1" t="s">
        <v>49</v>
      </c>
    </row>
    <row r="42" spans="1:30" x14ac:dyDescent="0.25">
      <c r="A42" s="2">
        <v>50</v>
      </c>
      <c r="B42" s="53" t="s">
        <v>100</v>
      </c>
      <c r="C42" s="2" t="s">
        <v>97</v>
      </c>
      <c r="D42" s="12">
        <v>13754059535.73</v>
      </c>
      <c r="E42" s="13">
        <f>Tabla136[[#This Row],[VALOR PROYECTADO 2023-1]]*80%</f>
        <v>11003247628.584</v>
      </c>
      <c r="F42" s="13">
        <v>3274062237</v>
      </c>
      <c r="G42" s="8" t="s">
        <v>43</v>
      </c>
      <c r="H42" s="8" t="s">
        <v>51</v>
      </c>
      <c r="I42" s="8" t="s">
        <v>45</v>
      </c>
      <c r="J42" s="14">
        <v>45245</v>
      </c>
      <c r="K42" s="14"/>
      <c r="L42" s="91">
        <f>Tabla136[[#This Row],[VALOR EJECUTADO 2023-1]]-Tabla136[[#This Row],[VALOR DESEMBOLSADO 2023-1 
80% (Concepto técnico)]]</f>
        <v>3274062237.4160004</v>
      </c>
      <c r="M42" s="1">
        <v>0</v>
      </c>
      <c r="N42" s="42">
        <v>14277309866</v>
      </c>
      <c r="O42" s="24">
        <f>Tabla136[[#This Row],[VALOR PROYECTADO 2023-1]]-Tabla136[[#This Row],[VALOR EJECUTADO 2023-1]]</f>
        <v>-523250330.27000046</v>
      </c>
      <c r="P42" s="26">
        <f>Tabla136[[#This Row],[VALOR EJECUTADO 2023-1]]/Tabla136[[#This Row],[VALOR PROYECTADO 2023-1]]</f>
        <v>1.0380433375986713</v>
      </c>
      <c r="Q42" s="6">
        <f>VLOOKUP(Tabla136[[#This Row],[NOMBRE IES]],'[1]INFORMACIÓN IES'!$B:$M,12,0)</f>
        <v>15511700841</v>
      </c>
      <c r="R42" s="6">
        <f>Tabla136[[#This Row],[VALOR PROYECTADO 2023-2]]*80/100</f>
        <v>12409360672.799999</v>
      </c>
      <c r="S42" s="7">
        <f>+Tabla136[[#This Row],[VALOR PROYECTADO 2023-2]]-Tabla136[[#This Row],[VALOR DESEMBOLSADO 2023-2 
80%3]]</f>
        <v>3102340168.2000008</v>
      </c>
      <c r="T42" s="41" t="s">
        <v>46</v>
      </c>
      <c r="U42" s="8" t="s">
        <v>2</v>
      </c>
      <c r="V42" s="7"/>
      <c r="W42" s="7"/>
      <c r="X42" s="7"/>
      <c r="Y42" s="9">
        <f>Tabla136[[#This Row],[VALOR PROYECTADO 2023-2]]-Tabla136[[#This Row],[VALOR EJECUTADO 2023-2]]</f>
        <v>15511700841</v>
      </c>
      <c r="Z42" s="1">
        <f>Tabla136[[#This Row],[VALOR EJECUTADO 2023-2]]/Tabla136[[#This Row],[VALOR PROYECTADO 2023-2]]</f>
        <v>0</v>
      </c>
    </row>
    <row r="43" spans="1:30" x14ac:dyDescent="0.25">
      <c r="A43" s="2">
        <v>51</v>
      </c>
      <c r="B43" s="53" t="s">
        <v>101</v>
      </c>
      <c r="C43" s="2" t="s">
        <v>97</v>
      </c>
      <c r="D43" s="12">
        <v>2461104078.4099998</v>
      </c>
      <c r="E43" s="13">
        <f>Tabla136[[#This Row],[VALOR PROYECTADO 2023-1]]*80%</f>
        <v>1968883262.7279999</v>
      </c>
      <c r="F43" s="13">
        <v>0</v>
      </c>
      <c r="G43" s="8" t="s">
        <v>43</v>
      </c>
      <c r="H43" s="8" t="s">
        <v>44</v>
      </c>
      <c r="I43" s="8" t="s">
        <v>45</v>
      </c>
      <c r="J43" s="14">
        <v>45266</v>
      </c>
      <c r="K43" s="14"/>
      <c r="L43" s="40"/>
      <c r="M43" s="82">
        <v>367822263</v>
      </c>
      <c r="N43" s="73">
        <v>1601061000</v>
      </c>
      <c r="O43" s="25">
        <f>Tabla136[[#This Row],[VALOR PROYECTADO 2023-1]]-Tabla136[[#This Row],[VALOR EJECUTADO 2023-1]]</f>
        <v>860043078.40999985</v>
      </c>
      <c r="P43" s="26">
        <f>Tabla136[[#This Row],[VALOR EJECUTADO 2023-1]]/Tabla136[[#This Row],[VALOR PROYECTADO 2023-1]]</f>
        <v>0.65054583186679693</v>
      </c>
      <c r="Q43" s="6">
        <f>VLOOKUP(Tabla136[[#This Row],[NOMBRE IES]],'[1]INFORMACIÓN IES'!$B:$M,12,0)</f>
        <v>1741835700</v>
      </c>
      <c r="R43" s="6">
        <f>Tabla136[[#This Row],[VALOR PROYECTADO 2023-2]]*80/100</f>
        <v>1393468560</v>
      </c>
      <c r="S43" s="7">
        <f>+Tabla136[[#This Row],[VALOR PROYECTADO 2023-2]]-Tabla136[[#This Row],[VALOR DESEMBOLSADO 2023-2 
80%3]]</f>
        <v>348367140</v>
      </c>
      <c r="T43" s="40" t="s">
        <v>44</v>
      </c>
      <c r="U43" s="8" t="s">
        <v>67</v>
      </c>
      <c r="V43" s="101">
        <v>191961440</v>
      </c>
      <c r="W43" s="7"/>
      <c r="X43" s="7">
        <v>1585430000</v>
      </c>
      <c r="Y43" s="9">
        <f>Tabla136[[#This Row],[VALOR PROYECTADO 2023-2]]-Tabla136[[#This Row],[VALOR EJECUTADO 2023-2]]</f>
        <v>156405700</v>
      </c>
      <c r="Z43" s="98">
        <f>Tabla136[[#This Row],[VALOR EJECUTADO 2023-2]]/Tabla136[[#This Row],[VALOR PROYECTADO 2023-2]]</f>
        <v>0.91020639891581046</v>
      </c>
    </row>
    <row r="44" spans="1:30" x14ac:dyDescent="0.25">
      <c r="A44" s="2">
        <v>52</v>
      </c>
      <c r="B44" s="53" t="s">
        <v>102</v>
      </c>
      <c r="C44" s="2" t="s">
        <v>97</v>
      </c>
      <c r="D44" s="12">
        <v>9780193982.9699993</v>
      </c>
      <c r="E44" s="13">
        <f>Tabla136[[#This Row],[VALOR PROYECTADO 2023-1]]*80%</f>
        <v>7824155186.3759995</v>
      </c>
      <c r="F44" s="34">
        <v>0</v>
      </c>
      <c r="G44" s="8" t="s">
        <v>43</v>
      </c>
      <c r="H44" s="8" t="s">
        <v>51</v>
      </c>
      <c r="I44" s="8" t="s">
        <v>45</v>
      </c>
      <c r="J44" s="14">
        <v>45245</v>
      </c>
      <c r="K44" s="14"/>
      <c r="L44" s="91">
        <v>0</v>
      </c>
      <c r="M44" s="44">
        <v>302339821</v>
      </c>
      <c r="N44" s="42">
        <v>7521815366</v>
      </c>
      <c r="O44" s="25">
        <f>Tabla136[[#This Row],[VALOR PROYECTADO 2023-1]]-Tabla136[[#This Row],[VALOR EJECUTADO 2023-1]]</f>
        <v>2258378616.9699993</v>
      </c>
      <c r="P44" s="26">
        <f>Tabla136[[#This Row],[VALOR EJECUTADO 2023-1]]/Tabla136[[#This Row],[VALOR PROYECTADO 2023-1]]</f>
        <v>0.7690865210953427</v>
      </c>
      <c r="Q44" s="6">
        <f>VLOOKUP(Tabla136[[#This Row],[NOMBRE IES]],'[1]INFORMACIÓN IES'!$B:$M,12,0)</f>
        <v>6904472014</v>
      </c>
      <c r="R44" s="6">
        <f>Tabla136[[#This Row],[VALOR PROYECTADO 2023-2]]*80/100</f>
        <v>5523577611.1999998</v>
      </c>
      <c r="S44" s="7">
        <f>+Tabla136[[#This Row],[VALOR PROYECTADO 2023-2]]-Tabla136[[#This Row],[VALOR DESEMBOLSADO 2023-2 
80%3]]</f>
        <v>1380894402.8000002</v>
      </c>
      <c r="T44" s="41" t="s">
        <v>46</v>
      </c>
      <c r="U44" s="8" t="s">
        <v>2</v>
      </c>
      <c r="V44" s="7"/>
      <c r="W44" s="7"/>
      <c r="X44" s="7"/>
      <c r="Y44" s="9">
        <f>Tabla136[[#This Row],[VALOR PROYECTADO 2023-2]]-Tabla136[[#This Row],[VALOR EJECUTADO 2023-2]]</f>
        <v>6904472014</v>
      </c>
      <c r="Z44" s="1">
        <f>Tabla136[[#This Row],[VALOR EJECUTADO 2023-2]]/Tabla136[[#This Row],[VALOR PROYECTADO 2023-2]]</f>
        <v>0</v>
      </c>
    </row>
    <row r="45" spans="1:30" x14ac:dyDescent="0.25">
      <c r="A45" s="2">
        <v>53</v>
      </c>
      <c r="B45" s="53" t="s">
        <v>103</v>
      </c>
      <c r="C45" s="2" t="s">
        <v>97</v>
      </c>
      <c r="D45" s="12">
        <v>101930300031</v>
      </c>
      <c r="E45" s="88">
        <f>Tabla136[[#This Row],[VALOR PROYECTADO 2023-1]]*80%</f>
        <v>81544240024.800003</v>
      </c>
      <c r="F45" s="88">
        <v>43339581277</v>
      </c>
      <c r="G45" s="8" t="s">
        <v>43</v>
      </c>
      <c r="H45" s="8" t="s">
        <v>44</v>
      </c>
      <c r="I45" s="8" t="s">
        <v>45</v>
      </c>
      <c r="J45" s="14">
        <v>45266</v>
      </c>
      <c r="K45" s="14"/>
      <c r="L45" s="93">
        <f>Tabla136[[#This Row],[VALOR EJECUTADO 2023-1]]-Tabla136[[#This Row],[VALOR DESEMBOLSADO 2023-1 
80% (Concepto técnico)]]</f>
        <v>43339581277.199997</v>
      </c>
      <c r="M45" s="83"/>
      <c r="N45" s="89">
        <v>124883821302</v>
      </c>
      <c r="O45" s="25">
        <f>Tabla136[[#This Row],[VALOR PROYECTADO 2023-1]]-Tabla136[[#This Row],[VALOR EJECUTADO 2023-1]]</f>
        <v>-22953521271</v>
      </c>
      <c r="P45" s="26">
        <f>Tabla136[[#This Row],[VALOR EJECUTADO 2023-1]]/Tabla136[[#This Row],[VALOR PROYECTADO 2023-1]]</f>
        <v>1.2251884009369065</v>
      </c>
      <c r="Q45" s="6">
        <f>VLOOKUP(Tabla136[[#This Row],[NOMBRE IES]],'[1]INFORMACIÓN IES'!$B:$M,12,0)</f>
        <v>102478431000</v>
      </c>
      <c r="R45" s="6">
        <f>Tabla136[[#This Row],[VALOR PROYECTADO 2023-2]]*80/100</f>
        <v>81982744800</v>
      </c>
      <c r="S45" s="7">
        <f>+Tabla136[[#This Row],[VALOR PROYECTADO 2023-2]]-Tabla136[[#This Row],[VALOR DESEMBOLSADO 2023-2 
80%3]]</f>
        <v>20495686200</v>
      </c>
      <c r="T45" s="41" t="s">
        <v>46</v>
      </c>
      <c r="U45" s="8" t="s">
        <v>2</v>
      </c>
      <c r="V45" s="7"/>
      <c r="W45" s="7"/>
      <c r="X45" s="7"/>
      <c r="Y45" s="9">
        <f>Tabla136[[#This Row],[VALOR PROYECTADO 2023-2]]-Tabla136[[#This Row],[VALOR EJECUTADO 2023-2]]</f>
        <v>102478431000</v>
      </c>
      <c r="Z45" s="1">
        <f>Tabla136[[#This Row],[VALOR EJECUTADO 2023-2]]/Tabla136[[#This Row],[VALOR PROYECTADO 2023-2]]</f>
        <v>0</v>
      </c>
    </row>
    <row r="46" spans="1:30" x14ac:dyDescent="0.25">
      <c r="A46" s="2">
        <v>18</v>
      </c>
      <c r="B46" s="53" t="s">
        <v>104</v>
      </c>
      <c r="C46" s="2" t="s">
        <v>105</v>
      </c>
      <c r="D46" s="12">
        <v>388574919.61000001</v>
      </c>
      <c r="E46" s="13">
        <f>Tabla136[[#This Row],[VALOR PROYECTADO 2023-1]]*80%</f>
        <v>310859935.68800002</v>
      </c>
      <c r="F46" s="34">
        <v>0</v>
      </c>
      <c r="G46" s="8" t="s">
        <v>43</v>
      </c>
      <c r="H46" s="8" t="s">
        <v>51</v>
      </c>
      <c r="I46" s="8" t="s">
        <v>45</v>
      </c>
      <c r="J46" s="14">
        <v>45245</v>
      </c>
      <c r="K46" s="14"/>
      <c r="L46" s="40"/>
      <c r="M46" s="44">
        <v>37113186</v>
      </c>
      <c r="N46" s="16">
        <v>273746750</v>
      </c>
      <c r="O46" s="25">
        <f>Tabla136[[#This Row],[VALOR PROYECTADO 2023-1]]-Tabla136[[#This Row],[VALOR EJECUTADO 2023-1]]</f>
        <v>114828169.61000001</v>
      </c>
      <c r="P46" s="26">
        <f>Tabla136[[#This Row],[VALOR EJECUTADO 2023-1]]/Tabla136[[#This Row],[VALOR PROYECTADO 2023-1]]</f>
        <v>0.70448898316636255</v>
      </c>
      <c r="Q46" s="6">
        <f>VLOOKUP(Tabla136[[#This Row],[NOMBRE IES]],'[1]INFORMACIÓN IES'!$B:$M,12,0)</f>
        <v>308661155</v>
      </c>
      <c r="R46" s="6">
        <f>Tabla136[[#This Row],[VALOR PROYECTADO 2023-2]]*80/100</f>
        <v>246928924</v>
      </c>
      <c r="S46" s="7">
        <f>+Tabla136[[#This Row],[VALOR PROYECTADO 2023-2]]-Tabla136[[#This Row],[VALOR DESEMBOLSADO 2023-2 
80%3]]</f>
        <v>61732231</v>
      </c>
      <c r="T46" s="40" t="s">
        <v>44</v>
      </c>
      <c r="U46" s="8" t="s">
        <v>67</v>
      </c>
      <c r="V46" s="7">
        <v>86795176</v>
      </c>
      <c r="W46" s="7"/>
      <c r="X46" s="7">
        <v>333724100</v>
      </c>
      <c r="Y46" s="9">
        <f>Tabla136[[#This Row],[VALOR PROYECTADO 2023-2]]-Tabla136[[#This Row],[VALOR EJECUTADO 2023-2]]</f>
        <v>-25062945</v>
      </c>
      <c r="Z46" s="98">
        <f>Tabla136[[#This Row],[VALOR EJECUTADO 2023-2]]/Tabla136[[#This Row],[VALOR PROYECTADO 2023-2]]</f>
        <v>1.0811988959219698</v>
      </c>
    </row>
    <row r="47" spans="1:30" x14ac:dyDescent="0.25">
      <c r="A47" s="2">
        <v>19</v>
      </c>
      <c r="B47" s="53" t="s">
        <v>106</v>
      </c>
      <c r="C47" s="2" t="s">
        <v>105</v>
      </c>
      <c r="D47" s="12">
        <v>9667792103.6499996</v>
      </c>
      <c r="E47" s="13">
        <f>Tabla136[[#This Row],[VALOR PROYECTADO 2023-1]]*80%</f>
        <v>7734233682.9200001</v>
      </c>
      <c r="F47" s="15">
        <v>1190408216</v>
      </c>
      <c r="G47" s="8" t="s">
        <v>43</v>
      </c>
      <c r="H47" s="8" t="s">
        <v>44</v>
      </c>
      <c r="I47" s="8" t="s">
        <v>45</v>
      </c>
      <c r="J47" s="14">
        <v>45266</v>
      </c>
      <c r="K47" s="103" t="s">
        <v>48</v>
      </c>
      <c r="L47" s="40">
        <f>Tabla136[[#This Row],[VALOR ESTIMADO  POR DESEMBOLSAR 2023-1 
(20%)]]</f>
        <v>1190408216</v>
      </c>
      <c r="M47" s="2"/>
      <c r="N47" s="73">
        <v>8924641899</v>
      </c>
      <c r="O47" s="25">
        <f>Tabla136[[#This Row],[VALOR PROYECTADO 2023-1]]-Tabla136[[#This Row],[VALOR EJECUTADO 2023-1]]</f>
        <v>743150204.64999962</v>
      </c>
      <c r="P47" s="26">
        <f>Tabla136[[#This Row],[VALOR EJECUTADO 2023-1]]/Tabla136[[#This Row],[VALOR PROYECTADO 2023-1]]</f>
        <v>0.92313134201867775</v>
      </c>
      <c r="Q47" s="6">
        <f>VLOOKUP(Tabla136[[#This Row],[NOMBRE IES]],'[1]INFORMACIÓN IES'!$B:$M,12,0)</f>
        <v>9889888689</v>
      </c>
      <c r="R47" s="6">
        <f>Tabla136[[#This Row],[VALOR PROYECTADO 2023-2]]*80/100</f>
        <v>7911910951.1999998</v>
      </c>
      <c r="S47" s="7">
        <f>+Tabla136[[#This Row],[VALOR PROYECTADO 2023-2]]-Tabla136[[#This Row],[VALOR DESEMBOLSADO 2023-2 
80%3]]</f>
        <v>1977977737.8000002</v>
      </c>
      <c r="T47" s="41" t="s">
        <v>46</v>
      </c>
      <c r="U47" s="8" t="s">
        <v>2</v>
      </c>
      <c r="V47" s="7"/>
      <c r="W47" s="7"/>
      <c r="X47" s="7"/>
      <c r="Y47" s="9">
        <f>Tabla136[[#This Row],[VALOR PROYECTADO 2023-2]]-Tabla136[[#This Row],[VALOR EJECUTADO 2023-2]]</f>
        <v>9889888689</v>
      </c>
      <c r="Z47" s="85">
        <f>Tabla136[[#This Row],[VALOR EJECUTADO 2023-2]]/Tabla136[[#This Row],[VALOR PROYECTADO 2023-2]]</f>
        <v>0</v>
      </c>
      <c r="AA47" s="107">
        <f>+AA41</f>
        <v>45292</v>
      </c>
      <c r="AB47" s="1" t="s">
        <v>11</v>
      </c>
      <c r="AD47" s="1" t="s">
        <v>49</v>
      </c>
    </row>
    <row r="48" spans="1:30" x14ac:dyDescent="0.25">
      <c r="A48" s="2">
        <v>20</v>
      </c>
      <c r="B48" s="53" t="s">
        <v>107</v>
      </c>
      <c r="C48" s="2" t="s">
        <v>105</v>
      </c>
      <c r="D48" s="12">
        <v>19144987659</v>
      </c>
      <c r="E48" s="13">
        <f>Tabla136[[#This Row],[VALOR PROYECTADO 2023-1]]*80%</f>
        <v>15315990127.200001</v>
      </c>
      <c r="F48" s="13">
        <v>2342492673</v>
      </c>
      <c r="G48" s="8" t="s">
        <v>43</v>
      </c>
      <c r="H48" s="8" t="s">
        <v>51</v>
      </c>
      <c r="I48" s="8" t="s">
        <v>45</v>
      </c>
      <c r="J48" s="14">
        <v>45245</v>
      </c>
      <c r="K48" s="77" t="s">
        <v>55</v>
      </c>
      <c r="L48" s="40">
        <f>Tabla136[[#This Row],[VALOR ESTIMADO  POR DESEMBOLSAR 2023-1 
(20%)]]</f>
        <v>2342492673</v>
      </c>
      <c r="N48" s="16">
        <v>17658482800</v>
      </c>
      <c r="O48" s="25">
        <f>Tabla136[[#This Row],[VALOR PROYECTADO 2023-1]]-Tabla136[[#This Row],[VALOR EJECUTADO 2023-1]]</f>
        <v>1486504859</v>
      </c>
      <c r="P48" s="26">
        <f>Tabla136[[#This Row],[VALOR EJECUTADO 2023-1]]/Tabla136[[#This Row],[VALOR PROYECTADO 2023-1]]</f>
        <v>0.9223554026005758</v>
      </c>
      <c r="Q48" s="6">
        <f>VLOOKUP(Tabla136[[#This Row],[NOMBRE IES]],'[1]INFORMACIÓN IES'!$B:$M,12,0)</f>
        <v>19592826880</v>
      </c>
      <c r="R48" s="6">
        <f>Tabla136[[#This Row],[VALOR PROYECTADO 2023-2]]*80/100</f>
        <v>15674261504</v>
      </c>
      <c r="S48" s="7">
        <f>+Tabla136[[#This Row],[VALOR PROYECTADO 2023-2]]-Tabla136[[#This Row],[VALOR DESEMBOLSADO 2023-2 
80%3]]</f>
        <v>3918565376</v>
      </c>
      <c r="T48" s="40" t="s">
        <v>44</v>
      </c>
      <c r="U48" s="8" t="s">
        <v>2</v>
      </c>
      <c r="V48" s="7"/>
      <c r="W48" s="7"/>
      <c r="X48" s="7"/>
      <c r="Y48" s="9">
        <f>Tabla136[[#This Row],[VALOR PROYECTADO 2023-2]]-Tabla136[[#This Row],[VALOR EJECUTADO 2023-2]]</f>
        <v>19592826880</v>
      </c>
      <c r="Z48" s="85">
        <f>Tabla136[[#This Row],[VALOR EJECUTADO 2023-2]]/Tabla136[[#This Row],[VALOR PROYECTADO 2023-2]]</f>
        <v>0</v>
      </c>
      <c r="AA48" s="107">
        <f>+AA47</f>
        <v>45292</v>
      </c>
      <c r="AB48" s="1" t="s">
        <v>11</v>
      </c>
      <c r="AD48" s="1" t="s">
        <v>49</v>
      </c>
    </row>
    <row r="49" spans="1:30" x14ac:dyDescent="0.25">
      <c r="A49" s="2">
        <v>21</v>
      </c>
      <c r="B49" s="53" t="s">
        <v>108</v>
      </c>
      <c r="C49" s="2" t="s">
        <v>105</v>
      </c>
      <c r="D49" s="12">
        <v>915696592</v>
      </c>
      <c r="E49" s="13">
        <f>Tabla136[[#This Row],[VALOR PROYECTADO 2023-1]]*80%</f>
        <v>732557273.60000002</v>
      </c>
      <c r="F49" s="13">
        <v>234766726</v>
      </c>
      <c r="G49" s="8" t="s">
        <v>43</v>
      </c>
      <c r="H49" s="8" t="s">
        <v>51</v>
      </c>
      <c r="I49" s="8" t="s">
        <v>45</v>
      </c>
      <c r="J49" s="14">
        <v>45245</v>
      </c>
      <c r="K49" s="77" t="s">
        <v>55</v>
      </c>
      <c r="L49" s="40">
        <f>Tabla136[[#This Row],[VALOR ESTIMADO  POR DESEMBOLSAR 2023-1 
(20%)]]</f>
        <v>234766726</v>
      </c>
      <c r="M49" s="13"/>
      <c r="N49" s="16">
        <v>967324000</v>
      </c>
      <c r="O49" s="24">
        <f>Tabla136[[#This Row],[VALOR PROYECTADO 2023-1]]-Tabla136[[#This Row],[VALOR EJECUTADO 2023-1]]</f>
        <v>-51627408</v>
      </c>
      <c r="P49" s="26">
        <f>Tabla136[[#This Row],[VALOR EJECUTADO 2023-1]]/Tabla136[[#This Row],[VALOR PROYECTADO 2023-1]]</f>
        <v>1.0563804741123248</v>
      </c>
      <c r="Q49" s="6">
        <f>VLOOKUP(Tabla136[[#This Row],[NOMBRE IES]],'[1]INFORMACIÓN IES'!$B:$M,12,0)</f>
        <v>997449200</v>
      </c>
      <c r="R49" s="6">
        <f>Tabla136[[#This Row],[VALOR PROYECTADO 2023-2]]*80/100</f>
        <v>797959360</v>
      </c>
      <c r="S49" s="7">
        <f>+Tabla136[[#This Row],[VALOR PROYECTADO 2023-2]]-Tabla136[[#This Row],[VALOR DESEMBOLSADO 2023-2 
80%3]]</f>
        <v>199489840</v>
      </c>
      <c r="T49" s="40" t="s">
        <v>44</v>
      </c>
      <c r="U49" s="8" t="s">
        <v>67</v>
      </c>
      <c r="V49" s="7">
        <v>161800640</v>
      </c>
      <c r="W49" s="7"/>
      <c r="X49" s="7">
        <v>959760000</v>
      </c>
      <c r="Y49" s="9">
        <f>Tabla136[[#This Row],[VALOR PROYECTADO 2023-2]]-Tabla136[[#This Row],[VALOR EJECUTADO 2023-2]]</f>
        <v>37689200</v>
      </c>
      <c r="Z49" s="85">
        <f>Tabla136[[#This Row],[VALOR EJECUTADO 2023-2]]/Tabla136[[#This Row],[VALOR PROYECTADO 2023-2]]</f>
        <v>0.96221441653369411</v>
      </c>
      <c r="AA49" s="106">
        <v>45292</v>
      </c>
      <c r="AB49" s="1" t="s">
        <v>45</v>
      </c>
      <c r="AC49" s="96">
        <v>45278</v>
      </c>
      <c r="AD49" s="109" t="s">
        <v>68</v>
      </c>
    </row>
    <row r="50" spans="1:30" x14ac:dyDescent="0.25">
      <c r="A50" s="2">
        <v>22</v>
      </c>
      <c r="B50" s="53" t="s">
        <v>109</v>
      </c>
      <c r="C50" s="2" t="s">
        <v>105</v>
      </c>
      <c r="D50" s="12">
        <v>798310318</v>
      </c>
      <c r="E50" s="13">
        <f>Tabla136[[#This Row],[VALOR PROYECTADO 2023-1]]*80%</f>
        <v>638648254.39999998</v>
      </c>
      <c r="F50" s="13">
        <v>322839149</v>
      </c>
      <c r="G50" s="8" t="s">
        <v>43</v>
      </c>
      <c r="H50" s="8" t="s">
        <v>51</v>
      </c>
      <c r="I50" s="8" t="s">
        <v>45</v>
      </c>
      <c r="J50" s="14">
        <v>45245</v>
      </c>
      <c r="K50" s="77" t="s">
        <v>55</v>
      </c>
      <c r="L50" s="40">
        <f>Tabla136[[#This Row],[VALOR ESTIMADO  POR DESEMBOLSAR 2023-1 
(20%)]]</f>
        <v>322839149</v>
      </c>
      <c r="N50" s="16">
        <v>961487404</v>
      </c>
      <c r="O50" s="24">
        <f>Tabla136[[#This Row],[VALOR PROYECTADO 2023-1]]-Tabla136[[#This Row],[VALOR EJECUTADO 2023-1]]</f>
        <v>-163177086</v>
      </c>
      <c r="P50" s="26">
        <f>Tabla136[[#This Row],[VALOR EJECUTADO 2023-1]]/Tabla136[[#This Row],[VALOR PROYECTADO 2023-1]]</f>
        <v>1.2044030777515267</v>
      </c>
      <c r="Q50" s="6">
        <f>VLOOKUP(Tabla136[[#This Row],[NOMBRE IES]],'[1]INFORMACIÓN IES'!$B:$M,12,0)</f>
        <v>1093350394</v>
      </c>
      <c r="R50" s="6">
        <f>Tabla136[[#This Row],[VALOR PROYECTADO 2023-2]]*80/100</f>
        <v>874680315.20000005</v>
      </c>
      <c r="S50" s="7">
        <f>+Tabla136[[#This Row],[VALOR PROYECTADO 2023-2]]-Tabla136[[#This Row],[VALOR DESEMBOLSADO 2023-2 
80%3]]</f>
        <v>218670078.79999995</v>
      </c>
      <c r="T50" s="40" t="s">
        <v>44</v>
      </c>
      <c r="U50" s="8" t="s">
        <v>110</v>
      </c>
      <c r="V50" s="7"/>
      <c r="W50" s="7"/>
      <c r="X50" s="7"/>
      <c r="Y50" s="9">
        <f>Tabla136[[#This Row],[VALOR PROYECTADO 2023-2]]-Tabla136[[#This Row],[VALOR EJECUTADO 2023-2]]</f>
        <v>1093350394</v>
      </c>
      <c r="Z50" s="85">
        <f>Tabla136[[#This Row],[VALOR EJECUTADO 2023-2]]/Tabla136[[#This Row],[VALOR PROYECTADO 2023-2]]</f>
        <v>0</v>
      </c>
      <c r="AA50" s="107">
        <f>+AA48</f>
        <v>45292</v>
      </c>
      <c r="AB50" s="1" t="s">
        <v>11</v>
      </c>
      <c r="AD50" s="1" t="s">
        <v>49</v>
      </c>
    </row>
    <row r="51" spans="1:30" x14ac:dyDescent="0.25">
      <c r="A51" s="2">
        <v>23</v>
      </c>
      <c r="B51" s="53" t="s">
        <v>111</v>
      </c>
      <c r="C51" s="2" t="s">
        <v>105</v>
      </c>
      <c r="D51" s="12">
        <v>10545864097</v>
      </c>
      <c r="E51" s="13">
        <f>Tabla136[[#This Row],[VALOR PROYECTADO 2023-1]]*80%</f>
        <v>8436691277.6000004</v>
      </c>
      <c r="F51" s="34">
        <v>0</v>
      </c>
      <c r="G51" s="8" t="s">
        <v>43</v>
      </c>
      <c r="H51" s="8" t="s">
        <v>44</v>
      </c>
      <c r="I51" s="8" t="s">
        <v>45</v>
      </c>
      <c r="J51" s="14">
        <v>45266</v>
      </c>
      <c r="K51" s="14"/>
      <c r="L51" s="40"/>
      <c r="M51" s="82">
        <v>1405833998</v>
      </c>
      <c r="N51" s="74">
        <v>7030857280</v>
      </c>
      <c r="O51" s="25">
        <f>Tabla136[[#This Row],[VALOR PROYECTADO 2023-1]]-Tabla136[[#This Row],[VALOR EJECUTADO 2023-1]]</f>
        <v>3515006817</v>
      </c>
      <c r="P51" s="26">
        <f>Tabla136[[#This Row],[VALOR EJECUTADO 2023-1]]/Tabla136[[#This Row],[VALOR PROYECTADO 2023-1]]</f>
        <v>0.66669333260231178</v>
      </c>
      <c r="Q51" s="6">
        <f>VLOOKUP(Tabla136[[#This Row],[NOMBRE IES]],'[1]INFORMACIÓN IES'!$B:$M,12,0)</f>
        <v>7604789479</v>
      </c>
      <c r="R51" s="6">
        <f>Tabla136[[#This Row],[VALOR PROYECTADO 2023-2]]*80/100</f>
        <v>6083831583.1999998</v>
      </c>
      <c r="S51" s="7">
        <f>+Tabla136[[#This Row],[VALOR PROYECTADO 2023-2]]-Tabla136[[#This Row],[VALOR DESEMBOLSADO 2023-2 
80%3]]</f>
        <v>1520957895.8000002</v>
      </c>
      <c r="T51" s="41" t="s">
        <v>46</v>
      </c>
      <c r="U51" s="8" t="s">
        <v>2</v>
      </c>
      <c r="V51" s="7"/>
      <c r="W51" s="7"/>
      <c r="X51" s="7"/>
      <c r="Y51" s="9">
        <f>Tabla136[[#This Row],[VALOR PROYECTADO 2023-2]]-Tabla136[[#This Row],[VALOR EJECUTADO 2023-2]]</f>
        <v>7604789479</v>
      </c>
      <c r="Z51" s="1">
        <f>Tabla136[[#This Row],[VALOR EJECUTADO 2023-2]]/Tabla136[[#This Row],[VALOR PROYECTADO 2023-2]]</f>
        <v>0</v>
      </c>
    </row>
    <row r="52" spans="1:30" x14ac:dyDescent="0.25">
      <c r="A52" s="2">
        <v>24</v>
      </c>
      <c r="B52" s="53" t="s">
        <v>112</v>
      </c>
      <c r="C52" s="2" t="s">
        <v>105</v>
      </c>
      <c r="D52" s="12">
        <v>290218743</v>
      </c>
      <c r="E52" s="13">
        <f>Tabla136[[#This Row],[VALOR PROYECTADO 2023-1]]*80%</f>
        <v>232174994.40000001</v>
      </c>
      <c r="F52" s="13">
        <v>294972606</v>
      </c>
      <c r="G52" s="8" t="s">
        <v>43</v>
      </c>
      <c r="H52" s="8" t="s">
        <v>51</v>
      </c>
      <c r="I52" s="8" t="s">
        <v>45</v>
      </c>
      <c r="J52" s="14">
        <v>45245</v>
      </c>
      <c r="K52" s="77" t="s">
        <v>55</v>
      </c>
      <c r="L52" s="40">
        <f>Tabla136[[#This Row],[VALOR ESTIMADO  POR DESEMBOLSAR 2023-1 
(20%)]]</f>
        <v>294972606</v>
      </c>
      <c r="N52" s="16">
        <v>527147600</v>
      </c>
      <c r="O52" s="24">
        <f>Tabla136[[#This Row],[VALOR PROYECTADO 2023-1]]-Tabla136[[#This Row],[VALOR EJECUTADO 2023-1]]</f>
        <v>-236928857</v>
      </c>
      <c r="P52" s="26">
        <f>Tabla136[[#This Row],[VALOR EJECUTADO 2023-1]]/Tabla136[[#This Row],[VALOR PROYECTADO 2023-1]]</f>
        <v>1.8163802742402477</v>
      </c>
      <c r="Q52" s="6">
        <f>VLOOKUP(Tabla136[[#This Row],[NOMBRE IES]],'[1]INFORMACIÓN IES'!$B:$M,12,0)</f>
        <v>571032440</v>
      </c>
      <c r="R52" s="6">
        <f>Tabla136[[#This Row],[VALOR PROYECTADO 2023-2]]*80/100</f>
        <v>456825952</v>
      </c>
      <c r="S52" s="7">
        <f>+Tabla136[[#This Row],[VALOR PROYECTADO 2023-2]]-Tabla136[[#This Row],[VALOR DESEMBOLSADO 2023-2 
80%3]]</f>
        <v>114206488</v>
      </c>
      <c r="T52" s="40" t="s">
        <v>44</v>
      </c>
      <c r="U52" s="8" t="s">
        <v>43</v>
      </c>
      <c r="V52" s="7">
        <v>273162048</v>
      </c>
      <c r="W52" s="7"/>
      <c r="X52" s="7">
        <v>729988000</v>
      </c>
      <c r="Y52" s="9">
        <f>Tabla136[[#This Row],[VALOR PROYECTADO 2023-2]]-Tabla136[[#This Row],[VALOR EJECUTADO 2023-2]]</f>
        <v>-158955560</v>
      </c>
      <c r="Z52" s="85">
        <f>Tabla136[[#This Row],[VALOR EJECUTADO 2023-2]]/Tabla136[[#This Row],[VALOR PROYECTADO 2023-2]]</f>
        <v>1.2783652011083644</v>
      </c>
      <c r="AA52" s="85" t="s">
        <v>44</v>
      </c>
      <c r="AB52" s="85" t="s">
        <v>45</v>
      </c>
      <c r="AC52" s="95">
        <f>+AC30</f>
        <v>45266</v>
      </c>
      <c r="AD52" s="108" t="s">
        <v>65</v>
      </c>
    </row>
    <row r="53" spans="1:30" x14ac:dyDescent="0.25">
      <c r="A53" s="2">
        <v>25</v>
      </c>
      <c r="B53" s="53" t="s">
        <v>113</v>
      </c>
      <c r="C53" s="2" t="s">
        <v>105</v>
      </c>
      <c r="D53" s="12">
        <v>10119051546</v>
      </c>
      <c r="E53" s="13">
        <f>Tabla136[[#This Row],[VALOR PROYECTADO 2023-1]]*80%</f>
        <v>8095241236.8000002</v>
      </c>
      <c r="F53" s="13">
        <v>2460003331</v>
      </c>
      <c r="G53" s="8" t="s">
        <v>43</v>
      </c>
      <c r="H53" s="8" t="s">
        <v>51</v>
      </c>
      <c r="I53" s="8" t="s">
        <v>45</v>
      </c>
      <c r="J53" s="14">
        <v>45245</v>
      </c>
      <c r="K53" s="77" t="s">
        <v>55</v>
      </c>
      <c r="L53" s="40">
        <v>2460003331</v>
      </c>
      <c r="N53" s="16">
        <v>10555244568</v>
      </c>
      <c r="O53" s="25">
        <f>Tabla136[[#This Row],[VALOR PROYECTADO 2023-1]]-Tabla136[[#This Row],[VALOR EJECUTADO 2023-1]]</f>
        <v>-436193022</v>
      </c>
      <c r="P53" s="26">
        <f>Tabla136[[#This Row],[VALOR EJECUTADO 2023-1]]/Tabla136[[#This Row],[VALOR PROYECTADO 2023-1]]</f>
        <v>1.0431061172104044</v>
      </c>
      <c r="Q53" s="6">
        <f>VLOOKUP(Tabla136[[#This Row],[NOMBRE IES]],'[1]INFORMACIÓN IES'!$B:$M,12,0)</f>
        <v>11068007613</v>
      </c>
      <c r="R53" s="6">
        <f>Tabla136[[#This Row],[VALOR PROYECTADO 2023-2]]*80/100</f>
        <v>8854406090.3999996</v>
      </c>
      <c r="S53" s="7">
        <f>+Tabla136[[#This Row],[VALOR PROYECTADO 2023-2]]-Tabla136[[#This Row],[VALOR DESEMBOLSADO 2023-2 
80%3]]</f>
        <v>2213601522.6000004</v>
      </c>
      <c r="T53" s="40" t="s">
        <v>44</v>
      </c>
      <c r="U53" s="8" t="s">
        <v>2</v>
      </c>
      <c r="V53" s="7"/>
      <c r="W53" s="7"/>
      <c r="X53" s="7"/>
      <c r="Y53" s="9">
        <f>Tabla136[[#This Row],[VALOR PROYECTADO 2023-2]]-Tabla136[[#This Row],[VALOR EJECUTADO 2023-2]]</f>
        <v>11068007613</v>
      </c>
      <c r="Z53" s="85">
        <f>Tabla136[[#This Row],[VALOR EJECUTADO 2023-2]]/Tabla136[[#This Row],[VALOR PROYECTADO 2023-2]]</f>
        <v>0</v>
      </c>
      <c r="AA53" s="107">
        <f>+AA50</f>
        <v>45292</v>
      </c>
      <c r="AB53" s="1" t="s">
        <v>11</v>
      </c>
      <c r="AD53" s="1" t="s">
        <v>49</v>
      </c>
    </row>
    <row r="54" spans="1:30" x14ac:dyDescent="0.25">
      <c r="A54" s="2">
        <v>26</v>
      </c>
      <c r="B54" s="53" t="s">
        <v>114</v>
      </c>
      <c r="C54" s="2" t="s">
        <v>105</v>
      </c>
      <c r="D54" s="12">
        <v>1454065054</v>
      </c>
      <c r="E54" s="13">
        <f>Tabla136[[#This Row],[VALOR PROYECTADO 2023-1]]*80%</f>
        <v>1163252043.2</v>
      </c>
      <c r="F54" s="13">
        <v>245358290</v>
      </c>
      <c r="G54" s="8" t="s">
        <v>43</v>
      </c>
      <c r="H54" s="8" t="s">
        <v>51</v>
      </c>
      <c r="I54" s="8" t="s">
        <v>45</v>
      </c>
      <c r="J54" s="14">
        <v>45245</v>
      </c>
      <c r="K54" s="77" t="s">
        <v>55</v>
      </c>
      <c r="L54" s="40">
        <f>Tabla136[[#This Row],[VALOR ESTIMADO  POR DESEMBOLSAR 2023-1 
(20%)]]</f>
        <v>245358290</v>
      </c>
      <c r="N54" s="16">
        <v>1408610334</v>
      </c>
      <c r="O54" s="25">
        <f>Tabla136[[#This Row],[VALOR PROYECTADO 2023-1]]-Tabla136[[#This Row],[VALOR EJECUTADO 2023-1]]</f>
        <v>45454720</v>
      </c>
      <c r="P54" s="26">
        <f>Tabla136[[#This Row],[VALOR EJECUTADO 2023-1]]/Tabla136[[#This Row],[VALOR PROYECTADO 2023-1]]</f>
        <v>0.96873955544495194</v>
      </c>
      <c r="Q54" s="6">
        <f>VLOOKUP(Tabla136[[#This Row],[NOMBRE IES]],'[1]INFORMACIÓN IES'!$B:$M,12,0)</f>
        <v>1396895922</v>
      </c>
      <c r="R54" s="6">
        <f>Tabla136[[#This Row],[VALOR PROYECTADO 2023-2]]*80/100</f>
        <v>1117516737.5999999</v>
      </c>
      <c r="S54" s="7">
        <f>+Tabla136[[#This Row],[VALOR PROYECTADO 2023-2]]-Tabla136[[#This Row],[VALOR DESEMBOLSADO 2023-2 
80%3]]</f>
        <v>279379184.4000001</v>
      </c>
      <c r="T54" s="40" t="s">
        <v>44</v>
      </c>
      <c r="U54" s="8" t="s">
        <v>2</v>
      </c>
      <c r="V54" s="7"/>
      <c r="W54" s="7"/>
      <c r="X54" s="7"/>
      <c r="Y54" s="9">
        <f>Tabla136[[#This Row],[VALOR PROYECTADO 2023-2]]-Tabla136[[#This Row],[VALOR EJECUTADO 2023-2]]</f>
        <v>1396895922</v>
      </c>
      <c r="Z54" s="85">
        <f>Tabla136[[#This Row],[VALOR EJECUTADO 2023-2]]/Tabla136[[#This Row],[VALOR PROYECTADO 2023-2]]</f>
        <v>0</v>
      </c>
      <c r="AA54" s="107">
        <f>+AA53</f>
        <v>45292</v>
      </c>
      <c r="AB54" s="1" t="s">
        <v>11</v>
      </c>
      <c r="AD54" s="1" t="s">
        <v>49</v>
      </c>
    </row>
    <row r="55" spans="1:30" x14ac:dyDescent="0.25">
      <c r="A55" s="2">
        <v>27</v>
      </c>
      <c r="B55" s="2" t="s">
        <v>115</v>
      </c>
      <c r="C55" s="2" t="s">
        <v>105</v>
      </c>
      <c r="D55" s="12">
        <v>59950373775.410004</v>
      </c>
      <c r="E55" s="13">
        <f>Tabla136[[#This Row],[VALOR PROYECTADO 2023-1]]*80%</f>
        <v>47960299020.328003</v>
      </c>
      <c r="F55" s="12">
        <v>10791854966</v>
      </c>
      <c r="G55" s="8" t="s">
        <v>2</v>
      </c>
      <c r="H55" s="8" t="s">
        <v>44</v>
      </c>
      <c r="I55" s="8"/>
      <c r="J55" s="8"/>
      <c r="K55" s="8"/>
      <c r="L55" s="40">
        <f>Tabla136[[#This Row],[VALOR ESTIMADO  POR DESEMBOLSAR 2023-1 
(20%)]]</f>
        <v>10791854966</v>
      </c>
      <c r="N55" s="16"/>
      <c r="O55" s="25">
        <f>Tabla136[[#This Row],[VALOR PROYECTADO 2023-1]]-Tabla136[[#This Row],[VALOR EJECUTADO 2023-1]]</f>
        <v>59950373775.410004</v>
      </c>
      <c r="P55" s="26">
        <f>Tabla136[[#This Row],[VALOR EJECUTADO 2023-1]]/Tabla136[[#This Row],[VALOR PROYECTADO 2023-1]]</f>
        <v>0</v>
      </c>
      <c r="Q55" s="6">
        <f>VLOOKUP(Tabla136[[#This Row],[NOMBRE IES]],'[1]INFORMACIÓN IES'!$B:$M,12,0)</f>
        <v>61710372243</v>
      </c>
      <c r="R55" s="6">
        <f>Tabla136[[#This Row],[VALOR PROYECTADO 2023-2]]*80/100</f>
        <v>49368297794.400002</v>
      </c>
      <c r="S55" s="7">
        <f>+Tabla136[[#This Row],[VALOR PROYECTADO 2023-2]]-Tabla136[[#This Row],[VALOR DESEMBOLSADO 2023-2 
80%3]]</f>
        <v>12342074448.599998</v>
      </c>
      <c r="T55" s="41" t="s">
        <v>46</v>
      </c>
      <c r="U55" s="8" t="s">
        <v>2</v>
      </c>
      <c r="V55" s="7"/>
      <c r="W55" s="7"/>
      <c r="X55" s="7"/>
      <c r="Y55" s="9">
        <f>Tabla136[[#This Row],[VALOR PROYECTADO 2023-2]]-Tabla136[[#This Row],[VALOR EJECUTADO 2023-2]]</f>
        <v>61710372243</v>
      </c>
      <c r="Z55" s="1">
        <f>Tabla136[[#This Row],[VALOR EJECUTADO 2023-2]]/Tabla136[[#This Row],[VALOR PROYECTADO 2023-2]]</f>
        <v>0</v>
      </c>
    </row>
    <row r="56" spans="1:30" x14ac:dyDescent="0.25">
      <c r="A56" s="2">
        <v>28</v>
      </c>
      <c r="B56" s="53" t="s">
        <v>116</v>
      </c>
      <c r="C56" s="2" t="s">
        <v>105</v>
      </c>
      <c r="D56" s="12">
        <v>4065118662</v>
      </c>
      <c r="E56" s="13">
        <f>Tabla136[[#This Row],[VALOR PROYECTADO 2023-1]]*80%</f>
        <v>3252094929.6000004</v>
      </c>
      <c r="F56" s="12">
        <v>393612470</v>
      </c>
      <c r="G56" s="8" t="s">
        <v>43</v>
      </c>
      <c r="H56" s="8" t="s">
        <v>51</v>
      </c>
      <c r="I56" s="8" t="s">
        <v>45</v>
      </c>
      <c r="J56" s="14">
        <v>45245</v>
      </c>
      <c r="K56" s="14"/>
      <c r="L56" s="40">
        <v>393612470</v>
      </c>
      <c r="N56" s="16">
        <v>3645707400</v>
      </c>
      <c r="O56" s="24">
        <f>Tabla136[[#This Row],[VALOR PROYECTADO 2023-1]]-Tabla136[[#This Row],[VALOR EJECUTADO 2023-1]]</f>
        <v>419411262</v>
      </c>
      <c r="P56" s="26">
        <f>Tabla136[[#This Row],[VALOR EJECUTADO 2023-1]]/Tabla136[[#This Row],[VALOR PROYECTADO 2023-1]]</f>
        <v>0.89682680952942873</v>
      </c>
      <c r="Q56" s="6">
        <f>VLOOKUP(Tabla136[[#This Row],[NOMBRE IES]],'[1]INFORMACIÓN IES'!$B:$M,12,0)</f>
        <v>4155767660</v>
      </c>
      <c r="R56" s="6">
        <f>Tabla136[[#This Row],[VALOR PROYECTADO 2023-2]]*80/100</f>
        <v>3324614128</v>
      </c>
      <c r="S56" s="7">
        <f>+Tabla136[[#This Row],[VALOR PROYECTADO 2023-2]]-Tabla136[[#This Row],[VALOR DESEMBOLSADO 2023-2 
80%3]]</f>
        <v>831153532</v>
      </c>
      <c r="T56" s="40" t="s">
        <v>44</v>
      </c>
      <c r="U56" s="8" t="s">
        <v>43</v>
      </c>
      <c r="V56" s="7">
        <v>477378672</v>
      </c>
      <c r="W56" s="7"/>
      <c r="X56" s="7">
        <v>3801992800</v>
      </c>
      <c r="Y56" s="9">
        <f>Tabla136[[#This Row],[VALOR PROYECTADO 2023-2]]-Tabla136[[#This Row],[VALOR EJECUTADO 2023-2]]</f>
        <v>353774860</v>
      </c>
      <c r="Z56" s="85">
        <f>Tabla136[[#This Row],[VALOR EJECUTADO 2023-2]]/Tabla136[[#This Row],[VALOR PROYECTADO 2023-2]]</f>
        <v>0.9148713573655366</v>
      </c>
      <c r="AA56" s="85" t="s">
        <v>44</v>
      </c>
      <c r="AB56" s="85" t="s">
        <v>45</v>
      </c>
      <c r="AC56" s="95">
        <f>+AC52</f>
        <v>45266</v>
      </c>
      <c r="AD56" s="95"/>
    </row>
    <row r="57" spans="1:30" x14ac:dyDescent="0.25">
      <c r="A57" s="2">
        <v>29</v>
      </c>
      <c r="B57" s="53" t="s">
        <v>117</v>
      </c>
      <c r="C57" s="2" t="s">
        <v>118</v>
      </c>
      <c r="D57" s="12">
        <v>5084626108</v>
      </c>
      <c r="E57" s="12">
        <v>4067700886</v>
      </c>
      <c r="F57" s="12">
        <v>905924639</v>
      </c>
      <c r="G57" s="8" t="s">
        <v>43</v>
      </c>
      <c r="H57" s="8" t="s">
        <v>44</v>
      </c>
      <c r="I57" s="8" t="s">
        <v>45</v>
      </c>
      <c r="J57" s="14">
        <v>45266</v>
      </c>
      <c r="K57" s="103" t="s">
        <v>48</v>
      </c>
      <c r="L57" s="80">
        <f>Tabla136[[#This Row],[VALOR EJECUTADO 2023-1]]-Tabla136[[#This Row],[VALOR DESEMBOLSADO 2023-1 
80% (Concepto técnico)]]</f>
        <v>905924639</v>
      </c>
      <c r="M57" s="6"/>
      <c r="N57" s="74">
        <v>4973625525</v>
      </c>
      <c r="O57" s="25">
        <f>Tabla136[[#This Row],[VALOR PROYECTADO 2023-1]]-Tabla136[[#This Row],[VALOR EJECUTADO 2023-1]]</f>
        <v>111000583</v>
      </c>
      <c r="P57" s="26">
        <f>Tabla136[[#This Row],[VALOR EJECUTADO 2023-1]]/Tabla136[[#This Row],[VALOR PROYECTADO 2023-1]]</f>
        <v>0.97816937162294881</v>
      </c>
      <c r="Q57" s="6">
        <f>VLOOKUP(Tabla136[[#This Row],[NOMBRE IES]],'[1]INFORMACIÓN IES'!$B:$M,12,0)</f>
        <v>1961785304</v>
      </c>
      <c r="R57" s="6">
        <f>Tabla136[[#This Row],[VALOR PROYECTADO 2023-2]]*80/100</f>
        <v>1569428243.2</v>
      </c>
      <c r="S57" s="7">
        <f>+Tabla136[[#This Row],[VALOR PROYECTADO 2023-2]]-Tabla136[[#This Row],[VALOR DESEMBOLSADO 2023-2 
80%3]]</f>
        <v>392357060.79999995</v>
      </c>
      <c r="T57" s="41" t="s">
        <v>46</v>
      </c>
      <c r="U57" s="8" t="s">
        <v>2</v>
      </c>
      <c r="V57" s="7"/>
      <c r="W57" s="7"/>
      <c r="X57" s="7"/>
      <c r="Y57" s="9">
        <f>Tabla136[[#This Row],[VALOR PROYECTADO 2023-2]]-Tabla136[[#This Row],[VALOR EJECUTADO 2023-2]]</f>
        <v>1961785304</v>
      </c>
      <c r="Z57" s="85">
        <f>Tabla136[[#This Row],[VALOR EJECUTADO 2023-2]]/Tabla136[[#This Row],[VALOR PROYECTADO 2023-2]]</f>
        <v>0</v>
      </c>
      <c r="AA57" s="107">
        <f>+AA54</f>
        <v>45292</v>
      </c>
      <c r="AB57" s="1" t="s">
        <v>11</v>
      </c>
      <c r="AD57" s="1" t="s">
        <v>49</v>
      </c>
    </row>
    <row r="58" spans="1:30" x14ac:dyDescent="0.25">
      <c r="A58" s="2">
        <v>30</v>
      </c>
      <c r="B58" s="53" t="s">
        <v>119</v>
      </c>
      <c r="C58" s="2" t="s">
        <v>118</v>
      </c>
      <c r="D58" s="12">
        <v>1083254533</v>
      </c>
      <c r="E58" s="12">
        <v>866603627</v>
      </c>
      <c r="F58" s="12">
        <v>216650907</v>
      </c>
      <c r="G58" s="8" t="s">
        <v>43</v>
      </c>
      <c r="H58" s="8" t="s">
        <v>51</v>
      </c>
      <c r="I58" s="8" t="s">
        <v>45</v>
      </c>
      <c r="J58" s="14">
        <v>45245</v>
      </c>
      <c r="K58" s="77" t="s">
        <v>55</v>
      </c>
      <c r="L58" s="6">
        <v>759049373</v>
      </c>
      <c r="M58" s="12">
        <v>0</v>
      </c>
      <c r="N58" s="16">
        <v>1625653000</v>
      </c>
      <c r="O58" s="24">
        <f>Tabla136[[#This Row],[VALOR PROYECTADO 2023-1]]-Tabla136[[#This Row],[VALOR EJECUTADO 2023-1]]</f>
        <v>-542398467</v>
      </c>
      <c r="P58" s="26">
        <f>Tabla136[[#This Row],[VALOR EJECUTADO 2023-1]]/Tabla136[[#This Row],[VALOR PROYECTADO 2023-1]]</f>
        <v>1.5007119291694671</v>
      </c>
      <c r="Q58" s="6">
        <f>VLOOKUP(Tabla136[[#This Row],[NOMBRE IES]],'[1]INFORMACIÓN IES'!$B:$M,12,0)</f>
        <v>1712328200</v>
      </c>
      <c r="R58" s="6">
        <f>Tabla136[[#This Row],[VALOR PROYECTADO 2023-2]]*80/100</f>
        <v>1369862560</v>
      </c>
      <c r="S58" s="7">
        <f>+Tabla136[[#This Row],[VALOR PROYECTADO 2023-2]]-Tabla136[[#This Row],[VALOR DESEMBOLSADO 2023-2 
80%3]]</f>
        <v>342465640</v>
      </c>
      <c r="T58" s="40" t="s">
        <v>44</v>
      </c>
      <c r="U58" s="8" t="s">
        <v>2</v>
      </c>
      <c r="V58" s="7"/>
      <c r="W58" s="7"/>
      <c r="X58" s="7"/>
      <c r="Y58" s="9">
        <f>Tabla136[[#This Row],[VALOR PROYECTADO 2023-2]]-Tabla136[[#This Row],[VALOR EJECUTADO 2023-2]]</f>
        <v>1712328200</v>
      </c>
      <c r="Z58" s="85">
        <f>Tabla136[[#This Row],[VALOR EJECUTADO 2023-2]]/Tabla136[[#This Row],[VALOR PROYECTADO 2023-2]]</f>
        <v>0</v>
      </c>
      <c r="AA58" s="107">
        <f>+AA57</f>
        <v>45292</v>
      </c>
      <c r="AB58" s="1" t="s">
        <v>11</v>
      </c>
      <c r="AD58" s="1" t="s">
        <v>49</v>
      </c>
    </row>
    <row r="59" spans="1:30" x14ac:dyDescent="0.25">
      <c r="A59" s="2">
        <v>31</v>
      </c>
      <c r="B59" s="53" t="s">
        <v>120</v>
      </c>
      <c r="C59" s="2" t="s">
        <v>118</v>
      </c>
      <c r="D59" s="12">
        <v>1017512796</v>
      </c>
      <c r="E59" s="12">
        <v>814010237</v>
      </c>
      <c r="F59" s="12">
        <v>203502559</v>
      </c>
      <c r="G59" s="8" t="s">
        <v>43</v>
      </c>
      <c r="H59" s="8" t="s">
        <v>51</v>
      </c>
      <c r="I59" s="8" t="s">
        <v>45</v>
      </c>
      <c r="J59" s="14">
        <v>45245</v>
      </c>
      <c r="K59" s="77" t="s">
        <v>55</v>
      </c>
      <c r="L59" s="6">
        <v>232793723</v>
      </c>
      <c r="M59" s="12">
        <v>0</v>
      </c>
      <c r="N59" s="16">
        <v>1046803960</v>
      </c>
      <c r="O59" s="24">
        <f>Tabla136[[#This Row],[VALOR PROYECTADO 2023-1]]-Tabla136[[#This Row],[VALOR EJECUTADO 2023-1]]</f>
        <v>-29291164</v>
      </c>
      <c r="P59" s="26">
        <f>Tabla136[[#This Row],[VALOR EJECUTADO 2023-1]]/Tabla136[[#This Row],[VALOR PROYECTADO 2023-1]]</f>
        <v>1.0287870227432501</v>
      </c>
      <c r="Q59" s="6">
        <f>VLOOKUP(Tabla136[[#This Row],[NOMBRE IES]],'[1]INFORMACIÓN IES'!$B:$M,12,0)</f>
        <v>1096614530</v>
      </c>
      <c r="R59" s="6">
        <f>Tabla136[[#This Row],[VALOR PROYECTADO 2023-2]]*80/100</f>
        <v>877291624</v>
      </c>
      <c r="S59" s="7">
        <f>+Tabla136[[#This Row],[VALOR PROYECTADO 2023-2]]-Tabla136[[#This Row],[VALOR DESEMBOLSADO 2023-2 
80%3]]</f>
        <v>219322906</v>
      </c>
      <c r="T59" s="40" t="s">
        <v>44</v>
      </c>
      <c r="U59" s="8" t="s">
        <v>2</v>
      </c>
      <c r="V59" s="7"/>
      <c r="W59" s="7"/>
      <c r="X59" s="7"/>
      <c r="Y59" s="9">
        <f>Tabla136[[#This Row],[VALOR PROYECTADO 2023-2]]-Tabla136[[#This Row],[VALOR EJECUTADO 2023-2]]</f>
        <v>1096614530</v>
      </c>
      <c r="Z59" s="85">
        <f>Tabla136[[#This Row],[VALOR EJECUTADO 2023-2]]/Tabla136[[#This Row],[VALOR PROYECTADO 2023-2]]</f>
        <v>0</v>
      </c>
      <c r="AA59" s="107">
        <f>+AA58</f>
        <v>45292</v>
      </c>
      <c r="AB59" s="1" t="s">
        <v>11</v>
      </c>
      <c r="AD59" s="1" t="s">
        <v>49</v>
      </c>
    </row>
    <row r="60" spans="1:30" x14ac:dyDescent="0.25">
      <c r="A60" s="2">
        <v>32</v>
      </c>
      <c r="B60" s="53" t="s">
        <v>121</v>
      </c>
      <c r="C60" s="2" t="s">
        <v>118</v>
      </c>
      <c r="D60" s="12">
        <v>9073014654</v>
      </c>
      <c r="E60" s="12">
        <v>7258411723</v>
      </c>
      <c r="F60" s="35">
        <v>0</v>
      </c>
      <c r="G60" s="8" t="s">
        <v>43</v>
      </c>
      <c r="H60" s="8" t="s">
        <v>51</v>
      </c>
      <c r="I60" s="8" t="s">
        <v>45</v>
      </c>
      <c r="J60" s="14">
        <v>45245</v>
      </c>
      <c r="K60" s="14"/>
      <c r="L60" s="6"/>
      <c r="M60" s="43">
        <v>-286491517</v>
      </c>
      <c r="N60" s="16">
        <v>6971920206</v>
      </c>
      <c r="O60" s="25">
        <f>Tabla136[[#This Row],[VALOR PROYECTADO 2023-1]]-Tabla136[[#This Row],[VALOR EJECUTADO 2023-1]]</f>
        <v>2101094448</v>
      </c>
      <c r="P60" s="26">
        <f>Tabla136[[#This Row],[VALOR EJECUTADO 2023-1]]/Tabla136[[#This Row],[VALOR PROYECTADO 2023-1]]</f>
        <v>0.76842377885131097</v>
      </c>
      <c r="Q60" s="6">
        <f>VLOOKUP(Tabla136[[#This Row],[NOMBRE IES]],'[1]INFORMACIÓN IES'!$B:$M,12,0)</f>
        <v>7436991659</v>
      </c>
      <c r="R60" s="6">
        <f>Tabla136[[#This Row],[VALOR PROYECTADO 2023-2]]*80/100</f>
        <v>5949593327.1999998</v>
      </c>
      <c r="S60" s="7">
        <f>+Tabla136[[#This Row],[VALOR PROYECTADO 2023-2]]-Tabla136[[#This Row],[VALOR DESEMBOLSADO 2023-2 
80%3]]</f>
        <v>1487398331.8000002</v>
      </c>
      <c r="T60" s="40" t="s">
        <v>44</v>
      </c>
      <c r="U60" s="8" t="s">
        <v>2</v>
      </c>
      <c r="V60" s="7"/>
      <c r="W60" s="7"/>
      <c r="X60" s="7"/>
      <c r="Y60" s="9">
        <f>Tabla136[[#This Row],[VALOR PROYECTADO 2023-2]]-Tabla136[[#This Row],[VALOR EJECUTADO 2023-2]]</f>
        <v>7436991659</v>
      </c>
      <c r="Z60" s="1">
        <f>Tabla136[[#This Row],[VALOR EJECUTADO 2023-2]]/Tabla136[[#This Row],[VALOR PROYECTADO 2023-2]]</f>
        <v>0</v>
      </c>
    </row>
    <row r="61" spans="1:30" x14ac:dyDescent="0.25">
      <c r="A61" s="2">
        <v>33</v>
      </c>
      <c r="B61" s="53" t="s">
        <v>122</v>
      </c>
      <c r="C61" s="2" t="s">
        <v>118</v>
      </c>
      <c r="D61" s="12">
        <v>3807861536</v>
      </c>
      <c r="E61" s="12">
        <v>3046289229</v>
      </c>
      <c r="F61" s="12">
        <v>761572307</v>
      </c>
      <c r="G61" s="8" t="s">
        <v>43</v>
      </c>
      <c r="H61" s="8" t="s">
        <v>51</v>
      </c>
      <c r="I61" s="8" t="s">
        <v>45</v>
      </c>
      <c r="J61" s="14">
        <v>45245</v>
      </c>
      <c r="K61" s="14"/>
      <c r="L61" s="6">
        <v>628938771</v>
      </c>
      <c r="M61" s="12">
        <v>0</v>
      </c>
      <c r="N61" s="16">
        <v>3675228000</v>
      </c>
      <c r="O61" s="25">
        <f>Tabla136[[#This Row],[VALOR PROYECTADO 2023-1]]-Tabla136[[#This Row],[VALOR EJECUTADO 2023-1]]</f>
        <v>132633536</v>
      </c>
      <c r="P61" s="26">
        <f>Tabla136[[#This Row],[VALOR EJECUTADO 2023-1]]/Tabla136[[#This Row],[VALOR PROYECTADO 2023-1]]</f>
        <v>0.9651684981856441</v>
      </c>
      <c r="Q61" s="6">
        <f>VLOOKUP(Tabla136[[#This Row],[NOMBRE IES]],'[1]INFORMACIÓN IES'!$B:$M,12,0)</f>
        <v>4011692960</v>
      </c>
      <c r="R61" s="6">
        <f>Tabla136[[#This Row],[VALOR PROYECTADO 2023-2]]*80/100</f>
        <v>3209354368</v>
      </c>
      <c r="S61" s="7">
        <f>+Tabla136[[#This Row],[VALOR PROYECTADO 2023-2]]-Tabla136[[#This Row],[VALOR DESEMBOLSADO 2023-2 
80%3]]</f>
        <v>802338592</v>
      </c>
      <c r="T61" s="40" t="s">
        <v>44</v>
      </c>
      <c r="U61" s="8" t="s">
        <v>2</v>
      </c>
      <c r="V61" s="7"/>
      <c r="W61" s="7"/>
      <c r="X61" s="7"/>
      <c r="Y61" s="9">
        <f>Tabla136[[#This Row],[VALOR PROYECTADO 2023-2]]-Tabla136[[#This Row],[VALOR EJECUTADO 2023-2]]</f>
        <v>4011692960</v>
      </c>
      <c r="Z61" s="1">
        <f>Tabla136[[#This Row],[VALOR EJECUTADO 2023-2]]/Tabla136[[#This Row],[VALOR PROYECTADO 2023-2]]</f>
        <v>0</v>
      </c>
    </row>
    <row r="62" spans="1:30" x14ac:dyDescent="0.25">
      <c r="A62" s="2">
        <v>34</v>
      </c>
      <c r="B62" s="2" t="s">
        <v>123</v>
      </c>
      <c r="C62" s="2" t="s">
        <v>118</v>
      </c>
      <c r="D62" s="12">
        <v>1060426553</v>
      </c>
      <c r="E62" s="12">
        <v>848341242</v>
      </c>
      <c r="F62" s="12">
        <v>212085311</v>
      </c>
      <c r="G62" s="8" t="s">
        <v>2</v>
      </c>
      <c r="H62" s="8" t="s">
        <v>44</v>
      </c>
      <c r="I62" s="8"/>
      <c r="J62" s="8"/>
      <c r="K62" s="104" t="s">
        <v>59</v>
      </c>
      <c r="L62" s="94">
        <f>Tabla136[[#This Row],[VALOR EJECUTADO 2023-1]]-Tabla136[[#This Row],[VALOR DESEMBOLSADO 2023-1 
80% (Concepto técnico)]]</f>
        <v>110448428</v>
      </c>
      <c r="M62" s="12">
        <v>0</v>
      </c>
      <c r="N62" s="42">
        <v>958789670</v>
      </c>
      <c r="O62" s="25">
        <f>Tabla136[[#This Row],[VALOR PROYECTADO 2023-1]]-Tabla136[[#This Row],[VALOR EJECUTADO 2023-1]]</f>
        <v>101636883</v>
      </c>
      <c r="P62" s="26">
        <f>Tabla136[[#This Row],[VALOR EJECUTADO 2023-1]]/Tabla136[[#This Row],[VALOR PROYECTADO 2023-1]]</f>
        <v>0.90415471706883976</v>
      </c>
      <c r="Q62" s="6">
        <f>VLOOKUP(Tabla136[[#This Row],[NOMBRE IES]],'[1]INFORMACIÓN IES'!$B:$M,12,0)</f>
        <v>1058928816</v>
      </c>
      <c r="R62" s="6">
        <f>Tabla136[[#This Row],[VALOR PROYECTADO 2023-2]]*80/100</f>
        <v>847143052.79999995</v>
      </c>
      <c r="S62" s="7">
        <f>+Tabla136[[#This Row],[VALOR PROYECTADO 2023-2]]-Tabla136[[#This Row],[VALOR DESEMBOLSADO 2023-2 
80%3]]</f>
        <v>211785763.20000005</v>
      </c>
      <c r="T62" s="41" t="s">
        <v>46</v>
      </c>
      <c r="U62" s="8" t="s">
        <v>2</v>
      </c>
      <c r="V62" s="7"/>
      <c r="W62" s="7"/>
      <c r="X62" s="7"/>
      <c r="Y62" s="9">
        <f>Tabla136[[#This Row],[VALOR PROYECTADO 2023-2]]-Tabla136[[#This Row],[VALOR EJECUTADO 2023-2]]</f>
        <v>1058928816</v>
      </c>
      <c r="Z62" s="85">
        <f>Tabla136[[#This Row],[VALOR EJECUTADO 2023-2]]/Tabla136[[#This Row],[VALOR PROYECTADO 2023-2]]</f>
        <v>0</v>
      </c>
      <c r="AA62" s="107">
        <f>+AA59</f>
        <v>45292</v>
      </c>
      <c r="AB62" s="1" t="s">
        <v>11</v>
      </c>
      <c r="AD62" s="1" t="s">
        <v>49</v>
      </c>
    </row>
    <row r="63" spans="1:30" x14ac:dyDescent="0.25">
      <c r="A63" s="2">
        <v>35</v>
      </c>
      <c r="B63" s="53" t="s">
        <v>124</v>
      </c>
      <c r="C63" s="2" t="s">
        <v>118</v>
      </c>
      <c r="D63" s="12">
        <v>218811046</v>
      </c>
      <c r="E63" s="12">
        <v>175048837</v>
      </c>
      <c r="F63" s="12"/>
      <c r="G63" s="8" t="s">
        <v>43</v>
      </c>
      <c r="H63" s="8" t="s">
        <v>51</v>
      </c>
      <c r="I63" s="8" t="s">
        <v>45</v>
      </c>
      <c r="J63" s="14">
        <v>45245</v>
      </c>
      <c r="K63" s="14"/>
      <c r="L63" s="6">
        <v>107905912</v>
      </c>
      <c r="M63" s="12">
        <v>0</v>
      </c>
      <c r="N63" s="16">
        <v>282954750</v>
      </c>
      <c r="O63" s="24">
        <f>Tabla136[[#This Row],[VALOR PROYECTADO 2023-1]]-Tabla136[[#This Row],[VALOR EJECUTADO 2023-1]]</f>
        <v>-64143704</v>
      </c>
      <c r="P63" s="26">
        <f>Tabla136[[#This Row],[VALOR EJECUTADO 2023-1]]/Tabla136[[#This Row],[VALOR PROYECTADO 2023-1]]</f>
        <v>1.2931465534879807</v>
      </c>
      <c r="Q63" s="6">
        <f>VLOOKUP(Tabla136[[#This Row],[NOMBRE IES]],'[1]INFORMACIÓN IES'!$B:$M,12,0)</f>
        <v>240692151</v>
      </c>
      <c r="R63" s="6">
        <f>Tabla136[[#This Row],[VALOR PROYECTADO 2023-2]]*80/100</f>
        <v>192553720.80000001</v>
      </c>
      <c r="S63" s="7">
        <f>+Tabla136[[#This Row],[VALOR PROYECTADO 2023-2]]-Tabla136[[#This Row],[VALOR DESEMBOLSADO 2023-2 
80%3]]</f>
        <v>48138430.199999988</v>
      </c>
      <c r="T63" s="40" t="s">
        <v>44</v>
      </c>
      <c r="U63" s="8" t="s">
        <v>2</v>
      </c>
      <c r="V63" s="7"/>
      <c r="W63" s="7"/>
      <c r="X63" s="7"/>
      <c r="Y63" s="9">
        <f>Tabla136[[#This Row],[VALOR PROYECTADO 2023-2]]-Tabla136[[#This Row],[VALOR EJECUTADO 2023-2]]</f>
        <v>240692151</v>
      </c>
      <c r="Z63" s="1">
        <f>Tabla136[[#This Row],[VALOR EJECUTADO 2023-2]]/Tabla136[[#This Row],[VALOR PROYECTADO 2023-2]]</f>
        <v>0</v>
      </c>
    </row>
    <row r="64" spans="1:30" x14ac:dyDescent="0.25">
      <c r="A64" s="2">
        <v>36</v>
      </c>
      <c r="B64" s="2" t="s">
        <v>125</v>
      </c>
      <c r="C64" s="2" t="s">
        <v>118</v>
      </c>
      <c r="D64" s="12">
        <v>5653192424</v>
      </c>
      <c r="E64" s="12">
        <v>4522553939</v>
      </c>
      <c r="F64" s="12">
        <v>1130638485</v>
      </c>
      <c r="G64" s="8" t="s">
        <v>2</v>
      </c>
      <c r="H64" s="8" t="s">
        <v>44</v>
      </c>
      <c r="I64" s="8"/>
      <c r="J64" s="8"/>
      <c r="K64" s="8"/>
      <c r="L64" s="80"/>
      <c r="M64" s="43">
        <f>Tabla136[[#This Row],[VALOR EJECUTADO 2023-1]]-Tabla136[[#This Row],[VALOR DESEMBOLSADO 2023-1 
80% (Concepto técnico)]]</f>
        <v>-622729939</v>
      </c>
      <c r="N64" s="42">
        <v>3899824000</v>
      </c>
      <c r="O64" s="25">
        <f>Tabla136[[#This Row],[VALOR PROYECTADO 2023-1]]-Tabla136[[#This Row],[VALOR EJECUTADO 2023-1]]</f>
        <v>1753368424</v>
      </c>
      <c r="P64" s="26">
        <f>Tabla136[[#This Row],[VALOR EJECUTADO 2023-1]]/Tabla136[[#This Row],[VALOR PROYECTADO 2023-1]]</f>
        <v>0.68984455286604618</v>
      </c>
      <c r="Q64" s="6">
        <f>VLOOKUP(Tabla136[[#This Row],[NOMBRE IES]],'[1]INFORMACIÓN IES'!$B:$M,12,0)</f>
        <v>4487393900</v>
      </c>
      <c r="R64" s="6">
        <f>Tabla136[[#This Row],[VALOR PROYECTADO 2023-2]]*80/100</f>
        <v>3589915120</v>
      </c>
      <c r="S64" s="7">
        <f>+Tabla136[[#This Row],[VALOR PROYECTADO 2023-2]]-Tabla136[[#This Row],[VALOR DESEMBOLSADO 2023-2 
80%3]]</f>
        <v>897478780</v>
      </c>
      <c r="T64" s="41" t="s">
        <v>46</v>
      </c>
      <c r="U64" s="8" t="s">
        <v>2</v>
      </c>
      <c r="V64" s="7"/>
      <c r="W64" s="7"/>
      <c r="X64" s="7"/>
      <c r="Y64" s="9">
        <f>Tabla136[[#This Row],[VALOR PROYECTADO 2023-2]]-Tabla136[[#This Row],[VALOR EJECUTADO 2023-2]]</f>
        <v>4487393900</v>
      </c>
      <c r="Z64" s="1">
        <f>Tabla136[[#This Row],[VALOR EJECUTADO 2023-2]]/Tabla136[[#This Row],[VALOR PROYECTADO 2023-2]]</f>
        <v>0</v>
      </c>
    </row>
    <row r="65" spans="1:30" x14ac:dyDescent="0.25">
      <c r="A65" s="2">
        <v>37</v>
      </c>
      <c r="B65" s="53" t="s">
        <v>126</v>
      </c>
      <c r="C65" s="2" t="s">
        <v>118</v>
      </c>
      <c r="D65" s="12">
        <v>461245394</v>
      </c>
      <c r="E65" s="12">
        <v>368996315</v>
      </c>
      <c r="F65" s="12">
        <v>92249079</v>
      </c>
      <c r="G65" s="8" t="s">
        <v>43</v>
      </c>
      <c r="H65" s="8" t="s">
        <v>51</v>
      </c>
      <c r="I65" s="8" t="s">
        <v>45</v>
      </c>
      <c r="J65" s="14">
        <v>45245</v>
      </c>
      <c r="K65" s="77" t="s">
        <v>55</v>
      </c>
      <c r="L65" s="6">
        <v>210837591</v>
      </c>
      <c r="M65" s="12">
        <v>0</v>
      </c>
      <c r="N65" s="16">
        <v>579833906</v>
      </c>
      <c r="O65" s="24">
        <f>Tabla136[[#This Row],[VALOR PROYECTADO 2023-1]]-Tabla136[[#This Row],[VALOR EJECUTADO 2023-1]]</f>
        <v>-118588512</v>
      </c>
      <c r="P65" s="26">
        <f>Tabla136[[#This Row],[VALOR EJECUTADO 2023-1]]/Tabla136[[#This Row],[VALOR PROYECTADO 2023-1]]</f>
        <v>1.2571050324678148</v>
      </c>
      <c r="Q65" s="6">
        <f>VLOOKUP(Tabla136[[#This Row],[NOMBRE IES]],'[1]INFORMACIÓN IES'!$B:$M,12,0)</f>
        <v>635534984</v>
      </c>
      <c r="R65" s="6">
        <f>Tabla136[[#This Row],[VALOR PROYECTADO 2023-2]]*80/100</f>
        <v>508427987.19999999</v>
      </c>
      <c r="S65" s="7">
        <f>+Tabla136[[#This Row],[VALOR PROYECTADO 2023-2]]-Tabla136[[#This Row],[VALOR DESEMBOLSADO 2023-2 
80%3]]</f>
        <v>127106996.80000001</v>
      </c>
      <c r="T65" s="40" t="s">
        <v>44</v>
      </c>
      <c r="U65" s="8" t="s">
        <v>2</v>
      </c>
      <c r="V65" s="7"/>
      <c r="W65" s="7"/>
      <c r="X65" s="7"/>
      <c r="Y65" s="9">
        <f>Tabla136[[#This Row],[VALOR PROYECTADO 2023-2]]-Tabla136[[#This Row],[VALOR EJECUTADO 2023-2]]</f>
        <v>635534984</v>
      </c>
      <c r="Z65" s="85">
        <f>Tabla136[[#This Row],[VALOR EJECUTADO 2023-2]]/Tabla136[[#This Row],[VALOR PROYECTADO 2023-2]]</f>
        <v>0</v>
      </c>
      <c r="AA65" s="107">
        <f>+AA62</f>
        <v>45292</v>
      </c>
      <c r="AB65" s="1" t="s">
        <v>11</v>
      </c>
      <c r="AD65" s="1" t="s">
        <v>49</v>
      </c>
    </row>
    <row r="66" spans="1:30" x14ac:dyDescent="0.25">
      <c r="A66" s="2"/>
      <c r="B66" s="2"/>
      <c r="C66" s="2"/>
      <c r="E66" s="13"/>
      <c r="H66" s="8"/>
      <c r="I66" s="8"/>
      <c r="J66" s="8"/>
      <c r="K66" s="8"/>
      <c r="L66" s="13"/>
      <c r="N66" s="51"/>
      <c r="O66" s="51"/>
      <c r="Q66" s="40"/>
      <c r="R66" s="40"/>
      <c r="S66" s="7">
        <f>SUM(Tabla136[VALOR ESTIMADO  POR DESEMBOLSAR 2023-2 
(20%)4])</f>
        <v>104884075925.40001</v>
      </c>
      <c r="T66" s="7"/>
      <c r="U66" s="47"/>
      <c r="V66" s="7"/>
      <c r="W66" s="7"/>
      <c r="X66" s="7"/>
      <c r="Y66" s="9"/>
      <c r="Z66" s="97"/>
      <c r="AC66" s="96"/>
      <c r="AD66" s="96"/>
    </row>
    <row r="68" spans="1:30" x14ac:dyDescent="0.25">
      <c r="F68" s="33"/>
      <c r="M68" s="33">
        <f>N45-E45</f>
        <v>43339581277.199997</v>
      </c>
    </row>
    <row r="70" spans="1:30" x14ac:dyDescent="0.25">
      <c r="E70" s="13"/>
    </row>
  </sheetData>
  <phoneticPr fontId="6" type="noConversion"/>
  <conditionalFormatting sqref="G1:K1048576">
    <cfRule type="containsText" dxfId="62" priority="11" operator="containsText" text="Aprobada">
      <formula>NOT(ISERROR(SEARCH("Aprobada",G1)))</formula>
    </cfRule>
    <cfRule type="containsText" dxfId="61" priority="12" operator="containsText" text="Aprobado">
      <formula>NOT(ISERROR(SEARCH("Aprobado",G1)))</formula>
    </cfRule>
    <cfRule type="containsText" dxfId="60" priority="13" operator="containsText" text="Generada">
      <formula>NOT(ISERROR(SEARCH("Generada",G1)))</formula>
    </cfRule>
    <cfRule type="containsText" dxfId="59" priority="14" operator="containsText" text="Cargada">
      <formula>NOT(ISERROR(SEARCH("Cargada",G1)))</formula>
    </cfRule>
    <cfRule type="containsText" dxfId="58" priority="15" operator="containsText" text="Sin generar">
      <formula>NOT(ISERROR(SEARCH("Sin generar",G1)))</formula>
    </cfRule>
  </conditionalFormatting>
  <conditionalFormatting sqref="U2:U65">
    <cfRule type="containsText" dxfId="57" priority="6" operator="containsText" text="Aprobada">
      <formula>NOT(ISERROR(SEARCH("Aprobada",U2)))</formula>
    </cfRule>
    <cfRule type="containsText" dxfId="56" priority="7" operator="containsText" text="Aprobado">
      <formula>NOT(ISERROR(SEARCH("Aprobado",U2)))</formula>
    </cfRule>
    <cfRule type="containsText" dxfId="55" priority="8" operator="containsText" text="Generada">
      <formula>NOT(ISERROR(SEARCH("Generada",U2)))</formula>
    </cfRule>
    <cfRule type="containsText" dxfId="54" priority="9" operator="containsText" text="Cargada">
      <formula>NOT(ISERROR(SEARCH("Cargada",U2)))</formula>
    </cfRule>
    <cfRule type="containsText" dxfId="53" priority="10" operator="containsText" text="Sin generar">
      <formula>NOT(ISERROR(SEARCH("Sin generar",U2)))</formula>
    </cfRule>
  </conditionalFormatting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'Lista elegible'!$A$1:$A$4</xm:f>
          </x14:formula1>
          <xm:sqref>U2:U65 G2:G65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P85"/>
  <sheetViews>
    <sheetView tabSelected="1" zoomScale="90" zoomScaleNormal="90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N50" sqref="N50:N65"/>
    </sheetView>
  </sheetViews>
  <sheetFormatPr baseColWidth="10" defaultColWidth="11.42578125" defaultRowHeight="15" customHeight="1" x14ac:dyDescent="0.25"/>
  <cols>
    <col min="1" max="1" width="14.140625" style="2" customWidth="1"/>
    <col min="2" max="2" width="43.7109375" style="115" customWidth="1"/>
    <col min="3" max="4" width="21.42578125" customWidth="1"/>
    <col min="5" max="5" width="19.28515625" style="632" customWidth="1"/>
    <col min="6" max="6" width="19.28515625" style="731" customWidth="1"/>
    <col min="7" max="7" width="19.28515625" style="632" customWidth="1"/>
    <col min="8" max="9" width="17.28515625" style="663" customWidth="1"/>
    <col min="10" max="10" width="18.7109375" style="183" customWidth="1"/>
    <col min="11" max="11" width="19.28515625" style="183" customWidth="1"/>
    <col min="12" max="12" width="20.28515625" style="183" customWidth="1"/>
    <col min="13" max="13" width="20.7109375" style="157" customWidth="1"/>
    <col min="16" max="16" width="20.7109375" style="157" customWidth="1"/>
  </cols>
  <sheetData>
    <row r="1" spans="1:16" s="183" customFormat="1" ht="66" customHeight="1" x14ac:dyDescent="0.2">
      <c r="A1" s="181" t="s">
        <v>288</v>
      </c>
      <c r="B1" s="266" t="s">
        <v>5</v>
      </c>
      <c r="C1" s="732" t="s">
        <v>424</v>
      </c>
      <c r="D1" s="733" t="s">
        <v>426</v>
      </c>
      <c r="E1" s="732" t="s">
        <v>429</v>
      </c>
      <c r="F1" s="734" t="s">
        <v>430</v>
      </c>
      <c r="G1" s="732" t="s">
        <v>429</v>
      </c>
      <c r="H1" s="735" t="s">
        <v>432</v>
      </c>
      <c r="I1" s="741" t="s">
        <v>433</v>
      </c>
      <c r="J1" s="735" t="s">
        <v>434</v>
      </c>
      <c r="K1" s="735" t="s">
        <v>435</v>
      </c>
      <c r="L1" s="735" t="s">
        <v>436</v>
      </c>
      <c r="M1" s="646" t="s">
        <v>429</v>
      </c>
      <c r="N1" s="747" t="s">
        <v>751</v>
      </c>
      <c r="P1" s="742"/>
    </row>
    <row r="2" spans="1:16" ht="72.599999999999994" customHeight="1" x14ac:dyDescent="0.25">
      <c r="A2" s="168" t="s">
        <v>297</v>
      </c>
      <c r="B2" s="267" t="s">
        <v>195</v>
      </c>
      <c r="C2" s="640" t="s">
        <v>230</v>
      </c>
      <c r="D2" s="659">
        <v>45397</v>
      </c>
      <c r="E2" s="635" t="s">
        <v>230</v>
      </c>
      <c r="F2" s="727">
        <v>45635</v>
      </c>
      <c r="G2" s="635" t="s">
        <v>230</v>
      </c>
      <c r="H2" s="660">
        <v>45565</v>
      </c>
      <c r="I2" s="737">
        <v>45567</v>
      </c>
      <c r="J2" s="661">
        <v>45602</v>
      </c>
      <c r="K2" s="661">
        <v>45622</v>
      </c>
      <c r="L2" s="661">
        <v>45637</v>
      </c>
      <c r="M2" s="649" t="s">
        <v>247</v>
      </c>
      <c r="N2" s="736" t="s">
        <v>250</v>
      </c>
      <c r="P2" s="743"/>
    </row>
    <row r="3" spans="1:16" ht="72.599999999999994" customHeight="1" x14ac:dyDescent="0.25">
      <c r="A3" s="168" t="s">
        <v>297</v>
      </c>
      <c r="B3" s="267" t="s">
        <v>83</v>
      </c>
      <c r="C3" s="640" t="s">
        <v>230</v>
      </c>
      <c r="D3" s="659">
        <v>45397</v>
      </c>
      <c r="E3" s="635" t="s">
        <v>230</v>
      </c>
      <c r="F3" s="727">
        <v>45635</v>
      </c>
      <c r="G3" s="635" t="s">
        <v>230</v>
      </c>
      <c r="H3" s="660">
        <v>45565</v>
      </c>
      <c r="I3" s="737">
        <v>45567</v>
      </c>
      <c r="J3" s="661">
        <v>45602</v>
      </c>
      <c r="K3" s="661">
        <v>45622</v>
      </c>
      <c r="L3" s="661">
        <v>45637</v>
      </c>
      <c r="M3" s="649" t="s">
        <v>247</v>
      </c>
      <c r="N3" s="736" t="s">
        <v>250</v>
      </c>
      <c r="P3" s="743"/>
    </row>
    <row r="4" spans="1:16" ht="72.599999999999994" customHeight="1" x14ac:dyDescent="0.25">
      <c r="A4" s="168" t="s">
        <v>297</v>
      </c>
      <c r="B4" s="267" t="s">
        <v>123</v>
      </c>
      <c r="C4" s="640" t="s">
        <v>230</v>
      </c>
      <c r="D4" s="659">
        <v>45397</v>
      </c>
      <c r="E4" s="636" t="s">
        <v>230</v>
      </c>
      <c r="F4" s="727">
        <v>45642</v>
      </c>
      <c r="G4" s="636" t="s">
        <v>230</v>
      </c>
      <c r="H4" s="660">
        <v>45565</v>
      </c>
      <c r="I4" s="737">
        <v>45567</v>
      </c>
      <c r="J4" s="661">
        <v>45602</v>
      </c>
      <c r="K4" s="661">
        <v>45622</v>
      </c>
      <c r="L4" s="661">
        <v>45637</v>
      </c>
      <c r="M4" s="666" t="s">
        <v>230</v>
      </c>
      <c r="N4" s="750">
        <v>45686</v>
      </c>
      <c r="P4" s="744"/>
    </row>
    <row r="5" spans="1:16" ht="72.599999999999994" customHeight="1" x14ac:dyDescent="0.25">
      <c r="A5" s="168" t="s">
        <v>297</v>
      </c>
      <c r="B5" s="267" t="s">
        <v>92</v>
      </c>
      <c r="C5" s="640" t="s">
        <v>230</v>
      </c>
      <c r="D5" s="659">
        <v>45397</v>
      </c>
      <c r="E5" s="636" t="s">
        <v>230</v>
      </c>
      <c r="F5" s="727">
        <v>45643</v>
      </c>
      <c r="G5" s="636" t="s">
        <v>230</v>
      </c>
      <c r="H5" s="660">
        <v>45565</v>
      </c>
      <c r="I5" s="737">
        <v>45567</v>
      </c>
      <c r="J5" s="661">
        <v>45602</v>
      </c>
      <c r="K5" s="661">
        <v>45622</v>
      </c>
      <c r="L5" s="661">
        <v>45637</v>
      </c>
      <c r="M5" s="649" t="s">
        <v>247</v>
      </c>
      <c r="N5" s="736" t="s">
        <v>250</v>
      </c>
      <c r="P5" s="743"/>
    </row>
    <row r="6" spans="1:16" ht="72.599999999999994" customHeight="1" x14ac:dyDescent="0.25">
      <c r="A6" s="168" t="s">
        <v>297</v>
      </c>
      <c r="B6" s="267" t="s">
        <v>106</v>
      </c>
      <c r="C6" s="640" t="s">
        <v>230</v>
      </c>
      <c r="D6" s="659">
        <v>45397</v>
      </c>
      <c r="E6" s="636" t="s">
        <v>230</v>
      </c>
      <c r="F6" s="727">
        <v>45643</v>
      </c>
      <c r="G6" s="636" t="s">
        <v>230</v>
      </c>
      <c r="H6" s="660">
        <v>45565</v>
      </c>
      <c r="I6" s="737">
        <v>45567</v>
      </c>
      <c r="J6" s="661">
        <v>45602</v>
      </c>
      <c r="K6" s="661">
        <v>45622</v>
      </c>
      <c r="L6" s="661">
        <v>45637</v>
      </c>
      <c r="M6" s="666" t="s">
        <v>230</v>
      </c>
      <c r="N6" s="750">
        <v>45686</v>
      </c>
      <c r="P6" s="744"/>
    </row>
    <row r="7" spans="1:16" ht="72.599999999999994" customHeight="1" x14ac:dyDescent="0.25">
      <c r="A7" s="168" t="s">
        <v>297</v>
      </c>
      <c r="B7" s="267" t="s">
        <v>298</v>
      </c>
      <c r="C7" s="640" t="s">
        <v>230</v>
      </c>
      <c r="D7" s="659">
        <v>45397</v>
      </c>
      <c r="E7" s="636" t="s">
        <v>230</v>
      </c>
      <c r="F7" s="727">
        <v>45397</v>
      </c>
      <c r="G7" s="636" t="s">
        <v>230</v>
      </c>
      <c r="H7" s="660">
        <v>45565</v>
      </c>
      <c r="I7" s="737">
        <v>45567</v>
      </c>
      <c r="J7" s="661">
        <v>45602</v>
      </c>
      <c r="K7" s="661">
        <v>45622</v>
      </c>
      <c r="L7" s="661">
        <v>45637</v>
      </c>
      <c r="M7" s="666" t="s">
        <v>230</v>
      </c>
      <c r="N7" s="750">
        <v>45677</v>
      </c>
      <c r="P7" s="744"/>
    </row>
    <row r="8" spans="1:16" ht="51.6" customHeight="1" x14ac:dyDescent="0.25">
      <c r="A8" s="168" t="s">
        <v>297</v>
      </c>
      <c r="B8" s="267" t="s">
        <v>53</v>
      </c>
      <c r="C8" s="640" t="s">
        <v>230</v>
      </c>
      <c r="D8" s="659">
        <v>45404</v>
      </c>
      <c r="E8" s="635" t="s">
        <v>230</v>
      </c>
      <c r="F8" s="727">
        <v>45397</v>
      </c>
      <c r="G8" s="635" t="s">
        <v>230</v>
      </c>
      <c r="H8" s="660">
        <v>45546</v>
      </c>
      <c r="I8" s="739"/>
      <c r="J8" s="662"/>
      <c r="K8" s="662"/>
      <c r="L8" s="662"/>
      <c r="M8" s="667" t="s">
        <v>442</v>
      </c>
      <c r="N8" s="736" t="s">
        <v>250</v>
      </c>
      <c r="P8" s="745"/>
    </row>
    <row r="9" spans="1:16" ht="90" customHeight="1" x14ac:dyDescent="0.25">
      <c r="A9" s="168" t="s">
        <v>297</v>
      </c>
      <c r="B9" s="267" t="s">
        <v>107</v>
      </c>
      <c r="C9" s="640" t="s">
        <v>230</v>
      </c>
      <c r="D9" s="659">
        <v>45397</v>
      </c>
      <c r="E9" s="636" t="s">
        <v>230</v>
      </c>
      <c r="F9" s="727">
        <v>45397</v>
      </c>
      <c r="G9" s="636" t="s">
        <v>230</v>
      </c>
      <c r="H9" s="660">
        <v>45565</v>
      </c>
      <c r="I9" s="737">
        <v>45567</v>
      </c>
      <c r="J9" s="661">
        <v>45602</v>
      </c>
      <c r="K9" s="661">
        <v>45622</v>
      </c>
      <c r="L9" s="661">
        <v>45637</v>
      </c>
      <c r="M9" s="666" t="s">
        <v>230</v>
      </c>
      <c r="N9" s="750">
        <v>45686</v>
      </c>
      <c r="P9" s="744"/>
    </row>
    <row r="10" spans="1:16" ht="72.599999999999994" customHeight="1" x14ac:dyDescent="0.25">
      <c r="A10" s="168" t="s">
        <v>297</v>
      </c>
      <c r="B10" s="267" t="s">
        <v>120</v>
      </c>
      <c r="C10" s="640" t="s">
        <v>230</v>
      </c>
      <c r="D10" s="659">
        <v>45397</v>
      </c>
      <c r="E10" s="636" t="s">
        <v>230</v>
      </c>
      <c r="F10" s="727">
        <v>45644</v>
      </c>
      <c r="G10" s="636" t="s">
        <v>230</v>
      </c>
      <c r="H10" s="660">
        <v>45565</v>
      </c>
      <c r="I10" s="737">
        <v>45567</v>
      </c>
      <c r="J10" s="661">
        <v>45602</v>
      </c>
      <c r="K10" s="661">
        <v>45622</v>
      </c>
      <c r="L10" s="661">
        <v>45637</v>
      </c>
      <c r="M10" s="666" t="s">
        <v>230</v>
      </c>
      <c r="N10" s="750">
        <v>45686</v>
      </c>
      <c r="P10" s="744"/>
    </row>
    <row r="11" spans="1:16" ht="72.599999999999994" customHeight="1" x14ac:dyDescent="0.25">
      <c r="A11" s="168" t="s">
        <v>297</v>
      </c>
      <c r="B11" s="270" t="s">
        <v>334</v>
      </c>
      <c r="C11" s="640" t="s">
        <v>230</v>
      </c>
      <c r="D11" s="659">
        <v>45397</v>
      </c>
      <c r="E11" s="636" t="s">
        <v>230</v>
      </c>
      <c r="F11" s="727">
        <v>45643</v>
      </c>
      <c r="G11" s="636" t="s">
        <v>230</v>
      </c>
      <c r="H11" s="660">
        <v>45565</v>
      </c>
      <c r="I11" s="737">
        <v>45567</v>
      </c>
      <c r="J11" s="661">
        <v>45602</v>
      </c>
      <c r="K11" s="661">
        <v>45622</v>
      </c>
      <c r="L11" s="661">
        <v>45637</v>
      </c>
      <c r="M11" s="649" t="s">
        <v>247</v>
      </c>
      <c r="N11" s="736" t="s">
        <v>250</v>
      </c>
      <c r="P11" s="743"/>
    </row>
    <row r="12" spans="1:16" ht="72.599999999999994" customHeight="1" x14ac:dyDescent="0.25">
      <c r="A12" s="168" t="s">
        <v>297</v>
      </c>
      <c r="B12" s="267" t="s">
        <v>80</v>
      </c>
      <c r="C12" s="640" t="s">
        <v>230</v>
      </c>
      <c r="D12" s="659">
        <v>45397</v>
      </c>
      <c r="E12" s="636" t="s">
        <v>230</v>
      </c>
      <c r="F12" s="727">
        <v>45397</v>
      </c>
      <c r="G12" s="636" t="s">
        <v>230</v>
      </c>
      <c r="H12" s="660">
        <v>45565</v>
      </c>
      <c r="I12" s="737">
        <v>45567</v>
      </c>
      <c r="J12" s="661">
        <v>45602</v>
      </c>
      <c r="K12" s="661">
        <v>45622</v>
      </c>
      <c r="L12" s="661">
        <v>45637</v>
      </c>
      <c r="M12" s="649" t="s">
        <v>247</v>
      </c>
      <c r="N12" s="736" t="s">
        <v>250</v>
      </c>
      <c r="P12" s="743"/>
    </row>
    <row r="13" spans="1:16" ht="72.599999999999994" customHeight="1" x14ac:dyDescent="0.25">
      <c r="A13" s="168" t="s">
        <v>297</v>
      </c>
      <c r="B13" s="267" t="s">
        <v>239</v>
      </c>
      <c r="C13" s="640" t="s">
        <v>230</v>
      </c>
      <c r="D13" s="659">
        <v>45397</v>
      </c>
      <c r="E13" s="636" t="s">
        <v>230</v>
      </c>
      <c r="F13" s="727">
        <v>45642</v>
      </c>
      <c r="G13" s="636" t="s">
        <v>230</v>
      </c>
      <c r="H13" s="660">
        <v>45565</v>
      </c>
      <c r="I13" s="737">
        <v>45567</v>
      </c>
      <c r="J13" s="661">
        <v>45602</v>
      </c>
      <c r="K13" s="661">
        <v>45622</v>
      </c>
      <c r="L13" s="661">
        <v>45637</v>
      </c>
      <c r="M13" s="670" t="s">
        <v>443</v>
      </c>
      <c r="N13" s="736" t="s">
        <v>250</v>
      </c>
      <c r="P13" s="743"/>
    </row>
    <row r="14" spans="1:16" ht="72.599999999999994" customHeight="1" x14ac:dyDescent="0.25">
      <c r="A14" s="168" t="s">
        <v>297</v>
      </c>
      <c r="B14" s="267" t="s">
        <v>166</v>
      </c>
      <c r="C14" s="640" t="s">
        <v>230</v>
      </c>
      <c r="D14" s="659">
        <v>45397</v>
      </c>
      <c r="E14" s="636" t="s">
        <v>230</v>
      </c>
      <c r="F14" s="727">
        <v>45642</v>
      </c>
      <c r="G14" s="636" t="s">
        <v>230</v>
      </c>
      <c r="H14" s="660">
        <v>45565</v>
      </c>
      <c r="I14" s="737">
        <v>45567</v>
      </c>
      <c r="J14" s="661">
        <v>45602</v>
      </c>
      <c r="K14" s="661">
        <v>45622</v>
      </c>
      <c r="L14" s="661">
        <v>45637</v>
      </c>
      <c r="M14" s="649" t="s">
        <v>247</v>
      </c>
      <c r="N14" s="736" t="s">
        <v>250</v>
      </c>
      <c r="P14" s="743"/>
    </row>
    <row r="15" spans="1:16" ht="72.599999999999994" customHeight="1" x14ac:dyDescent="0.25">
      <c r="A15" s="168" t="s">
        <v>297</v>
      </c>
      <c r="B15" s="267" t="s">
        <v>85</v>
      </c>
      <c r="C15" s="640" t="s">
        <v>230</v>
      </c>
      <c r="D15" s="659">
        <v>45397</v>
      </c>
      <c r="E15" s="636" t="s">
        <v>230</v>
      </c>
      <c r="F15" s="727">
        <v>45642</v>
      </c>
      <c r="G15" s="636" t="s">
        <v>230</v>
      </c>
      <c r="H15" s="660">
        <v>45565</v>
      </c>
      <c r="I15" s="737">
        <v>45567</v>
      </c>
      <c r="J15" s="661">
        <v>45602</v>
      </c>
      <c r="K15" s="661">
        <v>45622</v>
      </c>
      <c r="L15" s="661">
        <v>45637</v>
      </c>
      <c r="M15" s="649" t="s">
        <v>247</v>
      </c>
      <c r="N15" s="736" t="s">
        <v>250</v>
      </c>
      <c r="P15" s="743"/>
    </row>
    <row r="16" spans="1:16" ht="72.599999999999994" customHeight="1" x14ac:dyDescent="0.25">
      <c r="A16" s="168" t="s">
        <v>297</v>
      </c>
      <c r="B16" s="267" t="s">
        <v>114</v>
      </c>
      <c r="C16" s="640" t="s">
        <v>230</v>
      </c>
      <c r="D16" s="659">
        <v>45397</v>
      </c>
      <c r="E16" s="636" t="s">
        <v>230</v>
      </c>
      <c r="F16" s="727">
        <v>45643</v>
      </c>
      <c r="G16" s="636" t="s">
        <v>230</v>
      </c>
      <c r="H16" s="660">
        <v>45565</v>
      </c>
      <c r="I16" s="737">
        <v>45567</v>
      </c>
      <c r="J16" s="661">
        <v>45602</v>
      </c>
      <c r="K16" s="661">
        <v>45622</v>
      </c>
      <c r="L16" s="661">
        <v>45637</v>
      </c>
      <c r="M16" s="670" t="s">
        <v>443</v>
      </c>
      <c r="N16" s="736" t="s">
        <v>250</v>
      </c>
      <c r="P16" s="743"/>
    </row>
    <row r="17" spans="1:16" ht="72.599999999999994" customHeight="1" x14ac:dyDescent="0.25">
      <c r="A17" s="168" t="s">
        <v>297</v>
      </c>
      <c r="B17" s="267" t="s">
        <v>108</v>
      </c>
      <c r="C17" s="640" t="s">
        <v>230</v>
      </c>
      <c r="D17" s="659">
        <v>45397</v>
      </c>
      <c r="E17" s="636" t="s">
        <v>230</v>
      </c>
      <c r="F17" s="727">
        <v>45642</v>
      </c>
      <c r="G17" s="636" t="s">
        <v>230</v>
      </c>
      <c r="H17" s="660">
        <v>45565</v>
      </c>
      <c r="I17" s="737">
        <v>45567</v>
      </c>
      <c r="J17" s="661">
        <v>45602</v>
      </c>
      <c r="K17" s="661">
        <v>45622</v>
      </c>
      <c r="L17" s="661">
        <v>45637</v>
      </c>
      <c r="M17" s="670" t="s">
        <v>443</v>
      </c>
      <c r="N17" s="736" t="s">
        <v>250</v>
      </c>
      <c r="P17" s="743"/>
    </row>
    <row r="18" spans="1:16" ht="72.599999999999994" customHeight="1" x14ac:dyDescent="0.25">
      <c r="A18" s="168" t="s">
        <v>297</v>
      </c>
      <c r="B18" s="267" t="s">
        <v>229</v>
      </c>
      <c r="C18" s="640" t="s">
        <v>230</v>
      </c>
      <c r="D18" s="659">
        <v>45397</v>
      </c>
      <c r="E18" s="636" t="s">
        <v>230</v>
      </c>
      <c r="F18" s="727">
        <v>45642</v>
      </c>
      <c r="G18" s="636" t="s">
        <v>230</v>
      </c>
      <c r="H18" s="660">
        <v>45565</v>
      </c>
      <c r="I18" s="737">
        <v>45567</v>
      </c>
      <c r="J18" s="661">
        <v>45602</v>
      </c>
      <c r="K18" s="661">
        <v>45622</v>
      </c>
      <c r="L18" s="661">
        <v>45637</v>
      </c>
      <c r="M18" s="666" t="s">
        <v>230</v>
      </c>
      <c r="N18" s="750">
        <v>45686</v>
      </c>
      <c r="P18" s="744"/>
    </row>
    <row r="19" spans="1:16" ht="45" x14ac:dyDescent="0.25">
      <c r="A19" s="168" t="s">
        <v>297</v>
      </c>
      <c r="B19" s="267" t="s">
        <v>184</v>
      </c>
      <c r="C19" s="640" t="s">
        <v>230</v>
      </c>
      <c r="D19" s="659">
        <v>45404</v>
      </c>
      <c r="E19" s="635" t="s">
        <v>230</v>
      </c>
      <c r="F19" s="727">
        <v>45631</v>
      </c>
      <c r="G19" s="635" t="s">
        <v>230</v>
      </c>
      <c r="H19" s="660">
        <v>45545</v>
      </c>
      <c r="I19" s="739"/>
      <c r="J19" s="662"/>
      <c r="K19" s="662"/>
      <c r="L19" s="662"/>
      <c r="M19" s="668" t="s">
        <v>149</v>
      </c>
      <c r="N19" s="736" t="s">
        <v>250</v>
      </c>
      <c r="P19" s="743"/>
    </row>
    <row r="20" spans="1:16" ht="42.6" customHeight="1" x14ac:dyDescent="0.25">
      <c r="A20" s="168" t="s">
        <v>297</v>
      </c>
      <c r="B20" s="267" t="s">
        <v>185</v>
      </c>
      <c r="C20" s="640" t="s">
        <v>230</v>
      </c>
      <c r="D20" s="659">
        <v>45404</v>
      </c>
      <c r="E20" s="635" t="s">
        <v>230</v>
      </c>
      <c r="F20" s="727">
        <v>45631</v>
      </c>
      <c r="G20" s="635" t="s">
        <v>230</v>
      </c>
      <c r="H20" s="660">
        <v>45546</v>
      </c>
      <c r="I20" s="739"/>
      <c r="J20" s="662"/>
      <c r="K20" s="662"/>
      <c r="L20" s="662"/>
      <c r="M20" s="649" t="s">
        <v>247</v>
      </c>
      <c r="N20" s="736" t="s">
        <v>250</v>
      </c>
      <c r="P20" s="743"/>
    </row>
    <row r="21" spans="1:16" ht="72.599999999999994" customHeight="1" x14ac:dyDescent="0.25">
      <c r="A21" s="168" t="s">
        <v>297</v>
      </c>
      <c r="B21" s="267" t="s">
        <v>242</v>
      </c>
      <c r="C21" s="640" t="s">
        <v>230</v>
      </c>
      <c r="D21" s="659">
        <v>45397</v>
      </c>
      <c r="E21" s="636" t="s">
        <v>230</v>
      </c>
      <c r="F21" s="727">
        <v>45642</v>
      </c>
      <c r="G21" s="636" t="s">
        <v>230</v>
      </c>
      <c r="H21" s="660">
        <v>45565</v>
      </c>
      <c r="I21" s="737">
        <v>45567</v>
      </c>
      <c r="J21" s="661">
        <v>45602</v>
      </c>
      <c r="K21" s="661">
        <v>45622</v>
      </c>
      <c r="L21" s="661">
        <v>45637</v>
      </c>
      <c r="M21" s="649" t="s">
        <v>247</v>
      </c>
      <c r="N21" s="736" t="s">
        <v>250</v>
      </c>
      <c r="P21" s="743"/>
    </row>
    <row r="22" spans="1:16" ht="72.599999999999994" customHeight="1" x14ac:dyDescent="0.25">
      <c r="A22" s="168" t="s">
        <v>297</v>
      </c>
      <c r="B22" s="267" t="s">
        <v>126</v>
      </c>
      <c r="C22" s="640" t="s">
        <v>230</v>
      </c>
      <c r="D22" s="659">
        <v>45397</v>
      </c>
      <c r="E22" s="636" t="s">
        <v>230</v>
      </c>
      <c r="F22" s="727">
        <v>45642</v>
      </c>
      <c r="G22" s="636" t="s">
        <v>230</v>
      </c>
      <c r="H22" s="660">
        <v>45565</v>
      </c>
      <c r="I22" s="737">
        <v>45567</v>
      </c>
      <c r="J22" s="661">
        <v>45602</v>
      </c>
      <c r="K22" s="661">
        <v>45622</v>
      </c>
      <c r="L22" s="661">
        <v>45637</v>
      </c>
      <c r="M22" s="649" t="s">
        <v>247</v>
      </c>
      <c r="N22" s="736" t="s">
        <v>250</v>
      </c>
      <c r="P22" s="743"/>
    </row>
    <row r="23" spans="1:16" ht="48" customHeight="1" x14ac:dyDescent="0.25">
      <c r="A23" s="168" t="s">
        <v>297</v>
      </c>
      <c r="B23" s="267" t="s">
        <v>186</v>
      </c>
      <c r="C23" s="640" t="s">
        <v>230</v>
      </c>
      <c r="D23" s="659">
        <v>45404</v>
      </c>
      <c r="E23" s="635" t="s">
        <v>230</v>
      </c>
      <c r="F23" s="727">
        <v>45631</v>
      </c>
      <c r="G23" s="635" t="s">
        <v>230</v>
      </c>
      <c r="H23" s="660">
        <v>45546</v>
      </c>
      <c r="I23" s="739"/>
      <c r="J23" s="662"/>
      <c r="K23" s="662"/>
      <c r="L23" s="662"/>
      <c r="M23" s="669" t="s">
        <v>149</v>
      </c>
      <c r="N23" s="736" t="s">
        <v>250</v>
      </c>
      <c r="P23" s="746"/>
    </row>
    <row r="24" spans="1:16" ht="72.599999999999994" customHeight="1" x14ac:dyDescent="0.25">
      <c r="A24" s="168" t="s">
        <v>297</v>
      </c>
      <c r="B24" s="267" t="s">
        <v>63</v>
      </c>
      <c r="C24" s="640" t="s">
        <v>230</v>
      </c>
      <c r="D24" s="659">
        <v>45397</v>
      </c>
      <c r="E24" s="636" t="s">
        <v>230</v>
      </c>
      <c r="F24" s="727">
        <v>45642</v>
      </c>
      <c r="G24" s="636" t="s">
        <v>230</v>
      </c>
      <c r="H24" s="660">
        <v>45565</v>
      </c>
      <c r="I24" s="737">
        <v>45567</v>
      </c>
      <c r="J24" s="661">
        <v>45602</v>
      </c>
      <c r="K24" s="661">
        <v>45622</v>
      </c>
      <c r="L24" s="661">
        <v>45637</v>
      </c>
      <c r="M24" s="666" t="s">
        <v>230</v>
      </c>
      <c r="N24" s="750">
        <v>45686</v>
      </c>
      <c r="P24" s="744"/>
    </row>
    <row r="25" spans="1:16" ht="72.599999999999994" customHeight="1" x14ac:dyDescent="0.25">
      <c r="A25" s="168" t="s">
        <v>297</v>
      </c>
      <c r="B25" s="267" t="s">
        <v>86</v>
      </c>
      <c r="C25" s="640" t="s">
        <v>230</v>
      </c>
      <c r="D25" s="659">
        <v>45397</v>
      </c>
      <c r="E25" s="636" t="s">
        <v>230</v>
      </c>
      <c r="F25" s="727">
        <v>45635</v>
      </c>
      <c r="G25" s="636" t="s">
        <v>230</v>
      </c>
      <c r="H25" s="660">
        <v>45565</v>
      </c>
      <c r="I25" s="737">
        <v>45567</v>
      </c>
      <c r="J25" s="661">
        <v>45602</v>
      </c>
      <c r="K25" s="661">
        <v>45622</v>
      </c>
      <c r="L25" s="661">
        <v>45637</v>
      </c>
      <c r="M25" s="666" t="s">
        <v>230</v>
      </c>
      <c r="N25" s="750">
        <v>45686</v>
      </c>
      <c r="P25" s="744"/>
    </row>
    <row r="26" spans="1:16" ht="66.599999999999994" customHeight="1" x14ac:dyDescent="0.25">
      <c r="A26" s="168" t="s">
        <v>297</v>
      </c>
      <c r="B26" s="267" t="s">
        <v>90</v>
      </c>
      <c r="C26" s="640" t="s">
        <v>230</v>
      </c>
      <c r="D26" s="659">
        <v>45404</v>
      </c>
      <c r="E26" s="635" t="s">
        <v>230</v>
      </c>
      <c r="F26" s="727">
        <v>45631</v>
      </c>
      <c r="G26" s="635" t="s">
        <v>230</v>
      </c>
      <c r="H26" s="660">
        <v>45545</v>
      </c>
      <c r="I26" s="739"/>
      <c r="J26" s="662"/>
      <c r="K26" s="662"/>
      <c r="L26" s="662"/>
      <c r="M26" s="667" t="s">
        <v>442</v>
      </c>
      <c r="N26" s="736" t="s">
        <v>250</v>
      </c>
      <c r="P26" s="745"/>
    </row>
    <row r="27" spans="1:16" ht="72.599999999999994" customHeight="1" x14ac:dyDescent="0.25">
      <c r="A27" s="168" t="s">
        <v>297</v>
      </c>
      <c r="B27" s="267" t="s">
        <v>89</v>
      </c>
      <c r="C27" s="640" t="s">
        <v>230</v>
      </c>
      <c r="D27" s="659">
        <v>45397</v>
      </c>
      <c r="E27" s="636" t="s">
        <v>230</v>
      </c>
      <c r="F27" s="727">
        <v>45642</v>
      </c>
      <c r="G27" s="636" t="s">
        <v>230</v>
      </c>
      <c r="H27" s="660">
        <v>45565</v>
      </c>
      <c r="I27" s="737">
        <v>45567</v>
      </c>
      <c r="J27" s="661">
        <v>45602</v>
      </c>
      <c r="K27" s="661">
        <v>45622</v>
      </c>
      <c r="L27" s="661">
        <v>45637</v>
      </c>
      <c r="M27" s="649" t="s">
        <v>247</v>
      </c>
      <c r="N27" s="736" t="s">
        <v>250</v>
      </c>
      <c r="P27" s="743"/>
    </row>
    <row r="28" spans="1:16" ht="72.599999999999994" customHeight="1" x14ac:dyDescent="0.25">
      <c r="A28" s="168" t="s">
        <v>297</v>
      </c>
      <c r="B28" s="267" t="s">
        <v>87</v>
      </c>
      <c r="C28" s="640" t="s">
        <v>230</v>
      </c>
      <c r="D28" s="659">
        <v>45397</v>
      </c>
      <c r="E28" s="636" t="s">
        <v>230</v>
      </c>
      <c r="F28" s="727">
        <v>45644</v>
      </c>
      <c r="G28" s="636" t="s">
        <v>230</v>
      </c>
      <c r="H28" s="660">
        <v>45565</v>
      </c>
      <c r="I28" s="737">
        <v>45567</v>
      </c>
      <c r="J28" s="661">
        <v>45602</v>
      </c>
      <c r="K28" s="661">
        <v>45622</v>
      </c>
      <c r="L28" s="661">
        <v>45637</v>
      </c>
      <c r="M28" s="649" t="s">
        <v>247</v>
      </c>
      <c r="N28" s="736" t="s">
        <v>250</v>
      </c>
      <c r="P28" s="743"/>
    </row>
    <row r="29" spans="1:16" ht="72.599999999999994" customHeight="1" x14ac:dyDescent="0.25">
      <c r="A29" s="168" t="s">
        <v>297</v>
      </c>
      <c r="B29" s="267" t="s">
        <v>113</v>
      </c>
      <c r="C29" s="640" t="s">
        <v>230</v>
      </c>
      <c r="D29" s="659">
        <v>45397</v>
      </c>
      <c r="E29" s="636" t="s">
        <v>230</v>
      </c>
      <c r="F29" s="727">
        <v>45643</v>
      </c>
      <c r="G29" s="636" t="s">
        <v>230</v>
      </c>
      <c r="H29" s="660">
        <v>45565</v>
      </c>
      <c r="I29" s="737">
        <v>45567</v>
      </c>
      <c r="J29" s="661">
        <v>45602</v>
      </c>
      <c r="K29" s="661">
        <v>45622</v>
      </c>
      <c r="L29" s="661">
        <v>45637</v>
      </c>
      <c r="M29" s="649" t="s">
        <v>247</v>
      </c>
      <c r="N29" s="736" t="s">
        <v>250</v>
      </c>
      <c r="P29" s="743"/>
    </row>
    <row r="30" spans="1:16" ht="72.599999999999994" customHeight="1" x14ac:dyDescent="0.25">
      <c r="A30" s="168" t="s">
        <v>297</v>
      </c>
      <c r="B30" s="267" t="s">
        <v>351</v>
      </c>
      <c r="C30" s="640" t="s">
        <v>230</v>
      </c>
      <c r="D30" s="659">
        <v>45397</v>
      </c>
      <c r="E30" s="636" t="s">
        <v>230</v>
      </c>
      <c r="F30" s="727">
        <v>45635</v>
      </c>
      <c r="G30" s="636" t="s">
        <v>230</v>
      </c>
      <c r="H30" s="660">
        <v>45565</v>
      </c>
      <c r="I30" s="737">
        <v>45567</v>
      </c>
      <c r="J30" s="661">
        <v>45602</v>
      </c>
      <c r="K30" s="661">
        <v>45622</v>
      </c>
      <c r="L30" s="661">
        <v>45637</v>
      </c>
      <c r="M30" s="670" t="s">
        <v>443</v>
      </c>
      <c r="N30" s="736" t="s">
        <v>250</v>
      </c>
      <c r="P30" s="743"/>
    </row>
    <row r="31" spans="1:16" ht="72.599999999999994" customHeight="1" x14ac:dyDescent="0.25">
      <c r="A31" s="168" t="s">
        <v>297</v>
      </c>
      <c r="B31" s="267" t="s">
        <v>66</v>
      </c>
      <c r="C31" s="640" t="s">
        <v>230</v>
      </c>
      <c r="D31" s="659">
        <v>45397</v>
      </c>
      <c r="E31" s="636" t="s">
        <v>230</v>
      </c>
      <c r="F31" s="727">
        <v>45642</v>
      </c>
      <c r="G31" s="636" t="s">
        <v>230</v>
      </c>
      <c r="H31" s="660">
        <v>45565</v>
      </c>
      <c r="I31" s="737">
        <v>45567</v>
      </c>
      <c r="J31" s="661">
        <v>45602</v>
      </c>
      <c r="K31" s="661">
        <v>45622</v>
      </c>
      <c r="L31" s="661">
        <v>45637</v>
      </c>
      <c r="M31" s="666" t="s">
        <v>230</v>
      </c>
      <c r="N31" s="750">
        <v>45686</v>
      </c>
      <c r="P31" s="744"/>
    </row>
    <row r="32" spans="1:16" ht="43.9" customHeight="1" x14ac:dyDescent="0.25">
      <c r="A32" s="168" t="s">
        <v>292</v>
      </c>
      <c r="B32" s="267" t="s">
        <v>378</v>
      </c>
      <c r="C32" s="640" t="s">
        <v>230</v>
      </c>
      <c r="D32" s="659">
        <v>45397</v>
      </c>
      <c r="E32" s="641" t="s">
        <v>247</v>
      </c>
      <c r="F32" s="736" t="s">
        <v>250</v>
      </c>
      <c r="G32" s="636" t="s">
        <v>230</v>
      </c>
      <c r="H32" s="660">
        <v>45565</v>
      </c>
      <c r="I32" s="737">
        <v>45567</v>
      </c>
      <c r="J32" s="662"/>
      <c r="K32" s="661">
        <v>45622</v>
      </c>
      <c r="L32" s="661">
        <v>45637</v>
      </c>
      <c r="M32" s="649" t="s">
        <v>247</v>
      </c>
      <c r="N32" s="736" t="s">
        <v>250</v>
      </c>
      <c r="P32" s="743"/>
    </row>
    <row r="33" spans="1:16" ht="72.599999999999994" customHeight="1" x14ac:dyDescent="0.25">
      <c r="A33" s="168" t="s">
        <v>292</v>
      </c>
      <c r="B33" s="267" t="s">
        <v>88</v>
      </c>
      <c r="C33" s="640" t="s">
        <v>230</v>
      </c>
      <c r="D33" s="659">
        <v>45397</v>
      </c>
      <c r="E33" s="636" t="s">
        <v>230</v>
      </c>
      <c r="F33" s="727">
        <v>45642</v>
      </c>
      <c r="G33" s="636" t="s">
        <v>230</v>
      </c>
      <c r="H33" s="660">
        <v>45565</v>
      </c>
      <c r="I33" s="737">
        <v>45567</v>
      </c>
      <c r="J33" s="662"/>
      <c r="K33" s="661">
        <v>45622</v>
      </c>
      <c r="L33" s="661">
        <v>45637</v>
      </c>
      <c r="M33" s="649" t="s">
        <v>247</v>
      </c>
      <c r="N33" s="736" t="s">
        <v>250</v>
      </c>
      <c r="P33" s="743"/>
    </row>
    <row r="34" spans="1:16" ht="40.15" customHeight="1" x14ac:dyDescent="0.25">
      <c r="A34" s="168" t="s">
        <v>292</v>
      </c>
      <c r="B34" s="267" t="s">
        <v>76</v>
      </c>
      <c r="C34" s="640" t="s">
        <v>230</v>
      </c>
      <c r="D34" s="659">
        <v>45397</v>
      </c>
      <c r="E34" s="641" t="s">
        <v>247</v>
      </c>
      <c r="F34" s="736" t="s">
        <v>250</v>
      </c>
      <c r="G34" s="636" t="s">
        <v>230</v>
      </c>
      <c r="H34" s="660">
        <v>45565</v>
      </c>
      <c r="I34" s="737">
        <v>45567</v>
      </c>
      <c r="J34" s="662"/>
      <c r="K34" s="661">
        <v>45622</v>
      </c>
      <c r="L34" s="661">
        <v>45637</v>
      </c>
      <c r="M34" s="649" t="s">
        <v>247</v>
      </c>
      <c r="N34" s="736" t="s">
        <v>250</v>
      </c>
      <c r="P34" s="743"/>
    </row>
    <row r="35" spans="1:16" ht="72.599999999999994" customHeight="1" x14ac:dyDescent="0.25">
      <c r="A35" s="168" t="s">
        <v>292</v>
      </c>
      <c r="B35" s="267" t="s">
        <v>121</v>
      </c>
      <c r="C35" s="640" t="s">
        <v>230</v>
      </c>
      <c r="D35" s="659">
        <v>45397</v>
      </c>
      <c r="E35" s="636" t="s">
        <v>230</v>
      </c>
      <c r="F35" s="727">
        <v>45642</v>
      </c>
      <c r="G35" s="636" t="s">
        <v>230</v>
      </c>
      <c r="H35" s="660">
        <v>45565</v>
      </c>
      <c r="I35" s="737">
        <v>45567</v>
      </c>
      <c r="J35" s="662"/>
      <c r="K35" s="661">
        <v>45622</v>
      </c>
      <c r="L35" s="661">
        <v>45637</v>
      </c>
      <c r="M35" s="666" t="s">
        <v>230</v>
      </c>
      <c r="N35" s="750">
        <v>45686</v>
      </c>
      <c r="P35" s="744"/>
    </row>
    <row r="36" spans="1:16" ht="72.599999999999994" customHeight="1" x14ac:dyDescent="0.25">
      <c r="A36" s="168" t="s">
        <v>292</v>
      </c>
      <c r="B36" s="267" t="s">
        <v>96</v>
      </c>
      <c r="C36" s="640" t="s">
        <v>230</v>
      </c>
      <c r="D36" s="659">
        <v>45397</v>
      </c>
      <c r="E36" s="636" t="s">
        <v>230</v>
      </c>
      <c r="F36" s="727">
        <v>45642</v>
      </c>
      <c r="G36" s="636" t="s">
        <v>230</v>
      </c>
      <c r="H36" s="660">
        <v>45565</v>
      </c>
      <c r="I36" s="737">
        <v>45567</v>
      </c>
      <c r="J36" s="662"/>
      <c r="K36" s="661">
        <v>45622</v>
      </c>
      <c r="L36" s="661">
        <v>45637</v>
      </c>
      <c r="M36" s="649" t="s">
        <v>247</v>
      </c>
      <c r="N36" s="736" t="s">
        <v>250</v>
      </c>
      <c r="P36" s="743"/>
    </row>
    <row r="37" spans="1:16" ht="79.150000000000006" customHeight="1" x14ac:dyDescent="0.25">
      <c r="A37" s="168" t="s">
        <v>292</v>
      </c>
      <c r="B37" s="267" t="s">
        <v>241</v>
      </c>
      <c r="C37" s="640" t="s">
        <v>230</v>
      </c>
      <c r="D37" s="659">
        <v>45397</v>
      </c>
      <c r="E37" s="636" t="s">
        <v>230</v>
      </c>
      <c r="F37" s="727">
        <v>45684</v>
      </c>
      <c r="G37" s="636" t="s">
        <v>230</v>
      </c>
      <c r="H37" s="660"/>
      <c r="I37" s="739"/>
      <c r="J37" s="662"/>
      <c r="K37" s="662"/>
      <c r="L37" s="661">
        <v>45686</v>
      </c>
      <c r="M37" s="670" t="s">
        <v>443</v>
      </c>
      <c r="N37" s="736" t="s">
        <v>250</v>
      </c>
      <c r="P37" s="743"/>
    </row>
    <row r="38" spans="1:16" ht="72.599999999999994" customHeight="1" x14ac:dyDescent="0.25">
      <c r="A38" s="168" t="s">
        <v>292</v>
      </c>
      <c r="B38" s="267" t="s">
        <v>116</v>
      </c>
      <c r="C38" s="640" t="s">
        <v>230</v>
      </c>
      <c r="D38" s="659">
        <v>45397</v>
      </c>
      <c r="E38" s="636" t="s">
        <v>230</v>
      </c>
      <c r="F38" s="727">
        <v>45635</v>
      </c>
      <c r="G38" s="636" t="s">
        <v>230</v>
      </c>
      <c r="H38" s="660">
        <v>45565</v>
      </c>
      <c r="I38" s="737">
        <v>45567</v>
      </c>
      <c r="J38" s="662"/>
      <c r="K38" s="661">
        <v>45622</v>
      </c>
      <c r="L38" s="661">
        <v>45637</v>
      </c>
      <c r="M38" s="666" t="s">
        <v>230</v>
      </c>
      <c r="N38" s="750">
        <v>45686</v>
      </c>
      <c r="P38" s="744"/>
    </row>
    <row r="39" spans="1:16" ht="72.599999999999994" customHeight="1" x14ac:dyDescent="0.25">
      <c r="A39" s="168" t="s">
        <v>292</v>
      </c>
      <c r="B39" s="267" t="s">
        <v>50</v>
      </c>
      <c r="C39" s="640" t="s">
        <v>230</v>
      </c>
      <c r="D39" s="659">
        <v>45397</v>
      </c>
      <c r="E39" s="636" t="s">
        <v>230</v>
      </c>
      <c r="F39" s="727">
        <v>45643</v>
      </c>
      <c r="G39" s="636" t="s">
        <v>230</v>
      </c>
      <c r="H39" s="660">
        <v>45565</v>
      </c>
      <c r="I39" s="737">
        <v>45567</v>
      </c>
      <c r="J39" s="662"/>
      <c r="K39" s="661">
        <v>45622</v>
      </c>
      <c r="L39" s="661">
        <v>45637</v>
      </c>
      <c r="M39" s="649" t="s">
        <v>247</v>
      </c>
      <c r="N39" s="736" t="s">
        <v>250</v>
      </c>
      <c r="P39" s="743"/>
    </row>
    <row r="40" spans="1:16" ht="72.599999999999994" customHeight="1" x14ac:dyDescent="0.25">
      <c r="A40" s="168" t="s">
        <v>292</v>
      </c>
      <c r="B40" s="267" t="s">
        <v>79</v>
      </c>
      <c r="C40" s="640" t="s">
        <v>230</v>
      </c>
      <c r="D40" s="659">
        <v>45397</v>
      </c>
      <c r="E40" s="636" t="s">
        <v>230</v>
      </c>
      <c r="F40" s="727">
        <v>45642</v>
      </c>
      <c r="G40" s="636" t="s">
        <v>230</v>
      </c>
      <c r="H40" s="660">
        <v>45565</v>
      </c>
      <c r="I40" s="737">
        <v>45567</v>
      </c>
      <c r="J40" s="662"/>
      <c r="K40" s="661">
        <v>45622</v>
      </c>
      <c r="L40" s="661">
        <v>45637</v>
      </c>
      <c r="M40" s="649" t="s">
        <v>247</v>
      </c>
      <c r="N40" s="736" t="s">
        <v>250</v>
      </c>
      <c r="P40" s="743"/>
    </row>
    <row r="41" spans="1:16" ht="72.599999999999994" customHeight="1" x14ac:dyDescent="0.25">
      <c r="A41" s="168" t="s">
        <v>292</v>
      </c>
      <c r="B41" s="267" t="s">
        <v>7</v>
      </c>
      <c r="C41" s="640" t="s">
        <v>230</v>
      </c>
      <c r="D41" s="659">
        <v>45397</v>
      </c>
      <c r="E41" s="636" t="s">
        <v>230</v>
      </c>
      <c r="F41" s="727">
        <v>45635</v>
      </c>
      <c r="G41" s="636" t="s">
        <v>230</v>
      </c>
      <c r="H41" s="660">
        <v>45565</v>
      </c>
      <c r="I41" s="737">
        <v>45567</v>
      </c>
      <c r="J41" s="662"/>
      <c r="K41" s="661">
        <v>45622</v>
      </c>
      <c r="L41" s="661">
        <v>45637</v>
      </c>
      <c r="M41" s="649" t="s">
        <v>247</v>
      </c>
      <c r="N41" s="736" t="s">
        <v>250</v>
      </c>
      <c r="P41" s="743"/>
    </row>
    <row r="42" spans="1:16" ht="72.599999999999994" customHeight="1" x14ac:dyDescent="0.25">
      <c r="A42" s="168" t="s">
        <v>292</v>
      </c>
      <c r="B42" s="267" t="s">
        <v>100</v>
      </c>
      <c r="C42" s="640" t="s">
        <v>230</v>
      </c>
      <c r="D42" s="659">
        <v>45397</v>
      </c>
      <c r="E42" s="636" t="s">
        <v>230</v>
      </c>
      <c r="F42" s="727">
        <v>45643</v>
      </c>
      <c r="G42" s="636" t="s">
        <v>230</v>
      </c>
      <c r="H42" s="660">
        <v>45565</v>
      </c>
      <c r="I42" s="737">
        <v>45567</v>
      </c>
      <c r="J42" s="662"/>
      <c r="K42" s="661">
        <v>45622</v>
      </c>
      <c r="L42" s="661">
        <v>45637</v>
      </c>
      <c r="M42" s="649" t="s">
        <v>247</v>
      </c>
      <c r="N42" s="736" t="s">
        <v>250</v>
      </c>
      <c r="P42" s="743"/>
    </row>
    <row r="43" spans="1:16" ht="72.599999999999994" customHeight="1" x14ac:dyDescent="0.25">
      <c r="A43" s="168" t="s">
        <v>292</v>
      </c>
      <c r="B43" s="267" t="s">
        <v>98</v>
      </c>
      <c r="C43" s="640" t="s">
        <v>230</v>
      </c>
      <c r="D43" s="659">
        <v>45397</v>
      </c>
      <c r="E43" s="636" t="s">
        <v>230</v>
      </c>
      <c r="F43" s="727">
        <v>45642</v>
      </c>
      <c r="G43" s="636" t="s">
        <v>230</v>
      </c>
      <c r="H43" s="660">
        <v>45565</v>
      </c>
      <c r="I43" s="737">
        <v>45567</v>
      </c>
      <c r="J43" s="662"/>
      <c r="K43" s="661">
        <v>45622</v>
      </c>
      <c r="L43" s="661">
        <v>45637</v>
      </c>
      <c r="M43" s="666" t="s">
        <v>230</v>
      </c>
      <c r="N43" s="750">
        <v>45686</v>
      </c>
      <c r="P43" s="744"/>
    </row>
    <row r="44" spans="1:16" ht="72.599999999999994" customHeight="1" x14ac:dyDescent="0.25">
      <c r="A44" s="168" t="s">
        <v>292</v>
      </c>
      <c r="B44" s="267" t="s">
        <v>122</v>
      </c>
      <c r="C44" s="640" t="s">
        <v>230</v>
      </c>
      <c r="D44" s="659">
        <v>45397</v>
      </c>
      <c r="E44" s="642" t="s">
        <v>149</v>
      </c>
      <c r="F44" s="736" t="s">
        <v>250</v>
      </c>
      <c r="G44" s="636" t="s">
        <v>230</v>
      </c>
      <c r="H44" s="660">
        <v>45565</v>
      </c>
      <c r="I44" s="737">
        <v>45567</v>
      </c>
      <c r="J44" s="662"/>
      <c r="K44" s="661">
        <v>45622</v>
      </c>
      <c r="L44" s="661">
        <v>45637</v>
      </c>
      <c r="M44" s="649" t="s">
        <v>247</v>
      </c>
      <c r="N44" s="736" t="s">
        <v>250</v>
      </c>
      <c r="P44" s="743"/>
    </row>
    <row r="45" spans="1:16" ht="72.599999999999994" customHeight="1" x14ac:dyDescent="0.25">
      <c r="A45" s="168" t="s">
        <v>292</v>
      </c>
      <c r="B45" s="267" t="s">
        <v>125</v>
      </c>
      <c r="C45" s="640" t="s">
        <v>230</v>
      </c>
      <c r="D45" s="659">
        <v>45397</v>
      </c>
      <c r="E45" s="642" t="s">
        <v>149</v>
      </c>
      <c r="F45" s="736" t="s">
        <v>250</v>
      </c>
      <c r="G45" s="636" t="s">
        <v>230</v>
      </c>
      <c r="H45" s="660">
        <v>45565</v>
      </c>
      <c r="I45" s="737">
        <v>45567</v>
      </c>
      <c r="J45" s="662"/>
      <c r="K45" s="661">
        <v>45622</v>
      </c>
      <c r="L45" s="661">
        <v>45637</v>
      </c>
      <c r="M45" s="649" t="s">
        <v>247</v>
      </c>
      <c r="N45" s="736" t="s">
        <v>250</v>
      </c>
      <c r="P45" s="743"/>
    </row>
    <row r="46" spans="1:16" ht="72.599999999999994" customHeight="1" x14ac:dyDescent="0.25">
      <c r="A46" s="168" t="s">
        <v>292</v>
      </c>
      <c r="B46" s="267" t="s">
        <v>231</v>
      </c>
      <c r="C46" s="640" t="s">
        <v>230</v>
      </c>
      <c r="D46" s="659">
        <v>45397</v>
      </c>
      <c r="E46" s="636" t="s">
        <v>230</v>
      </c>
      <c r="F46" s="727">
        <v>45643</v>
      </c>
      <c r="G46" s="636" t="s">
        <v>230</v>
      </c>
      <c r="H46" s="660">
        <v>45565</v>
      </c>
      <c r="I46" s="737">
        <v>45567</v>
      </c>
      <c r="J46" s="662"/>
      <c r="K46" s="661">
        <v>45622</v>
      </c>
      <c r="L46" s="661">
        <v>45637</v>
      </c>
      <c r="M46" s="670" t="s">
        <v>443</v>
      </c>
      <c r="N46" s="736" t="s">
        <v>250</v>
      </c>
      <c r="P46" s="743"/>
    </row>
    <row r="47" spans="1:16" ht="72.599999999999994" customHeight="1" x14ac:dyDescent="0.25">
      <c r="A47" s="168" t="s">
        <v>292</v>
      </c>
      <c r="B47" s="267" t="s">
        <v>104</v>
      </c>
      <c r="C47" s="640" t="s">
        <v>230</v>
      </c>
      <c r="D47" s="659">
        <v>45397</v>
      </c>
      <c r="E47" s="636" t="s">
        <v>230</v>
      </c>
      <c r="F47" s="727">
        <v>45635</v>
      </c>
      <c r="G47" s="636" t="s">
        <v>230</v>
      </c>
      <c r="H47" s="660">
        <v>45565</v>
      </c>
      <c r="I47" s="737">
        <v>45567</v>
      </c>
      <c r="J47" s="662"/>
      <c r="K47" s="661">
        <v>45622</v>
      </c>
      <c r="L47" s="661">
        <v>45637</v>
      </c>
      <c r="M47" s="666" t="s">
        <v>230</v>
      </c>
      <c r="N47" s="750">
        <v>45684</v>
      </c>
      <c r="P47" s="744"/>
    </row>
    <row r="48" spans="1:16" ht="72.599999999999994" customHeight="1" x14ac:dyDescent="0.25">
      <c r="A48" s="168" t="s">
        <v>292</v>
      </c>
      <c r="B48" s="267" t="s">
        <v>74</v>
      </c>
      <c r="C48" s="640" t="s">
        <v>230</v>
      </c>
      <c r="D48" s="659">
        <v>45397</v>
      </c>
      <c r="E48" s="636" t="s">
        <v>230</v>
      </c>
      <c r="F48" s="727">
        <v>45642</v>
      </c>
      <c r="G48" s="636" t="s">
        <v>230</v>
      </c>
      <c r="H48" s="660">
        <v>45565</v>
      </c>
      <c r="I48" s="737">
        <v>45567</v>
      </c>
      <c r="J48" s="662"/>
      <c r="K48" s="661">
        <v>45622</v>
      </c>
      <c r="L48" s="661">
        <v>45637</v>
      </c>
      <c r="M48" s="649" t="s">
        <v>247</v>
      </c>
      <c r="N48" s="736" t="s">
        <v>250</v>
      </c>
      <c r="P48" s="743"/>
    </row>
    <row r="49" spans="1:16" ht="72.599999999999994" customHeight="1" x14ac:dyDescent="0.25">
      <c r="A49" s="168" t="s">
        <v>292</v>
      </c>
      <c r="B49" s="267" t="s">
        <v>93</v>
      </c>
      <c r="C49" s="640" t="s">
        <v>230</v>
      </c>
      <c r="D49" s="659">
        <v>45397</v>
      </c>
      <c r="E49" s="636" t="s">
        <v>230</v>
      </c>
      <c r="F49" s="727">
        <v>45642</v>
      </c>
      <c r="G49" s="636" t="s">
        <v>230</v>
      </c>
      <c r="H49" s="660">
        <v>45565</v>
      </c>
      <c r="I49" s="737">
        <v>45567</v>
      </c>
      <c r="J49" s="662"/>
      <c r="K49" s="661">
        <v>45622</v>
      </c>
      <c r="L49" s="661">
        <v>45637</v>
      </c>
      <c r="M49" s="666" t="s">
        <v>230</v>
      </c>
      <c r="N49" s="750">
        <v>45686</v>
      </c>
      <c r="P49" s="744"/>
    </row>
    <row r="50" spans="1:16" ht="72.599999999999994" customHeight="1" x14ac:dyDescent="0.25">
      <c r="A50" s="168" t="s">
        <v>292</v>
      </c>
      <c r="B50" s="267" t="s">
        <v>111</v>
      </c>
      <c r="C50" s="640" t="s">
        <v>230</v>
      </c>
      <c r="D50" s="659">
        <v>45397</v>
      </c>
      <c r="E50" s="636" t="s">
        <v>230</v>
      </c>
      <c r="F50" s="727">
        <v>45635</v>
      </c>
      <c r="G50" s="636" t="s">
        <v>230</v>
      </c>
      <c r="H50" s="660">
        <v>45565</v>
      </c>
      <c r="I50" s="737">
        <v>45567</v>
      </c>
      <c r="J50" s="662"/>
      <c r="K50" s="661">
        <v>45622</v>
      </c>
      <c r="L50" s="661">
        <v>45637</v>
      </c>
      <c r="M50" s="649" t="s">
        <v>247</v>
      </c>
      <c r="N50" s="736" t="s">
        <v>250</v>
      </c>
      <c r="P50" s="743"/>
    </row>
    <row r="51" spans="1:16" ht="45" customHeight="1" x14ac:dyDescent="0.25">
      <c r="A51" s="168" t="s">
        <v>292</v>
      </c>
      <c r="B51" s="267" t="s">
        <v>70</v>
      </c>
      <c r="C51" s="640" t="s">
        <v>230</v>
      </c>
      <c r="D51" s="659">
        <v>45397</v>
      </c>
      <c r="E51" s="641" t="s">
        <v>247</v>
      </c>
      <c r="F51" s="736" t="s">
        <v>250</v>
      </c>
      <c r="G51" s="636" t="s">
        <v>230</v>
      </c>
      <c r="H51" s="660">
        <v>45565</v>
      </c>
      <c r="I51" s="737">
        <v>45567</v>
      </c>
      <c r="J51" s="662"/>
      <c r="K51" s="661">
        <v>45622</v>
      </c>
      <c r="L51" s="661">
        <v>45637</v>
      </c>
      <c r="M51" s="649" t="s">
        <v>247</v>
      </c>
      <c r="N51" s="736" t="s">
        <v>250</v>
      </c>
      <c r="P51" s="743"/>
    </row>
    <row r="52" spans="1:16" ht="72.599999999999994" customHeight="1" x14ac:dyDescent="0.25">
      <c r="A52" s="168" t="s">
        <v>292</v>
      </c>
      <c r="B52" s="267" t="s">
        <v>102</v>
      </c>
      <c r="C52" s="640" t="s">
        <v>230</v>
      </c>
      <c r="D52" s="659">
        <v>45397</v>
      </c>
      <c r="E52" s="636" t="s">
        <v>230</v>
      </c>
      <c r="F52" s="727">
        <v>45643</v>
      </c>
      <c r="G52" s="636" t="s">
        <v>230</v>
      </c>
      <c r="H52" s="660">
        <v>45565</v>
      </c>
      <c r="I52" s="737">
        <v>45567</v>
      </c>
      <c r="J52" s="662"/>
      <c r="K52" s="661">
        <v>45622</v>
      </c>
      <c r="L52" s="661">
        <v>45637</v>
      </c>
      <c r="M52" s="649" t="s">
        <v>247</v>
      </c>
      <c r="N52" s="736" t="s">
        <v>250</v>
      </c>
      <c r="P52" s="743"/>
    </row>
    <row r="53" spans="1:16" ht="72.599999999999994" customHeight="1" x14ac:dyDescent="0.25">
      <c r="A53" s="168" t="s">
        <v>292</v>
      </c>
      <c r="B53" s="267" t="s">
        <v>101</v>
      </c>
      <c r="C53" s="640" t="s">
        <v>230</v>
      </c>
      <c r="D53" s="659">
        <v>45397</v>
      </c>
      <c r="E53" s="636" t="s">
        <v>230</v>
      </c>
      <c r="F53" s="727">
        <v>45642</v>
      </c>
      <c r="G53" s="636" t="s">
        <v>230</v>
      </c>
      <c r="H53" s="660">
        <v>45565</v>
      </c>
      <c r="I53" s="737">
        <v>45567</v>
      </c>
      <c r="J53" s="662"/>
      <c r="K53" s="661">
        <v>45622</v>
      </c>
      <c r="L53" s="661">
        <v>45637</v>
      </c>
      <c r="M53" s="649" t="s">
        <v>247</v>
      </c>
      <c r="N53" s="736" t="s">
        <v>250</v>
      </c>
      <c r="P53" s="743"/>
    </row>
    <row r="54" spans="1:16" ht="72.599999999999994" customHeight="1" x14ac:dyDescent="0.25">
      <c r="A54" s="168" t="s">
        <v>292</v>
      </c>
      <c r="B54" s="267" t="s">
        <v>69</v>
      </c>
      <c r="C54" s="640" t="s">
        <v>230</v>
      </c>
      <c r="D54" s="659">
        <v>45397</v>
      </c>
      <c r="E54" s="636" t="s">
        <v>230</v>
      </c>
      <c r="F54" s="727">
        <v>45397</v>
      </c>
      <c r="G54" s="636" t="s">
        <v>230</v>
      </c>
      <c r="H54" s="660">
        <v>45565</v>
      </c>
      <c r="I54" s="737">
        <v>45567</v>
      </c>
      <c r="J54" s="662"/>
      <c r="K54" s="661">
        <v>45622</v>
      </c>
      <c r="L54" s="661">
        <v>45637</v>
      </c>
      <c r="M54" s="670" t="s">
        <v>443</v>
      </c>
      <c r="N54" s="736" t="s">
        <v>250</v>
      </c>
      <c r="P54" s="743"/>
    </row>
    <row r="55" spans="1:16" ht="72.599999999999994" customHeight="1" x14ac:dyDescent="0.25">
      <c r="A55" s="168" t="s">
        <v>292</v>
      </c>
      <c r="B55" s="267" t="s">
        <v>62</v>
      </c>
      <c r="C55" s="640" t="s">
        <v>230</v>
      </c>
      <c r="D55" s="659">
        <v>45397</v>
      </c>
      <c r="E55" s="636" t="s">
        <v>230</v>
      </c>
      <c r="F55" s="727">
        <v>45643</v>
      </c>
      <c r="G55" s="636" t="s">
        <v>230</v>
      </c>
      <c r="H55" s="660">
        <v>45565</v>
      </c>
      <c r="I55" s="737">
        <v>45567</v>
      </c>
      <c r="J55" s="662"/>
      <c r="K55" s="661">
        <v>45622</v>
      </c>
      <c r="L55" s="661">
        <v>45637</v>
      </c>
      <c r="M55" s="670" t="s">
        <v>443</v>
      </c>
      <c r="N55" s="736" t="s">
        <v>250</v>
      </c>
      <c r="P55" s="743"/>
    </row>
    <row r="56" spans="1:16" ht="42" customHeight="1" x14ac:dyDescent="0.25">
      <c r="A56" s="168" t="s">
        <v>292</v>
      </c>
      <c r="B56" s="267" t="s">
        <v>115</v>
      </c>
      <c r="C56" s="640" t="s">
        <v>230</v>
      </c>
      <c r="D56" s="659">
        <v>45397</v>
      </c>
      <c r="E56" s="641" t="s">
        <v>247</v>
      </c>
      <c r="F56" s="736" t="s">
        <v>250</v>
      </c>
      <c r="G56" s="636" t="s">
        <v>230</v>
      </c>
      <c r="H56" s="660">
        <v>45565</v>
      </c>
      <c r="I56" s="737">
        <v>45567</v>
      </c>
      <c r="J56" s="662"/>
      <c r="K56" s="661">
        <v>45622</v>
      </c>
      <c r="L56" s="661">
        <v>45637</v>
      </c>
      <c r="M56" s="649" t="s">
        <v>247</v>
      </c>
      <c r="N56" s="736" t="s">
        <v>250</v>
      </c>
      <c r="P56" s="743"/>
    </row>
    <row r="57" spans="1:16" ht="67.900000000000006" customHeight="1" x14ac:dyDescent="0.25">
      <c r="A57" s="168" t="s">
        <v>292</v>
      </c>
      <c r="B57" s="267" t="s">
        <v>243</v>
      </c>
      <c r="C57" s="640" t="s">
        <v>230</v>
      </c>
      <c r="D57" s="659">
        <v>45397</v>
      </c>
      <c r="E57" s="641" t="s">
        <v>247</v>
      </c>
      <c r="F57" s="736" t="s">
        <v>250</v>
      </c>
      <c r="G57" s="636" t="s">
        <v>230</v>
      </c>
      <c r="H57" s="660">
        <v>45565</v>
      </c>
      <c r="I57" s="737">
        <v>45567</v>
      </c>
      <c r="J57" s="662"/>
      <c r="K57" s="661">
        <v>45622</v>
      </c>
      <c r="L57" s="661"/>
      <c r="M57" s="649" t="s">
        <v>247</v>
      </c>
      <c r="N57" s="736" t="s">
        <v>250</v>
      </c>
      <c r="P57" s="743"/>
    </row>
    <row r="58" spans="1:16" ht="38.25" customHeight="1" x14ac:dyDescent="0.25">
      <c r="A58" s="168" t="s">
        <v>292</v>
      </c>
      <c r="B58" s="267" t="s">
        <v>61</v>
      </c>
      <c r="C58" s="640" t="s">
        <v>230</v>
      </c>
      <c r="D58" s="659">
        <v>45397</v>
      </c>
      <c r="E58" s="641" t="s">
        <v>247</v>
      </c>
      <c r="F58" s="736" t="s">
        <v>250</v>
      </c>
      <c r="G58" s="636" t="s">
        <v>230</v>
      </c>
      <c r="H58" s="660"/>
      <c r="I58" s="739"/>
      <c r="J58" s="662"/>
      <c r="K58" s="662"/>
      <c r="L58" s="661">
        <v>45686</v>
      </c>
      <c r="M58" s="649" t="s">
        <v>247</v>
      </c>
      <c r="N58" s="736" t="s">
        <v>250</v>
      </c>
      <c r="P58" s="743"/>
    </row>
    <row r="59" spans="1:16" ht="72.599999999999994" customHeight="1" x14ac:dyDescent="0.25">
      <c r="A59" s="168" t="s">
        <v>292</v>
      </c>
      <c r="B59" s="267" t="s">
        <v>71</v>
      </c>
      <c r="C59" s="640" t="s">
        <v>230</v>
      </c>
      <c r="D59" s="659">
        <v>45397</v>
      </c>
      <c r="E59" s="642" t="s">
        <v>149</v>
      </c>
      <c r="F59" s="736" t="s">
        <v>250</v>
      </c>
      <c r="G59" s="640" t="s">
        <v>230</v>
      </c>
      <c r="H59" s="660">
        <v>45565</v>
      </c>
      <c r="I59" s="737">
        <v>45567</v>
      </c>
      <c r="J59" s="662"/>
      <c r="K59" s="661">
        <v>45622</v>
      </c>
      <c r="L59" s="661">
        <v>45637</v>
      </c>
      <c r="M59" s="649" t="s">
        <v>247</v>
      </c>
      <c r="N59" s="736" t="s">
        <v>250</v>
      </c>
      <c r="P59" s="743"/>
    </row>
    <row r="60" spans="1:16" ht="72.599999999999994" customHeight="1" x14ac:dyDescent="0.25">
      <c r="A60" s="168" t="s">
        <v>292</v>
      </c>
      <c r="B60" s="267" t="s">
        <v>248</v>
      </c>
      <c r="C60" s="640" t="s">
        <v>230</v>
      </c>
      <c r="D60" s="659">
        <v>45397</v>
      </c>
      <c r="E60" s="636" t="s">
        <v>230</v>
      </c>
      <c r="F60" s="727">
        <v>45397</v>
      </c>
      <c r="G60" s="636" t="s">
        <v>230</v>
      </c>
      <c r="H60" s="660">
        <v>45565</v>
      </c>
      <c r="I60" s="737">
        <v>45567</v>
      </c>
      <c r="J60" s="662"/>
      <c r="K60" s="661">
        <v>45622</v>
      </c>
      <c r="L60" s="661">
        <v>45637</v>
      </c>
      <c r="M60" s="649" t="s">
        <v>247</v>
      </c>
      <c r="N60" s="736" t="s">
        <v>250</v>
      </c>
      <c r="P60" s="743"/>
    </row>
    <row r="61" spans="1:16" ht="72.599999999999994" customHeight="1" x14ac:dyDescent="0.25">
      <c r="A61" s="168" t="s">
        <v>292</v>
      </c>
      <c r="B61" s="267" t="s">
        <v>60</v>
      </c>
      <c r="C61" s="640" t="s">
        <v>230</v>
      </c>
      <c r="D61" s="659">
        <v>45397</v>
      </c>
      <c r="E61" s="665" t="s">
        <v>230</v>
      </c>
      <c r="F61" s="727">
        <v>45684</v>
      </c>
      <c r="G61" s="665" t="s">
        <v>230</v>
      </c>
      <c r="H61" s="660">
        <v>45565</v>
      </c>
      <c r="I61" s="737">
        <v>45567</v>
      </c>
      <c r="J61" s="662"/>
      <c r="K61" s="661">
        <v>45622</v>
      </c>
      <c r="L61" s="661">
        <v>45637</v>
      </c>
      <c r="M61" s="649" t="s">
        <v>247</v>
      </c>
      <c r="N61" s="736" t="s">
        <v>250</v>
      </c>
      <c r="P61" s="743"/>
    </row>
    <row r="62" spans="1:16" ht="72.599999999999994" customHeight="1" x14ac:dyDescent="0.25">
      <c r="A62" s="168" t="s">
        <v>292</v>
      </c>
      <c r="B62" s="267" t="s">
        <v>94</v>
      </c>
      <c r="C62" s="640" t="s">
        <v>230</v>
      </c>
      <c r="D62" s="659">
        <v>45397</v>
      </c>
      <c r="E62" s="636" t="s">
        <v>230</v>
      </c>
      <c r="F62" s="728">
        <v>45642</v>
      </c>
      <c r="G62" s="636" t="s">
        <v>230</v>
      </c>
      <c r="H62" s="660">
        <v>45565</v>
      </c>
      <c r="I62" s="737">
        <v>45567</v>
      </c>
      <c r="J62" s="662"/>
      <c r="K62" s="661">
        <v>45622</v>
      </c>
      <c r="L62" s="661">
        <v>45637</v>
      </c>
      <c r="M62" s="670" t="s">
        <v>443</v>
      </c>
      <c r="N62" s="736" t="s">
        <v>250</v>
      </c>
      <c r="P62" s="743"/>
    </row>
    <row r="63" spans="1:16" ht="45" customHeight="1" x14ac:dyDescent="0.25">
      <c r="A63" s="168" t="s">
        <v>292</v>
      </c>
      <c r="B63" s="267" t="s">
        <v>179</v>
      </c>
      <c r="C63" s="640" t="s">
        <v>230</v>
      </c>
      <c r="D63" s="659">
        <v>45397</v>
      </c>
      <c r="E63" s="641" t="s">
        <v>247</v>
      </c>
      <c r="F63" s="736" t="s">
        <v>250</v>
      </c>
      <c r="G63" s="640" t="s">
        <v>230</v>
      </c>
      <c r="H63" s="660">
        <v>45565</v>
      </c>
      <c r="I63" s="737">
        <v>45567</v>
      </c>
      <c r="J63" s="662"/>
      <c r="K63" s="661">
        <v>45622</v>
      </c>
      <c r="L63" s="661">
        <v>45637</v>
      </c>
      <c r="M63" s="649" t="s">
        <v>247</v>
      </c>
      <c r="N63" s="736" t="s">
        <v>250</v>
      </c>
      <c r="P63" s="743"/>
    </row>
    <row r="64" spans="1:16" ht="72.599999999999994" customHeight="1" x14ac:dyDescent="0.25">
      <c r="A64" s="168" t="s">
        <v>292</v>
      </c>
      <c r="B64" s="267" t="s">
        <v>72</v>
      </c>
      <c r="C64" s="640" t="s">
        <v>230</v>
      </c>
      <c r="D64" s="659">
        <v>45397</v>
      </c>
      <c r="E64" s="636" t="s">
        <v>230</v>
      </c>
      <c r="F64" s="727">
        <v>45642</v>
      </c>
      <c r="G64" s="636" t="s">
        <v>230</v>
      </c>
      <c r="H64" s="660">
        <v>45565</v>
      </c>
      <c r="I64" s="737">
        <v>45567</v>
      </c>
      <c r="J64" s="662"/>
      <c r="K64" s="661">
        <v>45622</v>
      </c>
      <c r="L64" s="661">
        <v>45637</v>
      </c>
      <c r="M64" s="649" t="s">
        <v>247</v>
      </c>
      <c r="N64" s="736" t="s">
        <v>250</v>
      </c>
      <c r="P64" s="743"/>
    </row>
    <row r="65" spans="1:16" ht="43.9" customHeight="1" x14ac:dyDescent="0.25">
      <c r="A65" s="168" t="s">
        <v>292</v>
      </c>
      <c r="B65" s="267" t="s">
        <v>240</v>
      </c>
      <c r="C65" s="640" t="s">
        <v>230</v>
      </c>
      <c r="D65" s="659">
        <v>45397</v>
      </c>
      <c r="E65" s="641" t="s">
        <v>247</v>
      </c>
      <c r="F65" s="736" t="s">
        <v>250</v>
      </c>
      <c r="G65" s="640" t="s">
        <v>230</v>
      </c>
      <c r="H65" s="660">
        <v>45565</v>
      </c>
      <c r="I65" s="737">
        <v>45567</v>
      </c>
      <c r="J65" s="662"/>
      <c r="K65" s="661">
        <v>45622</v>
      </c>
      <c r="L65" s="661">
        <v>45637</v>
      </c>
      <c r="M65" s="649" t="s">
        <v>247</v>
      </c>
      <c r="N65" s="736" t="s">
        <v>250</v>
      </c>
      <c r="P65" s="743"/>
    </row>
    <row r="66" spans="1:16" ht="15" customHeight="1" x14ac:dyDescent="0.25">
      <c r="E66"/>
      <c r="F66" s="729"/>
      <c r="G66"/>
      <c r="I66" s="740"/>
      <c r="K66" s="664"/>
      <c r="L66" s="664"/>
      <c r="N66" s="749"/>
    </row>
    <row r="67" spans="1:16" ht="15" customHeight="1" x14ac:dyDescent="0.25">
      <c r="E67" s="310"/>
      <c r="F67" s="730"/>
      <c r="G67" s="310"/>
      <c r="I67" s="738"/>
      <c r="N67" s="748"/>
    </row>
    <row r="68" spans="1:16" ht="15" customHeight="1" x14ac:dyDescent="0.25">
      <c r="E68" s="310"/>
      <c r="F68" s="730"/>
      <c r="G68" s="310"/>
      <c r="I68" s="738"/>
      <c r="N68" s="748"/>
    </row>
    <row r="69" spans="1:16" ht="15" customHeight="1" x14ac:dyDescent="0.25">
      <c r="C69" s="310"/>
      <c r="D69" s="310"/>
      <c r="I69" s="738"/>
      <c r="N69" s="748"/>
    </row>
    <row r="70" spans="1:16" ht="15" customHeight="1" x14ac:dyDescent="0.25">
      <c r="I70" s="738"/>
      <c r="N70" s="748"/>
    </row>
    <row r="71" spans="1:16" ht="15" customHeight="1" x14ac:dyDescent="0.25">
      <c r="I71" s="738"/>
      <c r="N71" s="748"/>
    </row>
    <row r="72" spans="1:16" ht="15" customHeight="1" x14ac:dyDescent="0.25">
      <c r="I72" s="738"/>
      <c r="N72" s="748"/>
    </row>
    <row r="73" spans="1:16" ht="15" customHeight="1" x14ac:dyDescent="0.25">
      <c r="I73" s="738"/>
      <c r="N73" s="748"/>
    </row>
    <row r="74" spans="1:16" ht="15" customHeight="1" x14ac:dyDescent="0.25">
      <c r="I74" s="738"/>
      <c r="N74" s="748"/>
    </row>
    <row r="75" spans="1:16" ht="15" customHeight="1" x14ac:dyDescent="0.25">
      <c r="I75" s="738"/>
      <c r="N75" s="748"/>
    </row>
    <row r="76" spans="1:16" ht="15" customHeight="1" x14ac:dyDescent="0.25">
      <c r="I76" s="738"/>
      <c r="N76" s="748"/>
    </row>
    <row r="77" spans="1:16" ht="15" customHeight="1" x14ac:dyDescent="0.25">
      <c r="I77" s="738"/>
      <c r="N77" s="748"/>
    </row>
    <row r="78" spans="1:16" ht="15" customHeight="1" x14ac:dyDescent="0.25">
      <c r="I78" s="738"/>
      <c r="N78" s="748"/>
    </row>
    <row r="79" spans="1:16" ht="15" customHeight="1" x14ac:dyDescent="0.25">
      <c r="I79" s="738"/>
      <c r="N79" s="748"/>
    </row>
    <row r="80" spans="1:16" ht="15" customHeight="1" x14ac:dyDescent="0.25">
      <c r="I80" s="738"/>
      <c r="N80" s="748"/>
    </row>
    <row r="81" spans="9:14" ht="15" customHeight="1" x14ac:dyDescent="0.25">
      <c r="I81" s="738"/>
      <c r="N81" s="748"/>
    </row>
    <row r="82" spans="9:14" ht="15" customHeight="1" x14ac:dyDescent="0.25">
      <c r="I82" s="738"/>
      <c r="N82" s="748"/>
    </row>
    <row r="83" spans="9:14" ht="15" customHeight="1" x14ac:dyDescent="0.25">
      <c r="I83" s="738"/>
      <c r="N83" s="748"/>
    </row>
    <row r="84" spans="9:14" ht="15" customHeight="1" x14ac:dyDescent="0.25">
      <c r="I84" s="738"/>
      <c r="N84" s="748"/>
    </row>
    <row r="85" spans="9:14" ht="15" customHeight="1" x14ac:dyDescent="0.25">
      <c r="I85" s="738"/>
      <c r="N85" s="748"/>
    </row>
  </sheetData>
  <autoFilter ref="A1:M68" xr:uid="{00000000-0001-0000-0D00-000000000000}"/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9" operator="containsText" id="{ACB01A88-42A4-42EE-803C-6D462F2F3840}">
            <xm:f>NOT(ISERROR(SEARCH($E$63,E2)))</xm:f>
            <xm:f>$E$63</xm:f>
            <x14:dxf>
              <fill>
                <patternFill>
                  <bgColor theme="5" tint="0.39994506668294322"/>
                </patternFill>
              </fill>
            </x14:dxf>
          </x14:cfRule>
          <xm:sqref>E2:E65</xm:sqref>
        </x14:conditionalFormatting>
        <x14:conditionalFormatting xmlns:xm="http://schemas.microsoft.com/office/excel/2006/main">
          <x14:cfRule type="containsText" priority="24" operator="containsText" id="{4017528F-3682-4369-9388-BE28428BDC73}">
            <xm:f>NOT(ISERROR(SEARCH($AY$4,M24)))</xm:f>
            <xm:f>$AY$4</xm:f>
            <x14:dxf>
              <fill>
                <patternFill>
                  <bgColor rgb="FF00B050"/>
                </patternFill>
              </fill>
            </x14:dxf>
          </x14:cfRule>
          <xm:sqref>M24:M65</xm:sqref>
        </x14:conditionalFormatting>
        <x14:conditionalFormatting xmlns:xm="http://schemas.microsoft.com/office/excel/2006/main">
          <x14:cfRule type="containsText" priority="22" operator="containsText" id="{44BD9822-1543-4695-BBDA-EB07F0812CA5}">
            <xm:f>NOT(ISERROR(SEARCH($AY$2,M2)))</xm:f>
            <xm:f>$AY$2</xm:f>
            <x14:dxf>
              <fill>
                <patternFill>
                  <bgColor rgb="FFFF0000"/>
                </patternFill>
              </fill>
            </x14:dxf>
          </x14:cfRule>
          <xm:sqref>M2:M22 M24:M65 P24:P65</xm:sqref>
        </x14:conditionalFormatting>
        <x14:conditionalFormatting xmlns:xm="http://schemas.microsoft.com/office/excel/2006/main">
          <x14:cfRule type="containsText" priority="21" operator="containsText" id="{3976A374-4C1D-4A1A-BAD3-1E026A2A1EA2}">
            <xm:f>NOT(ISERROR(SEARCH($AY$4,M2)))</xm:f>
            <xm:f>$AY$4</xm:f>
            <x14:dxf>
              <fill>
                <patternFill>
                  <bgColor rgb="FF00B050"/>
                </patternFill>
              </fill>
            </x14:dxf>
          </x14:cfRule>
          <xm:sqref>M2:M22</xm:sqref>
        </x14:conditionalFormatting>
        <x14:conditionalFormatting xmlns:xm="http://schemas.microsoft.com/office/excel/2006/main">
          <x14:cfRule type="containsText" priority="12" operator="containsText" id="{E12C1021-6FF1-4F96-AEF6-886DCDB26D29}">
            <xm:f>NOT(ISERROR(SEARCH($E$63,G2)))</xm:f>
            <xm:f>$E$63</xm:f>
            <x14:dxf>
              <fill>
                <patternFill>
                  <bgColor theme="5" tint="0.39994506668294322"/>
                </patternFill>
              </fill>
            </x14:dxf>
          </x14:cfRule>
          <xm:sqref>G60:G62 G64 G2:G58</xm:sqref>
        </x14:conditionalFormatting>
        <x14:conditionalFormatting xmlns:xm="http://schemas.microsoft.com/office/excel/2006/main">
          <x14:cfRule type="containsText" priority="93" operator="containsText" id="{089DF3AC-2508-406D-A642-0706F311C55C}">
            <xm:f>NOT(ISERROR(SEARCH(#REF!,M66)))</xm:f>
            <xm:f>#REF!</xm:f>
            <x14:dxf>
              <fill>
                <patternFill>
                  <bgColor rgb="FF00B050"/>
                </patternFill>
              </fill>
            </x14:dxf>
          </x14:cfRule>
          <x14:cfRule type="containsText" priority="94" operator="containsText" id="{F01A1593-D092-4DA0-A60D-FEA8B1383DCE}">
            <xm:f>NOT(ISERROR(SEARCH(#REF!,M66)))</xm:f>
            <xm:f>#REF!</xm:f>
            <x14:dxf>
              <fill>
                <patternFill>
                  <bgColor rgb="FFFF0000"/>
                </patternFill>
              </fill>
            </x14:dxf>
          </x14:cfRule>
          <xm:sqref>M66:M1048576</xm:sqref>
        </x14:conditionalFormatting>
        <x14:conditionalFormatting xmlns:xm="http://schemas.microsoft.com/office/excel/2006/main">
          <x14:cfRule type="containsText" priority="9" operator="containsText" id="{868F7CD3-E087-4F3B-8BF0-DCBF1A02DE44}">
            <xm:f>NOT(ISERROR(SEARCH($AY$4,P24)))</xm:f>
            <xm:f>$AY$4</xm:f>
            <x14:dxf>
              <fill>
                <patternFill>
                  <bgColor rgb="FF00B050"/>
                </patternFill>
              </fill>
            </x14:dxf>
          </x14:cfRule>
          <xm:sqref>P24:P65</xm:sqref>
        </x14:conditionalFormatting>
        <x14:conditionalFormatting xmlns:xm="http://schemas.microsoft.com/office/excel/2006/main">
          <x14:cfRule type="containsText" priority="8" operator="containsText" id="{6AF1151C-AA7D-4C5E-A735-9C12B8AFFCFF}">
            <xm:f>NOT(ISERROR(SEARCH($AY$2,P2)))</xm:f>
            <xm:f>$AY$2</xm:f>
            <x14:dxf>
              <fill>
                <patternFill>
                  <bgColor rgb="FFFF0000"/>
                </patternFill>
              </fill>
            </x14:dxf>
          </x14:cfRule>
          <xm:sqref>P2:P22</xm:sqref>
        </x14:conditionalFormatting>
        <x14:conditionalFormatting xmlns:xm="http://schemas.microsoft.com/office/excel/2006/main">
          <x14:cfRule type="containsText" priority="7" operator="containsText" id="{2C894F68-86CA-41FE-9603-B744B6B21214}">
            <xm:f>NOT(ISERROR(SEARCH($AY$4,P2)))</xm:f>
            <xm:f>$AY$4</xm:f>
            <x14:dxf>
              <fill>
                <patternFill>
                  <bgColor rgb="FF00B050"/>
                </patternFill>
              </fill>
            </x14:dxf>
          </x14:cfRule>
          <xm:sqref>P2:P22</xm:sqref>
        </x14:conditionalFormatting>
        <x14:conditionalFormatting xmlns:xm="http://schemas.microsoft.com/office/excel/2006/main">
          <x14:cfRule type="containsText" priority="1" operator="containsText" id="{40AA6D0B-D6C4-4E18-AA09-E299A6BE3DE3}">
            <xm:f>NOT(ISERROR(SEARCH($M$23,M2)))</xm:f>
            <xm:f>$M$23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103172C4-F284-4D68-87B7-DCC6DE162929}">
            <xm:f>NOT(ISERROR(SEARCH($M$62,M2)))</xm:f>
            <xm:f>$M$62</xm:f>
            <x14:dxf>
              <fill>
                <patternFill>
                  <bgColor theme="7" tint="0.79998168889431442"/>
                </patternFill>
              </fill>
            </x14:dxf>
          </x14:cfRule>
          <x14:cfRule type="containsText" priority="3" operator="containsText" id="{8E6557EC-AE88-4438-8E60-ED771ACB7C8C}">
            <xm:f>NOT(ISERROR(SEARCH($M$2,M2)))</xm:f>
            <xm:f>$M$2</xm:f>
            <x14:dxf>
              <fill>
                <patternFill>
                  <bgColor theme="5" tint="0.39994506668294322"/>
                </patternFill>
              </fill>
            </x14:dxf>
          </x14:cfRule>
          <x14:cfRule type="containsText" priority="4" operator="containsText" id="{C3C8E7E0-3D83-4956-976F-CB272E57C1C6}">
            <xm:f>NOT(ISERROR(SEARCH($BB$43,M2)))</xm:f>
            <xm:f>$BB$43</xm:f>
            <x14:dxf>
              <fill>
                <patternFill>
                  <bgColor rgb="FF00B050"/>
                </patternFill>
              </fill>
            </x14:dxf>
          </x14:cfRule>
          <x14:cfRule type="containsText" priority="5" operator="containsText" id="{3A91D35C-F4C9-4233-87F0-F3442C9D0F94}">
            <xm:f>NOT(ISERROR(SEARCH($BB$4,M2)))</xm:f>
            <xm:f>$BB$4</xm:f>
            <x14:dxf>
              <fill>
                <patternFill>
                  <bgColor rgb="FFFFFF00"/>
                </patternFill>
              </fill>
            </x14:dxf>
          </x14:cfRule>
          <x14:cfRule type="containsText" priority="6" operator="containsText" id="{0C07D20B-933D-47EF-AA61-C09590A1A1A7}">
            <xm:f>NOT(ISERROR(SEARCH($BB$64,M2)))</xm:f>
            <xm:f>$BB$64</xm:f>
            <x14:dxf>
              <fill>
                <patternFill>
                  <bgColor theme="5" tint="0.39994506668294322"/>
                </patternFill>
              </fill>
            </x14:dxf>
          </x14:cfRule>
          <xm:sqref>P2:P65 M2:M65</xm:sqref>
        </x14:conditionalFormatting>
        <x14:conditionalFormatting xmlns:xm="http://schemas.microsoft.com/office/excel/2006/main">
          <x14:cfRule type="containsText" priority="10" operator="containsText" id="{AE757A4D-F951-45AE-B2EF-2D3C0D6E02CD}">
            <xm:f>NOT(ISERROR(SEARCH(#REF!,P66)))</xm:f>
            <xm:f>#REF!</xm:f>
            <x14:dxf>
              <fill>
                <patternFill>
                  <bgColor rgb="FF00B050"/>
                </patternFill>
              </fill>
            </x14:dxf>
          </x14:cfRule>
          <x14:cfRule type="containsText" priority="11" operator="containsText" id="{83A5CA7A-4EFC-443B-AAE9-89C5D2E5CC2F}">
            <xm:f>NOT(ISERROR(SEARCH(#REF!,P66)))</xm:f>
            <xm:f>#REF!</xm:f>
            <x14:dxf>
              <fill>
                <patternFill>
                  <bgColor rgb="FFFF0000"/>
                </patternFill>
              </fill>
            </x14:dxf>
          </x14:cfRule>
          <xm:sqref>P66:P1048576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1000000}">
          <x14:formula1>
            <xm:f>LISTAS!$A$1:$A$2</xm:f>
          </x14:formula1>
          <xm:sqref>E59 E44:E45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CEA20-1BC7-490F-8C36-BF13C09EB0E5}">
  <dimension ref="A1"/>
  <sheetViews>
    <sheetView workbookViewId="0">
      <selection sqref="A1:A1048576"/>
    </sheetView>
  </sheetViews>
  <sheetFormatPr baseColWidth="10"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49618-A6C2-4211-8504-FCB01FDD86CC}">
  <sheetPr>
    <tabColor rgb="FF99FF66"/>
  </sheetPr>
  <dimension ref="A1:L52"/>
  <sheetViews>
    <sheetView topLeftCell="A31" workbookViewId="0">
      <selection activeCell="C47" sqref="C47"/>
    </sheetView>
  </sheetViews>
  <sheetFormatPr baseColWidth="10" defaultColWidth="11.42578125" defaultRowHeight="15" x14ac:dyDescent="0.25"/>
  <cols>
    <col min="1" max="1" width="52.7109375" customWidth="1"/>
    <col min="2" max="2" width="20" bestFit="1" customWidth="1"/>
    <col min="3" max="3" width="24.7109375" customWidth="1"/>
    <col min="4" max="4" width="66.5703125" bestFit="1" customWidth="1"/>
    <col min="5" max="6" width="20" bestFit="1" customWidth="1"/>
    <col min="7" max="7" width="25.140625" hidden="1" customWidth="1"/>
    <col min="8" max="8" width="21.7109375" hidden="1" customWidth="1"/>
    <col min="9" max="9" width="0" hidden="1" customWidth="1"/>
  </cols>
  <sheetData>
    <row r="1" spans="1:8" ht="15.75" x14ac:dyDescent="0.25">
      <c r="A1" s="714" t="s">
        <v>191</v>
      </c>
      <c r="B1" s="715"/>
      <c r="C1" s="715"/>
      <c r="D1" s="715"/>
      <c r="E1" s="715"/>
      <c r="F1" s="508"/>
    </row>
    <row r="2" spans="1:8" x14ac:dyDescent="0.25">
      <c r="A2" s="160" t="s">
        <v>253</v>
      </c>
      <c r="B2" s="160" t="s">
        <v>254</v>
      </c>
      <c r="C2" s="160" t="s">
        <v>255</v>
      </c>
      <c r="D2" s="160" t="s">
        <v>256</v>
      </c>
      <c r="E2" s="160"/>
      <c r="F2" s="508"/>
    </row>
    <row r="3" spans="1:8" x14ac:dyDescent="0.25">
      <c r="A3" s="373" t="s">
        <v>445</v>
      </c>
      <c r="B3" s="374">
        <v>59</v>
      </c>
      <c r="C3" s="375">
        <v>831730603316</v>
      </c>
      <c r="D3" s="373"/>
      <c r="E3" s="168" t="s">
        <v>150</v>
      </c>
      <c r="F3" s="2"/>
    </row>
    <row r="4" spans="1:8" x14ac:dyDescent="0.25">
      <c r="A4" s="373" t="s">
        <v>446</v>
      </c>
      <c r="B4" s="374">
        <v>5</v>
      </c>
      <c r="C4" s="375">
        <v>10013823127</v>
      </c>
      <c r="D4" s="373"/>
      <c r="E4" s="168" t="s">
        <v>151</v>
      </c>
      <c r="F4" s="2"/>
    </row>
    <row r="5" spans="1:8" ht="45" x14ac:dyDescent="0.25">
      <c r="A5" s="505" t="s">
        <v>447</v>
      </c>
      <c r="B5" s="502">
        <v>9</v>
      </c>
      <c r="C5" s="506">
        <v>23054833515.799999</v>
      </c>
      <c r="D5" s="513" t="s">
        <v>448</v>
      </c>
      <c r="E5" s="168" t="s">
        <v>150</v>
      </c>
      <c r="F5" s="90"/>
      <c r="G5" s="220" t="s">
        <v>449</v>
      </c>
      <c r="H5" s="527">
        <f>+C3+C5</f>
        <v>854785436831.80005</v>
      </c>
    </row>
    <row r="6" spans="1:8" x14ac:dyDescent="0.25">
      <c r="A6" s="505" t="s">
        <v>450</v>
      </c>
      <c r="B6" s="502">
        <v>5</v>
      </c>
      <c r="C6" s="506">
        <v>2663681759</v>
      </c>
      <c r="D6" s="513"/>
      <c r="E6" s="168"/>
      <c r="F6" s="90"/>
      <c r="G6" s="220"/>
      <c r="H6" s="527"/>
    </row>
    <row r="7" spans="1:8" x14ac:dyDescent="0.25">
      <c r="A7" s="408" t="s">
        <v>451</v>
      </c>
      <c r="B7" s="374">
        <v>37</v>
      </c>
      <c r="C7" s="612">
        <v>122379656564</v>
      </c>
      <c r="D7" s="408" t="s">
        <v>452</v>
      </c>
      <c r="E7" s="534" t="s">
        <v>151</v>
      </c>
      <c r="F7" s="2"/>
    </row>
    <row r="8" spans="1:8" x14ac:dyDescent="0.25">
      <c r="A8" s="568" t="s">
        <v>453</v>
      </c>
      <c r="B8" s="569">
        <v>2</v>
      </c>
      <c r="C8" s="570">
        <v>6300591462</v>
      </c>
      <c r="D8" s="567" t="s">
        <v>454</v>
      </c>
      <c r="E8" s="534" t="s">
        <v>455</v>
      </c>
      <c r="F8" s="2"/>
    </row>
    <row r="9" spans="1:8" x14ac:dyDescent="0.25">
      <c r="A9" s="369" t="s">
        <v>456</v>
      </c>
      <c r="B9" s="370">
        <v>4</v>
      </c>
      <c r="C9" s="371">
        <v>115850505463</v>
      </c>
      <c r="D9" s="372" t="s">
        <v>457</v>
      </c>
      <c r="E9" s="605">
        <v>2025</v>
      </c>
      <c r="F9" s="2"/>
    </row>
    <row r="10" spans="1:8" x14ac:dyDescent="0.25">
      <c r="A10" s="232" t="s">
        <v>458</v>
      </c>
      <c r="B10" s="503">
        <v>4</v>
      </c>
      <c r="C10" s="504">
        <v>29480135368</v>
      </c>
      <c r="D10" s="110" t="s">
        <v>459</v>
      </c>
      <c r="E10" s="605">
        <v>2025</v>
      </c>
      <c r="F10" s="2"/>
    </row>
    <row r="11" spans="1:8" x14ac:dyDescent="0.25">
      <c r="A11" s="564" t="s">
        <v>460</v>
      </c>
      <c r="B11" s="565">
        <v>1</v>
      </c>
      <c r="C11" s="566">
        <v>8834602226.2000008</v>
      </c>
      <c r="D11" s="567" t="s">
        <v>461</v>
      </c>
      <c r="E11" s="534" t="s">
        <v>455</v>
      </c>
      <c r="F11" s="2"/>
    </row>
    <row r="12" spans="1:8" x14ac:dyDescent="0.25">
      <c r="A12" s="515" t="s">
        <v>462</v>
      </c>
      <c r="B12" s="516">
        <f>+B11+B8</f>
        <v>3</v>
      </c>
      <c r="C12" s="517">
        <f>+C11+C8</f>
        <v>15135193688.200001</v>
      </c>
      <c r="D12" s="520"/>
      <c r="E12" s="515"/>
      <c r="F12" s="2"/>
      <c r="G12" s="29"/>
    </row>
    <row r="13" spans="1:8" x14ac:dyDescent="0.25">
      <c r="A13" s="515" t="s">
        <v>463</v>
      </c>
      <c r="B13" s="516">
        <f>+B9+B10</f>
        <v>8</v>
      </c>
      <c r="C13" s="519">
        <f>+C9+C10</f>
        <v>145330640831</v>
      </c>
      <c r="D13" s="521" t="s">
        <v>459</v>
      </c>
      <c r="E13" s="522"/>
      <c r="F13" s="2"/>
      <c r="G13" s="132"/>
    </row>
    <row r="14" spans="1:8" x14ac:dyDescent="0.25">
      <c r="A14" s="528"/>
      <c r="B14" s="508"/>
      <c r="C14" s="529"/>
      <c r="D14" s="227"/>
      <c r="E14" s="2"/>
      <c r="F14" s="2"/>
      <c r="G14" s="132"/>
    </row>
    <row r="15" spans="1:8" ht="15.75" x14ac:dyDescent="0.25">
      <c r="A15" s="714" t="s">
        <v>182</v>
      </c>
      <c r="B15" s="715"/>
      <c r="C15" s="715"/>
      <c r="D15" s="715"/>
      <c r="E15" s="715"/>
      <c r="F15" s="2"/>
      <c r="G15" s="147" t="s">
        <v>464</v>
      </c>
    </row>
    <row r="16" spans="1:8" x14ac:dyDescent="0.25">
      <c r="A16" s="160" t="s">
        <v>253</v>
      </c>
      <c r="B16" s="160" t="s">
        <v>254</v>
      </c>
      <c r="C16" s="160" t="s">
        <v>255</v>
      </c>
      <c r="D16" s="160" t="s">
        <v>256</v>
      </c>
      <c r="E16" s="512"/>
      <c r="F16" s="2"/>
      <c r="G16" s="146">
        <f>C3+C19+C20+C21+C22</f>
        <v>1417897559201</v>
      </c>
      <c r="H16" s="484" t="s">
        <v>465</v>
      </c>
    </row>
    <row r="17" spans="1:9" ht="60" x14ac:dyDescent="0.25">
      <c r="A17" s="505" t="s">
        <v>466</v>
      </c>
      <c r="B17" s="502">
        <v>62</v>
      </c>
      <c r="C17" s="506">
        <v>736295650261.59998</v>
      </c>
      <c r="D17" s="514" t="s">
        <v>467</v>
      </c>
      <c r="E17" s="168" t="s">
        <v>468</v>
      </c>
      <c r="F17" s="620"/>
      <c r="H17" s="485">
        <f>G16+G26</f>
        <v>1439078272915.3999</v>
      </c>
      <c r="I17" s="487" t="s">
        <v>469</v>
      </c>
    </row>
    <row r="18" spans="1:9" x14ac:dyDescent="0.25">
      <c r="A18" s="505" t="s">
        <v>470</v>
      </c>
      <c r="B18" s="502">
        <v>57</v>
      </c>
      <c r="C18" s="506">
        <f>C19+C20+C21+C22+C23</f>
        <v>725128759674</v>
      </c>
      <c r="D18" s="514"/>
      <c r="E18" s="168" t="s">
        <v>150</v>
      </c>
      <c r="F18" s="620"/>
      <c r="H18" s="613"/>
      <c r="I18" s="614"/>
    </row>
    <row r="19" spans="1:9" hidden="1" x14ac:dyDescent="0.25">
      <c r="A19" s="609" t="s">
        <v>471</v>
      </c>
      <c r="B19" s="610">
        <v>57</v>
      </c>
      <c r="C19" s="611">
        <v>120000000000</v>
      </c>
      <c r="D19" s="609" t="s">
        <v>472</v>
      </c>
      <c r="E19" s="168" t="s">
        <v>468</v>
      </c>
      <c r="F19" s="2"/>
      <c r="G19" s="483" t="s">
        <v>473</v>
      </c>
    </row>
    <row r="20" spans="1:9" hidden="1" x14ac:dyDescent="0.25">
      <c r="A20" s="615" t="s">
        <v>474</v>
      </c>
      <c r="B20" s="610">
        <v>57</v>
      </c>
      <c r="C20" s="611">
        <v>120000000000</v>
      </c>
      <c r="D20" s="609" t="s">
        <v>475</v>
      </c>
      <c r="E20" s="168" t="s">
        <v>468</v>
      </c>
      <c r="F20" s="2"/>
      <c r="G20" t="s">
        <v>476</v>
      </c>
    </row>
    <row r="21" spans="1:9" hidden="1" x14ac:dyDescent="0.25">
      <c r="A21" s="616" t="s">
        <v>477</v>
      </c>
      <c r="B21" s="617">
        <v>25</v>
      </c>
      <c r="C21" s="618">
        <v>120000000000</v>
      </c>
      <c r="D21" s="616"/>
      <c r="E21" s="168" t="s">
        <v>468</v>
      </c>
      <c r="F21" s="2"/>
      <c r="G21" s="29">
        <v>10013823127</v>
      </c>
    </row>
    <row r="22" spans="1:9" hidden="1" x14ac:dyDescent="0.25">
      <c r="A22" s="616" t="s">
        <v>478</v>
      </c>
      <c r="B22" s="617">
        <v>57</v>
      </c>
      <c r="C22" s="618">
        <v>226166955885</v>
      </c>
      <c r="D22" s="616" t="s">
        <v>479</v>
      </c>
      <c r="E22" s="168" t="s">
        <v>468</v>
      </c>
      <c r="F22" s="2"/>
      <c r="G22" t="s">
        <v>480</v>
      </c>
    </row>
    <row r="23" spans="1:9" hidden="1" x14ac:dyDescent="0.25">
      <c r="A23" s="616" t="s">
        <v>481</v>
      </c>
      <c r="B23" s="617">
        <v>55</v>
      </c>
      <c r="C23" s="618">
        <v>138961803789</v>
      </c>
      <c r="D23" s="616" t="s">
        <v>482</v>
      </c>
      <c r="E23" s="168" t="s">
        <v>468</v>
      </c>
      <c r="F23" s="2"/>
    </row>
    <row r="24" spans="1:9" x14ac:dyDescent="0.25">
      <c r="A24" s="619" t="s">
        <v>483</v>
      </c>
      <c r="B24" s="617">
        <v>5</v>
      </c>
      <c r="C24" s="618">
        <v>11166890587.4</v>
      </c>
      <c r="D24" s="616"/>
      <c r="E24" s="168" t="s">
        <v>151</v>
      </c>
      <c r="F24" s="2"/>
    </row>
    <row r="25" spans="1:9" x14ac:dyDescent="0.25">
      <c r="A25" s="408" t="s">
        <v>484</v>
      </c>
      <c r="B25" s="717">
        <v>0.8</v>
      </c>
      <c r="C25" s="718"/>
      <c r="D25" s="719"/>
      <c r="E25" s="509"/>
      <c r="F25" s="621"/>
      <c r="G25" s="29">
        <v>11166890587.4</v>
      </c>
    </row>
    <row r="26" spans="1:9" x14ac:dyDescent="0.25">
      <c r="A26" s="232" t="s">
        <v>485</v>
      </c>
      <c r="B26" s="720">
        <v>0</v>
      </c>
      <c r="C26" s="721"/>
      <c r="D26" s="722"/>
      <c r="E26" s="168"/>
      <c r="F26" s="2"/>
      <c r="G26" s="482">
        <f>G21+G25</f>
        <v>21180713714.400002</v>
      </c>
    </row>
    <row r="27" spans="1:9" x14ac:dyDescent="0.25">
      <c r="A27" s="408" t="s">
        <v>486</v>
      </c>
      <c r="B27" s="717">
        <v>0.8</v>
      </c>
      <c r="C27" s="718"/>
      <c r="D27" s="719"/>
      <c r="E27" s="510"/>
      <c r="F27" s="622"/>
    </row>
    <row r="28" spans="1:9" x14ac:dyDescent="0.25">
      <c r="A28" s="232" t="s">
        <v>487</v>
      </c>
      <c r="B28" s="720">
        <v>0</v>
      </c>
      <c r="C28" s="721"/>
      <c r="D28" s="722"/>
      <c r="E28" s="168"/>
      <c r="F28" s="623"/>
    </row>
    <row r="29" spans="1:9" x14ac:dyDescent="0.25">
      <c r="A29" s="232" t="s">
        <v>488</v>
      </c>
      <c r="B29" s="142">
        <v>1</v>
      </c>
      <c r="C29" s="507">
        <v>12465104704</v>
      </c>
      <c r="D29" s="511" t="s">
        <v>468</v>
      </c>
      <c r="E29" s="534" t="s">
        <v>151</v>
      </c>
      <c r="F29" s="2"/>
      <c r="G29" s="1" t="s">
        <v>489</v>
      </c>
    </row>
    <row r="30" spans="1:9" x14ac:dyDescent="0.25">
      <c r="A30" s="564" t="s">
        <v>490</v>
      </c>
      <c r="B30" s="58">
        <v>1</v>
      </c>
      <c r="C30" s="571">
        <v>33290225319</v>
      </c>
      <c r="D30" s="567" t="s">
        <v>454</v>
      </c>
      <c r="E30" s="534" t="s">
        <v>491</v>
      </c>
      <c r="F30" s="2"/>
      <c r="G30" s="486" t="e">
        <f>C33+C5+C7+#REF!+C10</f>
        <v>#REF!</v>
      </c>
    </row>
    <row r="31" spans="1:9" x14ac:dyDescent="0.25">
      <c r="A31" s="564" t="s">
        <v>492</v>
      </c>
      <c r="B31" s="58">
        <v>1</v>
      </c>
      <c r="C31" s="571">
        <f>151540018593-C32</f>
        <v>136384779861</v>
      </c>
      <c r="D31" s="567" t="s">
        <v>454</v>
      </c>
      <c r="E31" s="534" t="s">
        <v>491</v>
      </c>
      <c r="F31" s="2"/>
    </row>
    <row r="32" spans="1:9" x14ac:dyDescent="0.25">
      <c r="A32" s="558" t="s">
        <v>493</v>
      </c>
      <c r="B32" s="559"/>
      <c r="C32" s="560">
        <v>15155238732</v>
      </c>
      <c r="D32" s="560" t="s">
        <v>468</v>
      </c>
      <c r="E32" s="534" t="s">
        <v>151</v>
      </c>
      <c r="F32" s="90">
        <v>136384779861</v>
      </c>
    </row>
    <row r="33" spans="1:12" x14ac:dyDescent="0.25">
      <c r="A33" s="515" t="s">
        <v>494</v>
      </c>
      <c r="B33" s="516">
        <f>B29+B30+B31</f>
        <v>3</v>
      </c>
      <c r="C33" s="517">
        <f>C30+C31</f>
        <v>169675005180</v>
      </c>
      <c r="D33" s="226"/>
      <c r="E33" s="534"/>
      <c r="F33" s="624"/>
      <c r="J33" s="116"/>
      <c r="K33" s="608"/>
      <c r="L33" s="608"/>
    </row>
    <row r="34" spans="1:12" x14ac:dyDescent="0.25">
      <c r="A34" s="723" t="s">
        <v>495</v>
      </c>
      <c r="B34" s="565">
        <v>2</v>
      </c>
      <c r="C34" s="572">
        <v>17916213645</v>
      </c>
      <c r="D34" s="573" t="s">
        <v>496</v>
      </c>
      <c r="E34" s="534" t="s">
        <v>491</v>
      </c>
      <c r="F34" s="2"/>
    </row>
    <row r="35" spans="1:12" x14ac:dyDescent="0.25">
      <c r="A35" s="724"/>
      <c r="B35" s="627">
        <v>1</v>
      </c>
      <c r="C35" s="629">
        <v>641151735</v>
      </c>
      <c r="D35" s="630" t="s">
        <v>497</v>
      </c>
      <c r="E35" s="605" t="s">
        <v>498</v>
      </c>
      <c r="F35" s="2"/>
    </row>
    <row r="36" spans="1:12" x14ac:dyDescent="0.25">
      <c r="A36" s="607" t="s">
        <v>499</v>
      </c>
      <c r="B36" s="565">
        <v>12</v>
      </c>
      <c r="C36" s="594">
        <v>31349301943</v>
      </c>
      <c r="D36" s="567" t="s">
        <v>454</v>
      </c>
      <c r="E36" s="534" t="s">
        <v>491</v>
      </c>
      <c r="F36" s="2"/>
    </row>
    <row r="37" spans="1:12" ht="30" x14ac:dyDescent="0.25">
      <c r="A37" s="368" t="s">
        <v>500</v>
      </c>
      <c r="B37" s="503">
        <v>48</v>
      </c>
      <c r="C37" s="367">
        <v>189508650076.60001</v>
      </c>
      <c r="D37" s="604" t="s">
        <v>501</v>
      </c>
      <c r="E37" s="168">
        <v>2025</v>
      </c>
      <c r="F37" s="625"/>
    </row>
    <row r="38" spans="1:12" ht="30" x14ac:dyDescent="0.25">
      <c r="A38" s="524" t="s">
        <v>502</v>
      </c>
      <c r="B38" s="525">
        <v>1</v>
      </c>
      <c r="C38" s="526">
        <v>146212551</v>
      </c>
      <c r="D38" s="604" t="s">
        <v>503</v>
      </c>
      <c r="E38" s="605" t="s">
        <v>498</v>
      </c>
      <c r="F38" s="2"/>
    </row>
    <row r="39" spans="1:12" x14ac:dyDescent="0.25">
      <c r="A39" s="626" t="s">
        <v>504</v>
      </c>
      <c r="B39" s="627">
        <v>4</v>
      </c>
      <c r="C39" s="628">
        <v>9529839296</v>
      </c>
      <c r="D39" s="626" t="s">
        <v>505</v>
      </c>
      <c r="E39" s="605" t="s">
        <v>498</v>
      </c>
      <c r="F39" s="2"/>
    </row>
    <row r="40" spans="1:12" x14ac:dyDescent="0.25">
      <c r="A40" s="573" t="s">
        <v>506</v>
      </c>
      <c r="B40" s="574">
        <f>+B36+B34+B31+B30</f>
        <v>16</v>
      </c>
      <c r="C40" s="575">
        <f>+C8+F48+C11+C30+C31+C34+C36</f>
        <v>234075714456.20001</v>
      </c>
      <c r="D40" s="576"/>
      <c r="E40" s="518"/>
    </row>
    <row r="41" spans="1:12" x14ac:dyDescent="0.25">
      <c r="A41" s="515" t="s">
        <v>507</v>
      </c>
      <c r="B41" s="516">
        <f>+B37</f>
        <v>48</v>
      </c>
      <c r="C41" s="519">
        <f>+C37</f>
        <v>189508650076.60001</v>
      </c>
      <c r="D41" s="518"/>
      <c r="E41" s="518"/>
    </row>
    <row r="43" spans="1:12" ht="45" x14ac:dyDescent="0.25">
      <c r="A43" s="716" t="s">
        <v>508</v>
      </c>
      <c r="B43" s="716"/>
      <c r="C43" s="631">
        <f>C41+C13+C35</f>
        <v>335480442642.59998</v>
      </c>
      <c r="D43" s="369" t="s">
        <v>509</v>
      </c>
      <c r="E43" s="132"/>
    </row>
    <row r="44" spans="1:12" x14ac:dyDescent="0.25">
      <c r="A44" s="531"/>
      <c r="B44" s="531"/>
      <c r="C44" s="532"/>
      <c r="D44" s="530"/>
      <c r="E44" s="132"/>
      <c r="F44" s="132"/>
    </row>
    <row r="45" spans="1:12" x14ac:dyDescent="0.25">
      <c r="A45" s="713" t="s">
        <v>510</v>
      </c>
      <c r="B45" s="713"/>
      <c r="C45" s="533">
        <v>657573636426</v>
      </c>
    </row>
    <row r="46" spans="1:12" x14ac:dyDescent="0.25">
      <c r="A46" s="713" t="s">
        <v>511</v>
      </c>
      <c r="B46" s="713"/>
      <c r="C46" s="523">
        <f>C36+C34+C12+C31+C30</f>
        <v>234075714456.20001</v>
      </c>
      <c r="D46" s="227" t="s">
        <v>512</v>
      </c>
      <c r="E46" s="29"/>
    </row>
    <row r="47" spans="1:12" x14ac:dyDescent="0.25">
      <c r="A47" s="713" t="s">
        <v>513</v>
      </c>
      <c r="B47" s="713"/>
      <c r="C47" s="561">
        <f>C45-C46</f>
        <v>423497921969.79999</v>
      </c>
      <c r="D47" s="227" t="s">
        <v>514</v>
      </c>
      <c r="E47" s="29"/>
      <c r="F47" s="624"/>
    </row>
    <row r="48" spans="1:12" x14ac:dyDescent="0.25">
      <c r="A48" s="713" t="s">
        <v>515</v>
      </c>
      <c r="B48" s="713"/>
      <c r="C48" s="561">
        <v>977372161793</v>
      </c>
    </row>
    <row r="50" spans="1:4" x14ac:dyDescent="0.25">
      <c r="A50" s="406" t="s">
        <v>516</v>
      </c>
      <c r="B50" s="110" t="s">
        <v>517</v>
      </c>
      <c r="C50" s="562">
        <f>C47/C48</f>
        <v>0.43330262363201383</v>
      </c>
      <c r="D50" s="563">
        <f>0.8*C50</f>
        <v>0.3466420989056111</v>
      </c>
    </row>
    <row r="51" spans="1:4" x14ac:dyDescent="0.25">
      <c r="A51" s="406" t="s">
        <v>518</v>
      </c>
      <c r="B51" s="150">
        <v>906135354657</v>
      </c>
      <c r="C51" s="562">
        <f>C47/B51</f>
        <v>0.4673671762096811</v>
      </c>
      <c r="D51" s="563">
        <f>0.8*C51</f>
        <v>0.37389374096774491</v>
      </c>
    </row>
    <row r="52" spans="1:4" x14ac:dyDescent="0.25">
      <c r="B52" s="132"/>
    </row>
  </sheetData>
  <mergeCells count="12">
    <mergeCell ref="A48:B48"/>
    <mergeCell ref="A1:E1"/>
    <mergeCell ref="A45:B45"/>
    <mergeCell ref="A47:B47"/>
    <mergeCell ref="A46:B46"/>
    <mergeCell ref="A43:B43"/>
    <mergeCell ref="B25:D25"/>
    <mergeCell ref="B26:D26"/>
    <mergeCell ref="B27:D27"/>
    <mergeCell ref="B28:D28"/>
    <mergeCell ref="A15:E15"/>
    <mergeCell ref="A34:A35"/>
  </mergeCells>
  <pageMargins left="0.7" right="0.7" top="0.75" bottom="0.75" header="0.3" footer="0.3"/>
  <pageSetup paperSize="9" orientation="portrait" horizontalDpi="4294967294" verticalDpi="4294967294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0B07D-C127-4077-B446-165B380A00FB}">
  <dimension ref="A1:B21"/>
  <sheetViews>
    <sheetView workbookViewId="0">
      <selection activeCell="A26" sqref="A26"/>
    </sheetView>
  </sheetViews>
  <sheetFormatPr baseColWidth="10" defaultColWidth="11.42578125" defaultRowHeight="15" x14ac:dyDescent="0.25"/>
  <cols>
    <col min="1" max="1" width="74.28515625" bestFit="1" customWidth="1"/>
    <col min="2" max="2" width="30.85546875" bestFit="1" customWidth="1"/>
  </cols>
  <sheetData>
    <row r="1" spans="1:2" x14ac:dyDescent="0.25">
      <c r="A1" s="675" t="s">
        <v>519</v>
      </c>
      <c r="B1" s="675"/>
    </row>
    <row r="2" spans="1:2" x14ac:dyDescent="0.25">
      <c r="A2" s="160" t="s">
        <v>5</v>
      </c>
      <c r="B2" s="160" t="s">
        <v>332</v>
      </c>
    </row>
    <row r="3" spans="1:2" x14ac:dyDescent="0.25">
      <c r="A3" s="311" t="s">
        <v>334</v>
      </c>
      <c r="B3" s="110" t="s">
        <v>2</v>
      </c>
    </row>
    <row r="4" spans="1:2" x14ac:dyDescent="0.25">
      <c r="A4" s="311" t="s">
        <v>185</v>
      </c>
      <c r="B4" s="110" t="s">
        <v>2</v>
      </c>
    </row>
    <row r="5" spans="1:2" x14ac:dyDescent="0.25">
      <c r="A5" s="311" t="s">
        <v>90</v>
      </c>
      <c r="B5" s="110" t="s">
        <v>2</v>
      </c>
    </row>
    <row r="6" spans="1:2" x14ac:dyDescent="0.25">
      <c r="A6" s="1"/>
      <c r="B6" s="1"/>
    </row>
    <row r="8" spans="1:2" x14ac:dyDescent="0.25">
      <c r="A8" s="675" t="s">
        <v>520</v>
      </c>
      <c r="B8" s="675"/>
    </row>
    <row r="9" spans="1:2" x14ac:dyDescent="0.25">
      <c r="A9" s="160" t="s">
        <v>5</v>
      </c>
      <c r="B9" s="160" t="s">
        <v>332</v>
      </c>
    </row>
    <row r="10" spans="1:2" x14ac:dyDescent="0.25">
      <c r="A10" s="110" t="s">
        <v>378</v>
      </c>
      <c r="B10" s="110" t="s">
        <v>2</v>
      </c>
    </row>
    <row r="11" spans="1:2" x14ac:dyDescent="0.25">
      <c r="A11" s="110" t="s">
        <v>88</v>
      </c>
      <c r="B11" s="110" t="s">
        <v>2</v>
      </c>
    </row>
    <row r="12" spans="1:2" x14ac:dyDescent="0.25">
      <c r="A12" s="110" t="s">
        <v>76</v>
      </c>
      <c r="B12" s="110" t="s">
        <v>2</v>
      </c>
    </row>
    <row r="13" spans="1:2" x14ac:dyDescent="0.25">
      <c r="A13" s="110" t="s">
        <v>241</v>
      </c>
      <c r="B13" s="110" t="s">
        <v>2</v>
      </c>
    </row>
    <row r="14" spans="1:2" x14ac:dyDescent="0.25">
      <c r="A14" s="110" t="s">
        <v>79</v>
      </c>
      <c r="B14" s="110" t="s">
        <v>2</v>
      </c>
    </row>
    <row r="15" spans="1:2" x14ac:dyDescent="0.25">
      <c r="A15" s="110" t="s">
        <v>115</v>
      </c>
      <c r="B15" s="110" t="s">
        <v>2</v>
      </c>
    </row>
    <row r="16" spans="1:2" x14ac:dyDescent="0.25">
      <c r="A16" s="110" t="s">
        <v>243</v>
      </c>
      <c r="B16" s="110" t="s">
        <v>2</v>
      </c>
    </row>
    <row r="17" spans="1:2" x14ac:dyDescent="0.25">
      <c r="A17" s="110" t="s">
        <v>61</v>
      </c>
      <c r="B17" s="110" t="s">
        <v>2</v>
      </c>
    </row>
    <row r="18" spans="1:2" x14ac:dyDescent="0.25">
      <c r="A18" s="110" t="s">
        <v>60</v>
      </c>
      <c r="B18" s="110" t="s">
        <v>2</v>
      </c>
    </row>
    <row r="19" spans="1:2" x14ac:dyDescent="0.25">
      <c r="A19" s="110" t="s">
        <v>94</v>
      </c>
      <c r="B19" s="110" t="s">
        <v>2</v>
      </c>
    </row>
    <row r="20" spans="1:2" x14ac:dyDescent="0.25">
      <c r="A20" s="110" t="s">
        <v>179</v>
      </c>
      <c r="B20" s="110" t="s">
        <v>2</v>
      </c>
    </row>
    <row r="21" spans="1:2" x14ac:dyDescent="0.25">
      <c r="A21" s="110" t="s">
        <v>240</v>
      </c>
      <c r="B21" s="110" t="s">
        <v>2</v>
      </c>
    </row>
  </sheetData>
  <mergeCells count="2">
    <mergeCell ref="A1:B1"/>
    <mergeCell ref="A8:B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62"/>
  <sheetViews>
    <sheetView topLeftCell="C36" zoomScale="90" zoomScaleNormal="90" workbookViewId="0">
      <selection sqref="A1:K62"/>
    </sheetView>
  </sheetViews>
  <sheetFormatPr baseColWidth="10" defaultColWidth="11.42578125" defaultRowHeight="15" x14ac:dyDescent="0.25"/>
  <cols>
    <col min="1" max="1" width="10.42578125" bestFit="1" customWidth="1"/>
    <col min="2" max="2" width="60" style="115" customWidth="1"/>
    <col min="3" max="3" width="25.28515625" bestFit="1" customWidth="1"/>
    <col min="4" max="4" width="23.28515625" style="29" bestFit="1" customWidth="1"/>
    <col min="5" max="5" width="24.85546875" style="29" customWidth="1"/>
    <col min="6" max="6" width="4.7109375" style="287" bestFit="1" customWidth="1"/>
    <col min="7" max="7" width="21.5703125" bestFit="1" customWidth="1"/>
    <col min="8" max="8" width="21.5703125" customWidth="1"/>
    <col min="9" max="11" width="21.5703125" bestFit="1" customWidth="1"/>
  </cols>
  <sheetData>
    <row r="1" spans="1:13" ht="38.25" x14ac:dyDescent="0.25">
      <c r="A1" s="181" t="s">
        <v>288</v>
      </c>
      <c r="B1" s="266" t="s">
        <v>5</v>
      </c>
      <c r="C1" s="181" t="s">
        <v>521</v>
      </c>
      <c r="D1" s="181" t="s">
        <v>522</v>
      </c>
      <c r="E1" s="181" t="s">
        <v>523</v>
      </c>
      <c r="F1" s="181" t="s">
        <v>524</v>
      </c>
      <c r="G1" s="295" t="s">
        <v>525</v>
      </c>
      <c r="H1" s="295" t="s">
        <v>526</v>
      </c>
      <c r="I1" s="294" t="s">
        <v>370</v>
      </c>
      <c r="J1" s="182" t="s">
        <v>527</v>
      </c>
      <c r="K1" s="289" t="s">
        <v>528</v>
      </c>
    </row>
    <row r="2" spans="1:13" x14ac:dyDescent="0.25">
      <c r="A2" s="110" t="s">
        <v>297</v>
      </c>
      <c r="B2" s="267" t="s">
        <v>195</v>
      </c>
      <c r="C2" s="110" t="s">
        <v>529</v>
      </c>
      <c r="D2" s="111">
        <v>906184254</v>
      </c>
      <c r="E2" s="111">
        <v>724947403</v>
      </c>
      <c r="F2" s="288">
        <v>0.79999999977929437</v>
      </c>
      <c r="G2" s="305">
        <f t="shared" ref="G2:G33" si="0">E2*16.5487850811%</f>
        <v>119969987.6734859</v>
      </c>
      <c r="H2" s="308">
        <f t="shared" ref="H2:H33" si="1">+ROUND(G2,0)</f>
        <v>119969988</v>
      </c>
      <c r="I2" s="146">
        <f>E2-G2</f>
        <v>604977415.32651412</v>
      </c>
      <c r="J2" s="146"/>
      <c r="K2" s="146">
        <f t="shared" ref="K2:K33" si="2">I2-J2</f>
        <v>604977415.32651412</v>
      </c>
      <c r="M2" s="306"/>
    </row>
    <row r="3" spans="1:13" x14ac:dyDescent="0.25">
      <c r="A3" s="110" t="s">
        <v>297</v>
      </c>
      <c r="B3" s="267" t="s">
        <v>83</v>
      </c>
      <c r="C3" s="110" t="s">
        <v>81</v>
      </c>
      <c r="D3" s="111">
        <v>7291528491</v>
      </c>
      <c r="E3" s="111">
        <v>5833222793</v>
      </c>
      <c r="F3" s="288">
        <v>0.8000000000274291</v>
      </c>
      <c r="G3" s="305">
        <f t="shared" si="0"/>
        <v>965327503.31530881</v>
      </c>
      <c r="H3" s="308">
        <f t="shared" si="1"/>
        <v>965327503</v>
      </c>
      <c r="I3" s="146">
        <f t="shared" ref="I3:I60" si="3">E3-G3</f>
        <v>4867895289.6846914</v>
      </c>
      <c r="J3" s="146"/>
      <c r="K3" s="146">
        <f t="shared" si="2"/>
        <v>4867895289.6846914</v>
      </c>
    </row>
    <row r="4" spans="1:13" x14ac:dyDescent="0.25">
      <c r="A4" s="110" t="s">
        <v>297</v>
      </c>
      <c r="B4" s="267" t="s">
        <v>123</v>
      </c>
      <c r="C4" s="110" t="s">
        <v>530</v>
      </c>
      <c r="D4" s="111">
        <v>2542664385</v>
      </c>
      <c r="E4" s="111">
        <v>2034131508</v>
      </c>
      <c r="F4" s="288">
        <v>0.8</v>
      </c>
      <c r="G4" s="305">
        <f t="shared" si="0"/>
        <v>336624051.52585846</v>
      </c>
      <c r="H4" s="308">
        <f t="shared" si="1"/>
        <v>336624052</v>
      </c>
      <c r="I4" s="146">
        <f t="shared" si="3"/>
        <v>1697507456.4741416</v>
      </c>
      <c r="J4" s="146"/>
      <c r="K4" s="146">
        <f t="shared" si="2"/>
        <v>1697507456.4741416</v>
      </c>
    </row>
    <row r="5" spans="1:13" x14ac:dyDescent="0.25">
      <c r="A5" s="110" t="s">
        <v>297</v>
      </c>
      <c r="B5" s="267" t="s">
        <v>92</v>
      </c>
      <c r="C5" s="110" t="s">
        <v>531</v>
      </c>
      <c r="D5" s="111">
        <v>1954222319</v>
      </c>
      <c r="E5" s="111">
        <v>1563377855</v>
      </c>
      <c r="F5" s="288">
        <v>0.79999999989765747</v>
      </c>
      <c r="G5" s="305">
        <f t="shared" si="0"/>
        <v>258720041.22946119</v>
      </c>
      <c r="H5" s="308">
        <f t="shared" si="1"/>
        <v>258720041</v>
      </c>
      <c r="I5" s="146">
        <f t="shared" si="3"/>
        <v>1304657813.7705388</v>
      </c>
      <c r="J5" s="146"/>
      <c r="K5" s="146">
        <f t="shared" si="2"/>
        <v>1304657813.7705388</v>
      </c>
    </row>
    <row r="6" spans="1:13" x14ac:dyDescent="0.25">
      <c r="A6" s="110" t="s">
        <v>297</v>
      </c>
      <c r="B6" s="267" t="s">
        <v>106</v>
      </c>
      <c r="C6" s="110" t="s">
        <v>105</v>
      </c>
      <c r="D6" s="111">
        <v>14774803852</v>
      </c>
      <c r="E6" s="111">
        <v>11819843082</v>
      </c>
      <c r="F6" s="288">
        <v>0.80000000002707317</v>
      </c>
      <c r="G6" s="305">
        <f t="shared" si="0"/>
        <v>1956040428.5634465</v>
      </c>
      <c r="H6" s="308">
        <f t="shared" si="1"/>
        <v>1956040429</v>
      </c>
      <c r="I6" s="146">
        <f t="shared" si="3"/>
        <v>9863802653.436554</v>
      </c>
      <c r="J6" s="146"/>
      <c r="K6" s="146">
        <f t="shared" si="2"/>
        <v>9863802653.436554</v>
      </c>
    </row>
    <row r="7" spans="1:13" x14ac:dyDescent="0.25">
      <c r="A7" s="110" t="s">
        <v>297</v>
      </c>
      <c r="B7" s="267" t="s">
        <v>298</v>
      </c>
      <c r="C7" s="110" t="s">
        <v>81</v>
      </c>
      <c r="D7" s="111">
        <v>1926201681</v>
      </c>
      <c r="E7" s="111">
        <v>1540961345</v>
      </c>
      <c r="F7" s="288">
        <v>0.80000000010383132</v>
      </c>
      <c r="G7" s="305">
        <f t="shared" si="0"/>
        <v>255010381.16687793</v>
      </c>
      <c r="H7" s="308">
        <f t="shared" si="1"/>
        <v>255010381</v>
      </c>
      <c r="I7" s="146">
        <f t="shared" si="3"/>
        <v>1285950963.833122</v>
      </c>
      <c r="J7" s="146"/>
      <c r="K7" s="146">
        <f t="shared" si="2"/>
        <v>1285950963.833122</v>
      </c>
    </row>
    <row r="8" spans="1:13" x14ac:dyDescent="0.25">
      <c r="A8" s="110" t="s">
        <v>297</v>
      </c>
      <c r="B8" s="267" t="s">
        <v>107</v>
      </c>
      <c r="C8" s="110" t="s">
        <v>105</v>
      </c>
      <c r="D8" s="111">
        <v>49490632861</v>
      </c>
      <c r="E8" s="111">
        <v>39592506289</v>
      </c>
      <c r="F8" s="288">
        <v>0.80000000000404115</v>
      </c>
      <c r="G8" s="305">
        <f t="shared" si="0"/>
        <v>6552078773.9876118</v>
      </c>
      <c r="H8" s="308">
        <f t="shared" si="1"/>
        <v>6552078774</v>
      </c>
      <c r="I8" s="146">
        <f t="shared" si="3"/>
        <v>33040427515.01239</v>
      </c>
      <c r="J8" s="146"/>
      <c r="K8" s="146">
        <f t="shared" si="2"/>
        <v>33040427515.01239</v>
      </c>
    </row>
    <row r="9" spans="1:13" ht="30" x14ac:dyDescent="0.25">
      <c r="A9" s="110" t="s">
        <v>297</v>
      </c>
      <c r="B9" s="267" t="s">
        <v>120</v>
      </c>
      <c r="C9" s="110" t="s">
        <v>530</v>
      </c>
      <c r="D9" s="111">
        <v>2243379775</v>
      </c>
      <c r="E9" s="111">
        <v>1794703820</v>
      </c>
      <c r="F9" s="288">
        <v>0.8</v>
      </c>
      <c r="G9" s="305">
        <f t="shared" si="0"/>
        <v>297001678.01409179</v>
      </c>
      <c r="H9" s="308">
        <f t="shared" si="1"/>
        <v>297001678</v>
      </c>
      <c r="I9" s="146">
        <f t="shared" si="3"/>
        <v>1497702141.9859083</v>
      </c>
      <c r="J9" s="146"/>
      <c r="K9" s="146">
        <f t="shared" si="2"/>
        <v>1497702141.9859083</v>
      </c>
    </row>
    <row r="10" spans="1:13" ht="15.75" x14ac:dyDescent="0.25">
      <c r="A10" s="110" t="s">
        <v>297</v>
      </c>
      <c r="B10" s="270" t="s">
        <v>334</v>
      </c>
      <c r="C10" s="110" t="s">
        <v>530</v>
      </c>
      <c r="D10" s="111">
        <v>18353219593</v>
      </c>
      <c r="E10" s="111">
        <v>14682575674</v>
      </c>
      <c r="F10" s="288">
        <v>0.79999999997820548</v>
      </c>
      <c r="G10" s="305">
        <f t="shared" si="0"/>
        <v>2429787892.66013</v>
      </c>
      <c r="H10" s="308">
        <f t="shared" si="1"/>
        <v>2429787893</v>
      </c>
      <c r="I10" s="146">
        <f t="shared" si="3"/>
        <v>12252787781.33987</v>
      </c>
      <c r="J10" s="146"/>
      <c r="K10" s="146">
        <f t="shared" si="2"/>
        <v>12252787781.33987</v>
      </c>
    </row>
    <row r="11" spans="1:13" x14ac:dyDescent="0.25">
      <c r="A11" s="110" t="s">
        <v>297</v>
      </c>
      <c r="B11" s="267" t="s">
        <v>80</v>
      </c>
      <c r="C11" s="110" t="s">
        <v>81</v>
      </c>
      <c r="D11" s="111">
        <v>11647950424</v>
      </c>
      <c r="E11" s="111">
        <v>9318360339</v>
      </c>
      <c r="F11" s="288">
        <v>0.79999999998282956</v>
      </c>
      <c r="G11" s="305">
        <f t="shared" si="0"/>
        <v>1542075425.5835714</v>
      </c>
      <c r="H11" s="308">
        <f t="shared" si="1"/>
        <v>1542075426</v>
      </c>
      <c r="I11" s="146">
        <f t="shared" si="3"/>
        <v>7776284913.4164286</v>
      </c>
      <c r="J11" s="146"/>
      <c r="K11" s="146">
        <f t="shared" si="2"/>
        <v>7776284913.4164286</v>
      </c>
    </row>
    <row r="12" spans="1:13" x14ac:dyDescent="0.25">
      <c r="A12" s="110" t="s">
        <v>297</v>
      </c>
      <c r="B12" s="267" t="s">
        <v>239</v>
      </c>
      <c r="C12" s="110" t="s">
        <v>81</v>
      </c>
      <c r="D12" s="111">
        <v>19532680000</v>
      </c>
      <c r="E12" s="111">
        <v>15626144000</v>
      </c>
      <c r="F12" s="288">
        <v>0.8</v>
      </c>
      <c r="G12" s="305">
        <f t="shared" si="0"/>
        <v>2585936987.0232029</v>
      </c>
      <c r="H12" s="308">
        <f t="shared" si="1"/>
        <v>2585936987</v>
      </c>
      <c r="I12" s="146">
        <f t="shared" si="3"/>
        <v>13040207012.976797</v>
      </c>
      <c r="J12" s="146"/>
      <c r="K12" s="146">
        <f t="shared" si="2"/>
        <v>13040207012.976797</v>
      </c>
    </row>
    <row r="13" spans="1:13" x14ac:dyDescent="0.25">
      <c r="A13" s="110" t="s">
        <v>297</v>
      </c>
      <c r="B13" s="267" t="s">
        <v>166</v>
      </c>
      <c r="C13" s="110" t="s">
        <v>530</v>
      </c>
      <c r="D13" s="111">
        <v>6466508562</v>
      </c>
      <c r="E13" s="111">
        <v>5173206849</v>
      </c>
      <c r="F13" s="288">
        <v>0.79999999990721427</v>
      </c>
      <c r="G13" s="305">
        <f t="shared" si="0"/>
        <v>856102883.24175549</v>
      </c>
      <c r="H13" s="308">
        <f t="shared" si="1"/>
        <v>856102883</v>
      </c>
      <c r="I13" s="146">
        <f t="shared" si="3"/>
        <v>4317103965.7582445</v>
      </c>
      <c r="J13" s="146"/>
      <c r="K13" s="146">
        <f t="shared" si="2"/>
        <v>4317103965.7582445</v>
      </c>
    </row>
    <row r="14" spans="1:13" x14ac:dyDescent="0.25">
      <c r="A14" s="110" t="s">
        <v>297</v>
      </c>
      <c r="B14" s="267" t="s">
        <v>85</v>
      </c>
      <c r="C14" s="110" t="s">
        <v>81</v>
      </c>
      <c r="D14" s="111">
        <v>11128362876</v>
      </c>
      <c r="E14" s="111">
        <v>8902690301</v>
      </c>
      <c r="F14" s="288">
        <v>0.80000000001797211</v>
      </c>
      <c r="G14" s="305">
        <f t="shared" si="0"/>
        <v>1473287084.3484247</v>
      </c>
      <c r="H14" s="308">
        <f t="shared" si="1"/>
        <v>1473287084</v>
      </c>
      <c r="I14" s="146">
        <f t="shared" si="3"/>
        <v>7429403216.6515751</v>
      </c>
      <c r="J14" s="146"/>
      <c r="K14" s="146">
        <f t="shared" si="2"/>
        <v>7429403216.6515751</v>
      </c>
    </row>
    <row r="15" spans="1:13" ht="30" x14ac:dyDescent="0.25">
      <c r="A15" s="110" t="s">
        <v>297</v>
      </c>
      <c r="B15" s="267" t="s">
        <v>114</v>
      </c>
      <c r="C15" s="110" t="s">
        <v>105</v>
      </c>
      <c r="D15" s="111">
        <v>5570617211</v>
      </c>
      <c r="E15" s="111">
        <v>4456493768</v>
      </c>
      <c r="F15" s="288">
        <v>0.79999999985638937</v>
      </c>
      <c r="G15" s="305">
        <f t="shared" si="0"/>
        <v>737495575.81893528</v>
      </c>
      <c r="H15" s="308">
        <f t="shared" si="1"/>
        <v>737495576</v>
      </c>
      <c r="I15" s="146">
        <f t="shared" si="3"/>
        <v>3718998192.1810646</v>
      </c>
      <c r="J15" s="146"/>
      <c r="K15" s="146">
        <f t="shared" si="2"/>
        <v>3718998192.1810646</v>
      </c>
    </row>
    <row r="16" spans="1:13" x14ac:dyDescent="0.25">
      <c r="A16" s="110" t="s">
        <v>297</v>
      </c>
      <c r="B16" s="267" t="s">
        <v>108</v>
      </c>
      <c r="C16" s="110" t="s">
        <v>105</v>
      </c>
      <c r="D16" s="111">
        <v>1671655358</v>
      </c>
      <c r="E16" s="111">
        <v>1337324286</v>
      </c>
      <c r="F16" s="288">
        <v>0.79999999976071623</v>
      </c>
      <c r="G16" s="305">
        <f t="shared" si="0"/>
        <v>221310921.92749512</v>
      </c>
      <c r="H16" s="308">
        <f t="shared" si="1"/>
        <v>221310922</v>
      </c>
      <c r="I16" s="146">
        <f t="shared" si="3"/>
        <v>1116013364.072505</v>
      </c>
      <c r="J16" s="146"/>
      <c r="K16" s="146">
        <f t="shared" si="2"/>
        <v>1116013364.072505</v>
      </c>
    </row>
    <row r="17" spans="1:11" ht="30" x14ac:dyDescent="0.25">
      <c r="A17" s="110" t="s">
        <v>297</v>
      </c>
      <c r="B17" s="267" t="s">
        <v>229</v>
      </c>
      <c r="C17" s="110" t="s">
        <v>42</v>
      </c>
      <c r="D17" s="111">
        <v>4826782156</v>
      </c>
      <c r="E17" s="111">
        <v>3861425725</v>
      </c>
      <c r="F17" s="288">
        <v>0.80000000004143546</v>
      </c>
      <c r="G17" s="305">
        <f t="shared" si="0"/>
        <v>639019044.29655755</v>
      </c>
      <c r="H17" s="308">
        <f t="shared" si="1"/>
        <v>639019044</v>
      </c>
      <c r="I17" s="146">
        <f t="shared" si="3"/>
        <v>3222406680.7034426</v>
      </c>
      <c r="J17" s="146"/>
      <c r="K17" s="146">
        <f t="shared" si="2"/>
        <v>3222406680.7034426</v>
      </c>
    </row>
    <row r="18" spans="1:11" x14ac:dyDescent="0.25">
      <c r="A18" s="110" t="s">
        <v>297</v>
      </c>
      <c r="B18" s="267" t="s">
        <v>242</v>
      </c>
      <c r="C18" s="110" t="s">
        <v>97</v>
      </c>
      <c r="D18" s="111">
        <v>1700678669</v>
      </c>
      <c r="E18" s="111">
        <v>1360542935.2</v>
      </c>
      <c r="F18" s="288">
        <v>0.8</v>
      </c>
      <c r="G18" s="305">
        <f t="shared" si="0"/>
        <v>225153326.28233767</v>
      </c>
      <c r="H18" s="308">
        <f t="shared" si="1"/>
        <v>225153326</v>
      </c>
      <c r="I18" s="146">
        <f t="shared" si="3"/>
        <v>1135389608.9176624</v>
      </c>
      <c r="J18" s="146"/>
      <c r="K18" s="146">
        <f t="shared" si="2"/>
        <v>1135389608.9176624</v>
      </c>
    </row>
    <row r="19" spans="1:11" x14ac:dyDescent="0.25">
      <c r="A19" s="110" t="s">
        <v>297</v>
      </c>
      <c r="B19" s="267" t="s">
        <v>196</v>
      </c>
      <c r="C19" s="110" t="s">
        <v>105</v>
      </c>
      <c r="D19" s="111">
        <v>2570382353</v>
      </c>
      <c r="E19" s="111">
        <v>2056305882</v>
      </c>
      <c r="F19" s="288">
        <v>0.79999999984438108</v>
      </c>
      <c r="G19" s="305">
        <f t="shared" si="0"/>
        <v>340293641.02219778</v>
      </c>
      <c r="H19" s="308">
        <f t="shared" si="1"/>
        <v>340293641</v>
      </c>
      <c r="I19" s="146">
        <f t="shared" si="3"/>
        <v>1716012240.9778023</v>
      </c>
      <c r="J19" s="146"/>
      <c r="K19" s="146">
        <f t="shared" si="2"/>
        <v>1716012240.9778023</v>
      </c>
    </row>
    <row r="20" spans="1:11" x14ac:dyDescent="0.25">
      <c r="A20" s="110" t="s">
        <v>297</v>
      </c>
      <c r="B20" s="267" t="s">
        <v>126</v>
      </c>
      <c r="C20" s="110" t="s">
        <v>530</v>
      </c>
      <c r="D20" s="111">
        <v>2310953185</v>
      </c>
      <c r="E20" s="111">
        <v>1848762548</v>
      </c>
      <c r="F20" s="288">
        <v>0.8</v>
      </c>
      <c r="G20" s="305">
        <f t="shared" si="0"/>
        <v>305947740.72838825</v>
      </c>
      <c r="H20" s="308">
        <f t="shared" si="1"/>
        <v>305947741</v>
      </c>
      <c r="I20" s="146">
        <f t="shared" si="3"/>
        <v>1542814807.2716117</v>
      </c>
      <c r="J20" s="146"/>
      <c r="K20" s="146">
        <f t="shared" si="2"/>
        <v>1542814807.2716117</v>
      </c>
    </row>
    <row r="21" spans="1:11" x14ac:dyDescent="0.25">
      <c r="A21" s="110" t="s">
        <v>297</v>
      </c>
      <c r="B21" s="267" t="s">
        <v>86</v>
      </c>
      <c r="C21" s="110" t="s">
        <v>81</v>
      </c>
      <c r="D21" s="111">
        <v>22172104761</v>
      </c>
      <c r="E21" s="111">
        <v>17737683809</v>
      </c>
      <c r="F21" s="288">
        <v>0.80000000000902038</v>
      </c>
      <c r="G21" s="305">
        <f t="shared" si="0"/>
        <v>2935371171.9164824</v>
      </c>
      <c r="H21" s="308">
        <f t="shared" si="1"/>
        <v>2935371172</v>
      </c>
      <c r="I21" s="146">
        <f t="shared" si="3"/>
        <v>14802312637.083517</v>
      </c>
      <c r="J21" s="146"/>
      <c r="K21" s="146">
        <f t="shared" si="2"/>
        <v>14802312637.083517</v>
      </c>
    </row>
    <row r="22" spans="1:11" x14ac:dyDescent="0.25">
      <c r="A22" s="110" t="s">
        <v>297</v>
      </c>
      <c r="B22" s="267" t="s">
        <v>63</v>
      </c>
      <c r="C22" s="110" t="s">
        <v>64</v>
      </c>
      <c r="D22" s="111">
        <v>5751296204</v>
      </c>
      <c r="E22" s="111">
        <v>4601036963</v>
      </c>
      <c r="F22" s="288">
        <v>0.79999999996522519</v>
      </c>
      <c r="G22" s="305">
        <f t="shared" si="0"/>
        <v>761415718.50884056</v>
      </c>
      <c r="H22" s="308">
        <f t="shared" si="1"/>
        <v>761415719</v>
      </c>
      <c r="I22" s="146">
        <f t="shared" si="3"/>
        <v>3839621244.4911594</v>
      </c>
      <c r="J22" s="146"/>
      <c r="K22" s="146">
        <f t="shared" si="2"/>
        <v>3839621244.4911594</v>
      </c>
    </row>
    <row r="23" spans="1:11" x14ac:dyDescent="0.25">
      <c r="A23" s="110" t="s">
        <v>297</v>
      </c>
      <c r="B23" s="267" t="s">
        <v>89</v>
      </c>
      <c r="C23" s="110" t="s">
        <v>81</v>
      </c>
      <c r="D23" s="111">
        <v>11036024063</v>
      </c>
      <c r="E23" s="111">
        <v>8828819250</v>
      </c>
      <c r="F23" s="288">
        <v>0.79999999996375504</v>
      </c>
      <c r="G23" s="305">
        <f t="shared" si="0"/>
        <v>1461062322.881285</v>
      </c>
      <c r="H23" s="308">
        <f t="shared" si="1"/>
        <v>1461062323</v>
      </c>
      <c r="I23" s="146">
        <f t="shared" si="3"/>
        <v>7367756927.1187153</v>
      </c>
      <c r="J23" s="146"/>
      <c r="K23" s="146">
        <f t="shared" si="2"/>
        <v>7367756927.1187153</v>
      </c>
    </row>
    <row r="24" spans="1:11" x14ac:dyDescent="0.25">
      <c r="A24" s="110" t="s">
        <v>297</v>
      </c>
      <c r="B24" s="267" t="s">
        <v>87</v>
      </c>
      <c r="C24" s="110" t="s">
        <v>81</v>
      </c>
      <c r="D24" s="111">
        <v>32399955377</v>
      </c>
      <c r="E24" s="111">
        <v>25919964302</v>
      </c>
      <c r="F24" s="288">
        <v>0.80000000001234572</v>
      </c>
      <c r="G24" s="305">
        <f t="shared" si="0"/>
        <v>4289439185.435822</v>
      </c>
      <c r="H24" s="308">
        <f t="shared" si="1"/>
        <v>4289439185</v>
      </c>
      <c r="I24" s="146">
        <f t="shared" si="3"/>
        <v>21630525116.564178</v>
      </c>
      <c r="J24" s="146"/>
      <c r="K24" s="146">
        <f t="shared" si="2"/>
        <v>21630525116.564178</v>
      </c>
    </row>
    <row r="25" spans="1:11" x14ac:dyDescent="0.25">
      <c r="A25" s="110" t="s">
        <v>297</v>
      </c>
      <c r="B25" s="267" t="s">
        <v>113</v>
      </c>
      <c r="C25" s="110" t="s">
        <v>105</v>
      </c>
      <c r="D25" s="111">
        <v>22693010272</v>
      </c>
      <c r="E25" s="111">
        <v>18154408218</v>
      </c>
      <c r="F25" s="288">
        <v>0.80000000001762661</v>
      </c>
      <c r="G25" s="305">
        <f t="shared" si="0"/>
        <v>3004333998.7423763</v>
      </c>
      <c r="H25" s="308">
        <f t="shared" si="1"/>
        <v>3004333999</v>
      </c>
      <c r="I25" s="146">
        <f t="shared" si="3"/>
        <v>15150074219.257624</v>
      </c>
      <c r="J25" s="146"/>
      <c r="K25" s="146">
        <f t="shared" si="2"/>
        <v>15150074219.257624</v>
      </c>
    </row>
    <row r="26" spans="1:11" x14ac:dyDescent="0.25">
      <c r="A26" s="110" t="s">
        <v>297</v>
      </c>
      <c r="B26" s="267" t="s">
        <v>66</v>
      </c>
      <c r="C26" s="110" t="s">
        <v>64</v>
      </c>
      <c r="D26" s="111">
        <v>44064378709</v>
      </c>
      <c r="E26" s="111">
        <v>35251502967</v>
      </c>
      <c r="F26" s="288">
        <v>0.79999999999546123</v>
      </c>
      <c r="G26" s="305">
        <f t="shared" si="0"/>
        <v>5833695463.8664198</v>
      </c>
      <c r="H26" s="308">
        <f t="shared" si="1"/>
        <v>5833695464</v>
      </c>
      <c r="I26" s="146">
        <f t="shared" si="3"/>
        <v>29417807503.133579</v>
      </c>
      <c r="J26" s="146"/>
      <c r="K26" s="146">
        <f t="shared" si="2"/>
        <v>29417807503.133579</v>
      </c>
    </row>
    <row r="27" spans="1:11" x14ac:dyDescent="0.25">
      <c r="A27" s="110" t="s">
        <v>292</v>
      </c>
      <c r="B27" s="267" t="s">
        <v>378</v>
      </c>
      <c r="C27" s="110" t="s">
        <v>530</v>
      </c>
      <c r="D27" s="111">
        <v>541057640</v>
      </c>
      <c r="E27" s="111">
        <v>432846112</v>
      </c>
      <c r="F27" s="288">
        <v>0.8</v>
      </c>
      <c r="G27" s="305">
        <f t="shared" si="0"/>
        <v>71630772.806777403</v>
      </c>
      <c r="H27" s="308">
        <f t="shared" si="1"/>
        <v>71630773</v>
      </c>
      <c r="I27" s="146">
        <f t="shared" si="3"/>
        <v>361215339.19322258</v>
      </c>
      <c r="J27" s="146"/>
      <c r="K27" s="146">
        <f t="shared" si="2"/>
        <v>361215339.19322258</v>
      </c>
    </row>
    <row r="28" spans="1:11" x14ac:dyDescent="0.25">
      <c r="A28" s="110" t="s">
        <v>292</v>
      </c>
      <c r="B28" s="267" t="s">
        <v>88</v>
      </c>
      <c r="C28" s="110" t="s">
        <v>81</v>
      </c>
      <c r="D28" s="111">
        <v>17146145454</v>
      </c>
      <c r="E28" s="111">
        <v>13716916363</v>
      </c>
      <c r="F28" s="288">
        <v>0.7999999999883356</v>
      </c>
      <c r="G28" s="305">
        <f t="shared" si="0"/>
        <v>2269983008.667109</v>
      </c>
      <c r="H28" s="308">
        <f t="shared" si="1"/>
        <v>2269983009</v>
      </c>
      <c r="I28" s="146">
        <f t="shared" si="3"/>
        <v>11446933354.332891</v>
      </c>
      <c r="J28" s="146"/>
      <c r="K28" s="146">
        <f t="shared" si="2"/>
        <v>11446933354.332891</v>
      </c>
    </row>
    <row r="29" spans="1:11" x14ac:dyDescent="0.25">
      <c r="A29" s="110" t="s">
        <v>292</v>
      </c>
      <c r="B29" s="267" t="s">
        <v>76</v>
      </c>
      <c r="C29" s="110" t="s">
        <v>529</v>
      </c>
      <c r="D29" s="111">
        <v>7531691967</v>
      </c>
      <c r="E29" s="111">
        <v>6025353574</v>
      </c>
      <c r="F29" s="288">
        <v>0.8000000000531089</v>
      </c>
      <c r="G29" s="305">
        <f t="shared" si="0"/>
        <v>997122813.33763766</v>
      </c>
      <c r="H29" s="308">
        <f t="shared" si="1"/>
        <v>997122813</v>
      </c>
      <c r="I29" s="146">
        <f t="shared" si="3"/>
        <v>5028230760.6623621</v>
      </c>
      <c r="J29" s="146"/>
      <c r="K29" s="146">
        <f t="shared" si="2"/>
        <v>5028230760.6623621</v>
      </c>
    </row>
    <row r="30" spans="1:11" x14ac:dyDescent="0.25">
      <c r="A30" s="110" t="s">
        <v>292</v>
      </c>
      <c r="B30" s="267" t="s">
        <v>121</v>
      </c>
      <c r="C30" s="110" t="s">
        <v>530</v>
      </c>
      <c r="D30" s="111">
        <v>16043120454</v>
      </c>
      <c r="E30" s="111">
        <v>12834496363</v>
      </c>
      <c r="F30" s="288">
        <v>0.79999999998753357</v>
      </c>
      <c r="G30" s="305">
        <f t="shared" si="0"/>
        <v>2123953219.3544662</v>
      </c>
      <c r="H30" s="308">
        <f t="shared" si="1"/>
        <v>2123953219</v>
      </c>
      <c r="I30" s="146">
        <f t="shared" si="3"/>
        <v>10710543143.645535</v>
      </c>
      <c r="J30" s="146"/>
      <c r="K30" s="146">
        <f t="shared" si="2"/>
        <v>10710543143.645535</v>
      </c>
    </row>
    <row r="31" spans="1:11" x14ac:dyDescent="0.25">
      <c r="A31" s="110" t="s">
        <v>292</v>
      </c>
      <c r="B31" s="267" t="s">
        <v>96</v>
      </c>
      <c r="C31" s="110" t="s">
        <v>97</v>
      </c>
      <c r="D31" s="111">
        <v>9160268899</v>
      </c>
      <c r="E31" s="111">
        <v>7328215119</v>
      </c>
      <c r="F31" s="288">
        <v>0.79999999997816662</v>
      </c>
      <c r="G31" s="305">
        <f t="shared" si="0"/>
        <v>1212730570.3239868</v>
      </c>
      <c r="H31" s="308">
        <f t="shared" si="1"/>
        <v>1212730570</v>
      </c>
      <c r="I31" s="146">
        <f t="shared" si="3"/>
        <v>6115484548.676013</v>
      </c>
      <c r="J31" s="146"/>
      <c r="K31" s="146">
        <f t="shared" si="2"/>
        <v>6115484548.676013</v>
      </c>
    </row>
    <row r="32" spans="1:11" x14ac:dyDescent="0.25">
      <c r="A32" s="110" t="s">
        <v>292</v>
      </c>
      <c r="B32" s="296" t="s">
        <v>241</v>
      </c>
      <c r="C32" s="297" t="s">
        <v>531</v>
      </c>
      <c r="D32" s="298">
        <v>0</v>
      </c>
      <c r="E32" s="298"/>
      <c r="F32" s="299"/>
      <c r="G32" s="305">
        <f t="shared" si="0"/>
        <v>0</v>
      </c>
      <c r="H32" s="308">
        <f t="shared" si="1"/>
        <v>0</v>
      </c>
      <c r="I32" s="300">
        <f t="shared" si="3"/>
        <v>0</v>
      </c>
      <c r="J32" s="300"/>
      <c r="K32" s="300">
        <f t="shared" si="2"/>
        <v>0</v>
      </c>
    </row>
    <row r="33" spans="1:11" x14ac:dyDescent="0.25">
      <c r="A33" s="110" t="s">
        <v>292</v>
      </c>
      <c r="B33" s="267" t="s">
        <v>116</v>
      </c>
      <c r="C33" s="110" t="s">
        <v>105</v>
      </c>
      <c r="D33" s="111">
        <v>7938190824</v>
      </c>
      <c r="E33" s="111">
        <v>6350552659</v>
      </c>
      <c r="F33" s="288">
        <v>0.79999999997480531</v>
      </c>
      <c r="G33" s="305">
        <f t="shared" si="0"/>
        <v>1050939310.9999914</v>
      </c>
      <c r="H33" s="308">
        <f t="shared" si="1"/>
        <v>1050939311</v>
      </c>
      <c r="I33" s="146">
        <f t="shared" si="3"/>
        <v>5299613348.0000086</v>
      </c>
      <c r="J33" s="146"/>
      <c r="K33" s="146">
        <f t="shared" si="2"/>
        <v>5299613348.0000086</v>
      </c>
    </row>
    <row r="34" spans="1:11" x14ac:dyDescent="0.25">
      <c r="A34" s="110" t="s">
        <v>292</v>
      </c>
      <c r="B34" s="267" t="s">
        <v>50</v>
      </c>
      <c r="C34" s="110" t="s">
        <v>42</v>
      </c>
      <c r="D34" s="111">
        <v>20641784171</v>
      </c>
      <c r="E34" s="111">
        <v>16513427336</v>
      </c>
      <c r="F34" s="288">
        <v>0.79999999996124371</v>
      </c>
      <c r="G34" s="305">
        <f t="shared" ref="G34:G61" si="4">E34*16.5487850811%</f>
        <v>2732771599.3582573</v>
      </c>
      <c r="H34" s="308">
        <f t="shared" ref="H34:H61" si="5">+ROUND(G34,0)</f>
        <v>2732771599</v>
      </c>
      <c r="I34" s="146">
        <f t="shared" si="3"/>
        <v>13780655736.641743</v>
      </c>
      <c r="J34" s="146"/>
      <c r="K34" s="146">
        <f t="shared" ref="K34:K60" si="6">I34-J34</f>
        <v>13780655736.641743</v>
      </c>
    </row>
    <row r="35" spans="1:11" x14ac:dyDescent="0.25">
      <c r="A35" s="110" t="s">
        <v>292</v>
      </c>
      <c r="B35" s="267" t="s">
        <v>79</v>
      </c>
      <c r="C35" s="110" t="s">
        <v>529</v>
      </c>
      <c r="D35" s="111">
        <v>5595187767</v>
      </c>
      <c r="E35" s="111">
        <v>4476150213</v>
      </c>
      <c r="F35" s="288">
        <v>0.79999999989276505</v>
      </c>
      <c r="G35" s="305">
        <f t="shared" si="4"/>
        <v>740748478.65656996</v>
      </c>
      <c r="H35" s="308">
        <f t="shared" si="5"/>
        <v>740748479</v>
      </c>
      <c r="I35" s="146">
        <f t="shared" si="3"/>
        <v>3735401734.34343</v>
      </c>
      <c r="J35" s="146"/>
      <c r="K35" s="146">
        <f t="shared" si="6"/>
        <v>3735401734.34343</v>
      </c>
    </row>
    <row r="36" spans="1:11" x14ac:dyDescent="0.25">
      <c r="A36" s="110" t="s">
        <v>292</v>
      </c>
      <c r="B36" s="267" t="s">
        <v>7</v>
      </c>
      <c r="C36" s="110" t="s">
        <v>529</v>
      </c>
      <c r="D36" s="111">
        <v>5605997932</v>
      </c>
      <c r="E36" s="111">
        <v>4484798346</v>
      </c>
      <c r="F36" s="288">
        <v>0.80000000007135219</v>
      </c>
      <c r="G36" s="305">
        <f t="shared" si="4"/>
        <v>742179639.60026765</v>
      </c>
      <c r="H36" s="308">
        <f t="shared" si="5"/>
        <v>742179640</v>
      </c>
      <c r="I36" s="146">
        <f t="shared" si="3"/>
        <v>3742618706.3997326</v>
      </c>
      <c r="J36" s="146"/>
      <c r="K36" s="146">
        <f t="shared" si="6"/>
        <v>3742618706.3997326</v>
      </c>
    </row>
    <row r="37" spans="1:11" x14ac:dyDescent="0.25">
      <c r="A37" s="110" t="s">
        <v>292</v>
      </c>
      <c r="B37" s="267" t="s">
        <v>100</v>
      </c>
      <c r="C37" s="110" t="s">
        <v>97</v>
      </c>
      <c r="D37" s="111">
        <v>35084647327</v>
      </c>
      <c r="E37" s="111">
        <v>28067717861</v>
      </c>
      <c r="F37" s="288">
        <v>0.7999999999828985</v>
      </c>
      <c r="G37" s="305">
        <f t="shared" si="4"/>
        <v>4644866305.9864082</v>
      </c>
      <c r="H37" s="308">
        <f t="shared" si="5"/>
        <v>4644866306</v>
      </c>
      <c r="I37" s="146">
        <f t="shared" si="3"/>
        <v>23422851555.013592</v>
      </c>
      <c r="J37" s="146"/>
      <c r="K37" s="146">
        <f t="shared" si="6"/>
        <v>23422851555.013592</v>
      </c>
    </row>
    <row r="38" spans="1:11" x14ac:dyDescent="0.25">
      <c r="A38" s="110" t="s">
        <v>292</v>
      </c>
      <c r="B38" s="267" t="s">
        <v>98</v>
      </c>
      <c r="C38" s="110" t="s">
        <v>97</v>
      </c>
      <c r="D38" s="111">
        <v>8279161250</v>
      </c>
      <c r="E38" s="111">
        <v>6623329000</v>
      </c>
      <c r="F38" s="288">
        <v>0.8</v>
      </c>
      <c r="G38" s="305">
        <f t="shared" si="4"/>
        <v>1096080481.4241698</v>
      </c>
      <c r="H38" s="308">
        <f t="shared" si="5"/>
        <v>1096080481</v>
      </c>
      <c r="I38" s="146">
        <f t="shared" si="3"/>
        <v>5527248518.5758305</v>
      </c>
      <c r="J38" s="146"/>
      <c r="K38" s="146">
        <f t="shared" si="6"/>
        <v>5527248518.5758305</v>
      </c>
    </row>
    <row r="39" spans="1:11" x14ac:dyDescent="0.25">
      <c r="A39" s="110" t="s">
        <v>292</v>
      </c>
      <c r="B39" s="267" t="s">
        <v>122</v>
      </c>
      <c r="C39" s="110" t="s">
        <v>530</v>
      </c>
      <c r="D39" s="111">
        <v>7436993645</v>
      </c>
      <c r="E39" s="111">
        <v>5949594916</v>
      </c>
      <c r="F39" s="288">
        <v>0.8</v>
      </c>
      <c r="G39" s="305">
        <f t="shared" si="4"/>
        <v>984585675.84489214</v>
      </c>
      <c r="H39" s="308">
        <f t="shared" si="5"/>
        <v>984585676</v>
      </c>
      <c r="I39" s="146">
        <f t="shared" si="3"/>
        <v>4965009240.1551075</v>
      </c>
      <c r="J39" s="146"/>
      <c r="K39" s="146">
        <f t="shared" si="6"/>
        <v>4965009240.1551075</v>
      </c>
    </row>
    <row r="40" spans="1:11" x14ac:dyDescent="0.25">
      <c r="A40" s="110" t="s">
        <v>292</v>
      </c>
      <c r="B40" s="267" t="s">
        <v>125</v>
      </c>
      <c r="C40" s="110" t="s">
        <v>530</v>
      </c>
      <c r="D40" s="111">
        <v>8259929655</v>
      </c>
      <c r="E40" s="111">
        <v>6607943724</v>
      </c>
      <c r="F40" s="288">
        <v>0.8</v>
      </c>
      <c r="G40" s="305">
        <f t="shared" si="4"/>
        <v>1093534405.1647959</v>
      </c>
      <c r="H40" s="308">
        <f t="shared" si="5"/>
        <v>1093534405</v>
      </c>
      <c r="I40" s="146">
        <f t="shared" si="3"/>
        <v>5514409318.8352041</v>
      </c>
      <c r="J40" s="146"/>
      <c r="K40" s="146">
        <f t="shared" si="6"/>
        <v>5514409318.8352041</v>
      </c>
    </row>
    <row r="41" spans="1:11" x14ac:dyDescent="0.25">
      <c r="A41" s="110" t="s">
        <v>292</v>
      </c>
      <c r="B41" s="267" t="s">
        <v>231</v>
      </c>
      <c r="C41" s="110" t="s">
        <v>42</v>
      </c>
      <c r="D41" s="111">
        <v>28650364584</v>
      </c>
      <c r="E41" s="111">
        <v>22920291667</v>
      </c>
      <c r="F41" s="288">
        <v>0.7999999999930193</v>
      </c>
      <c r="G41" s="305">
        <f t="shared" si="4"/>
        <v>3793029807.9331026</v>
      </c>
      <c r="H41" s="308">
        <f t="shared" si="5"/>
        <v>3793029808</v>
      </c>
      <c r="I41" s="146">
        <f t="shared" si="3"/>
        <v>19127261859.066898</v>
      </c>
      <c r="J41" s="146"/>
      <c r="K41" s="146">
        <f t="shared" si="6"/>
        <v>19127261859.066898</v>
      </c>
    </row>
    <row r="42" spans="1:11" x14ac:dyDescent="0.25">
      <c r="A42" s="110" t="s">
        <v>292</v>
      </c>
      <c r="B42" s="267" t="s">
        <v>104</v>
      </c>
      <c r="C42" s="110" t="s">
        <v>105</v>
      </c>
      <c r="D42" s="111">
        <v>1056783688</v>
      </c>
      <c r="E42" s="111">
        <v>845426950</v>
      </c>
      <c r="F42" s="288">
        <v>0.79999999962149304</v>
      </c>
      <c r="G42" s="305">
        <f t="shared" si="4"/>
        <v>139907888.97319877</v>
      </c>
      <c r="H42" s="308">
        <f t="shared" si="5"/>
        <v>139907889</v>
      </c>
      <c r="I42" s="146">
        <f t="shared" si="3"/>
        <v>705519061.02680123</v>
      </c>
      <c r="J42" s="146"/>
      <c r="K42" s="146">
        <f t="shared" si="6"/>
        <v>705519061.02680123</v>
      </c>
    </row>
    <row r="43" spans="1:11" x14ac:dyDescent="0.25">
      <c r="A43" s="110" t="s">
        <v>292</v>
      </c>
      <c r="B43" s="267" t="s">
        <v>74</v>
      </c>
      <c r="C43" s="110" t="s">
        <v>529</v>
      </c>
      <c r="D43" s="111">
        <v>13261170164</v>
      </c>
      <c r="E43" s="111">
        <v>10608936131</v>
      </c>
      <c r="F43" s="288">
        <v>0.79999999998491833</v>
      </c>
      <c r="G43" s="305">
        <f t="shared" si="4"/>
        <v>1755650039.7103558</v>
      </c>
      <c r="H43" s="308">
        <f t="shared" si="5"/>
        <v>1755650040</v>
      </c>
      <c r="I43" s="146">
        <f t="shared" si="3"/>
        <v>8853286091.2896442</v>
      </c>
      <c r="J43" s="146"/>
      <c r="K43" s="146">
        <f t="shared" si="6"/>
        <v>8853286091.2896442</v>
      </c>
    </row>
    <row r="44" spans="1:11" x14ac:dyDescent="0.25">
      <c r="A44" s="110" t="s">
        <v>292</v>
      </c>
      <c r="B44" s="267" t="s">
        <v>93</v>
      </c>
      <c r="C44" s="110" t="s">
        <v>531</v>
      </c>
      <c r="D44" s="111">
        <v>30559825605</v>
      </c>
      <c r="E44" s="111">
        <v>24447860484</v>
      </c>
      <c r="F44" s="288">
        <v>0.8</v>
      </c>
      <c r="G44" s="305">
        <f t="shared" si="4"/>
        <v>4045823888.4243345</v>
      </c>
      <c r="H44" s="308">
        <f t="shared" si="5"/>
        <v>4045823888</v>
      </c>
      <c r="I44" s="146">
        <f t="shared" si="3"/>
        <v>20402036595.575665</v>
      </c>
      <c r="J44" s="146"/>
      <c r="K44" s="146">
        <f t="shared" si="6"/>
        <v>20402036595.575665</v>
      </c>
    </row>
    <row r="45" spans="1:11" x14ac:dyDescent="0.25">
      <c r="A45" s="110" t="s">
        <v>292</v>
      </c>
      <c r="B45" s="267" t="s">
        <v>111</v>
      </c>
      <c r="C45" s="110" t="s">
        <v>105</v>
      </c>
      <c r="D45" s="111">
        <v>15166043118</v>
      </c>
      <c r="E45" s="111">
        <v>12132834495</v>
      </c>
      <c r="F45" s="288">
        <v>0.80000000003956206</v>
      </c>
      <c r="G45" s="305">
        <f t="shared" si="4"/>
        <v>2007836704.8231146</v>
      </c>
      <c r="H45" s="308">
        <f t="shared" si="5"/>
        <v>2007836705</v>
      </c>
      <c r="I45" s="146">
        <f t="shared" si="3"/>
        <v>10124997790.176886</v>
      </c>
      <c r="J45" s="146"/>
      <c r="K45" s="146">
        <f t="shared" si="6"/>
        <v>10124997790.176886</v>
      </c>
    </row>
    <row r="46" spans="1:11" x14ac:dyDescent="0.25">
      <c r="A46" s="110" t="s">
        <v>292</v>
      </c>
      <c r="B46" s="267" t="s">
        <v>70</v>
      </c>
      <c r="C46" s="110" t="s">
        <v>64</v>
      </c>
      <c r="D46" s="111">
        <v>12689853033</v>
      </c>
      <c r="E46" s="111">
        <v>10151882426</v>
      </c>
      <c r="F46" s="288">
        <v>0.7999999999684787</v>
      </c>
      <c r="G46" s="305">
        <f t="shared" si="4"/>
        <v>1680013204.3647008</v>
      </c>
      <c r="H46" s="308">
        <f t="shared" si="5"/>
        <v>1680013204</v>
      </c>
      <c r="I46" s="146">
        <f t="shared" si="3"/>
        <v>8471869221.6352997</v>
      </c>
      <c r="J46" s="146"/>
      <c r="K46" s="146">
        <f t="shared" si="6"/>
        <v>8471869221.6352997</v>
      </c>
    </row>
    <row r="47" spans="1:11" x14ac:dyDescent="0.25">
      <c r="A47" s="110" t="s">
        <v>292</v>
      </c>
      <c r="B47" s="267" t="s">
        <v>102</v>
      </c>
      <c r="C47" s="110" t="s">
        <v>97</v>
      </c>
      <c r="D47" s="111">
        <v>15468988612</v>
      </c>
      <c r="E47" s="111">
        <v>12375190890</v>
      </c>
      <c r="F47" s="288">
        <v>0.80000000002585814</v>
      </c>
      <c r="G47" s="305">
        <f t="shared" si="4"/>
        <v>2047943743.7619665</v>
      </c>
      <c r="H47" s="308">
        <f t="shared" si="5"/>
        <v>2047943744</v>
      </c>
      <c r="I47" s="146">
        <f t="shared" si="3"/>
        <v>10327247146.238033</v>
      </c>
      <c r="J47" s="146"/>
      <c r="K47" s="146">
        <f t="shared" si="6"/>
        <v>10327247146.238033</v>
      </c>
    </row>
    <row r="48" spans="1:11" x14ac:dyDescent="0.25">
      <c r="A48" s="110" t="s">
        <v>292</v>
      </c>
      <c r="B48" s="267" t="s">
        <v>101</v>
      </c>
      <c r="C48" s="110" t="s">
        <v>97</v>
      </c>
      <c r="D48" s="111">
        <v>4317128253</v>
      </c>
      <c r="E48" s="111">
        <v>3453702603</v>
      </c>
      <c r="F48" s="288">
        <v>0.80000000013898132</v>
      </c>
      <c r="G48" s="305">
        <f t="shared" si="4"/>
        <v>571545821.11082637</v>
      </c>
      <c r="H48" s="308">
        <f t="shared" si="5"/>
        <v>571545821</v>
      </c>
      <c r="I48" s="146">
        <f t="shared" si="3"/>
        <v>2882156781.8891735</v>
      </c>
      <c r="J48" s="146"/>
      <c r="K48" s="146">
        <f t="shared" si="6"/>
        <v>2882156781.8891735</v>
      </c>
    </row>
    <row r="49" spans="1:11" x14ac:dyDescent="0.25">
      <c r="A49" s="110" t="s">
        <v>292</v>
      </c>
      <c r="B49" s="267" t="s">
        <v>69</v>
      </c>
      <c r="C49" s="110" t="s">
        <v>64</v>
      </c>
      <c r="D49" s="111">
        <v>26104745769</v>
      </c>
      <c r="E49" s="111">
        <v>20883796615</v>
      </c>
      <c r="F49" s="288">
        <v>0.79999999999233851</v>
      </c>
      <c r="G49" s="305">
        <f t="shared" si="4"/>
        <v>3456014618.5903869</v>
      </c>
      <c r="H49" s="308">
        <f t="shared" si="5"/>
        <v>3456014619</v>
      </c>
      <c r="I49" s="146">
        <f t="shared" si="3"/>
        <v>17427781996.409615</v>
      </c>
      <c r="J49" s="146"/>
      <c r="K49" s="146">
        <f t="shared" si="6"/>
        <v>17427781996.409615</v>
      </c>
    </row>
    <row r="50" spans="1:11" x14ac:dyDescent="0.25">
      <c r="A50" s="110" t="s">
        <v>292</v>
      </c>
      <c r="B50" s="267" t="s">
        <v>62</v>
      </c>
      <c r="C50" s="110" t="s">
        <v>81</v>
      </c>
      <c r="D50" s="111">
        <v>5024306894</v>
      </c>
      <c r="E50" s="111">
        <v>4019445515</v>
      </c>
      <c r="F50" s="288">
        <v>0.79999999996019355</v>
      </c>
      <c r="G50" s="305">
        <f t="shared" si="4"/>
        <v>665169399.72926307</v>
      </c>
      <c r="H50" s="308">
        <f t="shared" si="5"/>
        <v>665169400</v>
      </c>
      <c r="I50" s="146">
        <f t="shared" si="3"/>
        <v>3354276115.2707367</v>
      </c>
      <c r="J50" s="146"/>
      <c r="K50" s="146">
        <f t="shared" si="6"/>
        <v>3354276115.2707367</v>
      </c>
    </row>
    <row r="51" spans="1:11" x14ac:dyDescent="0.25">
      <c r="A51" s="110" t="s">
        <v>292</v>
      </c>
      <c r="B51" s="267" t="s">
        <v>115</v>
      </c>
      <c r="C51" s="110" t="s">
        <v>105</v>
      </c>
      <c r="D51" s="111">
        <v>87827580878</v>
      </c>
      <c r="E51" s="111">
        <v>70262064702</v>
      </c>
      <c r="F51" s="288">
        <v>0.79999999999544558</v>
      </c>
      <c r="G51" s="305">
        <f t="shared" si="4"/>
        <v>11627518081.077406</v>
      </c>
      <c r="H51" s="308">
        <f t="shared" si="5"/>
        <v>11627518081</v>
      </c>
      <c r="I51" s="146">
        <f t="shared" si="3"/>
        <v>58634546620.922592</v>
      </c>
      <c r="J51" s="146"/>
      <c r="K51" s="146">
        <f t="shared" si="6"/>
        <v>58634546620.922592</v>
      </c>
    </row>
    <row r="52" spans="1:11" x14ac:dyDescent="0.25">
      <c r="A52" s="110" t="s">
        <v>292</v>
      </c>
      <c r="B52" s="267" t="s">
        <v>243</v>
      </c>
      <c r="C52" s="110" t="s">
        <v>97</v>
      </c>
      <c r="D52" s="111">
        <v>303080037186</v>
      </c>
      <c r="E52" s="111">
        <v>90924011156</v>
      </c>
      <c r="F52" s="288">
        <v>0.30000000000065991</v>
      </c>
      <c r="G52" s="305">
        <f t="shared" si="4"/>
        <v>15046819193.321829</v>
      </c>
      <c r="H52" s="308">
        <f t="shared" si="5"/>
        <v>15046819193</v>
      </c>
      <c r="I52" s="146">
        <f t="shared" si="3"/>
        <v>75877191962.678177</v>
      </c>
      <c r="J52" s="146"/>
      <c r="K52" s="146">
        <f t="shared" si="6"/>
        <v>75877191962.678177</v>
      </c>
    </row>
    <row r="53" spans="1:11" x14ac:dyDescent="0.25">
      <c r="A53" s="110" t="s">
        <v>292</v>
      </c>
      <c r="B53" s="296" t="s">
        <v>61</v>
      </c>
      <c r="C53" s="297" t="s">
        <v>105</v>
      </c>
      <c r="D53" s="298">
        <v>0</v>
      </c>
      <c r="E53" s="298"/>
      <c r="F53" s="299"/>
      <c r="G53" s="305">
        <f t="shared" si="4"/>
        <v>0</v>
      </c>
      <c r="H53" s="308">
        <f t="shared" si="5"/>
        <v>0</v>
      </c>
      <c r="I53" s="300">
        <f t="shared" si="3"/>
        <v>0</v>
      </c>
      <c r="J53" s="300"/>
      <c r="K53" s="300">
        <f t="shared" si="6"/>
        <v>0</v>
      </c>
    </row>
    <row r="54" spans="1:11" x14ac:dyDescent="0.25">
      <c r="A54" s="110" t="s">
        <v>292</v>
      </c>
      <c r="B54" s="267" t="s">
        <v>71</v>
      </c>
      <c r="C54" s="110" t="s">
        <v>64</v>
      </c>
      <c r="D54" s="111">
        <v>8434954436</v>
      </c>
      <c r="E54" s="111">
        <v>6747963549</v>
      </c>
      <c r="F54" s="288">
        <v>0.80000000002371086</v>
      </c>
      <c r="G54" s="305">
        <f t="shared" si="4"/>
        <v>1116705985.0749781</v>
      </c>
      <c r="H54" s="308">
        <f t="shared" si="5"/>
        <v>1116705985</v>
      </c>
      <c r="I54" s="146">
        <f t="shared" si="3"/>
        <v>5631257563.9250221</v>
      </c>
      <c r="J54" s="146"/>
      <c r="K54" s="146">
        <f t="shared" si="6"/>
        <v>5631257563.9250221</v>
      </c>
    </row>
    <row r="55" spans="1:11" x14ac:dyDescent="0.25">
      <c r="A55" s="110" t="s">
        <v>292</v>
      </c>
      <c r="B55" s="267" t="s">
        <v>248</v>
      </c>
      <c r="C55" s="110" t="s">
        <v>530</v>
      </c>
      <c r="D55" s="111">
        <v>20271585519</v>
      </c>
      <c r="E55" s="111">
        <v>16217268415</v>
      </c>
      <c r="F55" s="288">
        <v>0.79999999999013394</v>
      </c>
      <c r="G55" s="305">
        <f t="shared" si="4"/>
        <v>2683760896.0234628</v>
      </c>
      <c r="H55" s="308">
        <f t="shared" si="5"/>
        <v>2683760896</v>
      </c>
      <c r="I55" s="146">
        <f t="shared" si="3"/>
        <v>13533507518.976538</v>
      </c>
      <c r="J55" s="146"/>
      <c r="K55" s="146">
        <f t="shared" si="6"/>
        <v>13533507518.976538</v>
      </c>
    </row>
    <row r="56" spans="1:11" x14ac:dyDescent="0.25">
      <c r="A56" s="110" t="s">
        <v>292</v>
      </c>
      <c r="B56" s="267" t="s">
        <v>60</v>
      </c>
      <c r="C56" s="110" t="s">
        <v>42</v>
      </c>
      <c r="D56" s="111">
        <v>9351773571</v>
      </c>
      <c r="E56" s="111">
        <v>7481418857</v>
      </c>
      <c r="F56" s="288">
        <v>0.80000000002138627</v>
      </c>
      <c r="G56" s="305">
        <f t="shared" si="4"/>
        <v>1238083927.6618183</v>
      </c>
      <c r="H56" s="308">
        <f t="shared" si="5"/>
        <v>1238083928</v>
      </c>
      <c r="I56" s="146">
        <f t="shared" si="3"/>
        <v>6243334929.3381815</v>
      </c>
      <c r="J56" s="146"/>
      <c r="K56" s="146">
        <f t="shared" si="6"/>
        <v>6243334929.3381815</v>
      </c>
    </row>
    <row r="57" spans="1:11" x14ac:dyDescent="0.25">
      <c r="A57" s="110" t="s">
        <v>292</v>
      </c>
      <c r="B57" s="267" t="s">
        <v>94</v>
      </c>
      <c r="C57" s="110" t="s">
        <v>531</v>
      </c>
      <c r="D57" s="111">
        <v>9746780695</v>
      </c>
      <c r="E57" s="111">
        <v>7797424556</v>
      </c>
      <c r="F57" s="288">
        <v>0.8</v>
      </c>
      <c r="G57" s="305">
        <f t="shared" si="4"/>
        <v>1290379031.6333561</v>
      </c>
      <c r="H57" s="308">
        <f t="shared" si="5"/>
        <v>1290379032</v>
      </c>
      <c r="I57" s="146">
        <f t="shared" si="3"/>
        <v>6507045524.3666439</v>
      </c>
      <c r="J57" s="146"/>
      <c r="K57" s="146">
        <f t="shared" si="6"/>
        <v>6507045524.3666439</v>
      </c>
    </row>
    <row r="58" spans="1:11" x14ac:dyDescent="0.25">
      <c r="A58" s="110" t="s">
        <v>292</v>
      </c>
      <c r="B58" s="267" t="s">
        <v>179</v>
      </c>
      <c r="C58" s="110" t="s">
        <v>529</v>
      </c>
      <c r="D58" s="111">
        <v>20154417734</v>
      </c>
      <c r="E58" s="111">
        <v>16123534187</v>
      </c>
      <c r="F58" s="288">
        <v>0.79999999999007665</v>
      </c>
      <c r="G58" s="305">
        <f t="shared" si="4"/>
        <v>2668249020.0843143</v>
      </c>
      <c r="H58" s="308">
        <f t="shared" si="5"/>
        <v>2668249020</v>
      </c>
      <c r="I58" s="146">
        <f t="shared" si="3"/>
        <v>13455285166.915686</v>
      </c>
      <c r="J58" s="146"/>
      <c r="K58" s="146">
        <f t="shared" si="6"/>
        <v>13455285166.915686</v>
      </c>
    </row>
    <row r="59" spans="1:11" x14ac:dyDescent="0.25">
      <c r="A59" s="110" t="s">
        <v>292</v>
      </c>
      <c r="B59" s="267" t="s">
        <v>72</v>
      </c>
      <c r="C59" s="110" t="s">
        <v>64</v>
      </c>
      <c r="D59" s="111">
        <v>16766435692</v>
      </c>
      <c r="E59" s="111">
        <v>13413148554</v>
      </c>
      <c r="F59" s="288">
        <v>0.80000000002385718</v>
      </c>
      <c r="G59" s="305">
        <f t="shared" si="4"/>
        <v>2219713126.8101325</v>
      </c>
      <c r="H59" s="308">
        <f t="shared" si="5"/>
        <v>2219713127</v>
      </c>
      <c r="I59" s="146">
        <f t="shared" si="3"/>
        <v>11193435427.189867</v>
      </c>
      <c r="J59" s="146"/>
      <c r="K59" s="146">
        <f t="shared" si="6"/>
        <v>11193435427.189867</v>
      </c>
    </row>
    <row r="60" spans="1:11" x14ac:dyDescent="0.25">
      <c r="A60" s="110" t="s">
        <v>292</v>
      </c>
      <c r="B60" s="267" t="s">
        <v>240</v>
      </c>
      <c r="C60" s="110" t="s">
        <v>531</v>
      </c>
      <c r="D60" s="111">
        <v>13612843031</v>
      </c>
      <c r="E60" s="111">
        <v>10890274425</v>
      </c>
      <c r="F60" s="288">
        <v>0.80000000001469196</v>
      </c>
      <c r="G60" s="305">
        <f t="shared" si="4"/>
        <v>1802208109.3352489</v>
      </c>
      <c r="H60" s="308">
        <f t="shared" si="5"/>
        <v>1802208109</v>
      </c>
      <c r="I60" s="146">
        <f t="shared" si="3"/>
        <v>9088066315.6647511</v>
      </c>
      <c r="J60" s="146"/>
      <c r="K60" s="146">
        <f t="shared" si="6"/>
        <v>9088066315.6647511</v>
      </c>
    </row>
    <row r="61" spans="1:11" ht="15.75" x14ac:dyDescent="0.25">
      <c r="A61" s="226"/>
      <c r="B61" s="223" t="s">
        <v>132</v>
      </c>
      <c r="C61" s="226"/>
      <c r="D61" s="111">
        <f>SUM(D2:D60)</f>
        <v>1095835972838</v>
      </c>
      <c r="E61" s="111">
        <f>SUM(E2:E60)</f>
        <v>725128759674.19995</v>
      </c>
      <c r="F61" s="288"/>
      <c r="G61" s="305">
        <f t="shared" si="4"/>
        <v>119999999999.72948</v>
      </c>
      <c r="H61" s="308">
        <f t="shared" si="5"/>
        <v>120000000000</v>
      </c>
      <c r="I61" s="146">
        <f>SUM(I2:I60)</f>
        <v>605128759674.47058</v>
      </c>
      <c r="J61" s="293"/>
      <c r="K61" s="146">
        <f>SUM(K2:K60)</f>
        <v>605128759674.47058</v>
      </c>
    </row>
    <row r="62" spans="1:11" x14ac:dyDescent="0.25">
      <c r="D62" s="15" t="s">
        <v>532</v>
      </c>
      <c r="E62" s="15">
        <v>725128759674.19995</v>
      </c>
      <c r="G62" s="132"/>
      <c r="H62" s="132"/>
      <c r="I62" s="132"/>
      <c r="J62" s="132"/>
      <c r="K62" s="13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workbookViewId="0">
      <selection activeCell="I11" sqref="I11"/>
    </sheetView>
  </sheetViews>
  <sheetFormatPr baseColWidth="10" defaultColWidth="11.42578125" defaultRowHeight="15" x14ac:dyDescent="0.25"/>
  <cols>
    <col min="2" max="2" width="20" bestFit="1" customWidth="1"/>
    <col min="3" max="3" width="20" customWidth="1"/>
    <col min="4" max="4" width="20" bestFit="1" customWidth="1"/>
    <col min="5" max="5" width="14" bestFit="1" customWidth="1"/>
  </cols>
  <sheetData>
    <row r="1" spans="1:5" x14ac:dyDescent="0.25">
      <c r="A1" s="725" t="s">
        <v>533</v>
      </c>
      <c r="B1" s="725"/>
      <c r="C1" s="1"/>
    </row>
    <row r="2" spans="1:5" x14ac:dyDescent="0.25">
      <c r="A2" s="291" t="s">
        <v>534</v>
      </c>
      <c r="B2" s="292">
        <v>748268223263</v>
      </c>
      <c r="C2" s="302" t="s">
        <v>535</v>
      </c>
      <c r="D2" s="307">
        <v>725128759674.19995</v>
      </c>
      <c r="E2" s="303" t="s">
        <v>536</v>
      </c>
    </row>
    <row r="3" spans="1:5" x14ac:dyDescent="0.25">
      <c r="A3" s="301">
        <v>0.16039999999999999</v>
      </c>
      <c r="B3" s="290">
        <v>120000000000</v>
      </c>
      <c r="C3" s="301">
        <v>0.16539999999999999</v>
      </c>
      <c r="D3" s="186">
        <f>+xxxx!G61</f>
        <v>119999999999.72948</v>
      </c>
      <c r="E3" s="304">
        <f>B3-D3</f>
        <v>0.2705230712890625</v>
      </c>
    </row>
  </sheetData>
  <mergeCells count="1">
    <mergeCell ref="A1:B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N6"/>
  <sheetViews>
    <sheetView topLeftCell="B1" workbookViewId="0">
      <pane xSplit="5" topLeftCell="G1" activePane="topRight" state="frozen"/>
      <selection activeCell="B1" sqref="B1"/>
      <selection pane="topRight" activeCell="AI2" sqref="AI2"/>
    </sheetView>
  </sheetViews>
  <sheetFormatPr baseColWidth="10" defaultColWidth="11.42578125" defaultRowHeight="15" x14ac:dyDescent="0.25"/>
  <cols>
    <col min="1" max="1" width="8.140625" hidden="1" customWidth="1"/>
    <col min="2" max="2" width="50" customWidth="1"/>
    <col min="3" max="3" width="14.28515625" hidden="1" customWidth="1"/>
    <col min="4" max="4" width="18" hidden="1" customWidth="1"/>
    <col min="5" max="5" width="6.28515625" hidden="1" customWidth="1"/>
    <col min="6" max="6" width="7.85546875" hidden="1" customWidth="1"/>
    <col min="7" max="8" width="15.42578125" bestFit="1" customWidth="1"/>
    <col min="9" max="9" width="21.28515625" bestFit="1" customWidth="1"/>
    <col min="11" max="11" width="8.42578125" bestFit="1" customWidth="1"/>
    <col min="12" max="12" width="13" bestFit="1" customWidth="1"/>
    <col min="13" max="13" width="15.42578125" bestFit="1" customWidth="1"/>
    <col min="16" max="16" width="14.28515625" bestFit="1" customWidth="1"/>
    <col min="21" max="21" width="18" bestFit="1" customWidth="1"/>
    <col min="22" max="22" width="15.42578125" bestFit="1" customWidth="1"/>
    <col min="24" max="25" width="16.7109375" bestFit="1" customWidth="1"/>
    <col min="39" max="39" width="18" bestFit="1" customWidth="1"/>
    <col min="40" max="40" width="12" bestFit="1" customWidth="1"/>
  </cols>
  <sheetData>
    <row r="1" spans="1:40" s="164" customFormat="1" ht="40.9" customHeight="1" x14ac:dyDescent="0.2">
      <c r="A1" s="271" t="s">
        <v>288</v>
      </c>
      <c r="B1" s="272" t="s">
        <v>5</v>
      </c>
      <c r="C1" s="271" t="s">
        <v>537</v>
      </c>
      <c r="D1" s="271" t="s">
        <v>538</v>
      </c>
      <c r="E1" s="271" t="s">
        <v>539</v>
      </c>
      <c r="F1" s="273" t="s">
        <v>540</v>
      </c>
      <c r="G1" s="273" t="s">
        <v>423</v>
      </c>
      <c r="H1" s="274" t="s">
        <v>295</v>
      </c>
      <c r="I1" s="273" t="s">
        <v>541</v>
      </c>
      <c r="J1" s="275" t="s">
        <v>425</v>
      </c>
      <c r="K1" s="273" t="s">
        <v>542</v>
      </c>
      <c r="L1" s="273" t="s">
        <v>427</v>
      </c>
      <c r="M1" s="276" t="s">
        <v>428</v>
      </c>
      <c r="N1" s="277" t="s">
        <v>332</v>
      </c>
      <c r="O1" s="278" t="s">
        <v>543</v>
      </c>
      <c r="P1" s="277" t="s">
        <v>220</v>
      </c>
      <c r="Q1" s="277" t="s">
        <v>542</v>
      </c>
      <c r="R1" s="273" t="s">
        <v>544</v>
      </c>
      <c r="S1" s="279" t="s">
        <v>431</v>
      </c>
      <c r="T1" s="275" t="s">
        <v>545</v>
      </c>
      <c r="U1" s="279" t="s">
        <v>193</v>
      </c>
      <c r="V1" s="279" t="s">
        <v>546</v>
      </c>
      <c r="W1" s="279" t="s">
        <v>547</v>
      </c>
      <c r="X1" s="280" t="s">
        <v>522</v>
      </c>
      <c r="Y1" s="281" t="s">
        <v>374</v>
      </c>
      <c r="Z1" s="281" t="s">
        <v>524</v>
      </c>
      <c r="AA1" s="281" t="s">
        <v>548</v>
      </c>
      <c r="AB1" s="280" t="s">
        <v>549</v>
      </c>
      <c r="AC1" s="280" t="s">
        <v>550</v>
      </c>
      <c r="AD1" s="280" t="s">
        <v>542</v>
      </c>
      <c r="AE1" s="280" t="s">
        <v>551</v>
      </c>
      <c r="AF1" s="282" t="s">
        <v>437</v>
      </c>
      <c r="AG1" s="280" t="s">
        <v>438</v>
      </c>
      <c r="AH1" s="283" t="s">
        <v>220</v>
      </c>
      <c r="AI1" s="275" t="s">
        <v>439</v>
      </c>
      <c r="AJ1" s="284" t="s">
        <v>440</v>
      </c>
      <c r="AK1" s="275" t="s">
        <v>552</v>
      </c>
      <c r="AL1" s="284" t="s">
        <v>373</v>
      </c>
      <c r="AM1" s="285" t="s">
        <v>553</v>
      </c>
      <c r="AN1" s="284" t="s">
        <v>554</v>
      </c>
    </row>
    <row r="2" spans="1:40" ht="19.149999999999999" customHeight="1" x14ac:dyDescent="0.25">
      <c r="A2" s="110" t="s">
        <v>297</v>
      </c>
      <c r="B2" s="268" t="s">
        <v>53</v>
      </c>
      <c r="C2" s="111">
        <v>1435390.772779701</v>
      </c>
      <c r="D2" s="113">
        <v>4816023121</v>
      </c>
      <c r="E2" s="110" t="s">
        <v>555</v>
      </c>
      <c r="F2" s="112">
        <v>0.12</v>
      </c>
      <c r="G2" s="113">
        <v>4816023121</v>
      </c>
      <c r="H2" s="252">
        <v>3852818497</v>
      </c>
      <c r="I2" s="142" t="s">
        <v>556</v>
      </c>
      <c r="J2" s="162">
        <v>45401</v>
      </c>
      <c r="K2" s="184" t="s">
        <v>151</v>
      </c>
      <c r="L2" s="184" t="s">
        <v>441</v>
      </c>
      <c r="M2" s="252">
        <v>1009375503</v>
      </c>
      <c r="N2" s="110" t="s">
        <v>67</v>
      </c>
      <c r="O2" s="110" t="s">
        <v>468</v>
      </c>
      <c r="P2" s="110" t="s">
        <v>148</v>
      </c>
      <c r="Q2" s="110" t="s">
        <v>151</v>
      </c>
      <c r="R2" s="110" t="s">
        <v>154</v>
      </c>
      <c r="S2" s="110"/>
      <c r="T2" s="110" t="s">
        <v>444</v>
      </c>
      <c r="U2" s="111">
        <v>4862194000</v>
      </c>
      <c r="V2" s="114">
        <v>-46170879</v>
      </c>
      <c r="W2" s="185">
        <v>1.0095869305109177</v>
      </c>
      <c r="X2" s="225">
        <v>5252884303</v>
      </c>
      <c r="Y2" s="228">
        <v>4202307442.4000001</v>
      </c>
      <c r="Z2" s="222">
        <v>0.8</v>
      </c>
      <c r="AA2" s="221"/>
      <c r="AB2" s="110" t="s">
        <v>154</v>
      </c>
      <c r="AC2" s="162">
        <v>45534</v>
      </c>
      <c r="AD2" s="110"/>
      <c r="AE2" s="110"/>
      <c r="AF2" s="110"/>
      <c r="AG2" s="110"/>
      <c r="AH2" s="110"/>
      <c r="AI2" s="110"/>
      <c r="AJ2" s="110"/>
      <c r="AK2" s="110"/>
      <c r="AL2" s="110"/>
      <c r="AM2" s="186">
        <v>5252884303</v>
      </c>
      <c r="AN2" s="142">
        <v>0</v>
      </c>
    </row>
    <row r="3" spans="1:40" ht="27.6" customHeight="1" x14ac:dyDescent="0.25">
      <c r="A3" s="110" t="s">
        <v>297</v>
      </c>
      <c r="B3" s="268" t="s">
        <v>184</v>
      </c>
      <c r="C3" s="111">
        <v>566624.2546086954</v>
      </c>
      <c r="D3" s="113">
        <v>146585695</v>
      </c>
      <c r="E3" s="110" t="s">
        <v>555</v>
      </c>
      <c r="F3" s="112">
        <v>0.12</v>
      </c>
      <c r="G3" s="113">
        <v>146585695</v>
      </c>
      <c r="H3" s="252">
        <v>117268556</v>
      </c>
      <c r="I3" s="142" t="s">
        <v>556</v>
      </c>
      <c r="J3" s="162">
        <v>45401</v>
      </c>
      <c r="K3" s="184" t="s">
        <v>151</v>
      </c>
      <c r="L3" s="184" t="s">
        <v>557</v>
      </c>
      <c r="M3" s="252">
        <v>53791623</v>
      </c>
      <c r="N3" s="118" t="s">
        <v>67</v>
      </c>
      <c r="O3" s="246" t="s">
        <v>558</v>
      </c>
      <c r="P3" s="118" t="s">
        <v>148</v>
      </c>
      <c r="Q3" s="110" t="s">
        <v>151</v>
      </c>
      <c r="R3" s="110" t="s">
        <v>154</v>
      </c>
      <c r="S3" s="110"/>
      <c r="T3" s="110" t="s">
        <v>444</v>
      </c>
      <c r="U3" s="111">
        <v>171060179</v>
      </c>
      <c r="V3" s="114">
        <v>-24474484</v>
      </c>
      <c r="W3" s="185">
        <v>1.1669636590391717</v>
      </c>
      <c r="X3" s="225">
        <v>198494143</v>
      </c>
      <c r="Y3" s="228">
        <v>158795314</v>
      </c>
      <c r="Z3" s="222">
        <v>0.79999999798482724</v>
      </c>
      <c r="AA3" s="221"/>
      <c r="AB3" s="110" t="s">
        <v>154</v>
      </c>
      <c r="AC3" s="162">
        <v>45534</v>
      </c>
      <c r="AD3" s="110"/>
      <c r="AE3" s="110"/>
      <c r="AF3" s="110"/>
      <c r="AG3" s="110"/>
      <c r="AH3" s="110"/>
      <c r="AI3" s="110"/>
      <c r="AJ3" s="110"/>
      <c r="AK3" s="110"/>
      <c r="AL3" s="110"/>
      <c r="AM3" s="186">
        <v>198494143</v>
      </c>
      <c r="AN3" s="142">
        <v>0</v>
      </c>
    </row>
    <row r="4" spans="1:40" ht="31.15" customHeight="1" x14ac:dyDescent="0.25">
      <c r="A4" s="110" t="s">
        <v>297</v>
      </c>
      <c r="B4" s="268" t="s">
        <v>185</v>
      </c>
      <c r="C4" s="111">
        <v>833982.35641276534</v>
      </c>
      <c r="D4" s="111">
        <v>640998839.1388514</v>
      </c>
      <c r="E4" s="110" t="s">
        <v>559</v>
      </c>
      <c r="F4" s="112">
        <v>0.1048</v>
      </c>
      <c r="G4" s="113">
        <v>640998840</v>
      </c>
      <c r="H4" s="252">
        <v>512799072</v>
      </c>
      <c r="I4" s="142" t="s">
        <v>556</v>
      </c>
      <c r="J4" s="162">
        <v>45401</v>
      </c>
      <c r="K4" s="184" t="s">
        <v>151</v>
      </c>
      <c r="L4" s="184" t="s">
        <v>560</v>
      </c>
      <c r="M4" s="286">
        <v>128199768</v>
      </c>
      <c r="N4" s="110" t="s">
        <v>2</v>
      </c>
      <c r="O4" s="110"/>
      <c r="P4" s="110"/>
      <c r="Q4" s="110"/>
      <c r="R4" s="110"/>
      <c r="S4" s="110"/>
      <c r="T4" s="110"/>
      <c r="U4" s="110"/>
      <c r="V4" s="114">
        <v>640998840</v>
      </c>
      <c r="W4" s="185">
        <v>0</v>
      </c>
      <c r="X4" s="225">
        <v>731062754</v>
      </c>
      <c r="Y4" s="228">
        <v>584850203</v>
      </c>
      <c r="Z4" s="222">
        <v>0.79999999972642566</v>
      </c>
      <c r="AA4" s="224"/>
      <c r="AB4" s="110" t="s">
        <v>154</v>
      </c>
      <c r="AC4" s="162">
        <v>45534</v>
      </c>
      <c r="AD4" s="110"/>
      <c r="AE4" s="110"/>
      <c r="AF4" s="110"/>
      <c r="AG4" s="110"/>
      <c r="AH4" s="110"/>
      <c r="AI4" s="110"/>
      <c r="AJ4" s="110"/>
      <c r="AK4" s="110"/>
      <c r="AL4" s="110"/>
      <c r="AM4" s="186">
        <v>731062754</v>
      </c>
      <c r="AN4" s="142">
        <v>0</v>
      </c>
    </row>
    <row r="5" spans="1:40" ht="25.15" customHeight="1" x14ac:dyDescent="0.25">
      <c r="A5" s="110" t="s">
        <v>297</v>
      </c>
      <c r="B5" s="268" t="s">
        <v>186</v>
      </c>
      <c r="C5" s="111">
        <v>990117.52603592852</v>
      </c>
      <c r="D5" s="111">
        <v>1826073754</v>
      </c>
      <c r="E5" s="110" t="s">
        <v>559</v>
      </c>
      <c r="F5" s="112">
        <v>0.1048</v>
      </c>
      <c r="G5" s="113">
        <v>1826073754</v>
      </c>
      <c r="H5" s="252">
        <v>1460859004</v>
      </c>
      <c r="I5" s="142" t="s">
        <v>556</v>
      </c>
      <c r="J5" s="162">
        <v>45401</v>
      </c>
      <c r="K5" s="184" t="s">
        <v>151</v>
      </c>
      <c r="L5" s="184" t="s">
        <v>561</v>
      </c>
      <c r="M5" s="252">
        <v>209668608</v>
      </c>
      <c r="N5" s="110" t="s">
        <v>67</v>
      </c>
      <c r="O5" s="110" t="s">
        <v>558</v>
      </c>
      <c r="P5" s="110" t="s">
        <v>148</v>
      </c>
      <c r="Q5" s="110" t="s">
        <v>151</v>
      </c>
      <c r="R5" s="110" t="s">
        <v>154</v>
      </c>
      <c r="S5" s="110"/>
      <c r="T5" s="110" t="s">
        <v>444</v>
      </c>
      <c r="U5" s="111">
        <v>1670527612</v>
      </c>
      <c r="V5" s="114">
        <v>155546142</v>
      </c>
      <c r="W5" s="185">
        <v>0.91481935400512848</v>
      </c>
      <c r="X5" s="225">
        <v>2305977513</v>
      </c>
      <c r="Y5" s="228">
        <v>1844782010</v>
      </c>
      <c r="Z5" s="222">
        <v>0.7999999998265378</v>
      </c>
      <c r="AA5" s="221"/>
      <c r="AB5" s="110" t="s">
        <v>154</v>
      </c>
      <c r="AC5" s="162">
        <v>45534</v>
      </c>
      <c r="AD5" s="110"/>
      <c r="AE5" s="110"/>
      <c r="AF5" s="110"/>
      <c r="AG5" s="110"/>
      <c r="AH5" s="110"/>
      <c r="AI5" s="110"/>
      <c r="AJ5" s="110"/>
      <c r="AK5" s="110"/>
      <c r="AL5" s="110"/>
      <c r="AM5" s="186">
        <v>2305977513</v>
      </c>
      <c r="AN5" s="142">
        <v>0</v>
      </c>
    </row>
    <row r="6" spans="1:40" ht="28.9" customHeight="1" x14ac:dyDescent="0.25">
      <c r="A6" s="110" t="s">
        <v>297</v>
      </c>
      <c r="B6" s="268" t="s">
        <v>90</v>
      </c>
      <c r="C6" s="111">
        <v>1147379.9636498245</v>
      </c>
      <c r="D6" s="111">
        <v>5087597496.8196869</v>
      </c>
      <c r="E6" s="110" t="s">
        <v>559</v>
      </c>
      <c r="F6" s="112">
        <v>0.1048</v>
      </c>
      <c r="G6" s="113">
        <v>5087597497</v>
      </c>
      <c r="H6" s="252">
        <v>4070077998</v>
      </c>
      <c r="I6" s="142" t="s">
        <v>556</v>
      </c>
      <c r="J6" s="162">
        <v>45401</v>
      </c>
      <c r="K6" s="184" t="s">
        <v>151</v>
      </c>
      <c r="L6" s="184" t="s">
        <v>562</v>
      </c>
      <c r="M6" s="286">
        <v>1017519499</v>
      </c>
      <c r="N6" s="110" t="s">
        <v>2</v>
      </c>
      <c r="O6" s="110"/>
      <c r="P6" s="110"/>
      <c r="Q6" s="110"/>
      <c r="R6" s="110"/>
      <c r="S6" s="110"/>
      <c r="T6" s="110"/>
      <c r="U6" s="110"/>
      <c r="V6" s="114">
        <v>5087597497</v>
      </c>
      <c r="W6" s="185">
        <v>0</v>
      </c>
      <c r="X6" s="225">
        <v>5470194522</v>
      </c>
      <c r="Y6" s="228">
        <v>4376155618</v>
      </c>
      <c r="Z6" s="222">
        <v>0.80000000007312355</v>
      </c>
      <c r="AA6" s="221"/>
      <c r="AB6" s="110" t="s">
        <v>154</v>
      </c>
      <c r="AC6" s="162">
        <v>45534</v>
      </c>
      <c r="AD6" s="110"/>
      <c r="AE6" s="110"/>
      <c r="AF6" s="110"/>
      <c r="AG6" s="110"/>
      <c r="AH6" s="110"/>
      <c r="AI6" s="110"/>
      <c r="AJ6" s="110"/>
      <c r="AK6" s="110"/>
      <c r="AL6" s="110"/>
      <c r="AM6" s="186">
        <v>5470194522</v>
      </c>
      <c r="AN6" s="142">
        <v>0</v>
      </c>
    </row>
  </sheetData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684397CE-EC76-4BBB-A0DA-4F0DD85160BA}">
            <xm:f>NOT(ISERROR(SEARCH(LISTAS!$A$19,N2)))</xm:f>
            <xm:f>LISTAS!$A$19</xm:f>
            <x14:dxf>
              <fill>
                <patternFill>
                  <bgColor rgb="FFFF0000"/>
                </patternFill>
              </fill>
            </x14:dxf>
          </x14:cfRule>
          <x14:cfRule type="containsText" priority="3" operator="containsText" id="{741D77D1-AB01-4B7B-B72C-1441F624371A}">
            <xm:f>NOT(ISERROR(SEARCH(LISTAS!$A$18,N2)))</xm:f>
            <xm:f>LISTAS!$A$18</xm:f>
            <x14:dxf>
              <fill>
                <patternFill>
                  <bgColor theme="7" tint="0.59996337778862885"/>
                </patternFill>
              </fill>
            </x14:dxf>
          </x14:cfRule>
          <x14:cfRule type="containsText" priority="4" operator="containsText" id="{185459C8-BDBD-4F58-AF17-E92D11B3AAC4}">
            <xm:f>NOT(ISERROR(SEARCH(LISTAS!$A$17,N2)))</xm:f>
            <xm:f>LISTAS!$A$17</xm:f>
            <x14:dxf>
              <fill>
                <patternFill>
                  <bgColor theme="5" tint="0.59996337778862885"/>
                </patternFill>
              </fill>
            </x14:dxf>
          </x14:cfRule>
          <x14:cfRule type="containsText" priority="5" operator="containsText" id="{4D22F9C4-83CB-4979-8CF0-AB71A86880B1}">
            <xm:f>NOT(ISERROR(SEARCH(LISTAS!$A$16,N2)))</xm:f>
            <xm:f>LISTAS!$A$16</xm:f>
            <x14:dxf>
              <fill>
                <patternFill>
                  <bgColor rgb="FF00B050"/>
                </patternFill>
              </fill>
            </x14:dxf>
          </x14:cfRule>
          <xm:sqref>N2:O6 AG2:AG6</xm:sqref>
        </x14:conditionalFormatting>
        <x14:conditionalFormatting xmlns:xm="http://schemas.microsoft.com/office/excel/2006/main">
          <x14:cfRule type="containsText" priority="1" operator="containsText" id="{21001CFF-4E8E-4BB5-94DB-97FB2C2515AF}">
            <xm:f>NOT(ISERROR(SEARCH('Lista elegible'!$A$5,N2)))</xm:f>
            <xm:f>'Lista elegible'!$A$5</xm:f>
            <x14:dxf>
              <fill>
                <patternFill>
                  <bgColor rgb="FFFDFD35"/>
                </patternFill>
              </fill>
            </x14:dxf>
          </x14:cfRule>
          <xm:sqref>N2:O6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1000-000000000000}">
          <x14:formula1>
            <xm:f>LISTAS!$A$4:$A$5</xm:f>
          </x14:formula1>
          <xm:sqref>K2:K6 Q2:Q6 AD2:AD6</xm:sqref>
        </x14:dataValidation>
        <x14:dataValidation type="list" allowBlank="1" showInputMessage="1" showErrorMessage="1" xr:uid="{00000000-0002-0000-1000-000001000000}">
          <x14:formula1>
            <xm:f>'Lista elegible'!$A$1:$A$5</xm:f>
          </x14:formula1>
          <xm:sqref>N2:N6</xm:sqref>
        </x14:dataValidation>
        <x14:dataValidation type="list" allowBlank="1" showInputMessage="1" showErrorMessage="1" xr:uid="{00000000-0002-0000-1000-000002000000}">
          <x14:formula1>
            <xm:f>LISTAS!$A$1:$A$2</xm:f>
          </x14:formula1>
          <xm:sqref>P2:P6 AH2:AH6</xm:sqref>
        </x14:dataValidation>
        <x14:dataValidation type="list" allowBlank="1" showInputMessage="1" showErrorMessage="1" xr:uid="{00000000-0002-0000-1000-000003000000}">
          <x14:formula1>
            <xm:f>LISTAS!$A$8:$A$13</xm:f>
          </x14:formula1>
          <xm:sqref>R2:R6 AB2:AB6</xm:sqref>
        </x14:dataValidation>
        <x14:dataValidation type="list" allowBlank="1" showInputMessage="1" showErrorMessage="1" xr:uid="{00000000-0002-0000-1000-000004000000}">
          <x14:formula1>
            <xm:f>LISTAS!$A$16:$A$19</xm:f>
          </x14:formula1>
          <xm:sqref>AG2:AG6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C61C1C"/>
  </sheetPr>
  <dimension ref="A1:B13"/>
  <sheetViews>
    <sheetView workbookViewId="0">
      <selection activeCell="D15" sqref="D15"/>
    </sheetView>
  </sheetViews>
  <sheetFormatPr baseColWidth="10" defaultColWidth="11.42578125" defaultRowHeight="15" x14ac:dyDescent="0.25"/>
  <cols>
    <col min="1" max="1" width="37.7109375" bestFit="1" customWidth="1"/>
  </cols>
  <sheetData>
    <row r="1" spans="1:2" x14ac:dyDescent="0.25">
      <c r="A1" s="726" t="s">
        <v>563</v>
      </c>
      <c r="B1" s="726"/>
    </row>
    <row r="2" spans="1:2" x14ac:dyDescent="0.25">
      <c r="A2" s="726"/>
      <c r="B2" s="726"/>
    </row>
    <row r="3" spans="1:2" x14ac:dyDescent="0.25">
      <c r="A3" s="110" t="s">
        <v>564</v>
      </c>
      <c r="B3" s="110">
        <v>5</v>
      </c>
    </row>
    <row r="4" spans="1:2" x14ac:dyDescent="0.25">
      <c r="A4" s="110" t="s">
        <v>565</v>
      </c>
      <c r="B4" s="110">
        <v>13</v>
      </c>
    </row>
    <row r="5" spans="1:2" x14ac:dyDescent="0.25">
      <c r="A5" s="110" t="s">
        <v>566</v>
      </c>
      <c r="B5" s="110">
        <v>12</v>
      </c>
    </row>
    <row r="6" spans="1:2" x14ac:dyDescent="0.25">
      <c r="A6" s="269" t="s">
        <v>132</v>
      </c>
      <c r="B6" s="269">
        <f>SUM(B3:B5)</f>
        <v>30</v>
      </c>
    </row>
    <row r="8" spans="1:2" x14ac:dyDescent="0.25">
      <c r="A8" s="726" t="s">
        <v>567</v>
      </c>
      <c r="B8" s="726"/>
    </row>
    <row r="9" spans="1:2" x14ac:dyDescent="0.25">
      <c r="A9" s="726"/>
      <c r="B9" s="726"/>
    </row>
    <row r="10" spans="1:2" x14ac:dyDescent="0.25">
      <c r="A10" s="110" t="s">
        <v>564</v>
      </c>
      <c r="B10" s="110">
        <v>4</v>
      </c>
    </row>
    <row r="11" spans="1:2" x14ac:dyDescent="0.25">
      <c r="A11" s="110" t="s">
        <v>565</v>
      </c>
      <c r="B11" s="110">
        <v>13</v>
      </c>
    </row>
    <row r="12" spans="1:2" x14ac:dyDescent="0.25">
      <c r="A12" s="110" t="s">
        <v>566</v>
      </c>
      <c r="B12" s="110">
        <v>17</v>
      </c>
    </row>
    <row r="13" spans="1:2" x14ac:dyDescent="0.25">
      <c r="A13" s="269" t="s">
        <v>132</v>
      </c>
      <c r="B13" s="269">
        <f>SUM(B10:B12)</f>
        <v>34</v>
      </c>
    </row>
  </sheetData>
  <mergeCells count="2">
    <mergeCell ref="A1:B2"/>
    <mergeCell ref="A8:B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D8"/>
  <sheetViews>
    <sheetView workbookViewId="0">
      <selection activeCell="B2" sqref="B2:D8"/>
    </sheetView>
  </sheetViews>
  <sheetFormatPr baseColWidth="10" defaultColWidth="11.42578125" defaultRowHeight="15" x14ac:dyDescent="0.25"/>
  <cols>
    <col min="3" max="3" width="72.7109375" bestFit="1" customWidth="1"/>
  </cols>
  <sheetData>
    <row r="1" spans="2:4" x14ac:dyDescent="0.25">
      <c r="B1" s="265"/>
      <c r="C1" s="265"/>
      <c r="D1" s="265"/>
    </row>
    <row r="2" spans="2:4" ht="25.5" x14ac:dyDescent="0.25">
      <c r="B2" s="264" t="s">
        <v>133</v>
      </c>
      <c r="C2" s="264" t="s">
        <v>134</v>
      </c>
      <c r="D2" s="264" t="s">
        <v>135</v>
      </c>
    </row>
    <row r="3" spans="2:4" ht="24.75" x14ac:dyDescent="0.25">
      <c r="B3" s="263">
        <v>1</v>
      </c>
      <c r="C3" s="261" t="s">
        <v>136</v>
      </c>
      <c r="D3" s="259"/>
    </row>
    <row r="4" spans="2:4" ht="24.75" x14ac:dyDescent="0.25">
      <c r="B4" s="263">
        <v>2</v>
      </c>
      <c r="C4" s="261" t="s">
        <v>137</v>
      </c>
      <c r="D4" s="259"/>
    </row>
    <row r="5" spans="2:4" ht="36.75" x14ac:dyDescent="0.25">
      <c r="B5" s="263">
        <v>3</v>
      </c>
      <c r="C5" s="261" t="s">
        <v>138</v>
      </c>
      <c r="D5" s="259"/>
    </row>
    <row r="6" spans="2:4" ht="48.75" x14ac:dyDescent="0.25">
      <c r="B6" s="263">
        <v>4</v>
      </c>
      <c r="C6" s="262" t="s">
        <v>139</v>
      </c>
      <c r="D6" s="260"/>
    </row>
    <row r="7" spans="2:4" ht="48.75" x14ac:dyDescent="0.25">
      <c r="B7" s="263">
        <v>5</v>
      </c>
      <c r="C7" s="261" t="s">
        <v>568</v>
      </c>
      <c r="D7" s="259"/>
    </row>
    <row r="8" spans="2:4" ht="36.75" x14ac:dyDescent="0.25">
      <c r="B8" s="263">
        <v>6</v>
      </c>
      <c r="C8" s="261" t="s">
        <v>141</v>
      </c>
      <c r="D8" s="259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8"/>
  <sheetViews>
    <sheetView workbookViewId="0">
      <selection sqref="A1:C8"/>
    </sheetView>
  </sheetViews>
  <sheetFormatPr baseColWidth="10" defaultColWidth="11.42578125" defaultRowHeight="15" x14ac:dyDescent="0.25"/>
  <cols>
    <col min="2" max="2" width="90.42578125" customWidth="1"/>
  </cols>
  <sheetData>
    <row r="1" spans="1:3" ht="30" x14ac:dyDescent="0.25">
      <c r="A1" s="248" t="s">
        <v>133</v>
      </c>
      <c r="B1" s="248" t="s">
        <v>134</v>
      </c>
      <c r="C1" s="248" t="s">
        <v>135</v>
      </c>
    </row>
    <row r="2" spans="1:3" s="183" customFormat="1" ht="25.5" x14ac:dyDescent="0.2">
      <c r="A2" s="249">
        <v>1</v>
      </c>
      <c r="B2" s="250" t="s">
        <v>136</v>
      </c>
      <c r="C2" s="251"/>
    </row>
    <row r="3" spans="1:3" s="183" customFormat="1" ht="38.25" x14ac:dyDescent="0.2">
      <c r="A3" s="249">
        <v>2</v>
      </c>
      <c r="B3" s="250" t="s">
        <v>569</v>
      </c>
      <c r="C3" s="251"/>
    </row>
    <row r="4" spans="1:3" s="183" customFormat="1" ht="25.5" x14ac:dyDescent="0.2">
      <c r="A4" s="249">
        <v>3</v>
      </c>
      <c r="B4" s="250" t="s">
        <v>570</v>
      </c>
      <c r="C4" s="251"/>
    </row>
    <row r="5" spans="1:3" s="183" customFormat="1" ht="51" x14ac:dyDescent="0.2">
      <c r="A5" s="249">
        <v>4</v>
      </c>
      <c r="B5" s="250" t="s">
        <v>139</v>
      </c>
      <c r="C5" s="251"/>
    </row>
    <row r="6" spans="1:3" s="183" customFormat="1" ht="51" x14ac:dyDescent="0.2">
      <c r="A6" s="249">
        <v>5</v>
      </c>
      <c r="B6" s="250" t="s">
        <v>571</v>
      </c>
      <c r="C6" s="251"/>
    </row>
    <row r="7" spans="1:3" s="183" customFormat="1" ht="38.25" x14ac:dyDescent="0.2">
      <c r="A7" s="249">
        <v>6</v>
      </c>
      <c r="B7" s="250" t="s">
        <v>572</v>
      </c>
      <c r="C7" s="251"/>
    </row>
    <row r="8" spans="1:3" s="183" customFormat="1" ht="38.25" x14ac:dyDescent="0.2">
      <c r="A8" s="249">
        <v>7</v>
      </c>
      <c r="B8" s="250" t="s">
        <v>573</v>
      </c>
      <c r="C8" s="25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61C1C"/>
  </sheetPr>
  <dimension ref="A2:B8"/>
  <sheetViews>
    <sheetView workbookViewId="0">
      <selection activeCell="E11" sqref="E11"/>
    </sheetView>
  </sheetViews>
  <sheetFormatPr baseColWidth="10" defaultColWidth="11.42578125" defaultRowHeight="15" x14ac:dyDescent="0.25"/>
  <cols>
    <col min="1" max="1" width="42.7109375" bestFit="1" customWidth="1"/>
    <col min="2" max="2" width="19.140625" bestFit="1" customWidth="1"/>
    <col min="3" max="3" width="17.28515625" bestFit="1" customWidth="1"/>
  </cols>
  <sheetData>
    <row r="2" spans="1:2" x14ac:dyDescent="0.25">
      <c r="A2" s="242" t="s">
        <v>127</v>
      </c>
      <c r="B2" s="245">
        <v>229701643861.44</v>
      </c>
    </row>
    <row r="3" spans="1:2" x14ac:dyDescent="0.25">
      <c r="A3" s="242" t="s">
        <v>128</v>
      </c>
      <c r="B3" s="245">
        <v>393850604</v>
      </c>
    </row>
    <row r="4" spans="1:2" x14ac:dyDescent="0.25">
      <c r="A4" s="242" t="s">
        <v>129</v>
      </c>
      <c r="B4" s="245">
        <v>20987932990</v>
      </c>
    </row>
    <row r="5" spans="1:2" x14ac:dyDescent="0.25">
      <c r="A5" s="242" t="s">
        <v>130</v>
      </c>
      <c r="B5" s="245">
        <v>2418555001</v>
      </c>
    </row>
    <row r="6" spans="1:2" x14ac:dyDescent="0.25">
      <c r="A6" s="242" t="s">
        <v>131</v>
      </c>
      <c r="B6" s="245">
        <v>2791722647.2199998</v>
      </c>
    </row>
    <row r="7" spans="1:2" x14ac:dyDescent="0.25">
      <c r="A7" s="242" t="s">
        <v>132</v>
      </c>
      <c r="B7" s="309">
        <f>B2-B3-B4-B5-B6</f>
        <v>203109582619.22</v>
      </c>
    </row>
    <row r="8" spans="1:2" x14ac:dyDescent="0.25">
      <c r="A8" s="243"/>
      <c r="B8" s="244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64"/>
  <sheetViews>
    <sheetView topLeftCell="A40" workbookViewId="0">
      <selection activeCell="D52" sqref="D52"/>
    </sheetView>
  </sheetViews>
  <sheetFormatPr baseColWidth="10" defaultColWidth="11.42578125" defaultRowHeight="15" x14ac:dyDescent="0.25"/>
  <cols>
    <col min="1" max="1" width="95.140625" bestFit="1" customWidth="1"/>
    <col min="2" max="2" width="22" style="29" bestFit="1" customWidth="1"/>
    <col min="3" max="3" width="20.28515625" style="29" bestFit="1" customWidth="1"/>
    <col min="5" max="5" width="59.85546875" bestFit="1" customWidth="1"/>
    <col min="6" max="6" width="22" bestFit="1" customWidth="1"/>
    <col min="7" max="7" width="20.28515625" bestFit="1" customWidth="1"/>
  </cols>
  <sheetData>
    <row r="1" spans="1:7" ht="36" x14ac:dyDescent="0.25">
      <c r="A1" s="229" t="s">
        <v>5</v>
      </c>
      <c r="B1" s="233" t="s">
        <v>522</v>
      </c>
      <c r="C1" s="233" t="s">
        <v>374</v>
      </c>
      <c r="E1" s="229" t="s">
        <v>5</v>
      </c>
      <c r="F1" s="233" t="s">
        <v>522</v>
      </c>
      <c r="G1" s="233" t="s">
        <v>374</v>
      </c>
    </row>
    <row r="2" spans="1:7" x14ac:dyDescent="0.25">
      <c r="A2" s="110" t="s">
        <v>195</v>
      </c>
      <c r="B2" s="234">
        <v>906184254</v>
      </c>
      <c r="C2" s="234">
        <v>724947403</v>
      </c>
      <c r="E2" s="110" t="s">
        <v>66</v>
      </c>
      <c r="F2" s="237">
        <v>44064378709</v>
      </c>
      <c r="G2" s="237">
        <v>35251502967</v>
      </c>
    </row>
    <row r="3" spans="1:7" x14ac:dyDescent="0.25">
      <c r="A3" s="110" t="s">
        <v>83</v>
      </c>
      <c r="B3" s="234">
        <v>7291528491</v>
      </c>
      <c r="C3" s="234">
        <v>5833222793</v>
      </c>
      <c r="E3" s="110" t="s">
        <v>378</v>
      </c>
      <c r="F3" s="237">
        <v>541057640</v>
      </c>
      <c r="G3" s="237">
        <v>432846112</v>
      </c>
    </row>
    <row r="4" spans="1:7" x14ac:dyDescent="0.25">
      <c r="A4" s="110" t="s">
        <v>123</v>
      </c>
      <c r="B4" s="234">
        <v>2542664385</v>
      </c>
      <c r="C4" s="234">
        <v>2034131508</v>
      </c>
      <c r="E4" s="110" t="s">
        <v>88</v>
      </c>
      <c r="F4" s="237">
        <v>17146145454</v>
      </c>
      <c r="G4" s="237">
        <v>13716916363</v>
      </c>
    </row>
    <row r="5" spans="1:7" x14ac:dyDescent="0.25">
      <c r="A5" s="110" t="s">
        <v>92</v>
      </c>
      <c r="B5" s="234">
        <v>1954222319</v>
      </c>
      <c r="C5" s="234">
        <v>1563377855</v>
      </c>
      <c r="E5" s="110" t="s">
        <v>76</v>
      </c>
      <c r="F5" s="237">
        <v>7531691967</v>
      </c>
      <c r="G5" s="237">
        <v>6025353574</v>
      </c>
    </row>
    <row r="6" spans="1:7" x14ac:dyDescent="0.25">
      <c r="A6" s="110" t="s">
        <v>106</v>
      </c>
      <c r="B6" s="234">
        <v>14774803852</v>
      </c>
      <c r="C6" s="234">
        <v>11819843082</v>
      </c>
      <c r="E6" s="110" t="s">
        <v>121</v>
      </c>
      <c r="F6" s="237">
        <v>16043120454</v>
      </c>
      <c r="G6" s="237">
        <v>12834496363</v>
      </c>
    </row>
    <row r="7" spans="1:7" x14ac:dyDescent="0.25">
      <c r="A7" s="110" t="s">
        <v>298</v>
      </c>
      <c r="B7" s="234">
        <v>1926201681</v>
      </c>
      <c r="C7" s="234">
        <v>1540961345</v>
      </c>
      <c r="E7" s="110" t="s">
        <v>96</v>
      </c>
      <c r="F7" s="237">
        <v>9160268899</v>
      </c>
      <c r="G7" s="237">
        <v>7328215119</v>
      </c>
    </row>
    <row r="8" spans="1:7" x14ac:dyDescent="0.25">
      <c r="A8" s="232" t="s">
        <v>53</v>
      </c>
      <c r="B8" s="234">
        <v>5252884303</v>
      </c>
      <c r="C8" s="235">
        <v>4202307442.4000001</v>
      </c>
      <c r="E8" s="110" t="s">
        <v>116</v>
      </c>
      <c r="F8" s="237">
        <v>7938190824</v>
      </c>
      <c r="G8" s="237">
        <v>6350552659</v>
      </c>
    </row>
    <row r="9" spans="1:7" x14ac:dyDescent="0.25">
      <c r="A9" s="110" t="s">
        <v>107</v>
      </c>
      <c r="B9" s="234">
        <v>49490632861</v>
      </c>
      <c r="C9" s="234">
        <v>39592506289</v>
      </c>
      <c r="E9" s="110" t="s">
        <v>50</v>
      </c>
      <c r="F9" s="237">
        <v>20641784171</v>
      </c>
      <c r="G9" s="237">
        <v>16513427336</v>
      </c>
    </row>
    <row r="10" spans="1:7" x14ac:dyDescent="0.25">
      <c r="A10" s="110" t="s">
        <v>120</v>
      </c>
      <c r="B10" s="234">
        <v>2243379775</v>
      </c>
      <c r="C10" s="234">
        <v>1794703820</v>
      </c>
      <c r="E10" s="110" t="s">
        <v>79</v>
      </c>
      <c r="F10" s="237">
        <v>5595187767</v>
      </c>
      <c r="G10" s="237">
        <v>4476150213</v>
      </c>
    </row>
    <row r="11" spans="1:7" x14ac:dyDescent="0.25">
      <c r="A11" s="110" t="s">
        <v>249</v>
      </c>
      <c r="B11" s="234">
        <v>18353219593</v>
      </c>
      <c r="C11" s="234">
        <v>14682575674</v>
      </c>
      <c r="E11" s="110" t="s">
        <v>7</v>
      </c>
      <c r="F11" s="237">
        <v>5605997932</v>
      </c>
      <c r="G11" s="237">
        <v>4484798346</v>
      </c>
    </row>
    <row r="12" spans="1:7" x14ac:dyDescent="0.25">
      <c r="A12" s="110" t="s">
        <v>80</v>
      </c>
      <c r="B12" s="234">
        <v>11647950424</v>
      </c>
      <c r="C12" s="234">
        <v>9318360339</v>
      </c>
      <c r="E12" s="110" t="s">
        <v>100</v>
      </c>
      <c r="F12" s="237">
        <v>35084647327</v>
      </c>
      <c r="G12" s="237">
        <v>28067717861</v>
      </c>
    </row>
    <row r="13" spans="1:7" x14ac:dyDescent="0.25">
      <c r="A13" s="110" t="s">
        <v>239</v>
      </c>
      <c r="B13" s="234">
        <v>19532680000</v>
      </c>
      <c r="C13" s="234">
        <v>15626144000</v>
      </c>
      <c r="E13" s="110" t="s">
        <v>98</v>
      </c>
      <c r="F13" s="237">
        <v>8279161250</v>
      </c>
      <c r="G13" s="237">
        <v>6623329000</v>
      </c>
    </row>
    <row r="14" spans="1:7" x14ac:dyDescent="0.25">
      <c r="A14" s="110" t="s">
        <v>166</v>
      </c>
      <c r="B14" s="234">
        <v>6466508562</v>
      </c>
      <c r="C14" s="234">
        <v>5173206849</v>
      </c>
      <c r="E14" s="110" t="s">
        <v>122</v>
      </c>
      <c r="F14" s="237">
        <v>7436993645</v>
      </c>
      <c r="G14" s="237">
        <v>5949594916</v>
      </c>
    </row>
    <row r="15" spans="1:7" x14ac:dyDescent="0.25">
      <c r="A15" s="110" t="s">
        <v>85</v>
      </c>
      <c r="B15" s="234">
        <v>11128362876</v>
      </c>
      <c r="C15" s="234">
        <v>8902690301</v>
      </c>
      <c r="E15" s="110" t="s">
        <v>125</v>
      </c>
      <c r="F15" s="237">
        <v>8259929655</v>
      </c>
      <c r="G15" s="237">
        <v>6607943724</v>
      </c>
    </row>
    <row r="16" spans="1:7" x14ac:dyDescent="0.25">
      <c r="A16" s="110" t="s">
        <v>114</v>
      </c>
      <c r="B16" s="234">
        <v>5570617211</v>
      </c>
      <c r="C16" s="234">
        <v>4456493768</v>
      </c>
      <c r="E16" s="110" t="s">
        <v>231</v>
      </c>
      <c r="F16" s="237">
        <v>28650364584</v>
      </c>
      <c r="G16" s="237">
        <v>22920291667</v>
      </c>
    </row>
    <row r="17" spans="1:7" x14ac:dyDescent="0.25">
      <c r="A17" s="110" t="s">
        <v>108</v>
      </c>
      <c r="B17" s="234">
        <v>1671655358</v>
      </c>
      <c r="C17" s="234">
        <v>1337324286</v>
      </c>
      <c r="E17" s="110" t="s">
        <v>104</v>
      </c>
      <c r="F17" s="237">
        <v>1056783688</v>
      </c>
      <c r="G17" s="237">
        <v>845426950</v>
      </c>
    </row>
    <row r="18" spans="1:7" x14ac:dyDescent="0.25">
      <c r="A18" s="110" t="s">
        <v>229</v>
      </c>
      <c r="B18" s="234">
        <v>4826782156</v>
      </c>
      <c r="C18" s="234">
        <v>3861425725</v>
      </c>
      <c r="E18" s="110" t="s">
        <v>74</v>
      </c>
      <c r="F18" s="237">
        <v>13261170164</v>
      </c>
      <c r="G18" s="237">
        <v>10608936131</v>
      </c>
    </row>
    <row r="19" spans="1:7" x14ac:dyDescent="0.25">
      <c r="A19" s="232" t="s">
        <v>184</v>
      </c>
      <c r="B19" s="234">
        <v>198494143</v>
      </c>
      <c r="C19" s="235">
        <v>158795314</v>
      </c>
      <c r="E19" s="110" t="s">
        <v>93</v>
      </c>
      <c r="F19" s="237">
        <v>30559825605</v>
      </c>
      <c r="G19" s="237">
        <v>24447860484</v>
      </c>
    </row>
    <row r="20" spans="1:7" x14ac:dyDescent="0.25">
      <c r="A20" s="232" t="s">
        <v>185</v>
      </c>
      <c r="B20" s="234">
        <v>731062754</v>
      </c>
      <c r="C20" s="235">
        <v>584850203</v>
      </c>
      <c r="E20" s="110" t="s">
        <v>111</v>
      </c>
      <c r="F20" s="237">
        <v>15166043118</v>
      </c>
      <c r="G20" s="237">
        <v>12132834495</v>
      </c>
    </row>
    <row r="21" spans="1:7" x14ac:dyDescent="0.25">
      <c r="A21" s="110" t="s">
        <v>242</v>
      </c>
      <c r="B21" s="234">
        <v>1700678669</v>
      </c>
      <c r="C21" s="234">
        <v>1360542935.2</v>
      </c>
      <c r="E21" s="110" t="s">
        <v>70</v>
      </c>
      <c r="F21" s="237">
        <v>12689853033</v>
      </c>
      <c r="G21" s="237">
        <v>10151882426</v>
      </c>
    </row>
    <row r="22" spans="1:7" x14ac:dyDescent="0.25">
      <c r="A22" s="110" t="s">
        <v>196</v>
      </c>
      <c r="B22" s="234">
        <v>2570382353</v>
      </c>
      <c r="C22" s="234">
        <v>2056305882</v>
      </c>
      <c r="E22" s="110" t="s">
        <v>102</v>
      </c>
      <c r="F22" s="237">
        <v>15468988612</v>
      </c>
      <c r="G22" s="237">
        <v>12375190890</v>
      </c>
    </row>
    <row r="23" spans="1:7" x14ac:dyDescent="0.25">
      <c r="A23" s="232" t="s">
        <v>186</v>
      </c>
      <c r="B23" s="234">
        <v>2305977513</v>
      </c>
      <c r="C23" s="235">
        <v>1844782010</v>
      </c>
      <c r="E23" s="110" t="s">
        <v>101</v>
      </c>
      <c r="F23" s="237">
        <v>4317128253</v>
      </c>
      <c r="G23" s="237">
        <v>3453702603</v>
      </c>
    </row>
    <row r="24" spans="1:7" x14ac:dyDescent="0.25">
      <c r="A24" s="110" t="s">
        <v>126</v>
      </c>
      <c r="B24" s="234">
        <v>2310953185</v>
      </c>
      <c r="C24" s="234">
        <v>1848762548</v>
      </c>
      <c r="E24" s="110" t="s">
        <v>69</v>
      </c>
      <c r="F24" s="237">
        <v>26104745769</v>
      </c>
      <c r="G24" s="237">
        <v>20883796615</v>
      </c>
    </row>
    <row r="25" spans="1:7" x14ac:dyDescent="0.25">
      <c r="A25" s="110" t="s">
        <v>86</v>
      </c>
      <c r="B25" s="234">
        <v>22172104761</v>
      </c>
      <c r="C25" s="234">
        <v>17737683809</v>
      </c>
      <c r="E25" s="110" t="s">
        <v>62</v>
      </c>
      <c r="F25" s="237">
        <v>5024306894</v>
      </c>
      <c r="G25" s="237">
        <v>4019445515</v>
      </c>
    </row>
    <row r="26" spans="1:7" x14ac:dyDescent="0.25">
      <c r="A26" s="232" t="s">
        <v>90</v>
      </c>
      <c r="B26" s="234">
        <v>5470194522</v>
      </c>
      <c r="C26" s="235">
        <v>4376155618</v>
      </c>
      <c r="E26" s="110" t="s">
        <v>115</v>
      </c>
      <c r="F26" s="237">
        <v>87827580878</v>
      </c>
      <c r="G26" s="237">
        <v>70262064702</v>
      </c>
    </row>
    <row r="27" spans="1:7" x14ac:dyDescent="0.25">
      <c r="A27" s="110" t="s">
        <v>63</v>
      </c>
      <c r="B27" s="234">
        <v>5751296204</v>
      </c>
      <c r="C27" s="234">
        <v>4601036963</v>
      </c>
      <c r="E27" s="110" t="s">
        <v>243</v>
      </c>
      <c r="F27" s="237">
        <v>303080037186</v>
      </c>
      <c r="G27" s="237">
        <v>90924011156</v>
      </c>
    </row>
    <row r="28" spans="1:7" x14ac:dyDescent="0.25">
      <c r="A28" s="110" t="s">
        <v>89</v>
      </c>
      <c r="B28" s="234">
        <v>11036024063</v>
      </c>
      <c r="C28" s="234">
        <v>8828819250</v>
      </c>
      <c r="E28" s="110" t="s">
        <v>71</v>
      </c>
      <c r="F28" s="237">
        <v>8434954436</v>
      </c>
      <c r="G28" s="237">
        <v>6747963549</v>
      </c>
    </row>
    <row r="29" spans="1:7" x14ac:dyDescent="0.25">
      <c r="A29" s="110" t="s">
        <v>87</v>
      </c>
      <c r="B29" s="234">
        <v>32399955377</v>
      </c>
      <c r="C29" s="234">
        <v>25919964302</v>
      </c>
      <c r="E29" s="110" t="s">
        <v>248</v>
      </c>
      <c r="F29" s="237">
        <v>20271585519</v>
      </c>
      <c r="G29" s="237">
        <v>16217268415</v>
      </c>
    </row>
    <row r="30" spans="1:7" x14ac:dyDescent="0.25">
      <c r="A30" s="110" t="s">
        <v>113</v>
      </c>
      <c r="B30" s="234">
        <v>22693010272</v>
      </c>
      <c r="C30" s="234">
        <v>18154408218</v>
      </c>
      <c r="E30" s="110" t="s">
        <v>60</v>
      </c>
      <c r="F30" s="237">
        <v>9351773571</v>
      </c>
      <c r="G30" s="237">
        <v>7481418857</v>
      </c>
    </row>
    <row r="31" spans="1:7" x14ac:dyDescent="0.25">
      <c r="A31" s="110" t="s">
        <v>66</v>
      </c>
      <c r="B31" s="234">
        <v>44064378709</v>
      </c>
      <c r="C31" s="234">
        <v>35251502967</v>
      </c>
      <c r="E31" s="110" t="s">
        <v>94</v>
      </c>
      <c r="F31" s="237">
        <v>9746780695</v>
      </c>
      <c r="G31" s="237">
        <v>7797424556</v>
      </c>
    </row>
    <row r="32" spans="1:7" x14ac:dyDescent="0.25">
      <c r="A32" s="110" t="s">
        <v>378</v>
      </c>
      <c r="B32" s="234">
        <v>541057640</v>
      </c>
      <c r="C32" s="234">
        <v>432846112</v>
      </c>
      <c r="E32" s="110" t="s">
        <v>179</v>
      </c>
      <c r="F32" s="237">
        <v>20154417734</v>
      </c>
      <c r="G32" s="237">
        <v>16123534187</v>
      </c>
    </row>
    <row r="33" spans="1:7" x14ac:dyDescent="0.25">
      <c r="A33" s="110" t="s">
        <v>88</v>
      </c>
      <c r="B33" s="234">
        <v>17146145454</v>
      </c>
      <c r="C33" s="234">
        <v>13716916363</v>
      </c>
      <c r="E33" s="110" t="s">
        <v>72</v>
      </c>
      <c r="F33" s="237">
        <v>16766435692</v>
      </c>
      <c r="G33" s="237">
        <v>13413148554</v>
      </c>
    </row>
    <row r="34" spans="1:7" x14ac:dyDescent="0.25">
      <c r="A34" s="110" t="s">
        <v>76</v>
      </c>
      <c r="B34" s="234">
        <v>7531691967</v>
      </c>
      <c r="C34" s="234">
        <v>6025353574</v>
      </c>
      <c r="E34" s="110" t="s">
        <v>240</v>
      </c>
      <c r="F34" s="237">
        <v>13612843031</v>
      </c>
      <c r="G34" s="237">
        <v>10890274425</v>
      </c>
    </row>
    <row r="35" spans="1:7" x14ac:dyDescent="0.25">
      <c r="A35" s="110" t="s">
        <v>121</v>
      </c>
      <c r="B35" s="234">
        <v>16043120454</v>
      </c>
      <c r="C35" s="234">
        <v>12834496363</v>
      </c>
      <c r="E35" s="230" t="s">
        <v>132</v>
      </c>
      <c r="F35" s="236">
        <v>1109794586073</v>
      </c>
      <c r="G35" s="236">
        <v>736295650261.59998</v>
      </c>
    </row>
    <row r="36" spans="1:7" x14ac:dyDescent="0.25">
      <c r="A36" s="110" t="s">
        <v>96</v>
      </c>
      <c r="B36" s="234">
        <v>9160268899</v>
      </c>
      <c r="C36" s="234">
        <v>7328215119</v>
      </c>
    </row>
    <row r="37" spans="1:7" x14ac:dyDescent="0.25">
      <c r="A37" s="110" t="s">
        <v>116</v>
      </c>
      <c r="B37" s="234">
        <v>7938190824</v>
      </c>
      <c r="C37" s="234">
        <v>6350552659</v>
      </c>
    </row>
    <row r="38" spans="1:7" x14ac:dyDescent="0.25">
      <c r="A38" s="110" t="s">
        <v>50</v>
      </c>
      <c r="B38" s="234">
        <v>20641784171</v>
      </c>
      <c r="C38" s="234">
        <v>16513427336</v>
      </c>
    </row>
    <row r="39" spans="1:7" x14ac:dyDescent="0.25">
      <c r="A39" s="110" t="s">
        <v>79</v>
      </c>
      <c r="B39" s="234">
        <v>5595187767</v>
      </c>
      <c r="C39" s="234">
        <v>4476150213</v>
      </c>
    </row>
    <row r="40" spans="1:7" x14ac:dyDescent="0.25">
      <c r="A40" s="110" t="s">
        <v>7</v>
      </c>
      <c r="B40" s="234">
        <v>5605997932</v>
      </c>
      <c r="C40" s="234">
        <v>4484798346</v>
      </c>
    </row>
    <row r="41" spans="1:7" x14ac:dyDescent="0.25">
      <c r="A41" s="110" t="s">
        <v>100</v>
      </c>
      <c r="B41" s="234">
        <v>35084647327</v>
      </c>
      <c r="C41" s="234">
        <v>28067717861</v>
      </c>
    </row>
    <row r="42" spans="1:7" x14ac:dyDescent="0.25">
      <c r="A42" s="110" t="s">
        <v>98</v>
      </c>
      <c r="B42" s="234">
        <v>8279161250</v>
      </c>
      <c r="C42" s="234">
        <v>6623329000</v>
      </c>
    </row>
    <row r="43" spans="1:7" x14ac:dyDescent="0.25">
      <c r="A43" s="110" t="s">
        <v>122</v>
      </c>
      <c r="B43" s="234">
        <v>7436993645</v>
      </c>
      <c r="C43" s="234">
        <v>5949594916</v>
      </c>
    </row>
    <row r="44" spans="1:7" x14ac:dyDescent="0.25">
      <c r="A44" s="110" t="s">
        <v>125</v>
      </c>
      <c r="B44" s="234">
        <v>8259929655</v>
      </c>
      <c r="C44" s="234">
        <v>6607943724</v>
      </c>
    </row>
    <row r="45" spans="1:7" x14ac:dyDescent="0.25">
      <c r="A45" s="110" t="s">
        <v>231</v>
      </c>
      <c r="B45" s="234">
        <v>28650364584</v>
      </c>
      <c r="C45" s="234">
        <v>22920291667</v>
      </c>
    </row>
    <row r="46" spans="1:7" x14ac:dyDescent="0.25">
      <c r="A46" s="110" t="s">
        <v>104</v>
      </c>
      <c r="B46" s="234">
        <v>1056783688</v>
      </c>
      <c r="C46" s="234">
        <v>845426950</v>
      </c>
    </row>
    <row r="47" spans="1:7" x14ac:dyDescent="0.25">
      <c r="A47" s="110" t="s">
        <v>74</v>
      </c>
      <c r="B47" s="234">
        <v>13261170164</v>
      </c>
      <c r="C47" s="234">
        <v>10608936131</v>
      </c>
    </row>
    <row r="48" spans="1:7" x14ac:dyDescent="0.25">
      <c r="A48" s="110" t="s">
        <v>93</v>
      </c>
      <c r="B48" s="234">
        <v>30559825605</v>
      </c>
      <c r="C48" s="234">
        <v>24447860484</v>
      </c>
    </row>
    <row r="49" spans="1:3" x14ac:dyDescent="0.25">
      <c r="A49" s="110" t="s">
        <v>111</v>
      </c>
      <c r="B49" s="234">
        <v>15166043118</v>
      </c>
      <c r="C49" s="234">
        <v>12132834495</v>
      </c>
    </row>
    <row r="50" spans="1:3" x14ac:dyDescent="0.25">
      <c r="A50" s="110" t="s">
        <v>70</v>
      </c>
      <c r="B50" s="234">
        <v>12689853033</v>
      </c>
      <c r="C50" s="234">
        <v>10151882426</v>
      </c>
    </row>
    <row r="51" spans="1:3" x14ac:dyDescent="0.25">
      <c r="A51" s="110" t="s">
        <v>102</v>
      </c>
      <c r="B51" s="234">
        <v>15468988612</v>
      </c>
      <c r="C51" s="234">
        <v>12375190890</v>
      </c>
    </row>
    <row r="52" spans="1:3" x14ac:dyDescent="0.25">
      <c r="A52" s="110" t="s">
        <v>101</v>
      </c>
      <c r="B52" s="234">
        <v>4317128253</v>
      </c>
      <c r="C52" s="234">
        <v>3453702603</v>
      </c>
    </row>
    <row r="53" spans="1:3" x14ac:dyDescent="0.25">
      <c r="A53" s="110" t="s">
        <v>69</v>
      </c>
      <c r="B53" s="234">
        <v>26104745769</v>
      </c>
      <c r="C53" s="234">
        <v>20883796615</v>
      </c>
    </row>
    <row r="54" spans="1:3" x14ac:dyDescent="0.25">
      <c r="A54" s="110" t="s">
        <v>62</v>
      </c>
      <c r="B54" s="234">
        <v>5024306894</v>
      </c>
      <c r="C54" s="234">
        <v>4019445515</v>
      </c>
    </row>
    <row r="55" spans="1:3" x14ac:dyDescent="0.25">
      <c r="A55" s="110" t="s">
        <v>115</v>
      </c>
      <c r="B55" s="234">
        <v>87827580878</v>
      </c>
      <c r="C55" s="234">
        <v>70262064702</v>
      </c>
    </row>
    <row r="56" spans="1:3" x14ac:dyDescent="0.25">
      <c r="A56" s="110" t="s">
        <v>243</v>
      </c>
      <c r="B56" s="234">
        <v>303080037186</v>
      </c>
      <c r="C56" s="234">
        <v>90924011156</v>
      </c>
    </row>
    <row r="57" spans="1:3" x14ac:dyDescent="0.25">
      <c r="A57" s="110" t="s">
        <v>71</v>
      </c>
      <c r="B57" s="234">
        <v>8434954436</v>
      </c>
      <c r="C57" s="234">
        <v>6747963549</v>
      </c>
    </row>
    <row r="58" spans="1:3" x14ac:dyDescent="0.25">
      <c r="A58" s="110" t="s">
        <v>248</v>
      </c>
      <c r="B58" s="234">
        <v>20271585519</v>
      </c>
      <c r="C58" s="234">
        <v>16217268415</v>
      </c>
    </row>
    <row r="59" spans="1:3" x14ac:dyDescent="0.25">
      <c r="A59" s="110" t="s">
        <v>60</v>
      </c>
      <c r="B59" s="234">
        <v>9351773571</v>
      </c>
      <c r="C59" s="234">
        <v>7481418857</v>
      </c>
    </row>
    <row r="60" spans="1:3" x14ac:dyDescent="0.25">
      <c r="A60" s="110" t="s">
        <v>94</v>
      </c>
      <c r="B60" s="234">
        <v>9746780695</v>
      </c>
      <c r="C60" s="234">
        <v>7797424556</v>
      </c>
    </row>
    <row r="61" spans="1:3" x14ac:dyDescent="0.25">
      <c r="A61" s="110" t="s">
        <v>179</v>
      </c>
      <c r="B61" s="234">
        <v>20154417734</v>
      </c>
      <c r="C61" s="234">
        <v>16123534187</v>
      </c>
    </row>
    <row r="62" spans="1:3" x14ac:dyDescent="0.25">
      <c r="A62" s="110" t="s">
        <v>72</v>
      </c>
      <c r="B62" s="234">
        <v>16766435692</v>
      </c>
      <c r="C62" s="234">
        <v>13413148554</v>
      </c>
    </row>
    <row r="63" spans="1:3" x14ac:dyDescent="0.25">
      <c r="A63" s="110" t="s">
        <v>240</v>
      </c>
      <c r="B63" s="234">
        <v>13612843031</v>
      </c>
      <c r="C63" s="234">
        <v>10890274425</v>
      </c>
    </row>
    <row r="64" spans="1:3" x14ac:dyDescent="0.25">
      <c r="A64" s="230" t="s">
        <v>132</v>
      </c>
      <c r="B64" s="236">
        <f>SUM(B2:B63)</f>
        <v>1109794586073</v>
      </c>
      <c r="C64" s="236">
        <f>SUM(C2:C63)</f>
        <v>736295650261.59998</v>
      </c>
    </row>
  </sheetData>
  <pageMargins left="0.7" right="0.7" top="0.75" bottom="0.75" header="0.3" footer="0.3"/>
  <legacy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E53201"/>
  </sheetPr>
  <dimension ref="A2:E12"/>
  <sheetViews>
    <sheetView workbookViewId="0">
      <selection activeCell="D11" sqref="D11"/>
    </sheetView>
  </sheetViews>
  <sheetFormatPr baseColWidth="10" defaultColWidth="11.42578125" defaultRowHeight="15" x14ac:dyDescent="0.25"/>
  <cols>
    <col min="1" max="1" width="24.140625" bestFit="1" customWidth="1"/>
    <col min="2" max="2" width="24.140625" customWidth="1"/>
    <col min="3" max="3" width="23.42578125" customWidth="1"/>
    <col min="4" max="4" width="66.28515625" bestFit="1" customWidth="1"/>
    <col min="5" max="5" width="18" bestFit="1" customWidth="1"/>
  </cols>
  <sheetData>
    <row r="2" spans="1:5" ht="30" x14ac:dyDescent="0.25">
      <c r="A2" s="169" t="s">
        <v>574</v>
      </c>
      <c r="B2" s="170" t="s">
        <v>575</v>
      </c>
      <c r="C2" s="169" t="s">
        <v>576</v>
      </c>
      <c r="D2" s="169" t="s">
        <v>577</v>
      </c>
      <c r="E2" s="173" t="s">
        <v>578</v>
      </c>
    </row>
    <row r="3" spans="1:5" ht="45" x14ac:dyDescent="0.25">
      <c r="A3" s="177" t="s">
        <v>42</v>
      </c>
      <c r="B3" s="177">
        <v>4</v>
      </c>
      <c r="C3" s="168" t="s">
        <v>579</v>
      </c>
      <c r="D3" s="167" t="s">
        <v>580</v>
      </c>
      <c r="E3" s="179" t="s">
        <v>581</v>
      </c>
    </row>
    <row r="4" spans="1:5" x14ac:dyDescent="0.25">
      <c r="A4" s="168" t="s">
        <v>64</v>
      </c>
      <c r="B4" s="168">
        <v>8</v>
      </c>
      <c r="C4" s="168"/>
      <c r="D4" s="166"/>
      <c r="E4" s="110"/>
    </row>
    <row r="5" spans="1:5" ht="45" x14ac:dyDescent="0.25">
      <c r="A5" s="177" t="s">
        <v>529</v>
      </c>
      <c r="B5" s="177">
        <v>7</v>
      </c>
      <c r="C5" s="168" t="s">
        <v>579</v>
      </c>
      <c r="D5" s="166" t="s">
        <v>582</v>
      </c>
      <c r="E5" s="179" t="s">
        <v>581</v>
      </c>
    </row>
    <row r="6" spans="1:5" x14ac:dyDescent="0.25">
      <c r="A6" s="168" t="s">
        <v>81</v>
      </c>
      <c r="B6" s="168">
        <v>10</v>
      </c>
      <c r="C6" s="168"/>
      <c r="D6" s="166"/>
      <c r="E6" s="110"/>
    </row>
    <row r="7" spans="1:5" ht="45" x14ac:dyDescent="0.25">
      <c r="A7" s="177" t="s">
        <v>531</v>
      </c>
      <c r="B7" s="177">
        <v>6</v>
      </c>
      <c r="C7" s="168" t="s">
        <v>579</v>
      </c>
      <c r="D7" s="166" t="s">
        <v>583</v>
      </c>
      <c r="E7" s="179" t="s">
        <v>581</v>
      </c>
    </row>
    <row r="8" spans="1:5" x14ac:dyDescent="0.25">
      <c r="A8" s="168" t="s">
        <v>97</v>
      </c>
      <c r="B8" s="168">
        <v>7</v>
      </c>
      <c r="C8" s="166"/>
      <c r="D8" s="166"/>
      <c r="E8" s="110"/>
    </row>
    <row r="9" spans="1:5" x14ac:dyDescent="0.25">
      <c r="A9" s="168" t="s">
        <v>105</v>
      </c>
      <c r="B9" s="168">
        <v>12</v>
      </c>
      <c r="C9" s="166"/>
      <c r="D9" s="166"/>
      <c r="E9" s="110"/>
    </row>
    <row r="10" spans="1:5" x14ac:dyDescent="0.25">
      <c r="A10" s="168" t="s">
        <v>530</v>
      </c>
      <c r="B10" s="168">
        <v>10</v>
      </c>
      <c r="C10" s="166"/>
      <c r="D10" s="166"/>
      <c r="E10" s="110"/>
    </row>
    <row r="11" spans="1:5" ht="45" x14ac:dyDescent="0.25">
      <c r="A11" s="174" t="s">
        <v>584</v>
      </c>
      <c r="B11" s="174">
        <v>3</v>
      </c>
      <c r="C11" s="178" t="s">
        <v>585</v>
      </c>
      <c r="D11" s="175"/>
      <c r="E11" s="176"/>
    </row>
    <row r="12" spans="1:5" x14ac:dyDescent="0.25">
      <c r="A12" s="172" t="s">
        <v>4</v>
      </c>
      <c r="B12" s="172">
        <f>SUM(B3:B11)</f>
        <v>67</v>
      </c>
      <c r="C12" s="171"/>
      <c r="D12" s="171"/>
      <c r="E12" s="171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9"/>
  <sheetViews>
    <sheetView workbookViewId="0">
      <selection activeCell="B1" sqref="B1"/>
    </sheetView>
  </sheetViews>
  <sheetFormatPr baseColWidth="10" defaultColWidth="11.42578125" defaultRowHeight="15" x14ac:dyDescent="0.25"/>
  <cols>
    <col min="2" max="2" width="59.28515625" customWidth="1"/>
    <col min="3" max="3" width="18.5703125" bestFit="1" customWidth="1"/>
    <col min="4" max="4" width="23.5703125" customWidth="1"/>
  </cols>
  <sheetData>
    <row r="1" spans="1:4" ht="59.45" customHeight="1" x14ac:dyDescent="0.25">
      <c r="B1" s="154" t="s">
        <v>5</v>
      </c>
      <c r="C1" s="154" t="s">
        <v>538</v>
      </c>
      <c r="D1" s="154" t="s">
        <v>295</v>
      </c>
    </row>
    <row r="2" spans="1:4" ht="30" x14ac:dyDescent="0.25">
      <c r="A2" s="156"/>
      <c r="B2" s="158" t="s">
        <v>184</v>
      </c>
      <c r="C2" s="159">
        <v>146585695</v>
      </c>
      <c r="D2" s="159">
        <v>117268556</v>
      </c>
    </row>
    <row r="3" spans="1:4" x14ac:dyDescent="0.25">
      <c r="A3" s="156"/>
      <c r="B3" s="158" t="s">
        <v>53</v>
      </c>
      <c r="C3" s="159">
        <v>4816023121</v>
      </c>
      <c r="D3" s="159">
        <v>3852818497</v>
      </c>
    </row>
    <row r="4" spans="1:4" ht="30" x14ac:dyDescent="0.25">
      <c r="A4" s="156"/>
      <c r="B4" s="158" t="s">
        <v>185</v>
      </c>
      <c r="C4" s="159">
        <v>640998840</v>
      </c>
      <c r="D4" s="159">
        <v>512799072</v>
      </c>
    </row>
    <row r="5" spans="1:4" x14ac:dyDescent="0.25">
      <c r="A5" s="156"/>
      <c r="B5" s="158" t="s">
        <v>90</v>
      </c>
      <c r="C5" s="159">
        <v>5087597497</v>
      </c>
      <c r="D5" s="159">
        <v>4070077998</v>
      </c>
    </row>
    <row r="6" spans="1:4" ht="30.75" thickBot="1" x14ac:dyDescent="0.3">
      <c r="A6" s="156"/>
      <c r="B6" s="158" t="s">
        <v>186</v>
      </c>
      <c r="C6" s="159">
        <v>1826073754</v>
      </c>
      <c r="D6" s="159">
        <v>1460859003</v>
      </c>
    </row>
    <row r="7" spans="1:4" x14ac:dyDescent="0.25">
      <c r="A7" s="156"/>
      <c r="B7" s="154" t="s">
        <v>132</v>
      </c>
      <c r="C7" s="155">
        <f>SUM(C2:C6)</f>
        <v>12517278907</v>
      </c>
      <c r="D7" s="155">
        <f>SUM(D2:D6)</f>
        <v>10013823126</v>
      </c>
    </row>
    <row r="9" spans="1:4" x14ac:dyDescent="0.25">
      <c r="B9" s="157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61"/>
  <sheetViews>
    <sheetView zoomScale="90" zoomScaleNormal="90" workbookViewId="0">
      <selection activeCell="E31" sqref="E31"/>
    </sheetView>
  </sheetViews>
  <sheetFormatPr baseColWidth="10" defaultColWidth="11.5703125" defaultRowHeight="12" x14ac:dyDescent="0.2"/>
  <cols>
    <col min="1" max="1" width="3.42578125" style="128" bestFit="1" customWidth="1"/>
    <col min="2" max="2" width="66.7109375" style="123" bestFit="1" customWidth="1"/>
    <col min="3" max="4" width="17.140625" style="123" bestFit="1" customWidth="1"/>
    <col min="5" max="16384" width="11.5703125" style="123"/>
  </cols>
  <sheetData>
    <row r="1" spans="1:4" ht="51.6" customHeight="1" x14ac:dyDescent="0.2">
      <c r="A1" s="120" t="s">
        <v>133</v>
      </c>
      <c r="B1" s="120" t="s">
        <v>5</v>
      </c>
      <c r="C1" s="121" t="s">
        <v>586</v>
      </c>
      <c r="D1" s="122" t="s">
        <v>587</v>
      </c>
    </row>
    <row r="2" spans="1:4" ht="15.6" customHeight="1" x14ac:dyDescent="0.2">
      <c r="A2" s="129">
        <v>1</v>
      </c>
      <c r="B2" s="124" t="s">
        <v>60</v>
      </c>
      <c r="C2" s="125">
        <v>18068676239</v>
      </c>
      <c r="D2" s="126">
        <f>ROUND(C2*80%,0)</f>
        <v>14454940991</v>
      </c>
    </row>
    <row r="3" spans="1:4" ht="15.6" customHeight="1" x14ac:dyDescent="0.2">
      <c r="A3" s="128">
        <v>2</v>
      </c>
      <c r="B3" s="124" t="s">
        <v>231</v>
      </c>
      <c r="C3" s="125">
        <v>26626523426</v>
      </c>
      <c r="D3" s="126">
        <f t="shared" ref="D3:D60" si="0">ROUND(C3*80%,0)</f>
        <v>21301218741</v>
      </c>
    </row>
    <row r="4" spans="1:4" ht="15.6" customHeight="1" x14ac:dyDescent="0.2">
      <c r="A4" s="128">
        <v>3</v>
      </c>
      <c r="B4" s="124" t="s">
        <v>50</v>
      </c>
      <c r="C4" s="125">
        <v>18351252469</v>
      </c>
      <c r="D4" s="126">
        <f t="shared" si="0"/>
        <v>14681001975</v>
      </c>
    </row>
    <row r="5" spans="1:4" ht="15.6" customHeight="1" x14ac:dyDescent="0.2">
      <c r="A5" s="128">
        <v>4</v>
      </c>
      <c r="B5" s="124" t="s">
        <v>229</v>
      </c>
      <c r="C5" s="125">
        <v>2996936464</v>
      </c>
      <c r="D5" s="126">
        <f t="shared" si="0"/>
        <v>2397549171</v>
      </c>
    </row>
    <row r="6" spans="1:4" ht="15.6" customHeight="1" x14ac:dyDescent="0.2">
      <c r="A6" s="128">
        <v>5</v>
      </c>
      <c r="B6" s="124" t="s">
        <v>71</v>
      </c>
      <c r="C6" s="125">
        <v>8434954436</v>
      </c>
      <c r="D6" s="126">
        <f t="shared" si="0"/>
        <v>6747963549</v>
      </c>
    </row>
    <row r="7" spans="1:4" ht="15.6" customHeight="1" x14ac:dyDescent="0.2">
      <c r="A7" s="128">
        <v>6</v>
      </c>
      <c r="B7" s="124" t="s">
        <v>72</v>
      </c>
      <c r="C7" s="125">
        <v>16230433574</v>
      </c>
      <c r="D7" s="126">
        <f t="shared" si="0"/>
        <v>12984346859</v>
      </c>
    </row>
    <row r="8" spans="1:4" ht="15.6" customHeight="1" x14ac:dyDescent="0.2">
      <c r="A8" s="128">
        <v>7</v>
      </c>
      <c r="B8" s="124" t="s">
        <v>69</v>
      </c>
      <c r="C8" s="125">
        <v>26104745769</v>
      </c>
      <c r="D8" s="126">
        <f t="shared" si="0"/>
        <v>20883796615</v>
      </c>
    </row>
    <row r="9" spans="1:4" ht="15.6" customHeight="1" x14ac:dyDescent="0.2">
      <c r="A9" s="128">
        <v>8</v>
      </c>
      <c r="B9" s="124" t="s">
        <v>70</v>
      </c>
      <c r="C9" s="125">
        <v>7290209974</v>
      </c>
      <c r="D9" s="126">
        <f t="shared" si="0"/>
        <v>5832167979</v>
      </c>
    </row>
    <row r="10" spans="1:4" ht="15.6" customHeight="1" x14ac:dyDescent="0.2">
      <c r="A10" s="128">
        <v>9</v>
      </c>
      <c r="B10" s="124" t="s">
        <v>63</v>
      </c>
      <c r="C10" s="125">
        <v>5219606988</v>
      </c>
      <c r="D10" s="126">
        <f t="shared" si="0"/>
        <v>4175685590</v>
      </c>
    </row>
    <row r="11" spans="1:4" ht="15.6" customHeight="1" x14ac:dyDescent="0.2">
      <c r="A11" s="128">
        <v>10</v>
      </c>
      <c r="B11" s="124" t="s">
        <v>66</v>
      </c>
      <c r="C11" s="125">
        <v>41304418428</v>
      </c>
      <c r="D11" s="126">
        <f t="shared" si="0"/>
        <v>33043534742</v>
      </c>
    </row>
    <row r="12" spans="1:4" ht="15.6" customHeight="1" x14ac:dyDescent="0.2">
      <c r="A12" s="128">
        <v>11</v>
      </c>
      <c r="B12" s="124" t="s">
        <v>179</v>
      </c>
      <c r="C12" s="125">
        <v>19298207732</v>
      </c>
      <c r="D12" s="126">
        <f t="shared" si="0"/>
        <v>15438566186</v>
      </c>
    </row>
    <row r="13" spans="1:4" ht="15.6" customHeight="1" x14ac:dyDescent="0.2">
      <c r="A13" s="128">
        <v>12</v>
      </c>
      <c r="B13" s="124" t="s">
        <v>76</v>
      </c>
      <c r="C13" s="125">
        <v>6919460147</v>
      </c>
      <c r="D13" s="126">
        <f t="shared" si="0"/>
        <v>5535568118</v>
      </c>
    </row>
    <row r="14" spans="1:4" ht="15.6" customHeight="1" x14ac:dyDescent="0.2">
      <c r="A14" s="128">
        <v>13</v>
      </c>
      <c r="B14" s="124" t="s">
        <v>79</v>
      </c>
      <c r="C14" s="125">
        <v>5314188832</v>
      </c>
      <c r="D14" s="126">
        <f t="shared" si="0"/>
        <v>4251351066</v>
      </c>
    </row>
    <row r="15" spans="1:4" ht="15.6" customHeight="1" x14ac:dyDescent="0.2">
      <c r="A15" s="128">
        <v>14</v>
      </c>
      <c r="B15" s="124" t="s">
        <v>7</v>
      </c>
      <c r="C15" s="125">
        <v>4839746848</v>
      </c>
      <c r="D15" s="126">
        <f t="shared" si="0"/>
        <v>3871797478</v>
      </c>
    </row>
    <row r="16" spans="1:4" ht="15.6" customHeight="1" x14ac:dyDescent="0.2">
      <c r="A16" s="128">
        <v>15</v>
      </c>
      <c r="B16" s="124" t="s">
        <v>74</v>
      </c>
      <c r="C16" s="125">
        <v>13269575784</v>
      </c>
      <c r="D16" s="126">
        <f t="shared" si="0"/>
        <v>10615660627</v>
      </c>
    </row>
    <row r="17" spans="1:4" ht="15.6" customHeight="1" x14ac:dyDescent="0.2">
      <c r="A17" s="128">
        <v>16</v>
      </c>
      <c r="B17" s="124" t="s">
        <v>195</v>
      </c>
      <c r="C17" s="125">
        <v>784246748</v>
      </c>
      <c r="D17" s="126">
        <f t="shared" si="0"/>
        <v>627397398</v>
      </c>
    </row>
    <row r="18" spans="1:4" ht="15.6" customHeight="1" x14ac:dyDescent="0.2">
      <c r="A18" s="128">
        <v>17</v>
      </c>
      <c r="B18" s="124" t="s">
        <v>88</v>
      </c>
      <c r="C18" s="125">
        <v>17146145454</v>
      </c>
      <c r="D18" s="126">
        <f t="shared" si="0"/>
        <v>13716916363</v>
      </c>
    </row>
    <row r="19" spans="1:4" ht="15.6" customHeight="1" x14ac:dyDescent="0.2">
      <c r="A19" s="128">
        <v>18</v>
      </c>
      <c r="B19" s="124" t="s">
        <v>83</v>
      </c>
      <c r="C19" s="125">
        <v>6654188823</v>
      </c>
      <c r="D19" s="126">
        <f t="shared" si="0"/>
        <v>5323351058</v>
      </c>
    </row>
    <row r="20" spans="1:4" ht="15.6" customHeight="1" x14ac:dyDescent="0.2">
      <c r="A20" s="128">
        <v>19</v>
      </c>
      <c r="B20" s="124" t="s">
        <v>89</v>
      </c>
      <c r="C20" s="125">
        <v>11036024063</v>
      </c>
      <c r="D20" s="126">
        <f t="shared" si="0"/>
        <v>8828819250</v>
      </c>
    </row>
    <row r="21" spans="1:4" ht="15.6" customHeight="1" x14ac:dyDescent="0.2">
      <c r="A21" s="128">
        <v>20</v>
      </c>
      <c r="B21" s="124" t="s">
        <v>80</v>
      </c>
      <c r="C21" s="125">
        <v>10483662353</v>
      </c>
      <c r="D21" s="126">
        <f t="shared" si="0"/>
        <v>8386929882</v>
      </c>
    </row>
    <row r="22" spans="1:4" ht="15.6" customHeight="1" x14ac:dyDescent="0.2">
      <c r="A22" s="128">
        <v>21</v>
      </c>
      <c r="B22" s="124" t="s">
        <v>62</v>
      </c>
      <c r="C22" s="125">
        <v>4339842338</v>
      </c>
      <c r="D22" s="126">
        <f t="shared" si="0"/>
        <v>3471873870</v>
      </c>
    </row>
    <row r="23" spans="1:4" ht="15.6" customHeight="1" x14ac:dyDescent="0.2">
      <c r="A23" s="128">
        <v>22</v>
      </c>
      <c r="B23" s="124" t="s">
        <v>85</v>
      </c>
      <c r="C23" s="125">
        <v>9659027463</v>
      </c>
      <c r="D23" s="126">
        <f t="shared" si="0"/>
        <v>7727221970</v>
      </c>
    </row>
    <row r="24" spans="1:4" ht="15.6" customHeight="1" x14ac:dyDescent="0.2">
      <c r="A24" s="128">
        <v>23</v>
      </c>
      <c r="B24" s="124" t="s">
        <v>87</v>
      </c>
      <c r="C24" s="125">
        <v>25021269894</v>
      </c>
      <c r="D24" s="126">
        <f t="shared" si="0"/>
        <v>20017015915</v>
      </c>
    </row>
    <row r="25" spans="1:4" ht="15.6" customHeight="1" x14ac:dyDescent="0.2">
      <c r="A25" s="128">
        <v>24</v>
      </c>
      <c r="B25" s="124" t="s">
        <v>86</v>
      </c>
      <c r="C25" s="125">
        <v>20211972983</v>
      </c>
      <c r="D25" s="126">
        <f t="shared" si="0"/>
        <v>16169578386</v>
      </c>
    </row>
    <row r="26" spans="1:4" ht="15.6" customHeight="1" x14ac:dyDescent="0.2">
      <c r="A26" s="128">
        <v>25</v>
      </c>
      <c r="B26" s="124" t="s">
        <v>298</v>
      </c>
      <c r="C26" s="125">
        <v>1673231982</v>
      </c>
      <c r="D26" s="126">
        <f t="shared" si="0"/>
        <v>1338585586</v>
      </c>
    </row>
    <row r="27" spans="1:4" ht="15.6" customHeight="1" x14ac:dyDescent="0.2">
      <c r="A27" s="128">
        <v>26</v>
      </c>
      <c r="B27" s="124" t="s">
        <v>239</v>
      </c>
      <c r="C27" s="125">
        <v>8136448231</v>
      </c>
      <c r="D27" s="126">
        <f t="shared" si="0"/>
        <v>6509158585</v>
      </c>
    </row>
    <row r="28" spans="1:4" ht="15.6" customHeight="1" x14ac:dyDescent="0.2">
      <c r="A28" s="128">
        <v>27</v>
      </c>
      <c r="B28" s="124" t="s">
        <v>94</v>
      </c>
      <c r="C28" s="125">
        <v>9617515333</v>
      </c>
      <c r="D28" s="126">
        <f t="shared" si="0"/>
        <v>7694012266</v>
      </c>
    </row>
    <row r="29" spans="1:4" ht="15.6" customHeight="1" x14ac:dyDescent="0.2">
      <c r="A29" s="128">
        <v>28</v>
      </c>
      <c r="B29" s="124" t="s">
        <v>240</v>
      </c>
      <c r="C29" s="125">
        <v>11871759665</v>
      </c>
      <c r="D29" s="126">
        <f t="shared" si="0"/>
        <v>9497407732</v>
      </c>
    </row>
    <row r="30" spans="1:4" ht="15.6" customHeight="1" x14ac:dyDescent="0.2">
      <c r="A30" s="128">
        <v>29</v>
      </c>
      <c r="B30" s="124" t="s">
        <v>93</v>
      </c>
      <c r="C30" s="125">
        <v>28103586490</v>
      </c>
      <c r="D30" s="126">
        <f t="shared" si="0"/>
        <v>22482869192</v>
      </c>
    </row>
    <row r="31" spans="1:4" ht="15.6" customHeight="1" x14ac:dyDescent="0.2">
      <c r="A31" s="128">
        <v>30</v>
      </c>
      <c r="B31" s="124" t="s">
        <v>241</v>
      </c>
      <c r="C31" s="125">
        <v>12970398809</v>
      </c>
      <c r="D31" s="126">
        <f t="shared" si="0"/>
        <v>10376319047</v>
      </c>
    </row>
    <row r="32" spans="1:4" ht="15.6" customHeight="1" x14ac:dyDescent="0.2">
      <c r="A32" s="128">
        <v>31</v>
      </c>
      <c r="B32" s="124" t="s">
        <v>92</v>
      </c>
      <c r="C32" s="125">
        <v>1822766548</v>
      </c>
      <c r="D32" s="126">
        <f t="shared" si="0"/>
        <v>1458213238</v>
      </c>
    </row>
    <row r="33" spans="1:4" ht="15.6" customHeight="1" x14ac:dyDescent="0.2">
      <c r="A33" s="128">
        <v>32</v>
      </c>
      <c r="B33" s="124" t="s">
        <v>96</v>
      </c>
      <c r="C33" s="125">
        <v>9058658259</v>
      </c>
      <c r="D33" s="126">
        <f t="shared" si="0"/>
        <v>7246926607</v>
      </c>
    </row>
    <row r="34" spans="1:4" ht="15.6" customHeight="1" x14ac:dyDescent="0.2">
      <c r="A34" s="128">
        <v>33</v>
      </c>
      <c r="B34" s="124" t="s">
        <v>102</v>
      </c>
      <c r="C34" s="125">
        <v>15258064357</v>
      </c>
      <c r="D34" s="126">
        <f t="shared" si="0"/>
        <v>12206451486</v>
      </c>
    </row>
    <row r="35" spans="1:4" ht="15.6" customHeight="1" x14ac:dyDescent="0.2">
      <c r="A35" s="128">
        <v>34</v>
      </c>
      <c r="B35" s="124" t="s">
        <v>101</v>
      </c>
      <c r="C35" s="125">
        <v>3965423856</v>
      </c>
      <c r="D35" s="126">
        <f t="shared" si="0"/>
        <v>3172339085</v>
      </c>
    </row>
    <row r="36" spans="1:4" ht="15.6" customHeight="1" x14ac:dyDescent="0.2">
      <c r="A36" s="128">
        <v>35</v>
      </c>
      <c r="B36" s="124" t="s">
        <v>100</v>
      </c>
      <c r="C36" s="125">
        <v>31625039474</v>
      </c>
      <c r="D36" s="126">
        <f t="shared" si="0"/>
        <v>25300031579</v>
      </c>
    </row>
    <row r="37" spans="1:4" ht="15.6" customHeight="1" x14ac:dyDescent="0.2">
      <c r="A37" s="128">
        <v>36</v>
      </c>
      <c r="B37" s="124" t="s">
        <v>98</v>
      </c>
      <c r="C37" s="125">
        <v>7568294062</v>
      </c>
      <c r="D37" s="126">
        <f t="shared" si="0"/>
        <v>6054635250</v>
      </c>
    </row>
    <row r="38" spans="1:4" ht="15.6" customHeight="1" x14ac:dyDescent="0.2">
      <c r="A38" s="128">
        <v>37</v>
      </c>
      <c r="B38" s="124" t="s">
        <v>243</v>
      </c>
      <c r="C38" s="125">
        <v>261306894754</v>
      </c>
      <c r="D38" s="126">
        <f t="shared" si="0"/>
        <v>209045515803</v>
      </c>
    </row>
    <row r="39" spans="1:4" ht="15.6" customHeight="1" x14ac:dyDescent="0.2">
      <c r="A39" s="128">
        <v>38</v>
      </c>
      <c r="B39" s="124" t="s">
        <v>242</v>
      </c>
      <c r="C39" s="125">
        <v>860644716</v>
      </c>
      <c r="D39" s="126">
        <f t="shared" si="0"/>
        <v>688515773</v>
      </c>
    </row>
    <row r="40" spans="1:4" ht="15.6" customHeight="1" x14ac:dyDescent="0.2">
      <c r="A40" s="128">
        <v>39</v>
      </c>
      <c r="B40" s="124" t="s">
        <v>61</v>
      </c>
      <c r="C40" s="125">
        <v>41612781649</v>
      </c>
      <c r="D40" s="126">
        <f t="shared" si="0"/>
        <v>33290225319</v>
      </c>
    </row>
    <row r="41" spans="1:4" ht="15.6" customHeight="1" x14ac:dyDescent="0.2">
      <c r="A41" s="128">
        <v>40</v>
      </c>
      <c r="B41" s="124" t="s">
        <v>116</v>
      </c>
      <c r="C41" s="125">
        <v>7915193433</v>
      </c>
      <c r="D41" s="126">
        <f t="shared" si="0"/>
        <v>6332154746</v>
      </c>
    </row>
    <row r="42" spans="1:4" ht="15.6" customHeight="1" x14ac:dyDescent="0.2">
      <c r="A42" s="128">
        <v>41</v>
      </c>
      <c r="B42" s="124" t="s">
        <v>115</v>
      </c>
      <c r="C42" s="125">
        <v>86044463520</v>
      </c>
      <c r="D42" s="126">
        <f t="shared" si="0"/>
        <v>68835570816</v>
      </c>
    </row>
    <row r="43" spans="1:4" ht="15.6" customHeight="1" x14ac:dyDescent="0.2">
      <c r="A43" s="128">
        <v>42</v>
      </c>
      <c r="B43" s="124" t="s">
        <v>104</v>
      </c>
      <c r="C43" s="125">
        <v>777392683</v>
      </c>
      <c r="D43" s="126">
        <f t="shared" si="0"/>
        <v>621914146</v>
      </c>
    </row>
    <row r="44" spans="1:4" ht="15.6" customHeight="1" x14ac:dyDescent="0.2">
      <c r="A44" s="128">
        <v>43</v>
      </c>
      <c r="B44" s="124" t="s">
        <v>111</v>
      </c>
      <c r="C44" s="125">
        <v>14570564017</v>
      </c>
      <c r="D44" s="126">
        <f t="shared" si="0"/>
        <v>11656451214</v>
      </c>
    </row>
    <row r="45" spans="1:4" ht="15.6" customHeight="1" x14ac:dyDescent="0.2">
      <c r="A45" s="128">
        <v>44</v>
      </c>
      <c r="B45" s="124" t="s">
        <v>106</v>
      </c>
      <c r="C45" s="125">
        <v>13175448809</v>
      </c>
      <c r="D45" s="126">
        <f t="shared" si="0"/>
        <v>10540359047</v>
      </c>
    </row>
    <row r="46" spans="1:4" ht="15.6" customHeight="1" x14ac:dyDescent="0.2">
      <c r="A46" s="128">
        <v>45</v>
      </c>
      <c r="B46" s="124" t="s">
        <v>108</v>
      </c>
      <c r="C46" s="125">
        <v>1615399686</v>
      </c>
      <c r="D46" s="126">
        <f t="shared" si="0"/>
        <v>1292319749</v>
      </c>
    </row>
    <row r="47" spans="1:4" ht="15.6" customHeight="1" x14ac:dyDescent="0.2">
      <c r="A47" s="128">
        <v>46</v>
      </c>
      <c r="B47" s="124" t="s">
        <v>113</v>
      </c>
      <c r="C47" s="125">
        <v>19972980121</v>
      </c>
      <c r="D47" s="126">
        <f t="shared" si="0"/>
        <v>15978384097</v>
      </c>
    </row>
    <row r="48" spans="1:4" ht="15.6" customHeight="1" x14ac:dyDescent="0.2">
      <c r="A48" s="128">
        <v>47</v>
      </c>
      <c r="B48" s="124" t="s">
        <v>107</v>
      </c>
      <c r="C48" s="125">
        <v>42219259596</v>
      </c>
      <c r="D48" s="126">
        <f t="shared" si="0"/>
        <v>33775407677</v>
      </c>
    </row>
    <row r="49" spans="1:4" ht="15.6" customHeight="1" x14ac:dyDescent="0.2">
      <c r="A49" s="128">
        <v>48</v>
      </c>
      <c r="B49" s="124" t="s">
        <v>114</v>
      </c>
      <c r="C49" s="125">
        <v>4199121789</v>
      </c>
      <c r="D49" s="126">
        <f t="shared" si="0"/>
        <v>3359297431</v>
      </c>
    </row>
    <row r="50" spans="1:4" ht="15.6" customHeight="1" x14ac:dyDescent="0.2">
      <c r="A50" s="128">
        <v>49</v>
      </c>
      <c r="B50" s="124" t="s">
        <v>196</v>
      </c>
      <c r="C50" s="125">
        <v>1292042585</v>
      </c>
      <c r="D50" s="126">
        <f t="shared" si="0"/>
        <v>1033634068</v>
      </c>
    </row>
    <row r="51" spans="1:4" ht="15.6" customHeight="1" x14ac:dyDescent="0.2">
      <c r="A51" s="128">
        <v>50</v>
      </c>
      <c r="B51" s="124" t="s">
        <v>248</v>
      </c>
      <c r="C51" s="125">
        <v>20367101339</v>
      </c>
      <c r="D51" s="126">
        <f t="shared" si="0"/>
        <v>16293681071</v>
      </c>
    </row>
    <row r="52" spans="1:4" ht="15.6" customHeight="1" x14ac:dyDescent="0.2">
      <c r="A52" s="128">
        <v>51</v>
      </c>
      <c r="B52" s="124" t="s">
        <v>125</v>
      </c>
      <c r="C52" s="125">
        <v>8259929655</v>
      </c>
      <c r="D52" s="126">
        <f t="shared" si="0"/>
        <v>6607943724</v>
      </c>
    </row>
    <row r="53" spans="1:4" ht="15.6" customHeight="1" x14ac:dyDescent="0.2">
      <c r="A53" s="128">
        <v>52</v>
      </c>
      <c r="B53" s="124" t="s">
        <v>122</v>
      </c>
      <c r="C53" s="125">
        <v>7436993645</v>
      </c>
      <c r="D53" s="126">
        <f t="shared" si="0"/>
        <v>5949594916</v>
      </c>
    </row>
    <row r="54" spans="1:4" ht="15.6" customHeight="1" x14ac:dyDescent="0.2">
      <c r="A54" s="128">
        <v>53</v>
      </c>
      <c r="B54" s="124" t="s">
        <v>121</v>
      </c>
      <c r="C54" s="125">
        <v>15477604178</v>
      </c>
      <c r="D54" s="126">
        <f t="shared" si="0"/>
        <v>12382083342</v>
      </c>
    </row>
    <row r="55" spans="1:4" ht="15.6" customHeight="1" x14ac:dyDescent="0.2">
      <c r="A55" s="128">
        <v>54</v>
      </c>
      <c r="B55" s="124" t="s">
        <v>120</v>
      </c>
      <c r="C55" s="125">
        <v>2243379775</v>
      </c>
      <c r="D55" s="126">
        <f t="shared" si="0"/>
        <v>1794703820</v>
      </c>
    </row>
    <row r="56" spans="1:4" ht="15.6" customHeight="1" x14ac:dyDescent="0.2">
      <c r="A56" s="128">
        <v>55</v>
      </c>
      <c r="B56" s="124" t="s">
        <v>166</v>
      </c>
      <c r="C56" s="125">
        <v>5117892042</v>
      </c>
      <c r="D56" s="126">
        <f t="shared" si="0"/>
        <v>4094313634</v>
      </c>
    </row>
    <row r="57" spans="1:4" ht="15.6" customHeight="1" x14ac:dyDescent="0.2">
      <c r="A57" s="128">
        <v>56</v>
      </c>
      <c r="B57" s="124" t="s">
        <v>123</v>
      </c>
      <c r="C57" s="125">
        <v>2442872782</v>
      </c>
      <c r="D57" s="126">
        <f t="shared" si="0"/>
        <v>1954298226</v>
      </c>
    </row>
    <row r="58" spans="1:4" ht="15.6" customHeight="1" x14ac:dyDescent="0.2">
      <c r="A58" s="128">
        <v>57</v>
      </c>
      <c r="B58" s="124" t="s">
        <v>126</v>
      </c>
      <c r="C58" s="125">
        <v>2310953185</v>
      </c>
      <c r="D58" s="126">
        <f t="shared" si="0"/>
        <v>1848762548</v>
      </c>
    </row>
    <row r="59" spans="1:4" ht="15.6" customHeight="1" x14ac:dyDescent="0.2">
      <c r="A59" s="128">
        <v>58</v>
      </c>
      <c r="B59" s="124" t="s">
        <v>249</v>
      </c>
      <c r="C59" s="125">
        <v>12722699426</v>
      </c>
      <c r="D59" s="126">
        <f t="shared" si="0"/>
        <v>10178159541</v>
      </c>
    </row>
    <row r="60" spans="1:4" ht="15.6" customHeight="1" x14ac:dyDescent="0.2">
      <c r="A60" s="128">
        <v>59</v>
      </c>
      <c r="B60" s="124" t="s">
        <v>378</v>
      </c>
      <c r="C60" s="125">
        <v>445223938</v>
      </c>
      <c r="D60" s="126">
        <f t="shared" si="0"/>
        <v>356179150</v>
      </c>
    </row>
    <row r="61" spans="1:4" x14ac:dyDescent="0.2">
      <c r="A61" s="130"/>
      <c r="B61" s="131" t="s">
        <v>132</v>
      </c>
      <c r="C61" s="127">
        <f>SUM(C2:C60)</f>
        <v>1039663341618</v>
      </c>
      <c r="D61" s="127">
        <f>SUM(D2:D60)</f>
        <v>831730673290</v>
      </c>
    </row>
  </sheetData>
  <pageMargins left="0.7" right="0.7" top="0.75" bottom="0.75" header="0.3" footer="0.3"/>
  <pageSetup orientation="portrait" r:id="rId1"/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FF00"/>
  </sheetPr>
  <dimension ref="A1:D66"/>
  <sheetViews>
    <sheetView workbookViewId="0">
      <selection activeCell="C15" sqref="C15"/>
    </sheetView>
  </sheetViews>
  <sheetFormatPr baseColWidth="10" defaultColWidth="11.42578125" defaultRowHeight="15" x14ac:dyDescent="0.25"/>
  <cols>
    <col min="1" max="1" width="62.5703125" style="1" bestFit="1" customWidth="1"/>
    <col min="2" max="2" width="24.140625" style="1" bestFit="1" customWidth="1"/>
    <col min="3" max="3" width="45" customWidth="1"/>
    <col min="4" max="4" width="57.28515625" bestFit="1" customWidth="1"/>
  </cols>
  <sheetData>
    <row r="1" spans="1:4" x14ac:dyDescent="0.25">
      <c r="A1" s="75" t="s">
        <v>12</v>
      </c>
      <c r="B1" s="75" t="s">
        <v>13</v>
      </c>
      <c r="C1" s="76" t="s">
        <v>588</v>
      </c>
    </row>
    <row r="2" spans="1:4" x14ac:dyDescent="0.25">
      <c r="A2" s="2" t="s">
        <v>41</v>
      </c>
      <c r="B2" s="2" t="s">
        <v>42</v>
      </c>
      <c r="C2" t="s">
        <v>589</v>
      </c>
    </row>
    <row r="3" spans="1:4" x14ac:dyDescent="0.25">
      <c r="A3" s="2" t="s">
        <v>47</v>
      </c>
      <c r="B3" s="2" t="s">
        <v>42</v>
      </c>
      <c r="C3" s="79" t="s">
        <v>590</v>
      </c>
    </row>
    <row r="4" spans="1:4" x14ac:dyDescent="0.25">
      <c r="A4" s="2" t="s">
        <v>50</v>
      </c>
      <c r="B4" s="2" t="s">
        <v>42</v>
      </c>
      <c r="C4" s="79" t="s">
        <v>591</v>
      </c>
    </row>
    <row r="5" spans="1:4" x14ac:dyDescent="0.25">
      <c r="A5" s="2" t="s">
        <v>52</v>
      </c>
      <c r="B5" s="2" t="s">
        <v>42</v>
      </c>
      <c r="C5" s="79" t="s">
        <v>592</v>
      </c>
      <c r="D5" s="5" t="s">
        <v>593</v>
      </c>
    </row>
    <row r="6" spans="1:4" x14ac:dyDescent="0.25">
      <c r="A6" s="2" t="s">
        <v>53</v>
      </c>
      <c r="B6" s="2" t="s">
        <v>54</v>
      </c>
      <c r="C6" s="79" t="s">
        <v>594</v>
      </c>
      <c r="D6" s="78" t="s">
        <v>595</v>
      </c>
    </row>
    <row r="7" spans="1:4" x14ac:dyDescent="0.25">
      <c r="A7" s="2" t="s">
        <v>57</v>
      </c>
      <c r="B7" s="2" t="s">
        <v>54</v>
      </c>
      <c r="C7" s="79" t="s">
        <v>596</v>
      </c>
    </row>
    <row r="8" spans="1:4" x14ac:dyDescent="0.25">
      <c r="A8" s="2" t="s">
        <v>58</v>
      </c>
      <c r="B8" s="2" t="s">
        <v>54</v>
      </c>
      <c r="C8" s="79" t="s">
        <v>597</v>
      </c>
    </row>
    <row r="9" spans="1:4" x14ac:dyDescent="0.25">
      <c r="A9" s="2" t="s">
        <v>60</v>
      </c>
      <c r="B9" s="2" t="s">
        <v>54</v>
      </c>
      <c r="C9" t="s">
        <v>598</v>
      </c>
    </row>
    <row r="10" spans="1:4" x14ac:dyDescent="0.25">
      <c r="A10" s="2" t="s">
        <v>61</v>
      </c>
      <c r="B10" s="2" t="s">
        <v>54</v>
      </c>
      <c r="C10" s="79" t="s">
        <v>599</v>
      </c>
    </row>
    <row r="11" spans="1:4" x14ac:dyDescent="0.25">
      <c r="A11" s="2" t="s">
        <v>62</v>
      </c>
      <c r="B11" s="2" t="s">
        <v>54</v>
      </c>
      <c r="C11" s="79" t="s">
        <v>600</v>
      </c>
    </row>
    <row r="12" spans="1:4" x14ac:dyDescent="0.25">
      <c r="A12" s="2" t="s">
        <v>63</v>
      </c>
      <c r="B12" s="2" t="s">
        <v>64</v>
      </c>
      <c r="C12" t="s">
        <v>601</v>
      </c>
    </row>
    <row r="13" spans="1:4" x14ac:dyDescent="0.25">
      <c r="A13" s="2" t="s">
        <v>66</v>
      </c>
      <c r="B13" s="2" t="s">
        <v>64</v>
      </c>
      <c r="C13" t="s">
        <v>602</v>
      </c>
    </row>
    <row r="14" spans="1:4" x14ac:dyDescent="0.25">
      <c r="A14" s="2" t="s">
        <v>69</v>
      </c>
      <c r="B14" s="2" t="s">
        <v>64</v>
      </c>
      <c r="C14" t="s">
        <v>603</v>
      </c>
    </row>
    <row r="15" spans="1:4" x14ac:dyDescent="0.25">
      <c r="A15" s="2" t="s">
        <v>70</v>
      </c>
      <c r="B15" s="2" t="s">
        <v>64</v>
      </c>
      <c r="C15" t="s">
        <v>604</v>
      </c>
    </row>
    <row r="16" spans="1:4" x14ac:dyDescent="0.25">
      <c r="A16" s="2" t="s">
        <v>71</v>
      </c>
      <c r="B16" s="2" t="s">
        <v>64</v>
      </c>
      <c r="C16" t="s">
        <v>605</v>
      </c>
    </row>
    <row r="17" spans="1:3" x14ac:dyDescent="0.25">
      <c r="A17" s="2" t="s">
        <v>72</v>
      </c>
      <c r="B17" s="2" t="s">
        <v>64</v>
      </c>
      <c r="C17" t="s">
        <v>606</v>
      </c>
    </row>
    <row r="18" spans="1:3" x14ac:dyDescent="0.25">
      <c r="A18" s="2" t="s">
        <v>73</v>
      </c>
      <c r="B18" s="2" t="s">
        <v>64</v>
      </c>
      <c r="C18" t="s">
        <v>607</v>
      </c>
    </row>
    <row r="19" spans="1:3" x14ac:dyDescent="0.25">
      <c r="A19" s="2" t="s">
        <v>74</v>
      </c>
      <c r="B19" s="2" t="s">
        <v>75</v>
      </c>
      <c r="C19" t="s">
        <v>608</v>
      </c>
    </row>
    <row r="20" spans="1:3" x14ac:dyDescent="0.25">
      <c r="A20" s="2" t="s">
        <v>76</v>
      </c>
      <c r="B20" s="2" t="s">
        <v>75</v>
      </c>
      <c r="C20" t="s">
        <v>609</v>
      </c>
    </row>
    <row r="21" spans="1:3" x14ac:dyDescent="0.25">
      <c r="A21" s="2" t="s">
        <v>77</v>
      </c>
      <c r="B21" s="2" t="s">
        <v>75</v>
      </c>
      <c r="C21" t="s">
        <v>610</v>
      </c>
    </row>
    <row r="22" spans="1:3" x14ac:dyDescent="0.25">
      <c r="A22" s="2" t="s">
        <v>78</v>
      </c>
      <c r="B22" s="2" t="s">
        <v>75</v>
      </c>
      <c r="C22" t="s">
        <v>611</v>
      </c>
    </row>
    <row r="23" spans="1:3" x14ac:dyDescent="0.25">
      <c r="A23" s="2" t="s">
        <v>7</v>
      </c>
      <c r="B23" s="2" t="s">
        <v>75</v>
      </c>
      <c r="C23" t="s">
        <v>612</v>
      </c>
    </row>
    <row r="24" spans="1:3" x14ac:dyDescent="0.25">
      <c r="A24" s="2" t="s">
        <v>79</v>
      </c>
      <c r="B24" s="2" t="s">
        <v>75</v>
      </c>
      <c r="C24" t="s">
        <v>613</v>
      </c>
    </row>
    <row r="25" spans="1:3" x14ac:dyDescent="0.25">
      <c r="A25" s="2" t="s">
        <v>80</v>
      </c>
      <c r="B25" s="2" t="s">
        <v>81</v>
      </c>
      <c r="C25" t="s">
        <v>614</v>
      </c>
    </row>
    <row r="26" spans="1:3" x14ac:dyDescent="0.25">
      <c r="A26" s="2" t="s">
        <v>82</v>
      </c>
      <c r="B26" s="2" t="s">
        <v>81</v>
      </c>
      <c r="C26" t="s">
        <v>615</v>
      </c>
    </row>
    <row r="27" spans="1:3" x14ac:dyDescent="0.25">
      <c r="A27" s="2" t="s">
        <v>83</v>
      </c>
      <c r="B27" s="2" t="s">
        <v>81</v>
      </c>
      <c r="C27" t="s">
        <v>616</v>
      </c>
    </row>
    <row r="28" spans="1:3" x14ac:dyDescent="0.25">
      <c r="A28" s="2" t="s">
        <v>84</v>
      </c>
      <c r="B28" s="2" t="s">
        <v>81</v>
      </c>
      <c r="C28" t="s">
        <v>617</v>
      </c>
    </row>
    <row r="29" spans="1:3" x14ac:dyDescent="0.25">
      <c r="A29" s="2" t="s">
        <v>85</v>
      </c>
      <c r="B29" s="2" t="s">
        <v>81</v>
      </c>
      <c r="C29" t="s">
        <v>618</v>
      </c>
    </row>
    <row r="30" spans="1:3" x14ac:dyDescent="0.25">
      <c r="A30" s="2" t="s">
        <v>86</v>
      </c>
      <c r="B30" s="2" t="s">
        <v>81</v>
      </c>
      <c r="C30" t="s">
        <v>619</v>
      </c>
    </row>
    <row r="31" spans="1:3" x14ac:dyDescent="0.25">
      <c r="A31" s="2" t="s">
        <v>87</v>
      </c>
      <c r="B31" s="2" t="s">
        <v>81</v>
      </c>
      <c r="C31" t="s">
        <v>620</v>
      </c>
    </row>
    <row r="32" spans="1:3" x14ac:dyDescent="0.25">
      <c r="A32" s="2" t="s">
        <v>88</v>
      </c>
      <c r="B32" s="2" t="s">
        <v>81</v>
      </c>
      <c r="C32" t="s">
        <v>621</v>
      </c>
    </row>
    <row r="33" spans="1:3" x14ac:dyDescent="0.25">
      <c r="A33" s="2" t="s">
        <v>89</v>
      </c>
      <c r="B33" s="2" t="s">
        <v>81</v>
      </c>
      <c r="C33" t="s">
        <v>622</v>
      </c>
    </row>
    <row r="34" spans="1:3" x14ac:dyDescent="0.25">
      <c r="A34" s="2" t="s">
        <v>90</v>
      </c>
      <c r="B34" s="2" t="s">
        <v>531</v>
      </c>
      <c r="C34" t="s">
        <v>623</v>
      </c>
    </row>
    <row r="35" spans="1:3" x14ac:dyDescent="0.25">
      <c r="A35" s="2" t="s">
        <v>92</v>
      </c>
      <c r="B35" s="2" t="s">
        <v>91</v>
      </c>
      <c r="C35" t="s">
        <v>624</v>
      </c>
    </row>
    <row r="36" spans="1:3" x14ac:dyDescent="0.25">
      <c r="A36" s="2" t="s">
        <v>93</v>
      </c>
      <c r="B36" s="2" t="s">
        <v>531</v>
      </c>
      <c r="C36" t="s">
        <v>625</v>
      </c>
    </row>
    <row r="37" spans="1:3" x14ac:dyDescent="0.25">
      <c r="A37" s="2" t="s">
        <v>94</v>
      </c>
      <c r="B37" s="2" t="s">
        <v>531</v>
      </c>
      <c r="C37" t="s">
        <v>626</v>
      </c>
    </row>
    <row r="38" spans="1:3" x14ac:dyDescent="0.25">
      <c r="A38" s="2" t="s">
        <v>95</v>
      </c>
      <c r="B38" s="2" t="s">
        <v>531</v>
      </c>
      <c r="C38" t="s">
        <v>627</v>
      </c>
    </row>
    <row r="39" spans="1:3" x14ac:dyDescent="0.25">
      <c r="A39" s="2" t="s">
        <v>96</v>
      </c>
      <c r="B39" s="2" t="s">
        <v>97</v>
      </c>
      <c r="C39" t="s">
        <v>628</v>
      </c>
    </row>
    <row r="40" spans="1:3" x14ac:dyDescent="0.25">
      <c r="A40" s="2" t="s">
        <v>98</v>
      </c>
      <c r="B40" s="2" t="s">
        <v>97</v>
      </c>
      <c r="C40" t="s">
        <v>629</v>
      </c>
    </row>
    <row r="41" spans="1:3" x14ac:dyDescent="0.25">
      <c r="A41" s="2" t="s">
        <v>99</v>
      </c>
      <c r="B41" s="2" t="s">
        <v>97</v>
      </c>
      <c r="C41" t="s">
        <v>630</v>
      </c>
    </row>
    <row r="42" spans="1:3" x14ac:dyDescent="0.25">
      <c r="A42" s="2" t="s">
        <v>100</v>
      </c>
      <c r="B42" s="2" t="s">
        <v>97</v>
      </c>
      <c r="C42" t="s">
        <v>631</v>
      </c>
    </row>
    <row r="43" spans="1:3" x14ac:dyDescent="0.25">
      <c r="A43" s="2" t="s">
        <v>101</v>
      </c>
      <c r="B43" s="2" t="s">
        <v>97</v>
      </c>
      <c r="C43" t="s">
        <v>632</v>
      </c>
    </row>
    <row r="44" spans="1:3" x14ac:dyDescent="0.25">
      <c r="A44" s="2" t="s">
        <v>102</v>
      </c>
      <c r="B44" s="2" t="s">
        <v>97</v>
      </c>
      <c r="C44" t="s">
        <v>633</v>
      </c>
    </row>
    <row r="45" spans="1:3" x14ac:dyDescent="0.25">
      <c r="A45" s="2" t="s">
        <v>103</v>
      </c>
      <c r="B45" s="2" t="s">
        <v>97</v>
      </c>
      <c r="C45" t="s">
        <v>634</v>
      </c>
    </row>
    <row r="46" spans="1:3" x14ac:dyDescent="0.25">
      <c r="A46" s="2" t="s">
        <v>104</v>
      </c>
      <c r="B46" s="2" t="s">
        <v>105</v>
      </c>
      <c r="C46" t="s">
        <v>635</v>
      </c>
    </row>
    <row r="47" spans="1:3" x14ac:dyDescent="0.25">
      <c r="A47" s="2" t="s">
        <v>106</v>
      </c>
      <c r="B47" s="2" t="s">
        <v>105</v>
      </c>
      <c r="C47" t="s">
        <v>636</v>
      </c>
    </row>
    <row r="48" spans="1:3" x14ac:dyDescent="0.25">
      <c r="A48" s="2" t="s">
        <v>107</v>
      </c>
      <c r="B48" s="2" t="s">
        <v>105</v>
      </c>
      <c r="C48" t="s">
        <v>637</v>
      </c>
    </row>
    <row r="49" spans="1:3" x14ac:dyDescent="0.25">
      <c r="A49" s="2" t="s">
        <v>108</v>
      </c>
      <c r="B49" s="2" t="s">
        <v>105</v>
      </c>
      <c r="C49" t="s">
        <v>638</v>
      </c>
    </row>
    <row r="50" spans="1:3" x14ac:dyDescent="0.25">
      <c r="A50" s="2" t="s">
        <v>109</v>
      </c>
      <c r="B50" s="2" t="s">
        <v>105</v>
      </c>
      <c r="C50" t="s">
        <v>639</v>
      </c>
    </row>
    <row r="51" spans="1:3" x14ac:dyDescent="0.25">
      <c r="A51" s="2" t="s">
        <v>111</v>
      </c>
      <c r="B51" s="2" t="s">
        <v>105</v>
      </c>
      <c r="C51" t="s">
        <v>640</v>
      </c>
    </row>
    <row r="52" spans="1:3" x14ac:dyDescent="0.25">
      <c r="A52" s="2" t="s">
        <v>112</v>
      </c>
      <c r="B52" s="2" t="s">
        <v>105</v>
      </c>
      <c r="C52" t="s">
        <v>641</v>
      </c>
    </row>
    <row r="53" spans="1:3" x14ac:dyDescent="0.25">
      <c r="A53" s="2" t="s">
        <v>113</v>
      </c>
      <c r="B53" s="2" t="s">
        <v>105</v>
      </c>
      <c r="C53" t="s">
        <v>642</v>
      </c>
    </row>
    <row r="54" spans="1:3" x14ac:dyDescent="0.25">
      <c r="A54" s="2" t="s">
        <v>114</v>
      </c>
      <c r="B54" s="2" t="s">
        <v>105</v>
      </c>
      <c r="C54" t="s">
        <v>643</v>
      </c>
    </row>
    <row r="55" spans="1:3" x14ac:dyDescent="0.25">
      <c r="A55" s="2" t="s">
        <v>115</v>
      </c>
      <c r="B55" s="2" t="s">
        <v>105</v>
      </c>
      <c r="C55" t="s">
        <v>644</v>
      </c>
    </row>
    <row r="56" spans="1:3" x14ac:dyDescent="0.25">
      <c r="A56" s="2" t="s">
        <v>116</v>
      </c>
      <c r="B56" s="2" t="s">
        <v>105</v>
      </c>
      <c r="C56" t="s">
        <v>645</v>
      </c>
    </row>
    <row r="57" spans="1:3" x14ac:dyDescent="0.25">
      <c r="A57" s="2" t="s">
        <v>117</v>
      </c>
      <c r="B57" s="2" t="s">
        <v>118</v>
      </c>
      <c r="C57" t="s">
        <v>646</v>
      </c>
    </row>
    <row r="58" spans="1:3" x14ac:dyDescent="0.25">
      <c r="A58" s="2" t="s">
        <v>119</v>
      </c>
      <c r="B58" s="2" t="s">
        <v>118</v>
      </c>
      <c r="C58" t="s">
        <v>647</v>
      </c>
    </row>
    <row r="59" spans="1:3" x14ac:dyDescent="0.25">
      <c r="A59" s="2" t="s">
        <v>120</v>
      </c>
      <c r="B59" s="2" t="s">
        <v>118</v>
      </c>
      <c r="C59" t="s">
        <v>648</v>
      </c>
    </row>
    <row r="60" spans="1:3" x14ac:dyDescent="0.25">
      <c r="A60" s="2" t="s">
        <v>121</v>
      </c>
      <c r="B60" s="2" t="s">
        <v>118</v>
      </c>
      <c r="C60" t="s">
        <v>649</v>
      </c>
    </row>
    <row r="61" spans="1:3" x14ac:dyDescent="0.25">
      <c r="A61" s="2" t="s">
        <v>122</v>
      </c>
      <c r="B61" s="2" t="s">
        <v>118</v>
      </c>
      <c r="C61" t="s">
        <v>650</v>
      </c>
    </row>
    <row r="62" spans="1:3" x14ac:dyDescent="0.25">
      <c r="A62" s="2" t="s">
        <v>123</v>
      </c>
      <c r="B62" s="2" t="s">
        <v>118</v>
      </c>
      <c r="C62" t="s">
        <v>651</v>
      </c>
    </row>
    <row r="63" spans="1:3" x14ac:dyDescent="0.25">
      <c r="A63" s="2" t="s">
        <v>124</v>
      </c>
      <c r="B63" s="2" t="s">
        <v>118</v>
      </c>
      <c r="C63" t="s">
        <v>652</v>
      </c>
    </row>
    <row r="64" spans="1:3" x14ac:dyDescent="0.25">
      <c r="A64" s="2" t="s">
        <v>125</v>
      </c>
      <c r="B64" s="2" t="s">
        <v>118</v>
      </c>
      <c r="C64" t="s">
        <v>653</v>
      </c>
    </row>
    <row r="65" spans="1:3" x14ac:dyDescent="0.25">
      <c r="A65" s="2" t="s">
        <v>126</v>
      </c>
      <c r="B65" s="2" t="s">
        <v>118</v>
      </c>
      <c r="C65" t="s">
        <v>654</v>
      </c>
    </row>
    <row r="66" spans="1:3" x14ac:dyDescent="0.25">
      <c r="A66" s="2"/>
      <c r="B66" s="2"/>
    </row>
  </sheetData>
  <autoFilter ref="A1:C65" xr:uid="{00000000-0009-0000-0000-000018000000}"/>
  <hyperlinks>
    <hyperlink ref="C34" r:id="rId1" xr:uid="{00000000-0004-0000-1800-00000000000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3"/>
  <sheetViews>
    <sheetView workbookViewId="0">
      <selection activeCell="D21" sqref="D21"/>
    </sheetView>
  </sheetViews>
  <sheetFormatPr baseColWidth="10" defaultColWidth="11.42578125" defaultRowHeight="15" x14ac:dyDescent="0.25"/>
  <cols>
    <col min="1" max="1" width="26.140625" bestFit="1" customWidth="1"/>
    <col min="2" max="2" width="19.7109375" bestFit="1" customWidth="1"/>
    <col min="4" max="4" width="34.7109375" bestFit="1" customWidth="1"/>
  </cols>
  <sheetData>
    <row r="1" spans="1:4" x14ac:dyDescent="0.25">
      <c r="A1" s="54" t="s">
        <v>253</v>
      </c>
      <c r="B1" s="55" t="s">
        <v>655</v>
      </c>
      <c r="C1" s="55" t="s">
        <v>656</v>
      </c>
      <c r="D1" s="56" t="s">
        <v>657</v>
      </c>
    </row>
    <row r="2" spans="1:4" x14ac:dyDescent="0.25">
      <c r="A2" s="57" t="s">
        <v>658</v>
      </c>
      <c r="B2" s="58" t="s">
        <v>51</v>
      </c>
      <c r="C2" s="58">
        <v>35</v>
      </c>
      <c r="D2" s="59">
        <v>37139767791</v>
      </c>
    </row>
    <row r="3" spans="1:4" ht="15.75" thickBot="1" x14ac:dyDescent="0.3">
      <c r="A3" s="60" t="s">
        <v>132</v>
      </c>
      <c r="B3" s="61" t="str">
        <f>+B2</f>
        <v>Noviembre</v>
      </c>
      <c r="C3" s="61">
        <f>SUM(C2:C2)</f>
        <v>35</v>
      </c>
      <c r="D3" s="62">
        <f>SUM(D2:D2)</f>
        <v>37139767791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Y69"/>
  <sheetViews>
    <sheetView topLeftCell="B10" zoomScale="80" zoomScaleNormal="80" workbookViewId="0">
      <pane xSplit="1" topLeftCell="K1" activePane="topRight" state="frozen"/>
      <selection activeCell="B1" sqref="B1"/>
      <selection pane="topRight" activeCell="K4" sqref="K4"/>
    </sheetView>
  </sheetViews>
  <sheetFormatPr baseColWidth="10" defaultColWidth="11.42578125" defaultRowHeight="15" x14ac:dyDescent="0.25"/>
  <cols>
    <col min="1" max="1" width="4.7109375" style="1" customWidth="1"/>
    <col min="2" max="2" width="62.5703125" style="1" bestFit="1" customWidth="1"/>
    <col min="3" max="3" width="29.42578125" style="1" customWidth="1"/>
    <col min="4" max="4" width="23.28515625" style="1" customWidth="1"/>
    <col min="5" max="5" width="23.28515625" style="1" hidden="1" customWidth="1"/>
    <col min="6" max="7" width="13.140625" style="1" customWidth="1"/>
    <col min="8" max="8" width="13.140625" style="1" hidden="1" customWidth="1"/>
    <col min="9" max="9" width="39" style="1" hidden="1" customWidth="1"/>
    <col min="10" max="10" width="30.7109375" style="1" hidden="1" customWidth="1"/>
    <col min="11" max="11" width="25.140625" style="1" customWidth="1"/>
    <col min="12" max="12" width="20.28515625" style="1" bestFit="1" customWidth="1"/>
    <col min="13" max="13" width="27.42578125" style="15" customWidth="1"/>
    <col min="14" max="14" width="42.7109375" style="15" customWidth="1"/>
    <col min="15" max="15" width="27.140625" style="1" customWidth="1"/>
    <col min="16" max="16" width="25.140625" style="6" bestFit="1" customWidth="1"/>
    <col min="17" max="19" width="28.140625" style="6" customWidth="1"/>
    <col min="20" max="24" width="33.42578125" style="1" customWidth="1"/>
    <col min="25" max="25" width="27.140625" style="1" customWidth="1"/>
  </cols>
  <sheetData>
    <row r="1" spans="1:25" s="4" customFormat="1" ht="60" x14ac:dyDescent="0.25">
      <c r="A1" s="3" t="s">
        <v>11</v>
      </c>
      <c r="B1" s="3" t="s">
        <v>12</v>
      </c>
      <c r="C1" s="3" t="s">
        <v>14</v>
      </c>
      <c r="D1" s="3" t="s">
        <v>15</v>
      </c>
      <c r="E1" s="27" t="s">
        <v>16</v>
      </c>
      <c r="F1" s="3" t="s">
        <v>17</v>
      </c>
      <c r="G1" s="38" t="s">
        <v>18</v>
      </c>
      <c r="H1" s="52" t="s">
        <v>19</v>
      </c>
      <c r="I1" s="11" t="s">
        <v>221</v>
      </c>
      <c r="J1" s="11" t="s">
        <v>222</v>
      </c>
      <c r="K1" s="3" t="s">
        <v>22</v>
      </c>
      <c r="L1" s="3" t="s">
        <v>23</v>
      </c>
      <c r="M1" s="19" t="s">
        <v>24</v>
      </c>
      <c r="N1" s="19" t="s">
        <v>25</v>
      </c>
      <c r="O1" s="3" t="s">
        <v>26</v>
      </c>
      <c r="P1" s="39" t="s">
        <v>27</v>
      </c>
      <c r="Q1" s="39" t="s">
        <v>28</v>
      </c>
      <c r="R1" s="39" t="s">
        <v>29</v>
      </c>
      <c r="S1" s="39" t="s">
        <v>30</v>
      </c>
      <c r="T1" s="39" t="s">
        <v>31</v>
      </c>
      <c r="U1" s="39" t="s">
        <v>32</v>
      </c>
      <c r="V1" s="39" t="s">
        <v>33</v>
      </c>
      <c r="W1" s="39" t="s">
        <v>34</v>
      </c>
      <c r="X1" s="39" t="s">
        <v>35</v>
      </c>
      <c r="Y1" s="39" t="s">
        <v>36</v>
      </c>
    </row>
    <row r="2" spans="1:25" hidden="1" x14ac:dyDescent="0.25">
      <c r="A2" s="2">
        <v>1</v>
      </c>
      <c r="B2" s="2" t="s">
        <v>41</v>
      </c>
      <c r="C2" s="30">
        <v>13861872203</v>
      </c>
      <c r="D2" s="13">
        <f>Tabla135[[#This Row],[VALOR PROYECTADO 2023-1]]*80%</f>
        <v>11089497762.400002</v>
      </c>
      <c r="E2" s="13"/>
      <c r="F2" s="8" t="s">
        <v>2</v>
      </c>
      <c r="G2" s="8" t="s">
        <v>44</v>
      </c>
      <c r="H2" s="8"/>
      <c r="I2" s="22" t="s">
        <v>659</v>
      </c>
      <c r="J2" s="8"/>
      <c r="K2" s="20">
        <f>Tabla135[[#This Row],[VALOR EJECUTADO 2023-1]]-Tabla135[[#This Row],[VALOR DESEMBOLSADO 2023-1 
80% (Concepto técnico)]]</f>
        <v>1254616341.5999985</v>
      </c>
      <c r="M2" s="42">
        <v>12344114104</v>
      </c>
      <c r="N2" s="25">
        <f>Tabla135[[#This Row],[VALOR PROYECTADO 2023-1]]-Tabla135[[#This Row],[VALOR EJECUTADO 2023-1]]</f>
        <v>1517758099</v>
      </c>
      <c r="O2" s="26">
        <f>Tabla135[[#This Row],[VALOR EJECUTADO 2023-1]]/Tabla135[[#This Row],[VALOR PROYECTADO 2023-1]]</f>
        <v>0.89050843372574695</v>
      </c>
      <c r="P2" s="6">
        <f>VLOOKUP(Tabla135[[#This Row],[NOMBRE IES]],'[1]INFORMACIÓN IES'!$B:$M,12,0)</f>
        <v>13373301126</v>
      </c>
      <c r="Q2" s="6">
        <f>VLOOKUP(Tabla135[[#This Row],[NOMBRE IES]],'[1]INFORMACIÓN IES'!$B:$N,13,0)</f>
        <v>10698640901</v>
      </c>
      <c r="R2" s="7">
        <f>+Tabla135[[#This Row],[VALOR PROYECTADO 2023-2]]-Tabla135[[#This Row],[VALOR DESEMBOLSADO 2023-2 
80%3]]</f>
        <v>2674660225</v>
      </c>
      <c r="S2" s="41" t="s">
        <v>46</v>
      </c>
      <c r="T2" s="8" t="s">
        <v>2</v>
      </c>
      <c r="U2" s="8"/>
      <c r="V2" s="7"/>
      <c r="W2" s="7"/>
      <c r="X2" s="10">
        <f>Tabla135[[#This Row],[VALOR PROYECTADO 2023-2]]-Tabla135[[#This Row],[VALOR EJECUTADO 2023-2]]</f>
        <v>13373301126</v>
      </c>
      <c r="Y2" s="5">
        <f>Tabla135[[#This Row],[VALOR EJECUTADO 2023-2]]/Tabla135[[#This Row],[VALOR PROYECTADO 2023-2]]</f>
        <v>0</v>
      </c>
    </row>
    <row r="3" spans="1:25" hidden="1" x14ac:dyDescent="0.25">
      <c r="A3" s="2">
        <v>2</v>
      </c>
      <c r="B3" s="2" t="s">
        <v>47</v>
      </c>
      <c r="C3" s="12">
        <v>1282801511</v>
      </c>
      <c r="D3" s="13">
        <v>1026241209</v>
      </c>
      <c r="E3" s="13">
        <v>256560302</v>
      </c>
      <c r="F3" s="8" t="s">
        <v>2</v>
      </c>
      <c r="G3" s="8" t="s">
        <v>44</v>
      </c>
      <c r="H3" s="8"/>
      <c r="I3" s="23"/>
      <c r="J3" s="8"/>
      <c r="K3" s="13">
        <v>497286791</v>
      </c>
      <c r="L3" s="13">
        <v>0</v>
      </c>
      <c r="M3" s="16">
        <f>+Tabla135[[#This Row],[VALOR A GIRAR
CIERRE 2023-1 ]]+Tabla135[[#This Row],[VALOR DESEMBOLSADO 2023-1 
80% (Concepto técnico)]]</f>
        <v>1523528000</v>
      </c>
      <c r="N3" s="24">
        <f>Tabla135[[#This Row],[VALOR PROYECTADO 2023-1]]-Tabla135[[#This Row],[VALOR EJECUTADO 2023-1]]</f>
        <v>-240726489</v>
      </c>
      <c r="O3" s="26">
        <f>Tabla135[[#This Row],[VALOR EJECUTADO 2023-1]]/Tabla135[[#This Row],[VALOR PROYECTADO 2023-1]]</f>
        <v>1.1876568486517787</v>
      </c>
      <c r="P3" s="6">
        <f>VLOOKUP(Tabla135[[#This Row],[NOMBRE IES]],'[1]INFORMACIÓN IES'!$B:$M,12,0)</f>
        <v>1575479400</v>
      </c>
      <c r="Q3" s="6">
        <f>VLOOKUP(Tabla135[[#This Row],[NOMBRE IES]],'[1]INFORMACIÓN IES'!$B:$N,13,0)</f>
        <v>1260383520</v>
      </c>
      <c r="R3" s="7">
        <f>+Tabla135[[#This Row],[VALOR PROYECTADO 2023-2]]-Tabla135[[#This Row],[VALOR DESEMBOLSADO 2023-2 
80%3]]</f>
        <v>315095880</v>
      </c>
      <c r="S3" s="41" t="s">
        <v>46</v>
      </c>
      <c r="T3" s="8" t="s">
        <v>2</v>
      </c>
      <c r="U3" s="7"/>
      <c r="V3" s="7"/>
      <c r="W3" s="7"/>
      <c r="X3" s="9">
        <f>Tabla135[[#This Row],[VALOR PROYECTADO 2023-2]]-Tabla135[[#This Row],[VALOR EJECUTADO 2023-2]]</f>
        <v>1575479400</v>
      </c>
      <c r="Y3" s="1">
        <f>Tabla135[[#This Row],[VALOR EJECUTADO 2023-2]]/Tabla135[[#This Row],[VALOR PROYECTADO 2023-2]]</f>
        <v>0</v>
      </c>
    </row>
    <row r="4" spans="1:25" x14ac:dyDescent="0.25">
      <c r="A4" s="2">
        <v>3</v>
      </c>
      <c r="B4" s="2" t="s">
        <v>50</v>
      </c>
      <c r="C4" s="30">
        <v>4183866401</v>
      </c>
      <c r="D4" s="13">
        <f>Tabla135[[#This Row],[VALOR PROYECTADO 2023-1]]*80%</f>
        <v>3347093120.8000002</v>
      </c>
      <c r="E4" s="13">
        <v>3438605429</v>
      </c>
      <c r="F4" s="8" t="s">
        <v>67</v>
      </c>
      <c r="G4" s="8" t="s">
        <v>51</v>
      </c>
      <c r="H4" s="8"/>
      <c r="I4" s="22"/>
      <c r="J4" s="8"/>
      <c r="K4" s="13">
        <f>Tabla135[[#This Row],[VALOR ESTIMADO  POR DESEMBOLSAR 2023-1 
(20%)]]</f>
        <v>3438605429</v>
      </c>
      <c r="L4" s="1" t="s">
        <v>56</v>
      </c>
      <c r="M4" s="30">
        <v>6785698550</v>
      </c>
      <c r="N4" s="24">
        <f>Tabla135[[#This Row],[VALOR PROYECTADO 2023-1]]-Tabla135[[#This Row],[VALOR EJECUTADO 2023-1]]</f>
        <v>-2601832149</v>
      </c>
      <c r="O4" s="26">
        <f>Tabla135[[#This Row],[VALOR EJECUTADO 2023-1]]/Tabla135[[#This Row],[VALOR PROYECTADO 2023-1]]</f>
        <v>1.6218726650492776</v>
      </c>
      <c r="P4" s="6">
        <f>VLOOKUP(Tabla135[[#This Row],[NOMBRE IES]],'[1]INFORMACIÓN IES'!$B:$M,12,0)</f>
        <v>7426059429</v>
      </c>
      <c r="Q4" s="6">
        <f>VLOOKUP(Tabla135[[#This Row],[NOMBRE IES]],'[1]INFORMACIÓN IES'!$B:$N,13,0)</f>
        <v>5940847543</v>
      </c>
      <c r="R4" s="7">
        <f>+Tabla135[[#This Row],[VALOR PROYECTADO 2023-2]]-Tabla135[[#This Row],[VALOR DESEMBOLSADO 2023-2 
80%3]]</f>
        <v>1485211886</v>
      </c>
      <c r="S4" s="40" t="s">
        <v>44</v>
      </c>
      <c r="T4" s="8" t="s">
        <v>2</v>
      </c>
      <c r="U4" s="7"/>
      <c r="V4" s="7"/>
      <c r="W4" s="7"/>
      <c r="X4" s="9">
        <f>Tabla135[[#This Row],[VALOR PROYECTADO 2023-2]]-Tabla135[[#This Row],[VALOR EJECUTADO 2023-2]]</f>
        <v>7426059429</v>
      </c>
      <c r="Y4" s="1">
        <f>Tabla135[[#This Row],[VALOR EJECUTADO 2023-2]]/Tabla135[[#This Row],[VALOR PROYECTADO 2023-2]]</f>
        <v>0</v>
      </c>
    </row>
    <row r="5" spans="1:25" hidden="1" x14ac:dyDescent="0.25">
      <c r="A5" s="2">
        <v>4</v>
      </c>
      <c r="B5" s="2" t="s">
        <v>52</v>
      </c>
      <c r="C5" s="12">
        <v>14695076294</v>
      </c>
      <c r="D5" s="13">
        <f>Tabla135[[#This Row],[VALOR PROYECTADO 2023-1]]*80%</f>
        <v>11756061035.200001</v>
      </c>
      <c r="E5" s="13"/>
      <c r="F5" s="8" t="s">
        <v>2</v>
      </c>
      <c r="G5" s="8" t="s">
        <v>44</v>
      </c>
      <c r="H5" s="8"/>
      <c r="I5" s="22" t="s">
        <v>660</v>
      </c>
      <c r="J5" s="8"/>
      <c r="K5" s="20">
        <f>Tabla135[[#This Row],[VALOR EJECUTADO 2023-1]]-Tabla135[[#This Row],[VALOR DESEMBOLSADO 2023-1 
80% (Concepto técnico)]]</f>
        <v>931678630.79999924</v>
      </c>
      <c r="M5" s="42">
        <v>12687739666</v>
      </c>
      <c r="N5" s="25">
        <f>Tabla135[[#This Row],[VALOR PROYECTADO 2023-1]]-Tabla135[[#This Row],[VALOR EJECUTADO 2023-1]]</f>
        <v>2007336628</v>
      </c>
      <c r="O5" s="26">
        <f>Tabla135[[#This Row],[VALOR EJECUTADO 2023-1]]/Tabla135[[#This Row],[VALOR PROYECTADO 2023-1]]</f>
        <v>0.86340073451543797</v>
      </c>
      <c r="P5" s="6">
        <f>VLOOKUP(Tabla135[[#This Row],[NOMBRE IES]],'[1]INFORMACIÓN IES'!$B:$M,12,0)</f>
        <v>13720183871</v>
      </c>
      <c r="Q5" s="6">
        <f>VLOOKUP(Tabla135[[#This Row],[NOMBRE IES]],'[1]INFORMACIÓN IES'!$B:$N,13,0)</f>
        <v>10976147097</v>
      </c>
      <c r="R5" s="7">
        <f>+Tabla135[[#This Row],[VALOR PROYECTADO 2023-2]]-Tabla135[[#This Row],[VALOR DESEMBOLSADO 2023-2 
80%3]]</f>
        <v>2744036774</v>
      </c>
      <c r="S5" s="41" t="s">
        <v>46</v>
      </c>
      <c r="T5" s="8" t="s">
        <v>2</v>
      </c>
      <c r="U5" s="7"/>
      <c r="V5" s="7"/>
      <c r="W5" s="7"/>
      <c r="X5" s="9">
        <f>Tabla135[[#This Row],[VALOR PROYECTADO 2023-2]]-Tabla135[[#This Row],[VALOR EJECUTADO 2023-2]]</f>
        <v>13720183871</v>
      </c>
      <c r="Y5" s="1">
        <f>Tabla135[[#This Row],[VALOR EJECUTADO 2023-2]]/Tabla135[[#This Row],[VALOR PROYECTADO 2023-2]]</f>
        <v>0</v>
      </c>
    </row>
    <row r="6" spans="1:25" x14ac:dyDescent="0.25">
      <c r="A6" s="2">
        <v>5</v>
      </c>
      <c r="B6" s="2" t="s">
        <v>53</v>
      </c>
      <c r="C6" s="30">
        <v>3472234794</v>
      </c>
      <c r="D6" s="13">
        <f>Tabla135[[#This Row],[VALOR PROYECTADO 2023-1]]*80%</f>
        <v>2777787835.2000003</v>
      </c>
      <c r="E6" s="13">
        <f>Tabla135[[#This Row],[VALOR EJECUTADO 2023-1]]-Tabla135[[#This Row],[VALOR DESEMBOLSADO 2023-1 
80% (Concepto técnico)]]</f>
        <v>254752164.79999971</v>
      </c>
      <c r="F6" s="8" t="s">
        <v>67</v>
      </c>
      <c r="G6" s="8" t="s">
        <v>51</v>
      </c>
      <c r="H6" s="8" t="s">
        <v>45</v>
      </c>
      <c r="I6" s="22"/>
      <c r="J6" s="8"/>
      <c r="K6" s="33">
        <v>254752165</v>
      </c>
      <c r="L6" s="1" t="s">
        <v>56</v>
      </c>
      <c r="M6" s="30">
        <v>3032540000</v>
      </c>
      <c r="N6" s="25">
        <f>Tabla135[[#This Row],[VALOR PROYECTADO 2023-1]]-Tabla135[[#This Row],[VALOR EJECUTADO 2023-1]]</f>
        <v>439694794</v>
      </c>
      <c r="O6" s="26">
        <f>Tabla135[[#This Row],[VALOR EJECUTADO 2023-1]]/Tabla135[[#This Row],[VALOR PROYECTADO 2023-1]]</f>
        <v>0.87336835781964117</v>
      </c>
      <c r="P6" s="6">
        <f>VLOOKUP(Tabla135[[#This Row],[NOMBRE IES]],'[1]INFORMACIÓN IES'!$B:$M,12,0)</f>
        <v>3383420700</v>
      </c>
      <c r="Q6" s="6">
        <f>VLOOKUP(Tabla135[[#This Row],[NOMBRE IES]],'[1]INFORMACIÓN IES'!$B:$N,13,0)</f>
        <v>2706736560</v>
      </c>
      <c r="R6" s="7">
        <f>+Tabla135[[#This Row],[VALOR PROYECTADO 2023-2]]-Tabla135[[#This Row],[VALOR DESEMBOLSADO 2023-2 
80%3]]</f>
        <v>676684140</v>
      </c>
      <c r="S6" s="40" t="s">
        <v>44</v>
      </c>
      <c r="T6" s="8" t="s">
        <v>2</v>
      </c>
      <c r="U6" s="7"/>
      <c r="V6" s="7"/>
      <c r="W6" s="7"/>
      <c r="X6" s="9">
        <f>Tabla135[[#This Row],[VALOR PROYECTADO 2023-2]]-Tabla135[[#This Row],[VALOR EJECUTADO 2023-2]]</f>
        <v>3383420700</v>
      </c>
      <c r="Y6" s="1">
        <f>Tabla135[[#This Row],[VALOR EJECUTADO 2023-2]]/Tabla135[[#This Row],[VALOR PROYECTADO 2023-2]]</f>
        <v>0</v>
      </c>
    </row>
    <row r="7" spans="1:25" hidden="1" x14ac:dyDescent="0.25">
      <c r="A7" s="2">
        <v>6</v>
      </c>
      <c r="B7" s="2" t="s">
        <v>57</v>
      </c>
      <c r="C7" s="12">
        <v>9565497049</v>
      </c>
      <c r="D7" s="13">
        <f>Tabla135[[#This Row],[VALOR PROYECTADO 2023-1]]*80%</f>
        <v>7652397639.2000008</v>
      </c>
      <c r="E7" s="13">
        <f>Tabla135[[#This Row],[VALOR EJECUTADO 2023-1]]-Tabla135[[#This Row],[VALOR DESEMBOLSADO 2023-1 
80% (Concepto técnico)]]</f>
        <v>505949360.79999924</v>
      </c>
      <c r="F7" s="8" t="s">
        <v>2</v>
      </c>
      <c r="G7" s="8" t="s">
        <v>44</v>
      </c>
      <c r="H7" s="8"/>
      <c r="I7" s="22" t="s">
        <v>244</v>
      </c>
      <c r="J7" s="14">
        <v>45226</v>
      </c>
      <c r="K7" s="13">
        <f>Tabla135[[#This Row],[VALOR EJECUTADO 2023-1]]-Tabla135[[#This Row],[VALOR DESEMBOLSADO 2023-1 
80% (Concepto técnico)]]</f>
        <v>505949360.79999924</v>
      </c>
      <c r="L7" s="1" t="s">
        <v>56</v>
      </c>
      <c r="M7" s="32">
        <v>8158347000</v>
      </c>
      <c r="N7" s="25">
        <f>Tabla135[[#This Row],[VALOR PROYECTADO 2023-1]]-Tabla135[[#This Row],[VALOR EJECUTADO 2023-1]]</f>
        <v>1407150049</v>
      </c>
      <c r="O7" s="26">
        <f>Tabla135[[#This Row],[VALOR EJECUTADO 2023-1]]/Tabla135[[#This Row],[VALOR PROYECTADO 2023-1]]</f>
        <v>0.85289315946764033</v>
      </c>
      <c r="P7" s="6">
        <f>VLOOKUP(Tabla135[[#This Row],[NOMBRE IES]],'[1]INFORMACIÓN IES'!$B:$M,12,0)</f>
        <v>9088227500</v>
      </c>
      <c r="Q7" s="6">
        <f>VLOOKUP(Tabla135[[#This Row],[NOMBRE IES]],'[1]INFORMACIÓN IES'!$B:$N,13,0)</f>
        <v>7270582000</v>
      </c>
      <c r="R7" s="7">
        <f>+Tabla135[[#This Row],[VALOR PROYECTADO 2023-2]]-Tabla135[[#This Row],[VALOR DESEMBOLSADO 2023-2 
80%3]]</f>
        <v>1817645500</v>
      </c>
      <c r="S7" s="41" t="s">
        <v>46</v>
      </c>
      <c r="T7" s="8" t="s">
        <v>2</v>
      </c>
      <c r="U7" s="7"/>
      <c r="V7" s="7"/>
      <c r="W7" s="7"/>
      <c r="X7" s="9">
        <f>Tabla135[[#This Row],[VALOR PROYECTADO 2023-2]]-Tabla135[[#This Row],[VALOR EJECUTADO 2023-2]]</f>
        <v>9088227500</v>
      </c>
      <c r="Y7" s="1">
        <f>Tabla135[[#This Row],[VALOR EJECUTADO 2023-2]]/Tabla135[[#This Row],[VALOR PROYECTADO 2023-2]]</f>
        <v>0</v>
      </c>
    </row>
    <row r="8" spans="1:25" hidden="1" x14ac:dyDescent="0.25">
      <c r="A8" s="2">
        <v>61</v>
      </c>
      <c r="B8" s="2" t="s">
        <v>58</v>
      </c>
      <c r="C8" s="12">
        <v>244117310</v>
      </c>
      <c r="D8" s="13">
        <f>Tabla135[[#This Row],[VALOR PROYECTADO 2023-1]]*80%</f>
        <v>195293848</v>
      </c>
      <c r="E8" s="13">
        <f>Tabla135[[#This Row],[VALOR EJECUTADO 2023-1]]-Tabla135[[#This Row],[VALOR DESEMBOLSADO 2023-1 
80% (Concepto técnico)]]</f>
        <v>38921825</v>
      </c>
      <c r="F8" s="8" t="s">
        <v>2</v>
      </c>
      <c r="G8" s="8" t="s">
        <v>44</v>
      </c>
      <c r="H8" s="8"/>
      <c r="I8" s="22"/>
      <c r="J8" s="8"/>
      <c r="K8" s="13">
        <f>Tabla135[[#This Row],[VALOR EJECUTADO 2023-1]]-Tabla135[[#This Row],[VALOR DESEMBOLSADO 2023-1 
80% (Concepto técnico)]]</f>
        <v>38921825</v>
      </c>
      <c r="L8" s="1" t="s">
        <v>56</v>
      </c>
      <c r="M8" s="32">
        <v>234215673</v>
      </c>
      <c r="N8" s="25">
        <f>Tabla135[[#This Row],[VALOR PROYECTADO 2023-1]]-Tabla135[[#This Row],[VALOR EJECUTADO 2023-1]]</f>
        <v>9901637</v>
      </c>
      <c r="O8" s="26">
        <f>Tabla135[[#This Row],[VALOR EJECUTADO 2023-1]]/Tabla135[[#This Row],[VALOR PROYECTADO 2023-1]]</f>
        <v>0.95943902134592585</v>
      </c>
      <c r="P8" s="6">
        <f>VLOOKUP(Tabla135[[#This Row],[NOMBRE IES]],'[1]INFORMACIÓN IES'!$B:$M,12,0)</f>
        <v>238695832</v>
      </c>
      <c r="Q8" s="6">
        <f>VLOOKUP(Tabla135[[#This Row],[NOMBRE IES]],'[1]INFORMACIÓN IES'!$B:$N,13,0)</f>
        <v>190956665.60000002</v>
      </c>
      <c r="R8" s="7">
        <f>+Tabla135[[#This Row],[VALOR PROYECTADO 2023-2]]-Tabla135[[#This Row],[VALOR DESEMBOLSADO 2023-2 
80%3]]</f>
        <v>47739166.399999976</v>
      </c>
      <c r="S8" s="41" t="s">
        <v>46</v>
      </c>
      <c r="T8" s="8" t="s">
        <v>2</v>
      </c>
      <c r="U8" s="7"/>
      <c r="V8" s="7"/>
      <c r="W8" s="7"/>
      <c r="X8" s="9">
        <f>Tabla135[[#This Row],[VALOR PROYECTADO 2023-2]]-Tabla135[[#This Row],[VALOR EJECUTADO 2023-2]]</f>
        <v>238695832</v>
      </c>
      <c r="Y8" s="1">
        <f>Tabla135[[#This Row],[VALOR EJECUTADO 2023-2]]/Tabla135[[#This Row],[VALOR PROYECTADO 2023-2]]</f>
        <v>0</v>
      </c>
    </row>
    <row r="9" spans="1:25" hidden="1" x14ac:dyDescent="0.25">
      <c r="A9" s="2">
        <v>62</v>
      </c>
      <c r="B9" s="2" t="s">
        <v>60</v>
      </c>
      <c r="C9" s="12">
        <v>10334311869</v>
      </c>
      <c r="D9" s="13">
        <f>Tabla135[[#This Row],[VALOR PROYECTADO 2023-1]]*80%</f>
        <v>8267449495.2000008</v>
      </c>
      <c r="E9" s="20">
        <f>Tabla135[[#This Row],[VALOR EJECUTADO 2023-1]]-Tabla135[[#This Row],[VALOR DESEMBOLSADO 2023-1 
80% (Concepto técnico)]]</f>
        <v>-1980689345.2000008</v>
      </c>
      <c r="F9" s="8" t="s">
        <v>2</v>
      </c>
      <c r="G9" s="8" t="s">
        <v>44</v>
      </c>
      <c r="H9" s="8"/>
      <c r="I9" s="23" t="s">
        <v>232</v>
      </c>
      <c r="J9" s="14">
        <v>45240</v>
      </c>
      <c r="K9" s="13">
        <v>0</v>
      </c>
      <c r="L9" s="20">
        <f>Tabla135[[#This Row],[VALOR EJECUTADO 2023-1]]-Tabla135[[#This Row],[VALOR DESEMBOLSADO 2023-1 
80% (Concepto técnico)]]</f>
        <v>-1980689345.2000008</v>
      </c>
      <c r="M9" s="32">
        <v>6286760150</v>
      </c>
      <c r="N9" s="25">
        <f>Tabla135[[#This Row],[VALOR PROYECTADO 2023-1]]-Tabla135[[#This Row],[VALOR EJECUTADO 2023-1]]</f>
        <v>4047551719</v>
      </c>
      <c r="O9" s="26">
        <f>Tabla135[[#This Row],[VALOR EJECUTADO 2023-1]]/Tabla135[[#This Row],[VALOR PROYECTADO 2023-1]]</f>
        <v>0.60833853571407059</v>
      </c>
      <c r="P9" s="6">
        <f>VLOOKUP(Tabla135[[#This Row],[NOMBRE IES]],'[1]INFORMACIÓN IES'!$B:$M,12,0)</f>
        <v>8643036930</v>
      </c>
      <c r="Q9" s="6">
        <f>VLOOKUP(Tabla135[[#This Row],[NOMBRE IES]],'[1]INFORMACIÓN IES'!$B:$N,13,0)</f>
        <v>6914429544</v>
      </c>
      <c r="R9" s="7">
        <f>+Tabla135[[#This Row],[VALOR PROYECTADO 2023-2]]-Tabla135[[#This Row],[VALOR DESEMBOLSADO 2023-2 
80%3]]</f>
        <v>1728607386</v>
      </c>
      <c r="S9" s="41" t="s">
        <v>46</v>
      </c>
      <c r="T9" s="8" t="s">
        <v>2</v>
      </c>
      <c r="U9" s="7"/>
      <c r="V9" s="7"/>
      <c r="W9" s="7"/>
      <c r="X9" s="9">
        <f>Tabla135[[#This Row],[VALOR PROYECTADO 2023-2]]-Tabla135[[#This Row],[VALOR EJECUTADO 2023-2]]</f>
        <v>8643036930</v>
      </c>
      <c r="Y9" s="1">
        <f>Tabla135[[#This Row],[VALOR EJECUTADO 2023-2]]/Tabla135[[#This Row],[VALOR PROYECTADO 2023-2]]</f>
        <v>0</v>
      </c>
    </row>
    <row r="10" spans="1:25" x14ac:dyDescent="0.25">
      <c r="A10" s="2">
        <v>63</v>
      </c>
      <c r="B10" s="2" t="s">
        <v>61</v>
      </c>
      <c r="C10" s="30">
        <v>26619140077</v>
      </c>
      <c r="D10" s="13">
        <f>Tabla135[[#This Row],[VALOR PROYECTADO 2023-1]]*80%</f>
        <v>21295312061.600002</v>
      </c>
      <c r="E10" s="13">
        <f>Tabla135[[#This Row],[VALOR EJECUTADO 2023-1]]-Tabla135[[#This Row],[VALOR DESEMBOLSADO 2023-1 
80% (Concepto técnico)]]</f>
        <v>1498409641.3999977</v>
      </c>
      <c r="F10" s="8" t="s">
        <v>67</v>
      </c>
      <c r="G10" s="8" t="s">
        <v>51</v>
      </c>
      <c r="H10" s="8"/>
      <c r="I10" s="22" t="s">
        <v>244</v>
      </c>
      <c r="J10" s="14">
        <v>45226</v>
      </c>
      <c r="K10" s="13">
        <f>Tabla135[[#This Row],[VALOR EJECUTADO 2023-1]]-Tabla135[[#This Row],[VALOR DESEMBOLSADO 2023-1 
80% (Concepto técnico)]]</f>
        <v>1498409641.3999977</v>
      </c>
      <c r="L10" s="1" t="s">
        <v>56</v>
      </c>
      <c r="M10" s="30">
        <v>22793721703</v>
      </c>
      <c r="N10" s="25">
        <f>Tabla135[[#This Row],[VALOR PROYECTADO 2023-1]]-Tabla135[[#This Row],[VALOR EJECUTADO 2023-1]]</f>
        <v>3825418374</v>
      </c>
      <c r="O10" s="26">
        <f>Tabla135[[#This Row],[VALOR EJECUTADO 2023-1]]/Tabla135[[#This Row],[VALOR PROYECTADO 2023-1]]</f>
        <v>0.85629068546412912</v>
      </c>
      <c r="P10" s="6">
        <f>VLOOKUP(Tabla135[[#This Row],[NOMBRE IES]],'[1]INFORMACIÓN IES'!$B:$M,12,0)</f>
        <v>24624230866</v>
      </c>
      <c r="Q10" s="6">
        <f>VLOOKUP(Tabla135[[#This Row],[NOMBRE IES]],'[1]INFORMACIÓN IES'!$B:$N,13,0)</f>
        <v>19699384692.799999</v>
      </c>
      <c r="R10" s="7">
        <f>+Tabla135[[#This Row],[VALOR PROYECTADO 2023-2]]-Tabla135[[#This Row],[VALOR DESEMBOLSADO 2023-2 
80%3]]</f>
        <v>4924846173.2000008</v>
      </c>
      <c r="S10" s="41" t="s">
        <v>46</v>
      </c>
      <c r="T10" s="8" t="s">
        <v>2</v>
      </c>
      <c r="U10" s="7"/>
      <c r="V10" s="7"/>
      <c r="W10" s="7"/>
      <c r="X10" s="9">
        <f>Tabla135[[#This Row],[VALOR PROYECTADO 2023-2]]-Tabla135[[#This Row],[VALOR EJECUTADO 2023-2]]</f>
        <v>24624230866</v>
      </c>
      <c r="Y10" s="1">
        <f>Tabla135[[#This Row],[VALOR EJECUTADO 2023-2]]/Tabla135[[#This Row],[VALOR PROYECTADO 2023-2]]</f>
        <v>0</v>
      </c>
    </row>
    <row r="11" spans="1:25" x14ac:dyDescent="0.25">
      <c r="A11" s="2">
        <v>64</v>
      </c>
      <c r="B11" s="2" t="s">
        <v>62</v>
      </c>
      <c r="C11" s="30">
        <v>3228310277</v>
      </c>
      <c r="D11" s="13">
        <f>Tabla135[[#This Row],[VALOR PROYECTADO 2023-1]]*80%</f>
        <v>2582648221.6000004</v>
      </c>
      <c r="E11" s="13">
        <f>Tabla135[[#This Row],[VALOR EJECUTADO 2023-1]]-Tabla135[[#This Row],[VALOR DESEMBOLSADO 2023-1 
80% (Concepto técnico)]]</f>
        <v>349033778.39999962</v>
      </c>
      <c r="F11" s="8" t="s">
        <v>67</v>
      </c>
      <c r="G11" s="8" t="s">
        <v>51</v>
      </c>
      <c r="H11" s="8" t="s">
        <v>45</v>
      </c>
      <c r="I11" s="22"/>
      <c r="J11" s="8"/>
      <c r="K11" s="13">
        <v>349033779</v>
      </c>
      <c r="L11" s="1" t="s">
        <v>56</v>
      </c>
      <c r="M11" s="30">
        <v>2931682000</v>
      </c>
      <c r="N11" s="25">
        <f>Tabla135[[#This Row],[VALOR PROYECTADO 2023-1]]-Tabla135[[#This Row],[VALOR EJECUTADO 2023-1]]</f>
        <v>296628277</v>
      </c>
      <c r="O11" s="26">
        <f>Tabla135[[#This Row],[VALOR EJECUTADO 2023-1]]/Tabla135[[#This Row],[VALOR PROYECTADO 2023-1]]</f>
        <v>0.90811655276343195</v>
      </c>
      <c r="P11" s="6">
        <f>VLOOKUP(Tabla135[[#This Row],[NOMBRE IES]],'[1]INFORMACIÓN IES'!$B:$M,12,0)</f>
        <v>3133424800</v>
      </c>
      <c r="Q11" s="6">
        <f>VLOOKUP(Tabla135[[#This Row],[NOMBRE IES]],'[1]INFORMACIÓN IES'!$B:$N,13,0)</f>
        <v>2506739840</v>
      </c>
      <c r="R11" s="7">
        <f>+Tabla135[[#This Row],[VALOR PROYECTADO 2023-2]]-Tabla135[[#This Row],[VALOR DESEMBOLSADO 2023-2 
80%3]]</f>
        <v>626684960</v>
      </c>
      <c r="S11" s="40" t="s">
        <v>44</v>
      </c>
      <c r="T11" s="8" t="s">
        <v>2</v>
      </c>
      <c r="U11" s="7"/>
      <c r="V11" s="7"/>
      <c r="W11" s="7"/>
      <c r="X11" s="9">
        <f>Tabla135[[#This Row],[VALOR PROYECTADO 2023-2]]-Tabla135[[#This Row],[VALOR EJECUTADO 2023-2]]</f>
        <v>3133424800</v>
      </c>
      <c r="Y11" s="1">
        <f>Tabla135[[#This Row],[VALOR EJECUTADO 2023-2]]/Tabla135[[#This Row],[VALOR PROYECTADO 2023-2]]</f>
        <v>0</v>
      </c>
    </row>
    <row r="12" spans="1:25" x14ac:dyDescent="0.25">
      <c r="A12" s="2">
        <v>54</v>
      </c>
      <c r="B12" s="2" t="s">
        <v>63</v>
      </c>
      <c r="C12" s="30">
        <v>2215707677</v>
      </c>
      <c r="D12" s="13">
        <f>Tabla135[[#This Row],[VALOR PROYECTADO 2023-1]]*80%</f>
        <v>1772566141.6000001</v>
      </c>
      <c r="E12" s="12">
        <v>710880442</v>
      </c>
      <c r="F12" s="8" t="s">
        <v>67</v>
      </c>
      <c r="G12" s="8" t="s">
        <v>51</v>
      </c>
      <c r="H12" s="8" t="s">
        <v>45</v>
      </c>
      <c r="I12" s="22"/>
      <c r="J12" s="8"/>
      <c r="K12" s="13">
        <f>Tabla135[[#This Row],[VALOR ESTIMADO  POR DESEMBOLSAR 2023-1 
(20%)]]</f>
        <v>710880442</v>
      </c>
      <c r="L12" s="1" t="s">
        <v>56</v>
      </c>
      <c r="M12" s="30">
        <v>2483446583</v>
      </c>
      <c r="N12" s="24">
        <f>Tabla135[[#This Row],[VALOR PROYECTADO 2023-1]]-Tabla135[[#This Row],[VALOR EJECUTADO 2023-1]]</f>
        <v>-267738906</v>
      </c>
      <c r="O12" s="26">
        <f>Tabla135[[#This Row],[VALOR EJECUTADO 2023-1]]/Tabla135[[#This Row],[VALOR PROYECTADO 2023-1]]</f>
        <v>1.1208367461011419</v>
      </c>
      <c r="P12" s="6">
        <f>VLOOKUP(Tabla135[[#This Row],[NOMBRE IES]],'[1]INFORMACIÓN IES'!$B:$M,12,0)</f>
        <v>2713207581</v>
      </c>
      <c r="Q12" s="6">
        <f>VLOOKUP(Tabla135[[#This Row],[NOMBRE IES]],'[1]INFORMACIÓN IES'!$B:$N,13,0)</f>
        <v>2170566065</v>
      </c>
      <c r="R12" s="7">
        <f>+Tabla135[[#This Row],[VALOR PROYECTADO 2023-2]]-Tabla135[[#This Row],[VALOR DESEMBOLSADO 2023-2 
80%3]]</f>
        <v>542641516</v>
      </c>
      <c r="S12" s="40" t="s">
        <v>44</v>
      </c>
      <c r="T12" s="8" t="s">
        <v>2</v>
      </c>
      <c r="U12" s="7"/>
      <c r="V12" s="7"/>
      <c r="W12" s="7"/>
      <c r="X12" s="9">
        <f>Tabla135[[#This Row],[VALOR PROYECTADO 2023-2]]-Tabla135[[#This Row],[VALOR EJECUTADO 2023-2]]</f>
        <v>2713207581</v>
      </c>
      <c r="Y12" s="1">
        <f>Tabla135[[#This Row],[VALOR EJECUTADO 2023-2]]/Tabla135[[#This Row],[VALOR PROYECTADO 2023-2]]</f>
        <v>0</v>
      </c>
    </row>
    <row r="13" spans="1:25" x14ac:dyDescent="0.25">
      <c r="A13" s="2">
        <v>55</v>
      </c>
      <c r="B13" s="2" t="s">
        <v>66</v>
      </c>
      <c r="C13" s="30">
        <v>14623077531</v>
      </c>
      <c r="D13" s="13">
        <f>Tabla135[[#This Row],[VALOR PROYECTADO 2023-1]]*80%</f>
        <v>11698462024.800001</v>
      </c>
      <c r="E13" s="12">
        <v>6013503975</v>
      </c>
      <c r="F13" s="8" t="s">
        <v>67</v>
      </c>
      <c r="G13" s="8" t="s">
        <v>51</v>
      </c>
      <c r="H13" s="8"/>
      <c r="I13" s="22"/>
      <c r="J13" s="8"/>
      <c r="K13" s="13">
        <f>Tabla135[[#This Row],[VALOR ESTIMADO  POR DESEMBOLSAR 2023-1 
(20%)]]</f>
        <v>6013503975</v>
      </c>
      <c r="L13" s="1" t="s">
        <v>56</v>
      </c>
      <c r="M13" s="30">
        <v>17711966000</v>
      </c>
      <c r="N13" s="24">
        <f>Tabla135[[#This Row],[VALOR PROYECTADO 2023-1]]-Tabla135[[#This Row],[VALOR EJECUTADO 2023-1]]</f>
        <v>-3088888469</v>
      </c>
      <c r="O13" s="26">
        <f>Tabla135[[#This Row],[VALOR EJECUTADO 2023-1]]/Tabla135[[#This Row],[VALOR PROYECTADO 2023-1]]</f>
        <v>1.2112338160316631</v>
      </c>
      <c r="P13" s="6">
        <f>VLOOKUP(Tabla135[[#This Row],[NOMBRE IES]],'[1]INFORMACIÓN IES'!$B:$M,12,0)</f>
        <v>18794106650</v>
      </c>
      <c r="Q13" s="6">
        <f>VLOOKUP(Tabla135[[#This Row],[NOMBRE IES]],'[1]INFORMACIÓN IES'!$B:$N,13,0)</f>
        <v>15035285320</v>
      </c>
      <c r="R13" s="7">
        <f>+Tabla135[[#This Row],[VALOR PROYECTADO 2023-2]]-Tabla135[[#This Row],[VALOR DESEMBOLSADO 2023-2 
80%3]]</f>
        <v>3758821330</v>
      </c>
      <c r="S13" s="40" t="s">
        <v>44</v>
      </c>
      <c r="T13" s="8" t="s">
        <v>2</v>
      </c>
      <c r="U13" s="7"/>
      <c r="V13" s="7"/>
      <c r="W13" s="7"/>
      <c r="X13" s="9">
        <f>Tabla135[[#This Row],[VALOR PROYECTADO 2023-2]]-Tabla135[[#This Row],[VALOR EJECUTADO 2023-2]]</f>
        <v>18794106650</v>
      </c>
      <c r="Y13" s="1">
        <f>Tabla135[[#This Row],[VALOR EJECUTADO 2023-2]]/Tabla135[[#This Row],[VALOR PROYECTADO 2023-2]]</f>
        <v>0</v>
      </c>
    </row>
    <row r="14" spans="1:25" x14ac:dyDescent="0.25">
      <c r="A14" s="2">
        <v>56</v>
      </c>
      <c r="B14" s="2" t="s">
        <v>69</v>
      </c>
      <c r="C14" s="30">
        <v>11045018362</v>
      </c>
      <c r="D14" s="13">
        <v>8836014689</v>
      </c>
      <c r="E14" s="12">
        <v>2384691680</v>
      </c>
      <c r="F14" s="8" t="s">
        <v>67</v>
      </c>
      <c r="G14" s="8" t="s">
        <v>51</v>
      </c>
      <c r="H14" s="8"/>
      <c r="I14" s="22"/>
      <c r="J14" s="8"/>
      <c r="K14" s="13">
        <f>Tabla135[[#This Row],[VALOR ESTIMADO  POR DESEMBOLSAR 2023-1 
(20%)]]</f>
        <v>2384691680</v>
      </c>
      <c r="L14" s="1" t="s">
        <v>56</v>
      </c>
      <c r="M14" s="30">
        <v>11220706369</v>
      </c>
      <c r="N14" s="24">
        <f>Tabla135[[#This Row],[VALOR PROYECTADO 2023-1]]-Tabla135[[#This Row],[VALOR EJECUTADO 2023-1]]</f>
        <v>-175688007</v>
      </c>
      <c r="O14" s="26">
        <f>Tabla135[[#This Row],[VALOR EJECUTADO 2023-1]]/Tabla135[[#This Row],[VALOR PROYECTADO 2023-1]]</f>
        <v>1.0159065382457351</v>
      </c>
      <c r="P14" s="6">
        <f>VLOOKUP(Tabla135[[#This Row],[NOMBRE IES]],'[1]INFORMACIÓN IES'!$B:$M,12,0)</f>
        <v>11735034863</v>
      </c>
      <c r="Q14" s="6">
        <f>VLOOKUP(Tabla135[[#This Row],[NOMBRE IES]],'[1]INFORMACIÓN IES'!$B:$N,13,0)</f>
        <v>9388027890</v>
      </c>
      <c r="R14" s="7">
        <f>+Tabla135[[#This Row],[VALOR PROYECTADO 2023-2]]-Tabla135[[#This Row],[VALOR DESEMBOLSADO 2023-2 
80%3]]</f>
        <v>2347006973</v>
      </c>
      <c r="S14" s="40" t="s">
        <v>44</v>
      </c>
      <c r="T14" s="8" t="s">
        <v>2</v>
      </c>
      <c r="U14" s="7"/>
      <c r="V14" s="7"/>
      <c r="W14" s="7"/>
      <c r="X14" s="9">
        <f>Tabla135[[#This Row],[VALOR PROYECTADO 2023-2]]-Tabla135[[#This Row],[VALOR EJECUTADO 2023-2]]</f>
        <v>11735034863</v>
      </c>
      <c r="Y14" s="1">
        <f>Tabla135[[#This Row],[VALOR EJECUTADO 2023-2]]/Tabla135[[#This Row],[VALOR PROYECTADO 2023-2]]</f>
        <v>0</v>
      </c>
    </row>
    <row r="15" spans="1:25" x14ac:dyDescent="0.25">
      <c r="A15" s="2">
        <v>57</v>
      </c>
      <c r="B15" s="2" t="s">
        <v>70</v>
      </c>
      <c r="C15" s="30">
        <v>6988372088</v>
      </c>
      <c r="D15" s="13">
        <f>Tabla135[[#This Row],[VALOR PROYECTADO 2023-1]]*80%</f>
        <v>5590697670.4000006</v>
      </c>
      <c r="E15" s="12">
        <v>471786705</v>
      </c>
      <c r="F15" s="8" t="s">
        <v>67</v>
      </c>
      <c r="G15" s="8" t="s">
        <v>51</v>
      </c>
      <c r="H15" s="8" t="s">
        <v>45</v>
      </c>
      <c r="I15" s="22" t="s">
        <v>234</v>
      </c>
      <c r="J15" s="8"/>
      <c r="K15" s="13">
        <f>Tabla135[[#This Row],[VALOR ESTIMADO  POR DESEMBOLSAR 2023-1 
(20%)]]</f>
        <v>471786705</v>
      </c>
      <c r="L15" s="1" t="s">
        <v>56</v>
      </c>
      <c r="M15" s="30">
        <v>6062484376</v>
      </c>
      <c r="N15" s="24">
        <f>Tabla135[[#This Row],[VALOR PROYECTADO 2023-1]]-Tabla135[[#This Row],[VALOR EJECUTADO 2023-1]]</f>
        <v>925887712</v>
      </c>
      <c r="O15" s="26">
        <f>Tabla135[[#This Row],[VALOR EJECUTADO 2023-1]]/Tabla135[[#This Row],[VALOR PROYECTADO 2023-1]]</f>
        <v>0.8675102441110889</v>
      </c>
      <c r="P15" s="6">
        <f>VLOOKUP(Tabla135[[#This Row],[NOMBRE IES]],'[1]INFORMACIÓN IES'!$B:$M,12,0)</f>
        <v>4094189543</v>
      </c>
      <c r="Q15" s="6">
        <f>VLOOKUP(Tabla135[[#This Row],[NOMBRE IES]],'[1]INFORMACIÓN IES'!$B:$N,13,0)</f>
        <v>3275351634</v>
      </c>
      <c r="R15" s="7">
        <f>+Tabla135[[#This Row],[VALOR PROYECTADO 2023-2]]-Tabla135[[#This Row],[VALOR DESEMBOLSADO 2023-2 
80%3]]</f>
        <v>818837909</v>
      </c>
      <c r="S15" s="41" t="s">
        <v>46</v>
      </c>
      <c r="T15" s="8" t="s">
        <v>2</v>
      </c>
      <c r="U15" s="7"/>
      <c r="V15" s="7"/>
      <c r="W15" s="7"/>
      <c r="X15" s="9">
        <f>Tabla135[[#This Row],[VALOR PROYECTADO 2023-2]]-Tabla135[[#This Row],[VALOR EJECUTADO 2023-2]]</f>
        <v>4094189543</v>
      </c>
      <c r="Y15" s="1">
        <f>Tabla135[[#This Row],[VALOR EJECUTADO 2023-2]]/Tabla135[[#This Row],[VALOR PROYECTADO 2023-2]]</f>
        <v>0</v>
      </c>
    </row>
    <row r="16" spans="1:25" hidden="1" x14ac:dyDescent="0.25">
      <c r="A16" s="2">
        <v>58</v>
      </c>
      <c r="B16" s="2" t="s">
        <v>71</v>
      </c>
      <c r="C16" s="30">
        <v>5890764095</v>
      </c>
      <c r="D16" s="13">
        <f>Tabla135[[#This Row],[VALOR PROYECTADO 2023-1]]*80%</f>
        <v>4712611276</v>
      </c>
      <c r="E16" s="12"/>
      <c r="F16" s="8" t="s">
        <v>67</v>
      </c>
      <c r="G16" s="8" t="s">
        <v>51</v>
      </c>
      <c r="H16" s="8" t="s">
        <v>45</v>
      </c>
      <c r="I16" s="22"/>
      <c r="J16" s="8"/>
      <c r="K16" s="13">
        <f>Tabla135[[#This Row],[VALOR ESTIMADO  POR DESEMBOLSAR 2023-1 
(20%)]]</f>
        <v>0</v>
      </c>
      <c r="L16" s="13">
        <v>534993276</v>
      </c>
      <c r="M16" s="63">
        <v>4177618000</v>
      </c>
      <c r="N16" s="25">
        <f>Tabla135[[#This Row],[VALOR PROYECTADO 2023-1]]-Tabla135[[#This Row],[VALOR EJECUTADO 2023-1]]</f>
        <v>1713146095</v>
      </c>
      <c r="O16" s="26">
        <f>Tabla135[[#This Row],[VALOR EJECUTADO 2023-1]]/Tabla135[[#This Row],[VALOR PROYECTADO 2023-1]]</f>
        <v>0.70918100481156676</v>
      </c>
      <c r="P16" s="6">
        <f>VLOOKUP(Tabla135[[#This Row],[NOMBRE IES]],'[1]INFORMACIÓN IES'!$B:$M,12,0)</f>
        <v>4552466050</v>
      </c>
      <c r="Q16" s="6">
        <f>VLOOKUP(Tabla135[[#This Row],[NOMBRE IES]],'[1]INFORMACIÓN IES'!$B:$N,13,0)</f>
        <v>3641972840</v>
      </c>
      <c r="R16" s="7">
        <f>+Tabla135[[#This Row],[VALOR PROYECTADO 2023-2]]-Tabla135[[#This Row],[VALOR DESEMBOLSADO 2023-2 
80%3]]</f>
        <v>910493210</v>
      </c>
      <c r="S16" s="40" t="s">
        <v>44</v>
      </c>
      <c r="T16" s="8" t="s">
        <v>2</v>
      </c>
      <c r="U16" s="7"/>
      <c r="V16" s="7"/>
      <c r="W16" s="7"/>
      <c r="X16" s="9">
        <f>Tabla135[[#This Row],[VALOR PROYECTADO 2023-2]]-Tabla135[[#This Row],[VALOR EJECUTADO 2023-2]]</f>
        <v>4552466050</v>
      </c>
      <c r="Y16" s="1">
        <f>Tabla135[[#This Row],[VALOR EJECUTADO 2023-2]]/Tabla135[[#This Row],[VALOR PROYECTADO 2023-2]]</f>
        <v>0</v>
      </c>
    </row>
    <row r="17" spans="1:25" x14ac:dyDescent="0.25">
      <c r="A17" s="2">
        <v>59</v>
      </c>
      <c r="B17" s="2" t="s">
        <v>72</v>
      </c>
      <c r="C17" s="30">
        <v>6876897849</v>
      </c>
      <c r="D17" s="13">
        <f>Tabla135[[#This Row],[VALOR PROYECTADO 2023-1]]*80%</f>
        <v>5501518279.2000008</v>
      </c>
      <c r="E17" s="12">
        <v>1815451421</v>
      </c>
      <c r="F17" s="8" t="s">
        <v>67</v>
      </c>
      <c r="G17" s="8" t="s">
        <v>51</v>
      </c>
      <c r="H17" s="8"/>
      <c r="I17" s="22"/>
      <c r="J17" s="8"/>
      <c r="K17" s="13">
        <f>Tabla135[[#This Row],[VALOR ESTIMADO  POR DESEMBOLSAR 2023-1 
(20%)]]</f>
        <v>1815451421</v>
      </c>
      <c r="L17" s="1" t="s">
        <v>56</v>
      </c>
      <c r="M17" s="30">
        <v>7316969700</v>
      </c>
      <c r="N17" s="24">
        <f>Tabla135[[#This Row],[VALOR PROYECTADO 2023-1]]-Tabla135[[#This Row],[VALOR EJECUTADO 2023-1]]</f>
        <v>-440071851</v>
      </c>
      <c r="O17" s="26">
        <f>Tabla135[[#This Row],[VALOR EJECUTADO 2023-1]]/Tabla135[[#This Row],[VALOR PROYECTADO 2023-1]]</f>
        <v>1.0639927857971589</v>
      </c>
      <c r="P17" s="6">
        <f>VLOOKUP(Tabla135[[#This Row],[NOMBRE IES]],'[1]INFORMACIÓN IES'!$B:$M,12,0)</f>
        <v>7334126690</v>
      </c>
      <c r="Q17" s="6">
        <f>VLOOKUP(Tabla135[[#This Row],[NOMBRE IES]],'[1]INFORMACIÓN IES'!$B:$N,13,0)</f>
        <v>5867301352</v>
      </c>
      <c r="R17" s="7">
        <f>+Tabla135[[#This Row],[VALOR PROYECTADO 2023-2]]-Tabla135[[#This Row],[VALOR DESEMBOLSADO 2023-2 
80%3]]</f>
        <v>1466825338</v>
      </c>
      <c r="S17" s="40" t="s">
        <v>44</v>
      </c>
      <c r="T17" s="8" t="s">
        <v>2</v>
      </c>
      <c r="U17" s="7"/>
      <c r="V17" s="7"/>
      <c r="W17" s="7"/>
      <c r="X17" s="9">
        <f>Tabla135[[#This Row],[VALOR PROYECTADO 2023-2]]-Tabla135[[#This Row],[VALOR EJECUTADO 2023-2]]</f>
        <v>7334126690</v>
      </c>
      <c r="Y17" s="1">
        <f>Tabla135[[#This Row],[VALOR EJECUTADO 2023-2]]/Tabla135[[#This Row],[VALOR PROYECTADO 2023-2]]</f>
        <v>0</v>
      </c>
    </row>
    <row r="18" spans="1:25" x14ac:dyDescent="0.25">
      <c r="A18" s="2">
        <v>60</v>
      </c>
      <c r="B18" s="2" t="s">
        <v>73</v>
      </c>
      <c r="C18" s="65">
        <v>0</v>
      </c>
      <c r="D18" s="13">
        <v>0</v>
      </c>
      <c r="E18" s="32">
        <v>52207584</v>
      </c>
      <c r="F18" s="8" t="s">
        <v>67</v>
      </c>
      <c r="G18" s="8" t="s">
        <v>44</v>
      </c>
      <c r="H18" s="8"/>
      <c r="I18" s="22"/>
      <c r="J18" s="8"/>
      <c r="K18" s="13">
        <f>Tabla135[[#This Row],[VALOR ESTIMADO  POR DESEMBOLSAR 2023-1 
(20%)]]</f>
        <v>52207584</v>
      </c>
      <c r="L18" s="1" t="s">
        <v>56</v>
      </c>
      <c r="M18" s="63">
        <v>52207584</v>
      </c>
      <c r="N18" s="24">
        <f>Tabla135[[#This Row],[VALOR PROYECTADO 2023-1]]-Tabla135[[#This Row],[VALOR EJECUTADO 2023-1]]</f>
        <v>-52207584</v>
      </c>
      <c r="O18" s="26">
        <v>1</v>
      </c>
      <c r="P18" s="6">
        <f>VLOOKUP(Tabla135[[#This Row],[NOMBRE IES]],'[1]INFORMACIÓN IES'!$B:$M,12,0)</f>
        <v>56830131</v>
      </c>
      <c r="Q18" s="6">
        <f>VLOOKUP(Tabla135[[#This Row],[NOMBRE IES]],'[1]INFORMACIÓN IES'!$B:$N,13,0)</f>
        <v>45464105</v>
      </c>
      <c r="R18" s="7">
        <f>+Tabla135[[#This Row],[VALOR PROYECTADO 2023-2]]-Tabla135[[#This Row],[VALOR DESEMBOLSADO 2023-2 
80%3]]</f>
        <v>11366026</v>
      </c>
      <c r="S18" s="41" t="s">
        <v>46</v>
      </c>
      <c r="T18" s="8" t="s">
        <v>2</v>
      </c>
      <c r="U18" s="7"/>
      <c r="V18" s="7"/>
      <c r="W18" s="7"/>
      <c r="X18" s="9">
        <f>Tabla135[[#This Row],[VALOR PROYECTADO 2023-2]]-Tabla135[[#This Row],[VALOR EJECUTADO 2023-2]]</f>
        <v>56830131</v>
      </c>
      <c r="Y18" s="1">
        <f>Tabla135[[#This Row],[VALOR EJECUTADO 2023-2]]/Tabla135[[#This Row],[VALOR PROYECTADO 2023-2]]</f>
        <v>0</v>
      </c>
    </row>
    <row r="19" spans="1:25" x14ac:dyDescent="0.25">
      <c r="A19" s="2">
        <v>7</v>
      </c>
      <c r="B19" s="2" t="s">
        <v>74</v>
      </c>
      <c r="C19" s="30">
        <v>9435109011</v>
      </c>
      <c r="D19" s="13">
        <f>Tabla135[[#This Row],[VALOR PROYECTADO 2023-1]]*80%</f>
        <v>7548087208.8000002</v>
      </c>
      <c r="E19" s="17">
        <v>547937297</v>
      </c>
      <c r="F19" s="8" t="s">
        <v>67</v>
      </c>
      <c r="G19" s="8" t="s">
        <v>51</v>
      </c>
      <c r="H19" s="8" t="s">
        <v>45</v>
      </c>
      <c r="I19" s="22"/>
      <c r="J19" s="8"/>
      <c r="K19" s="13">
        <f>Tabla135[[#This Row],[VALOR ESTIMADO  POR DESEMBOLSAR 2023-1 
(20%)]]</f>
        <v>547937297</v>
      </c>
      <c r="L19" s="1" t="s">
        <v>56</v>
      </c>
      <c r="M19" s="63">
        <v>8096024506</v>
      </c>
      <c r="N19" s="25">
        <f>Tabla135[[#This Row],[VALOR PROYECTADO 2023-1]]-Tabla135[[#This Row],[VALOR EJECUTADO 2023-1]]</f>
        <v>1339084505</v>
      </c>
      <c r="O19" s="26">
        <f>Tabla135[[#This Row],[VALOR EJECUTADO 2023-1]]/Tabla135[[#This Row],[VALOR PROYECTADO 2023-1]]</f>
        <v>0.85807429427271931</v>
      </c>
      <c r="P19" s="6">
        <f>VLOOKUP(Tabla135[[#This Row],[NOMBRE IES]],'[1]INFORMACIÓN IES'!$B:$M,12,0)</f>
        <v>8559653045</v>
      </c>
      <c r="Q19" s="6">
        <f>VLOOKUP(Tabla135[[#This Row],[NOMBRE IES]],'[1]INFORMACIÓN IES'!$B:$N,13,0)</f>
        <v>6847722436</v>
      </c>
      <c r="R19" s="7">
        <f>+Tabla135[[#This Row],[VALOR PROYECTADO 2023-2]]-Tabla135[[#This Row],[VALOR DESEMBOLSADO 2023-2 
80%3]]</f>
        <v>1711930609</v>
      </c>
      <c r="S19" s="40" t="s">
        <v>44</v>
      </c>
      <c r="T19" s="8" t="s">
        <v>2</v>
      </c>
      <c r="U19" s="7"/>
      <c r="V19" s="7"/>
      <c r="W19" s="7"/>
      <c r="X19" s="9">
        <f>Tabla135[[#This Row],[VALOR PROYECTADO 2023-2]]-Tabla135[[#This Row],[VALOR EJECUTADO 2023-2]]</f>
        <v>8559653045</v>
      </c>
      <c r="Y19" s="1">
        <f>Tabla135[[#This Row],[VALOR EJECUTADO 2023-2]]/Tabla135[[#This Row],[VALOR PROYECTADO 2023-2]]</f>
        <v>0</v>
      </c>
    </row>
    <row r="20" spans="1:25" x14ac:dyDescent="0.25">
      <c r="A20" s="2">
        <v>8</v>
      </c>
      <c r="B20" s="2" t="s">
        <v>76</v>
      </c>
      <c r="C20" s="30">
        <v>4289147704</v>
      </c>
      <c r="D20" s="13">
        <f>Tabla135[[#This Row],[VALOR PROYECTADO 2023-1]]*80%</f>
        <v>3431318163.2000003</v>
      </c>
      <c r="E20" s="17">
        <v>563897532</v>
      </c>
      <c r="F20" s="8" t="s">
        <v>67</v>
      </c>
      <c r="G20" s="8" t="s">
        <v>51</v>
      </c>
      <c r="H20" s="8" t="s">
        <v>45</v>
      </c>
      <c r="I20" s="22"/>
      <c r="J20" s="8"/>
      <c r="K20" s="13">
        <f>Tabla135[[#This Row],[VALOR ESTIMADO  POR DESEMBOLSAR 2023-1 
(20%)]]</f>
        <v>563897532</v>
      </c>
      <c r="L20" s="1" t="s">
        <v>56</v>
      </c>
      <c r="M20" s="63">
        <v>3995215695</v>
      </c>
      <c r="N20" s="25">
        <f>Tabla135[[#This Row],[VALOR PROYECTADO 2023-1]]-Tabla135[[#This Row],[VALOR EJECUTADO 2023-1]]</f>
        <v>293932009</v>
      </c>
      <c r="O20" s="26">
        <f>Tabla135[[#This Row],[VALOR EJECUTADO 2023-1]]/Tabla135[[#This Row],[VALOR PROYECTADO 2023-1]]</f>
        <v>0.93147076545629726</v>
      </c>
      <c r="P20" s="6">
        <f>VLOOKUP(Tabla135[[#This Row],[NOMBRE IES]],'[1]INFORMACIÓN IES'!$B:$M,12,0)</f>
        <v>2874801031</v>
      </c>
      <c r="Q20" s="6">
        <f>VLOOKUP(Tabla135[[#This Row],[NOMBRE IES]],'[1]INFORMACIÓN IES'!$B:$N,13,0)</f>
        <v>2229840825</v>
      </c>
      <c r="R20" s="7">
        <f>+Tabla135[[#This Row],[VALOR PROYECTADO 2023-2]]-Tabla135[[#This Row],[VALOR DESEMBOLSADO 2023-2 
80%3]]</f>
        <v>644960206</v>
      </c>
      <c r="S20" s="40" t="s">
        <v>44</v>
      </c>
      <c r="T20" s="8" t="s">
        <v>2</v>
      </c>
      <c r="U20" s="7"/>
      <c r="V20" s="7"/>
      <c r="W20" s="7"/>
      <c r="X20" s="9">
        <f>Tabla135[[#This Row],[VALOR PROYECTADO 2023-2]]-Tabla135[[#This Row],[VALOR EJECUTADO 2023-2]]</f>
        <v>2874801031</v>
      </c>
      <c r="Y20" s="1">
        <f>Tabla135[[#This Row],[VALOR EJECUTADO 2023-2]]/Tabla135[[#This Row],[VALOR PROYECTADO 2023-2]]</f>
        <v>0</v>
      </c>
    </row>
    <row r="21" spans="1:25" x14ac:dyDescent="0.25">
      <c r="A21" s="2">
        <v>9</v>
      </c>
      <c r="B21" s="2" t="s">
        <v>77</v>
      </c>
      <c r="C21" s="30">
        <v>221455584</v>
      </c>
      <c r="D21" s="13">
        <f>Tabla135[[#This Row],[VALOR PROYECTADO 2023-1]]*80%</f>
        <v>177164467.20000002</v>
      </c>
      <c r="E21" s="17">
        <v>66334035</v>
      </c>
      <c r="F21" s="8" t="s">
        <v>67</v>
      </c>
      <c r="G21" s="8" t="s">
        <v>51</v>
      </c>
      <c r="H21" s="8" t="s">
        <v>45</v>
      </c>
      <c r="I21" s="22"/>
      <c r="J21" s="8"/>
      <c r="K21" s="13">
        <f>Tabla135[[#This Row],[VALOR ESTIMADO  POR DESEMBOLSAR 2023-1 
(20%)]]</f>
        <v>66334035</v>
      </c>
      <c r="L21" s="1" t="s">
        <v>56</v>
      </c>
      <c r="M21" s="63">
        <v>243498502</v>
      </c>
      <c r="N21" s="24">
        <f>Tabla135[[#This Row],[VALOR PROYECTADO 2023-1]]-Tabla135[[#This Row],[VALOR EJECUTADO 2023-1]]</f>
        <v>-22042918</v>
      </c>
      <c r="O21" s="26">
        <f>Tabla135[[#This Row],[VALOR EJECUTADO 2023-1]]/Tabla135[[#This Row],[VALOR PROYECTADO 2023-1]]</f>
        <v>1.0995365192507407</v>
      </c>
      <c r="P21" s="6">
        <f>VLOOKUP(Tabla135[[#This Row],[NOMBRE IES]],'[1]INFORMACIÓN IES'!$B:$M,12,0)</f>
        <v>264020022</v>
      </c>
      <c r="Q21" s="6">
        <f>VLOOKUP(Tabla135[[#This Row],[NOMBRE IES]],'[1]INFORMACIÓN IES'!$B:$N,13,0)</f>
        <v>211216018</v>
      </c>
      <c r="R21" s="7">
        <f>+Tabla135[[#This Row],[VALOR PROYECTADO 2023-2]]-Tabla135[[#This Row],[VALOR DESEMBOLSADO 2023-2 
80%3]]</f>
        <v>52804004</v>
      </c>
      <c r="S21" s="40" t="s">
        <v>44</v>
      </c>
      <c r="T21" s="8" t="s">
        <v>2</v>
      </c>
      <c r="U21" s="7"/>
      <c r="V21" s="7"/>
      <c r="W21" s="7"/>
      <c r="X21" s="9">
        <f>Tabla135[[#This Row],[VALOR PROYECTADO 2023-2]]-Tabla135[[#This Row],[VALOR EJECUTADO 2023-2]]</f>
        <v>264020022</v>
      </c>
      <c r="Y21" s="1">
        <f>Tabla135[[#This Row],[VALOR EJECUTADO 2023-2]]/Tabla135[[#This Row],[VALOR PROYECTADO 2023-2]]</f>
        <v>0</v>
      </c>
    </row>
    <row r="22" spans="1:25" hidden="1" x14ac:dyDescent="0.25">
      <c r="A22" s="2">
        <v>10</v>
      </c>
      <c r="B22" s="2" t="s">
        <v>78</v>
      </c>
      <c r="C22" s="12">
        <v>9136609132</v>
      </c>
      <c r="D22" s="13">
        <f>Tabla135[[#This Row],[VALOR PROYECTADO 2023-1]]*80%</f>
        <v>7309287305.6000004</v>
      </c>
      <c r="F22" s="8" t="s">
        <v>2</v>
      </c>
      <c r="G22" s="8" t="s">
        <v>44</v>
      </c>
      <c r="H22" s="8"/>
      <c r="I22" s="22" t="s">
        <v>660</v>
      </c>
      <c r="J22" s="8"/>
      <c r="K22" s="20">
        <f>Tabla135[[#This Row],[VALOR EJECUTADO 2023-1]]-Tabla135[[#This Row],[VALOR DESEMBOLSADO 2023-1 
80% (Concepto técnico)]]</f>
        <v>1126934721.3999996</v>
      </c>
      <c r="M22" s="42">
        <v>8436222027</v>
      </c>
      <c r="N22" s="25">
        <f>Tabla135[[#This Row],[VALOR PROYECTADO 2023-1]]-Tabla135[[#This Row],[VALOR EJECUTADO 2023-1]]</f>
        <v>700387105</v>
      </c>
      <c r="O22" s="26">
        <f>Tabla135[[#This Row],[VALOR EJECUTADO 2023-1]]/Tabla135[[#This Row],[VALOR PROYECTADO 2023-1]]</f>
        <v>0.92334277466823345</v>
      </c>
      <c r="P22" s="6">
        <f>VLOOKUP(Tabla135[[#This Row],[NOMBRE IES]],'[1]INFORMACIÓN IES'!$B:$M,12,0)</f>
        <v>9136609132</v>
      </c>
      <c r="Q22" s="6">
        <f>VLOOKUP(Tabla135[[#This Row],[NOMBRE IES]],'[1]INFORMACIÓN IES'!$B:$N,13,0)</f>
        <v>7309287306</v>
      </c>
      <c r="R22" s="7">
        <f>+Tabla135[[#This Row],[VALOR PROYECTADO 2023-2]]-Tabla135[[#This Row],[VALOR DESEMBOLSADO 2023-2 
80%3]]</f>
        <v>1827321826</v>
      </c>
      <c r="S22" s="41" t="s">
        <v>46</v>
      </c>
      <c r="T22" s="8" t="s">
        <v>2</v>
      </c>
      <c r="U22" s="7"/>
      <c r="V22" s="7"/>
      <c r="W22" s="7"/>
      <c r="X22" s="9">
        <f>Tabla135[[#This Row],[VALOR PROYECTADO 2023-2]]-Tabla135[[#This Row],[VALOR EJECUTADO 2023-2]]</f>
        <v>9136609132</v>
      </c>
      <c r="Y22" s="1">
        <f>Tabla135[[#This Row],[VALOR EJECUTADO 2023-2]]/Tabla135[[#This Row],[VALOR PROYECTADO 2023-2]]</f>
        <v>0</v>
      </c>
    </row>
    <row r="23" spans="1:25" hidden="1" x14ac:dyDescent="0.25">
      <c r="A23" s="2">
        <v>11</v>
      </c>
      <c r="B23" s="2" t="s">
        <v>7</v>
      </c>
      <c r="C23" s="12">
        <v>2340379819</v>
      </c>
      <c r="D23" s="13">
        <f>Tabla135[[#This Row],[VALOR PROYECTADO 2023-1]]*80%</f>
        <v>1872303855.2</v>
      </c>
      <c r="F23" s="8" t="s">
        <v>2</v>
      </c>
      <c r="G23" s="8" t="s">
        <v>44</v>
      </c>
      <c r="H23" s="8"/>
      <c r="I23" s="22" t="s">
        <v>236</v>
      </c>
      <c r="J23" s="8"/>
      <c r="K23" s="20">
        <f>Tabla135[[#This Row],[VALOR EJECUTADO 2023-1]]-Tabla135[[#This Row],[VALOR DESEMBOLSADO 2023-1 
80% (Concepto técnico)]]</f>
        <v>141232829.79999995</v>
      </c>
      <c r="M23" s="42">
        <v>2013536685</v>
      </c>
      <c r="N23" s="25">
        <f>Tabla135[[#This Row],[VALOR PROYECTADO 2023-1]]-Tabla135[[#This Row],[VALOR EJECUTADO 2023-1]]</f>
        <v>326843134</v>
      </c>
      <c r="O23" s="26">
        <f>Tabla135[[#This Row],[VALOR EJECUTADO 2023-1]]/Tabla135[[#This Row],[VALOR PROYECTADO 2023-1]]</f>
        <v>0.86034611504227809</v>
      </c>
      <c r="P23" s="6">
        <f>VLOOKUP(Tabla135[[#This Row],[NOMBRE IES]],'[1]INFORMACIÓN IES'!$B:$M,12,0)</f>
        <v>2340379819</v>
      </c>
      <c r="Q23" s="6">
        <f>VLOOKUP(Tabla135[[#This Row],[NOMBRE IES]],'[1]INFORMACIÓN IES'!$B:$N,13,0)</f>
        <v>1872303855</v>
      </c>
      <c r="R23" s="7">
        <f>+Tabla135[[#This Row],[VALOR PROYECTADO 2023-2]]-Tabla135[[#This Row],[VALOR DESEMBOLSADO 2023-2 
80%3]]</f>
        <v>468075964</v>
      </c>
      <c r="S23" s="41" t="s">
        <v>46</v>
      </c>
      <c r="T23" s="8" t="s">
        <v>2</v>
      </c>
      <c r="U23" s="7"/>
      <c r="V23" s="7"/>
      <c r="W23" s="7"/>
      <c r="X23" s="9">
        <f>Tabla135[[#This Row],[VALOR PROYECTADO 2023-2]]-Tabla135[[#This Row],[VALOR EJECUTADO 2023-2]]</f>
        <v>2340379819</v>
      </c>
      <c r="Y23" s="1">
        <f>Tabla135[[#This Row],[VALOR EJECUTADO 2023-2]]/Tabla135[[#This Row],[VALOR PROYECTADO 2023-2]]</f>
        <v>0</v>
      </c>
    </row>
    <row r="24" spans="1:25" hidden="1" x14ac:dyDescent="0.25">
      <c r="A24" s="2">
        <v>12</v>
      </c>
      <c r="B24" s="2" t="s">
        <v>79</v>
      </c>
      <c r="C24" s="12">
        <v>2871488245</v>
      </c>
      <c r="D24" s="13">
        <f>Tabla135[[#This Row],[VALOR PROYECTADO 2023-1]]*80%</f>
        <v>2297190596</v>
      </c>
      <c r="F24" s="8" t="s">
        <v>2</v>
      </c>
      <c r="G24" s="8" t="s">
        <v>44</v>
      </c>
      <c r="H24" s="8"/>
      <c r="I24" s="22" t="s">
        <v>236</v>
      </c>
      <c r="J24" s="8"/>
      <c r="K24" s="20">
        <f>Tabla135[[#This Row],[VALOR EJECUTADO 2023-1]]-Tabla135[[#This Row],[VALOR DESEMBOLSADO 2023-1 
80% (Concepto técnico)]]</f>
        <v>423917463</v>
      </c>
      <c r="M24" s="42">
        <v>2721108059</v>
      </c>
      <c r="N24" s="25">
        <f>Tabla135[[#This Row],[VALOR PROYECTADO 2023-1]]-Tabla135[[#This Row],[VALOR EJECUTADO 2023-1]]</f>
        <v>150380186</v>
      </c>
      <c r="O24" s="26">
        <f>Tabla135[[#This Row],[VALOR EJECUTADO 2023-1]]/Tabla135[[#This Row],[VALOR PROYECTADO 2023-1]]</f>
        <v>0.94762987929278464</v>
      </c>
      <c r="P24" s="6">
        <f>VLOOKUP(Tabla135[[#This Row],[NOMBRE IES]],'[1]INFORMACIÓN IES'!$B:$M,12,0)</f>
        <v>2871488245</v>
      </c>
      <c r="Q24" s="6">
        <f>VLOOKUP(Tabla135[[#This Row],[NOMBRE IES]],'[1]INFORMACIÓN IES'!$B:$N,13,0)</f>
        <v>2297190596</v>
      </c>
      <c r="R24" s="7">
        <f>+Tabla135[[#This Row],[VALOR PROYECTADO 2023-2]]-Tabla135[[#This Row],[VALOR DESEMBOLSADO 2023-2 
80%3]]</f>
        <v>574297649</v>
      </c>
      <c r="S24" s="41" t="s">
        <v>46</v>
      </c>
      <c r="T24" s="8" t="s">
        <v>2</v>
      </c>
      <c r="U24" s="7"/>
      <c r="V24" s="7"/>
      <c r="W24" s="7"/>
      <c r="X24" s="9">
        <f>Tabla135[[#This Row],[VALOR PROYECTADO 2023-2]]-Tabla135[[#This Row],[VALOR EJECUTADO 2023-2]]</f>
        <v>2871488245</v>
      </c>
      <c r="Y24" s="1">
        <f>Tabla135[[#This Row],[VALOR EJECUTADO 2023-2]]/Tabla135[[#This Row],[VALOR PROYECTADO 2023-2]]</f>
        <v>0</v>
      </c>
    </row>
    <row r="25" spans="1:25" x14ac:dyDescent="0.25">
      <c r="A25" s="2">
        <v>38</v>
      </c>
      <c r="B25" s="2" t="s">
        <v>80</v>
      </c>
      <c r="C25" s="30">
        <v>7850101502</v>
      </c>
      <c r="D25" s="13">
        <v>6280081202</v>
      </c>
      <c r="E25" s="13">
        <f>Tabla135[[#This Row],[VALOR PROYECTADO 2023-1]]*0.2</f>
        <v>1570020300.4000001</v>
      </c>
      <c r="F25" s="8" t="s">
        <v>67</v>
      </c>
      <c r="G25" s="8" t="s">
        <v>51</v>
      </c>
      <c r="H25" s="8" t="s">
        <v>45</v>
      </c>
      <c r="I25" s="22"/>
      <c r="J25" s="14">
        <v>45231</v>
      </c>
      <c r="K25" s="36">
        <v>1061514898</v>
      </c>
      <c r="L25" s="1" t="s">
        <v>56</v>
      </c>
      <c r="M25" s="63">
        <v>7341596100</v>
      </c>
      <c r="N25" s="25">
        <f>Tabla135[[#This Row],[VALOR PROYECTADO 2023-1]]-Tabla135[[#This Row],[VALOR EJECUTADO 2023-1]]</f>
        <v>508505402</v>
      </c>
      <c r="O25" s="26">
        <f>Tabla135[[#This Row],[VALOR EJECUTADO 2023-1]]/Tabla135[[#This Row],[VALOR PROYECTADO 2023-1]]</f>
        <v>0.93522307936140114</v>
      </c>
      <c r="P25" s="6">
        <f>VLOOKUP(Tabla135[[#This Row],[NOMBRE IES]],'[1]INFORMACIÓN IES'!$B:$M,12,0)</f>
        <v>7999358180</v>
      </c>
      <c r="Q25" s="6">
        <f>VLOOKUP(Tabla135[[#This Row],[NOMBRE IES]],'[1]INFORMACIÓN IES'!$B:$N,13,0)</f>
        <v>6399486544</v>
      </c>
      <c r="R25" s="7">
        <f>+Tabla135[[#This Row],[VALOR PROYECTADO 2023-2]]-Tabla135[[#This Row],[VALOR DESEMBOLSADO 2023-2 
80%3]]</f>
        <v>1599871636</v>
      </c>
      <c r="S25" s="40" t="s">
        <v>44</v>
      </c>
      <c r="T25" s="8" t="s">
        <v>2</v>
      </c>
      <c r="U25" s="7"/>
      <c r="V25" s="7"/>
      <c r="W25" s="7"/>
      <c r="X25" s="9">
        <f>Tabla135[[#This Row],[VALOR PROYECTADO 2023-2]]-Tabla135[[#This Row],[VALOR EJECUTADO 2023-2]]</f>
        <v>7999358180</v>
      </c>
      <c r="Y25" s="1">
        <f>Tabla135[[#This Row],[VALOR EJECUTADO 2023-2]]/Tabla135[[#This Row],[VALOR PROYECTADO 2023-2]]</f>
        <v>0</v>
      </c>
    </row>
    <row r="26" spans="1:25" ht="23.25" hidden="1" x14ac:dyDescent="0.25">
      <c r="A26" s="2">
        <v>39</v>
      </c>
      <c r="B26" s="2" t="s">
        <v>82</v>
      </c>
      <c r="C26" s="30">
        <v>1062641445</v>
      </c>
      <c r="D26" s="13">
        <v>850113156</v>
      </c>
      <c r="E26" s="13">
        <f>Tabla135[[#This Row],[VALOR PROYECTADO 2023-1]]*0.2</f>
        <v>212528289</v>
      </c>
      <c r="F26" s="8" t="s">
        <v>2</v>
      </c>
      <c r="G26" s="8" t="s">
        <v>44</v>
      </c>
      <c r="H26" s="8"/>
      <c r="I26" s="22" t="s">
        <v>661</v>
      </c>
      <c r="J26" s="8"/>
      <c r="K26" s="13">
        <f>Tabla135[[#This Row],[VALOR ESTIMADO  POR DESEMBOLSAR 2023-1 
(20%)]]</f>
        <v>212528289</v>
      </c>
      <c r="M26" s="16">
        <f>Tabla135[[#This Row],[VALOR DESEMBOLSADO 2023-1 
80% (Concepto técnico)]]</f>
        <v>850113156</v>
      </c>
      <c r="N26" s="25">
        <f>Tabla135[[#This Row],[VALOR PROYECTADO 2023-1]]-Tabla135[[#This Row],[VALOR EJECUTADO 2023-1]]</f>
        <v>212528289</v>
      </c>
      <c r="O26" s="26">
        <f>Tabla135[[#This Row],[VALOR EJECUTADO 2023-1]]/Tabla135[[#This Row],[VALOR PROYECTADO 2023-1]]</f>
        <v>0.8</v>
      </c>
      <c r="P26" s="6">
        <f>VLOOKUP(Tabla135[[#This Row],[NOMBRE IES]],'[1]INFORMACIÓN IES'!$B:$M,12,0)</f>
        <v>1017667214</v>
      </c>
      <c r="Q26" s="6">
        <f>VLOOKUP(Tabla135[[#This Row],[NOMBRE IES]],'[1]INFORMACIÓN IES'!$B:$N,13,0)</f>
        <v>814133771.20000005</v>
      </c>
      <c r="R26" s="7">
        <f>+Tabla135[[#This Row],[VALOR PROYECTADO 2023-2]]-Tabla135[[#This Row],[VALOR DESEMBOLSADO 2023-2 
80%3]]</f>
        <v>203533442.79999995</v>
      </c>
      <c r="S26" s="41" t="s">
        <v>46</v>
      </c>
      <c r="T26" s="8" t="s">
        <v>2</v>
      </c>
      <c r="U26" s="7"/>
      <c r="V26" s="7"/>
      <c r="W26" s="7"/>
      <c r="X26" s="9">
        <f>Tabla135[[#This Row],[VALOR PROYECTADO 2023-2]]-Tabla135[[#This Row],[VALOR EJECUTADO 2023-2]]</f>
        <v>1017667214</v>
      </c>
      <c r="Y26" s="1">
        <f>Tabla135[[#This Row],[VALOR EJECUTADO 2023-2]]/Tabla135[[#This Row],[VALOR PROYECTADO 2023-2]]</f>
        <v>0</v>
      </c>
    </row>
    <row r="27" spans="1:25" hidden="1" x14ac:dyDescent="0.25">
      <c r="A27" s="2">
        <v>40</v>
      </c>
      <c r="B27" s="2" t="s">
        <v>83</v>
      </c>
      <c r="C27" s="30">
        <v>4373230862</v>
      </c>
      <c r="D27" s="13">
        <v>3498584690</v>
      </c>
      <c r="E27" s="13">
        <f>Tabla135[[#This Row],[VALOR PROYECTADO 2023-1]]*0.2</f>
        <v>874646172.4000001</v>
      </c>
      <c r="F27" s="8" t="s">
        <v>110</v>
      </c>
      <c r="G27" s="8" t="s">
        <v>44</v>
      </c>
      <c r="H27" s="8"/>
      <c r="I27" s="22"/>
      <c r="J27" s="8"/>
      <c r="K27" s="13">
        <v>343581041</v>
      </c>
      <c r="M27" s="16">
        <f>Tabla135[[#This Row],[VALOR DESEMBOLSADO 2023-1 
80% (Concepto técnico)]]+Tabla135[[#This Row],[VALOR A GIRAR
CIERRE 2023-1 ]]</f>
        <v>3842165731</v>
      </c>
      <c r="N27" s="25">
        <f>Tabla135[[#This Row],[VALOR PROYECTADO 2023-1]]-Tabla135[[#This Row],[VALOR EJECUTADO 2023-1]]</f>
        <v>531065131</v>
      </c>
      <c r="O27" s="26">
        <f>Tabla135[[#This Row],[VALOR EJECUTADO 2023-1]]/Tabla135[[#This Row],[VALOR PROYECTADO 2023-1]]</f>
        <v>0.87856457896733831</v>
      </c>
      <c r="P27" s="6">
        <f>VLOOKUP(Tabla135[[#This Row],[NOMBRE IES]],'[1]INFORMACIÓN IES'!$B:$M,12,0)</f>
        <v>4178440131</v>
      </c>
      <c r="Q27" s="6">
        <f>VLOOKUP(Tabla135[[#This Row],[NOMBRE IES]],'[1]INFORMACIÓN IES'!$B:$N,13,0)</f>
        <v>3342752104.8000002</v>
      </c>
      <c r="R27" s="7">
        <f>+Tabla135[[#This Row],[VALOR PROYECTADO 2023-2]]-Tabla135[[#This Row],[VALOR DESEMBOLSADO 2023-2 
80%3]]</f>
        <v>835688026.19999981</v>
      </c>
      <c r="S27" s="41" t="s">
        <v>46</v>
      </c>
      <c r="T27" s="8" t="s">
        <v>2</v>
      </c>
      <c r="U27" s="7"/>
      <c r="V27" s="7"/>
      <c r="W27" s="7"/>
      <c r="X27" s="9">
        <f>Tabla135[[#This Row],[VALOR PROYECTADO 2023-2]]-Tabla135[[#This Row],[VALOR EJECUTADO 2023-2]]</f>
        <v>4178440131</v>
      </c>
      <c r="Y27" s="1">
        <f>Tabla135[[#This Row],[VALOR EJECUTADO 2023-2]]/Tabla135[[#This Row],[VALOR PROYECTADO 2023-2]]</f>
        <v>0</v>
      </c>
    </row>
    <row r="28" spans="1:25" x14ac:dyDescent="0.25">
      <c r="A28" s="2">
        <v>41</v>
      </c>
      <c r="B28" s="2" t="s">
        <v>84</v>
      </c>
      <c r="C28" s="30">
        <v>2496575230</v>
      </c>
      <c r="D28" s="13">
        <v>1997260184</v>
      </c>
      <c r="E28" s="13">
        <f>Tabla135[[#This Row],[VALOR PROYECTADO 2023-1]]*0.2</f>
        <v>499315046</v>
      </c>
      <c r="F28" s="8" t="s">
        <v>67</v>
      </c>
      <c r="G28" s="8" t="s">
        <v>51</v>
      </c>
      <c r="H28" s="8" t="s">
        <v>45</v>
      </c>
      <c r="I28" s="22"/>
      <c r="J28" s="14">
        <v>45231</v>
      </c>
      <c r="K28" s="13">
        <v>593058816</v>
      </c>
      <c r="L28" s="1" t="s">
        <v>56</v>
      </c>
      <c r="M28" s="63">
        <v>2590319000</v>
      </c>
      <c r="N28" s="25">
        <f>Tabla135[[#This Row],[VALOR PROYECTADO 2023-1]]-Tabla135[[#This Row],[VALOR EJECUTADO 2023-1]]</f>
        <v>-93743770</v>
      </c>
      <c r="O28" s="26">
        <f>Tabla135[[#This Row],[VALOR EJECUTADO 2023-1]]/Tabla135[[#This Row],[VALOR PROYECTADO 2023-1]]</f>
        <v>1.0375489466023422</v>
      </c>
      <c r="P28" s="6">
        <f>VLOOKUP(Tabla135[[#This Row],[NOMBRE IES]],'[1]INFORMACIÓN IES'!$B:$M,12,0)</f>
        <v>2699101907</v>
      </c>
      <c r="Q28" s="6">
        <f>VLOOKUP(Tabla135[[#This Row],[NOMBRE IES]],'[1]INFORMACIÓN IES'!$B:$N,13,0)</f>
        <v>2159281525.5999999</v>
      </c>
      <c r="R28" s="7">
        <f>+Tabla135[[#This Row],[VALOR PROYECTADO 2023-2]]-Tabla135[[#This Row],[VALOR DESEMBOLSADO 2023-2 
80%3]]</f>
        <v>539820381.4000001</v>
      </c>
      <c r="S28" s="41" t="s">
        <v>46</v>
      </c>
      <c r="T28" s="8" t="s">
        <v>2</v>
      </c>
      <c r="U28" s="7"/>
      <c r="V28" s="7"/>
      <c r="W28" s="7"/>
      <c r="X28" s="9">
        <f>Tabla135[[#This Row],[VALOR PROYECTADO 2023-2]]-Tabla135[[#This Row],[VALOR EJECUTADO 2023-2]]</f>
        <v>2699101907</v>
      </c>
      <c r="Y28" s="1">
        <f>Tabla135[[#This Row],[VALOR EJECUTADO 2023-2]]/Tabla135[[#This Row],[VALOR PROYECTADO 2023-2]]</f>
        <v>0</v>
      </c>
    </row>
    <row r="29" spans="1:25" x14ac:dyDescent="0.25">
      <c r="A29" s="2">
        <v>42</v>
      </c>
      <c r="B29" s="2" t="s">
        <v>85</v>
      </c>
      <c r="C29" s="30">
        <v>7235460742</v>
      </c>
      <c r="D29" s="13">
        <v>5788368594</v>
      </c>
      <c r="E29" s="13">
        <f>Tabla135[[#This Row],[VALOR PROYECTADO 2023-1]]*0.2</f>
        <v>1447092148.4000001</v>
      </c>
      <c r="F29" s="8" t="s">
        <v>67</v>
      </c>
      <c r="G29" s="8" t="s">
        <v>51</v>
      </c>
      <c r="H29" s="8" t="s">
        <v>45</v>
      </c>
      <c r="I29" s="22"/>
      <c r="J29" s="14">
        <v>45231</v>
      </c>
      <c r="K29" s="13">
        <v>631719631</v>
      </c>
      <c r="L29" s="1" t="s">
        <v>56</v>
      </c>
      <c r="M29" s="63">
        <f>Tabla135[[#This Row],[VALOR DESEMBOLSADO 2023-1 
80% (Concepto técnico)]]+Tabla135[[#This Row],[VALOR A GIRAR
CIERRE 2023-1 ]]</f>
        <v>6420088225</v>
      </c>
      <c r="N29" s="25">
        <f>Tabla135[[#This Row],[VALOR PROYECTADO 2023-1]]-Tabla135[[#This Row],[VALOR EJECUTADO 2023-1]]</f>
        <v>815372517</v>
      </c>
      <c r="O29" s="26">
        <f>Tabla135[[#This Row],[VALOR EJECUTADO 2023-1]]/Tabla135[[#This Row],[VALOR PROYECTADO 2023-1]]</f>
        <v>0.88730883269575755</v>
      </c>
      <c r="P29" s="6">
        <f>VLOOKUP(Tabla135[[#This Row],[NOMBRE IES]],'[1]INFORMACIÓN IES'!$B:$M,12,0)</f>
        <v>6941515048</v>
      </c>
      <c r="Q29" s="6">
        <f>VLOOKUP(Tabla135[[#This Row],[NOMBRE IES]],'[1]INFORMACIÓN IES'!$B:$N,13,0)</f>
        <v>5553212038.4000006</v>
      </c>
      <c r="R29" s="7">
        <f>+Tabla135[[#This Row],[VALOR PROYECTADO 2023-2]]-Tabla135[[#This Row],[VALOR DESEMBOLSADO 2023-2 
80%3]]</f>
        <v>1388303009.5999994</v>
      </c>
      <c r="S29" s="40" t="s">
        <v>44</v>
      </c>
      <c r="T29" s="8" t="s">
        <v>2</v>
      </c>
      <c r="U29" s="7"/>
      <c r="V29" s="7"/>
      <c r="W29" s="7"/>
      <c r="X29" s="9">
        <f>Tabla135[[#This Row],[VALOR PROYECTADO 2023-2]]-Tabla135[[#This Row],[VALOR EJECUTADO 2023-2]]</f>
        <v>6941515048</v>
      </c>
      <c r="Y29" s="1">
        <f>Tabla135[[#This Row],[VALOR EJECUTADO 2023-2]]/Tabla135[[#This Row],[VALOR PROYECTADO 2023-2]]</f>
        <v>0</v>
      </c>
    </row>
    <row r="30" spans="1:25" x14ac:dyDescent="0.25">
      <c r="A30" s="2">
        <v>43</v>
      </c>
      <c r="B30" s="2" t="s">
        <v>86</v>
      </c>
      <c r="C30" s="30">
        <v>14538266912</v>
      </c>
      <c r="D30" s="13">
        <v>11630613530</v>
      </c>
      <c r="E30" s="13">
        <f>Tabla135[[#This Row],[VALOR PROYECTADO 2023-1]]*0.2</f>
        <v>2907653382.4000001</v>
      </c>
      <c r="F30" s="8" t="s">
        <v>67</v>
      </c>
      <c r="G30" s="8" t="s">
        <v>51</v>
      </c>
      <c r="H30" s="8" t="s">
        <v>45</v>
      </c>
      <c r="I30" s="22"/>
      <c r="J30" s="14">
        <v>45226</v>
      </c>
      <c r="K30" s="13">
        <v>554058953</v>
      </c>
      <c r="L30" s="1" t="s">
        <v>56</v>
      </c>
      <c r="M30" s="63">
        <v>12184672483</v>
      </c>
      <c r="N30" s="25">
        <f>Tabla135[[#This Row],[VALOR PROYECTADO 2023-1]]-Tabla135[[#This Row],[VALOR EJECUTADO 2023-1]]</f>
        <v>2353594429</v>
      </c>
      <c r="O30" s="26">
        <f>Tabla135[[#This Row],[VALOR EJECUTADO 2023-1]]/Tabla135[[#This Row],[VALOR PROYECTADO 2023-1]]</f>
        <v>0.83811038528551673</v>
      </c>
      <c r="P30" s="6">
        <f>VLOOKUP(Tabla135[[#This Row],[NOMBRE IES]],'[1]INFORMACIÓN IES'!$B:$M,12,0)</f>
        <v>13034680269</v>
      </c>
      <c r="Q30" s="6">
        <f>VLOOKUP(Tabla135[[#This Row],[NOMBRE IES]],'[1]INFORMACIÓN IES'!$B:$N,13,0)</f>
        <v>10427744215.200001</v>
      </c>
      <c r="R30" s="7">
        <f>+Tabla135[[#This Row],[VALOR PROYECTADO 2023-2]]-Tabla135[[#This Row],[VALOR DESEMBOLSADO 2023-2 
80%3]]</f>
        <v>2606936053.7999992</v>
      </c>
      <c r="S30" s="40" t="s">
        <v>44</v>
      </c>
      <c r="T30" s="8" t="s">
        <v>2</v>
      </c>
      <c r="U30" s="7"/>
      <c r="V30" s="7"/>
      <c r="W30" s="7"/>
      <c r="X30" s="9">
        <f>Tabla135[[#This Row],[VALOR PROYECTADO 2023-2]]-Tabla135[[#This Row],[VALOR EJECUTADO 2023-2]]</f>
        <v>13034680269</v>
      </c>
      <c r="Y30" s="1">
        <f>Tabla135[[#This Row],[VALOR EJECUTADO 2023-2]]/Tabla135[[#This Row],[VALOR PROYECTADO 2023-2]]</f>
        <v>0</v>
      </c>
    </row>
    <row r="31" spans="1:25" x14ac:dyDescent="0.25">
      <c r="A31" s="2">
        <v>44</v>
      </c>
      <c r="B31" s="2" t="s">
        <v>87</v>
      </c>
      <c r="C31" s="30">
        <v>12861265399</v>
      </c>
      <c r="D31" s="13">
        <v>10289012319</v>
      </c>
      <c r="E31" s="13">
        <f>Tabla135[[#This Row],[VALOR PROYECTADO 2023-1]]*0.2</f>
        <v>2572253079.8000002</v>
      </c>
      <c r="F31" s="8" t="s">
        <v>67</v>
      </c>
      <c r="G31" s="8" t="s">
        <v>51</v>
      </c>
      <c r="H31" s="8" t="s">
        <v>45</v>
      </c>
      <c r="I31" s="22"/>
      <c r="J31" s="14">
        <v>45232</v>
      </c>
      <c r="K31" s="13">
        <v>3748647481</v>
      </c>
      <c r="L31" s="1" t="s">
        <v>56</v>
      </c>
      <c r="M31" s="63">
        <v>14037659800</v>
      </c>
      <c r="N31" s="25">
        <f>Tabla135[[#This Row],[VALOR PROYECTADO 2023-1]]-Tabla135[[#This Row],[VALOR EJECUTADO 2023-1]]</f>
        <v>-1176394401</v>
      </c>
      <c r="O31" s="26">
        <f>Tabla135[[#This Row],[VALOR EJECUTADO 2023-1]]/Tabla135[[#This Row],[VALOR PROYECTADO 2023-1]]</f>
        <v>1.0914680137999071</v>
      </c>
      <c r="P31" s="6">
        <f>VLOOKUP(Tabla135[[#This Row],[NOMBRE IES]],'[1]INFORMACIÓN IES'!$B:$M,12,0)</f>
        <v>14311258280</v>
      </c>
      <c r="Q31" s="6">
        <f>VLOOKUP(Tabla135[[#This Row],[NOMBRE IES]],'[1]INFORMACIÓN IES'!$B:$N,13,0)</f>
        <v>11449006624</v>
      </c>
      <c r="R31" s="7">
        <f>+Tabla135[[#This Row],[VALOR PROYECTADO 2023-2]]-Tabla135[[#This Row],[VALOR DESEMBOLSADO 2023-2 
80%3]]</f>
        <v>2862251656</v>
      </c>
      <c r="S31" s="41" t="s">
        <v>46</v>
      </c>
      <c r="T31" s="8" t="s">
        <v>2</v>
      </c>
      <c r="U31" s="7"/>
      <c r="V31" s="7"/>
      <c r="W31" s="7"/>
      <c r="X31" s="9">
        <f>Tabla135[[#This Row],[VALOR PROYECTADO 2023-2]]-Tabla135[[#This Row],[VALOR EJECUTADO 2023-2]]</f>
        <v>14311258280</v>
      </c>
      <c r="Y31" s="1">
        <f>Tabla135[[#This Row],[VALOR EJECUTADO 2023-2]]/Tabla135[[#This Row],[VALOR PROYECTADO 2023-2]]</f>
        <v>0</v>
      </c>
    </row>
    <row r="32" spans="1:25" hidden="1" x14ac:dyDescent="0.25">
      <c r="A32" s="2">
        <v>45</v>
      </c>
      <c r="B32" s="2" t="s">
        <v>88</v>
      </c>
      <c r="C32" s="30">
        <v>10781898068</v>
      </c>
      <c r="D32" s="13">
        <v>8625518454</v>
      </c>
      <c r="E32" s="13">
        <f>Tabla135[[#This Row],[VALOR PROYECTADO 2023-1]]*0.2</f>
        <v>2156379613.5999999</v>
      </c>
      <c r="F32" s="8" t="s">
        <v>2</v>
      </c>
      <c r="G32" s="8" t="s">
        <v>44</v>
      </c>
      <c r="H32" s="8"/>
      <c r="I32" s="22" t="s">
        <v>662</v>
      </c>
      <c r="J32" s="8"/>
      <c r="K32" s="13">
        <f>Tabla135[[#This Row],[VALOR ESTIMADO  POR DESEMBOLSAR 2023-1 
(20%)]]</f>
        <v>2156379613.5999999</v>
      </c>
      <c r="M32" s="16">
        <f>Tabla135[[#This Row],[VALOR DESEMBOLSADO 2023-1 
80% (Concepto técnico)]]+Tabla135[[#This Row],[VALOR A GIRAR
CIERRE 2023-1 ]]</f>
        <v>10781898067.6</v>
      </c>
      <c r="N32" s="25">
        <f>Tabla135[[#This Row],[VALOR PROYECTADO 2023-1]]-Tabla135[[#This Row],[VALOR EJECUTADO 2023-1]]</f>
        <v>0.39999961853027344</v>
      </c>
      <c r="O32" s="26">
        <f>Tabla135[[#This Row],[VALOR EJECUTADO 2023-1]]/Tabla135[[#This Row],[VALOR PROYECTADO 2023-1]]</f>
        <v>0.99999999996290079</v>
      </c>
      <c r="P32" s="6">
        <f>VLOOKUP(Tabla135[[#This Row],[NOMBRE IES]],'[1]INFORMACIÓN IES'!$B:$M,12,0)</f>
        <v>6746242853</v>
      </c>
      <c r="Q32" s="6">
        <f>VLOOKUP(Tabla135[[#This Row],[NOMBRE IES]],'[1]INFORMACIÓN IES'!$B:$N,13,0)</f>
        <v>5396994282.4000006</v>
      </c>
      <c r="R32" s="7">
        <f>+Tabla135[[#This Row],[VALOR PROYECTADO 2023-2]]-Tabla135[[#This Row],[VALOR DESEMBOLSADO 2023-2 
80%3]]</f>
        <v>1349248570.5999994</v>
      </c>
      <c r="S32" s="41" t="s">
        <v>46</v>
      </c>
      <c r="T32" s="8" t="s">
        <v>2</v>
      </c>
      <c r="U32" s="7"/>
      <c r="V32" s="7"/>
      <c r="W32" s="7"/>
      <c r="X32" s="9">
        <f>Tabla135[[#This Row],[VALOR PROYECTADO 2023-2]]-Tabla135[[#This Row],[VALOR EJECUTADO 2023-2]]</f>
        <v>6746242853</v>
      </c>
      <c r="Y32" s="1">
        <f>Tabla135[[#This Row],[VALOR EJECUTADO 2023-2]]/Tabla135[[#This Row],[VALOR PROYECTADO 2023-2]]</f>
        <v>0</v>
      </c>
    </row>
    <row r="33" spans="1:25" hidden="1" x14ac:dyDescent="0.25">
      <c r="A33" s="2">
        <v>46</v>
      </c>
      <c r="B33" s="2" t="s">
        <v>89</v>
      </c>
      <c r="C33" s="30">
        <v>8875077165</v>
      </c>
      <c r="D33" s="13">
        <v>7100061732</v>
      </c>
      <c r="E33" s="13">
        <f>Tabla135[[#This Row],[VALOR PROYECTADO 2023-1]]*0.2</f>
        <v>1775015433</v>
      </c>
      <c r="F33" s="8" t="s">
        <v>110</v>
      </c>
      <c r="G33" s="8" t="s">
        <v>44</v>
      </c>
      <c r="H33" s="8"/>
      <c r="I33" s="22" t="s">
        <v>663</v>
      </c>
      <c r="J33" s="8"/>
      <c r="K33" s="13">
        <f>Tabla135[[#This Row],[VALOR ESTIMADO  POR DESEMBOLSAR 2023-1 
(20%)]]</f>
        <v>1775015433</v>
      </c>
      <c r="M33" s="16">
        <f>Tabla135[[#This Row],[VALOR DESEMBOLSADO 2023-1 
80% (Concepto técnico)]]+Tabla135[[#This Row],[VALOR A GIRAR
CIERRE 2023-1 ]]</f>
        <v>8875077165</v>
      </c>
      <c r="N33" s="25">
        <f>Tabla135[[#This Row],[VALOR PROYECTADO 2023-1]]-Tabla135[[#This Row],[VALOR EJECUTADO 2023-1]]</f>
        <v>0</v>
      </c>
      <c r="O33" s="26">
        <f>Tabla135[[#This Row],[VALOR EJECUTADO 2023-1]]/Tabla135[[#This Row],[VALOR PROYECTADO 2023-1]]</f>
        <v>1</v>
      </c>
      <c r="P33" s="6">
        <f>VLOOKUP(Tabla135[[#This Row],[NOMBRE IES]],'[1]INFORMACIÓN IES'!$B:$M,12,0)</f>
        <v>7254318640</v>
      </c>
      <c r="Q33" s="6">
        <f>VLOOKUP(Tabla135[[#This Row],[NOMBRE IES]],'[1]INFORMACIÓN IES'!$B:$N,13,0)</f>
        <v>5803454912</v>
      </c>
      <c r="R33" s="7">
        <f>+Tabla135[[#This Row],[VALOR PROYECTADO 2023-2]]-Tabla135[[#This Row],[VALOR DESEMBOLSADO 2023-2 
80%3]]</f>
        <v>1450863728</v>
      </c>
      <c r="S33" s="41" t="s">
        <v>46</v>
      </c>
      <c r="T33" s="8" t="s">
        <v>2</v>
      </c>
      <c r="U33" s="7"/>
      <c r="V33" s="7"/>
      <c r="W33" s="7"/>
      <c r="X33" s="9">
        <f>Tabla135[[#This Row],[VALOR PROYECTADO 2023-2]]-Tabla135[[#This Row],[VALOR EJECUTADO 2023-2]]</f>
        <v>7254318640</v>
      </c>
      <c r="Y33" s="1">
        <f>Tabla135[[#This Row],[VALOR EJECUTADO 2023-2]]/Tabla135[[#This Row],[VALOR PROYECTADO 2023-2]]</f>
        <v>0</v>
      </c>
    </row>
    <row r="34" spans="1:25" hidden="1" x14ac:dyDescent="0.25">
      <c r="A34" s="2">
        <v>13</v>
      </c>
      <c r="B34" s="2" t="s">
        <v>90</v>
      </c>
      <c r="C34" s="12">
        <v>710730824</v>
      </c>
      <c r="D34" s="13">
        <f>Tabla135[[#This Row],[VALOR PROYECTADO 2023-1]]*80%</f>
        <v>568584659.20000005</v>
      </c>
      <c r="E34" s="13">
        <f>Tabla135[[#This Row],[VALOR PROYECTADO 2023-1]]*0.2</f>
        <v>142146164.80000001</v>
      </c>
      <c r="F34" s="8" t="s">
        <v>2</v>
      </c>
      <c r="G34" s="8" t="s">
        <v>44</v>
      </c>
      <c r="H34" s="8"/>
      <c r="I34" s="22"/>
      <c r="J34" s="8"/>
      <c r="K34" s="13">
        <v>0</v>
      </c>
      <c r="L34" s="43">
        <f>Tabla135[[#This Row],[VALOR EJECUTADO 2023-1]]-Tabla135[[#This Row],[VALOR DESEMBOLSADO 2023-1 
80% (Concepto técnico)]]</f>
        <v>0</v>
      </c>
      <c r="M34" s="16">
        <f>Tabla135[[#This Row],[VALOR DESEMBOLSADO 2023-1 
80% (Concepto técnico)]]+Tabla135[[#This Row],[VALOR A GIRAR
CIERRE 2023-1 ]]</f>
        <v>568584659.20000005</v>
      </c>
      <c r="N34" s="25">
        <f>Tabla135[[#This Row],[VALOR PROYECTADO 2023-1]]-Tabla135[[#This Row],[VALOR EJECUTADO 2023-1]]</f>
        <v>142146164.79999995</v>
      </c>
      <c r="O34" s="26">
        <f>Tabla135[[#This Row],[VALOR EJECUTADO 2023-1]]/Tabla135[[#This Row],[VALOR PROYECTADO 2023-1]]</f>
        <v>0.8</v>
      </c>
      <c r="P34" s="6">
        <f>VLOOKUP(Tabla135[[#This Row],[NOMBRE IES]],'[1]INFORMACIÓN IES'!$B:$M,12,0)</f>
        <v>149470874</v>
      </c>
      <c r="Q34" s="6">
        <f>VLOOKUP(Tabla135[[#This Row],[NOMBRE IES]],'[1]INFORMACIÓN IES'!$B:$N,13,0)</f>
        <v>119576699</v>
      </c>
      <c r="R34" s="7">
        <f>+Tabla135[[#This Row],[VALOR PROYECTADO 2023-2]]-Tabla135[[#This Row],[VALOR DESEMBOLSADO 2023-2 
80%3]]</f>
        <v>29894175</v>
      </c>
      <c r="S34" s="41" t="s">
        <v>46</v>
      </c>
      <c r="T34" s="8" t="s">
        <v>2</v>
      </c>
      <c r="U34" s="7"/>
      <c r="V34" s="7"/>
      <c r="W34" s="7"/>
      <c r="X34" s="9">
        <f>Tabla135[[#This Row],[VALOR PROYECTADO 2023-2]]-Tabla135[[#This Row],[VALOR EJECUTADO 2023-2]]</f>
        <v>149470874</v>
      </c>
      <c r="Y34" s="1">
        <f>Tabla135[[#This Row],[VALOR EJECUTADO 2023-2]]/Tabla135[[#This Row],[VALOR PROYECTADO 2023-2]]</f>
        <v>0</v>
      </c>
    </row>
    <row r="35" spans="1:25" x14ac:dyDescent="0.25">
      <c r="A35" s="2">
        <v>14</v>
      </c>
      <c r="B35" s="2" t="s">
        <v>92</v>
      </c>
      <c r="C35" s="30">
        <v>243697305</v>
      </c>
      <c r="D35" s="13">
        <f>Tabla135[[#This Row],[VALOR PROYECTADO 2023-1]]*80%</f>
        <v>194957844</v>
      </c>
      <c r="E35" s="13">
        <f>Tabla135[[#This Row],[VALOR PROYECTADO 2023-1]]*0.2</f>
        <v>48739461</v>
      </c>
      <c r="F35" s="8" t="s">
        <v>67</v>
      </c>
      <c r="G35" s="8" t="s">
        <v>51</v>
      </c>
      <c r="H35" s="8" t="s">
        <v>45</v>
      </c>
      <c r="I35" s="22"/>
      <c r="J35" s="14">
        <v>45211</v>
      </c>
      <c r="K35" s="13">
        <v>60011317</v>
      </c>
      <c r="L35" s="1" t="s">
        <v>56</v>
      </c>
      <c r="M35" s="63">
        <v>254969161</v>
      </c>
      <c r="N35" s="24">
        <f>Tabla135[[#This Row],[VALOR PROYECTADO 2023-1]]-Tabla135[[#This Row],[VALOR EJECUTADO 2023-1]]</f>
        <v>-11271856</v>
      </c>
      <c r="O35" s="26">
        <f>Tabla135[[#This Row],[VALOR EJECUTADO 2023-1]]/Tabla135[[#This Row],[VALOR PROYECTADO 2023-1]]</f>
        <v>1.0462535110923774</v>
      </c>
      <c r="P35" s="6">
        <f>VLOOKUP(Tabla135[[#This Row],[NOMBRE IES]],'[1]INFORMACIÓN IES'!$B:$M,12,0)</f>
        <v>280466077</v>
      </c>
      <c r="Q35" s="6">
        <f>VLOOKUP(Tabla135[[#This Row],[NOMBRE IES]],'[1]INFORMACIÓN IES'!$B:$N,13,0)</f>
        <v>224372861</v>
      </c>
      <c r="R35" s="7">
        <f>+Tabla135[[#This Row],[VALOR PROYECTADO 2023-2]]-Tabla135[[#This Row],[VALOR DESEMBOLSADO 2023-2 
80%3]]</f>
        <v>56093216</v>
      </c>
      <c r="S35" s="40" t="s">
        <v>44</v>
      </c>
      <c r="T35" s="8" t="s">
        <v>2</v>
      </c>
      <c r="U35" s="7"/>
      <c r="V35" s="7"/>
      <c r="W35" s="7"/>
      <c r="X35" s="9">
        <f>Tabla135[[#This Row],[VALOR PROYECTADO 2023-2]]-Tabla135[[#This Row],[VALOR EJECUTADO 2023-2]]</f>
        <v>280466077</v>
      </c>
      <c r="Y35" s="1">
        <f>Tabla135[[#This Row],[VALOR EJECUTADO 2023-2]]/Tabla135[[#This Row],[VALOR PROYECTADO 2023-2]]</f>
        <v>0</v>
      </c>
    </row>
    <row r="36" spans="1:25" hidden="1" x14ac:dyDescent="0.25">
      <c r="A36" s="2">
        <v>15</v>
      </c>
      <c r="B36" s="2" t="s">
        <v>93</v>
      </c>
      <c r="C36" s="12">
        <v>8831728849</v>
      </c>
      <c r="D36" s="13">
        <f>Tabla135[[#This Row],[VALOR PROYECTADO 2023-1]]*80%</f>
        <v>7065383079.2000008</v>
      </c>
      <c r="E36" s="13">
        <f>Tabla135[[#This Row],[VALOR PROYECTADO 2023-1]]*0.2</f>
        <v>1766345769.8000002</v>
      </c>
      <c r="F36" s="8" t="s">
        <v>2</v>
      </c>
      <c r="G36" s="8" t="s">
        <v>44</v>
      </c>
      <c r="H36" s="8"/>
      <c r="I36" s="22" t="s">
        <v>664</v>
      </c>
      <c r="J36" s="8"/>
      <c r="K36" s="20">
        <f>Tabla135[[#This Row],[VALOR EJECUTADO 2023-1]]-Tabla135[[#This Row],[VALOR DESEMBOLSADO 2023-1 
80% (Concepto técnico)]]</f>
        <v>2513548920.7999992</v>
      </c>
      <c r="M36" s="42">
        <v>9578932000</v>
      </c>
      <c r="N36" s="25">
        <f>Tabla135[[#This Row],[VALOR PROYECTADO 2023-1]]-Tabla135[[#This Row],[VALOR EJECUTADO 2023-1]]</f>
        <v>-747203151</v>
      </c>
      <c r="O36" s="26">
        <f>Tabla135[[#This Row],[VALOR EJECUTADO 2023-1]]/Tabla135[[#This Row],[VALOR PROYECTADO 2023-1]]</f>
        <v>1.0846044034837645</v>
      </c>
      <c r="P36" s="6">
        <f>VLOOKUP(Tabla135[[#This Row],[NOMBRE IES]],'[1]INFORMACIÓN IES'!$B:$M,12,0)</f>
        <v>9251638000</v>
      </c>
      <c r="Q36" s="6">
        <f>VLOOKUP(Tabla135[[#This Row],[NOMBRE IES]],'[1]INFORMACIÓN IES'!$B:$N,13,0)</f>
        <v>7401310400</v>
      </c>
      <c r="R36" s="7">
        <f>+Tabla135[[#This Row],[VALOR PROYECTADO 2023-2]]-Tabla135[[#This Row],[VALOR DESEMBOLSADO 2023-2 
80%3]]</f>
        <v>1850327600</v>
      </c>
      <c r="S36" s="41" t="s">
        <v>46</v>
      </c>
      <c r="T36" s="8" t="s">
        <v>2</v>
      </c>
      <c r="U36" s="7"/>
      <c r="V36" s="7"/>
      <c r="W36" s="7"/>
      <c r="X36" s="9">
        <f>Tabla135[[#This Row],[VALOR PROYECTADO 2023-2]]-Tabla135[[#This Row],[VALOR EJECUTADO 2023-2]]</f>
        <v>9251638000</v>
      </c>
      <c r="Y36" s="1">
        <f>Tabla135[[#This Row],[VALOR EJECUTADO 2023-2]]/Tabla135[[#This Row],[VALOR PROYECTADO 2023-2]]</f>
        <v>0</v>
      </c>
    </row>
    <row r="37" spans="1:25" hidden="1" x14ac:dyDescent="0.25">
      <c r="A37" s="2">
        <v>16</v>
      </c>
      <c r="B37" s="2" t="s">
        <v>94</v>
      </c>
      <c r="C37" s="12">
        <v>6442433158</v>
      </c>
      <c r="D37" s="13">
        <f>Tabla135[[#This Row],[VALOR PROYECTADO 2023-1]]*80%</f>
        <v>5153946526.4000006</v>
      </c>
      <c r="E37" s="13">
        <f>Tabla135[[#This Row],[VALOR PROYECTADO 2023-1]]*0.2</f>
        <v>1288486631.6000001</v>
      </c>
      <c r="F37" s="8" t="s">
        <v>2</v>
      </c>
      <c r="G37" s="8" t="s">
        <v>44</v>
      </c>
      <c r="H37" s="8"/>
      <c r="I37" s="22"/>
      <c r="J37" s="8"/>
      <c r="K37" s="20">
        <f>Tabla135[[#This Row],[VALOR EJECUTADO 2023-1]]-Tabla135[[#This Row],[VALOR DESEMBOLSADO 2023-1 
80% (Concepto técnico)]]</f>
        <v>614140543.59999943</v>
      </c>
      <c r="M37" s="42">
        <v>5768087070</v>
      </c>
      <c r="N37" s="25">
        <f>Tabla135[[#This Row],[VALOR PROYECTADO 2023-1]]-Tabla135[[#This Row],[VALOR EJECUTADO 2023-1]]</f>
        <v>674346088</v>
      </c>
      <c r="O37" s="26">
        <f>Tabla135[[#This Row],[VALOR EJECUTADO 2023-1]]/Tabla135[[#This Row],[VALOR PROYECTADO 2023-1]]</f>
        <v>0.89532742188211623</v>
      </c>
      <c r="P37" s="6">
        <f>VLOOKUP(Tabla135[[#This Row],[NOMBRE IES]],'[1]INFORMACIÓN IES'!$B:$M,12,0)</f>
        <v>5846245947</v>
      </c>
      <c r="Q37" s="6">
        <f>VLOOKUP(Tabla135[[#This Row],[NOMBRE IES]],'[1]INFORMACIÓN IES'!$B:$N,13,0)</f>
        <v>4676996758</v>
      </c>
      <c r="R37" s="7">
        <f>+Tabla135[[#This Row],[VALOR PROYECTADO 2023-2]]-Tabla135[[#This Row],[VALOR DESEMBOLSADO 2023-2 
80%3]]</f>
        <v>1169249189</v>
      </c>
      <c r="S37" s="41" t="s">
        <v>46</v>
      </c>
      <c r="T37" s="8" t="s">
        <v>2</v>
      </c>
      <c r="U37" s="7"/>
      <c r="V37" s="7"/>
      <c r="W37" s="7"/>
      <c r="X37" s="9">
        <f>Tabla135[[#This Row],[VALOR PROYECTADO 2023-2]]-Tabla135[[#This Row],[VALOR EJECUTADO 2023-2]]</f>
        <v>5846245947</v>
      </c>
      <c r="Y37" s="1">
        <f>Tabla135[[#This Row],[VALOR EJECUTADO 2023-2]]/Tabla135[[#This Row],[VALOR PROYECTADO 2023-2]]</f>
        <v>0</v>
      </c>
    </row>
    <row r="38" spans="1:25" ht="23.25" hidden="1" x14ac:dyDescent="0.25">
      <c r="A38" s="2">
        <v>17</v>
      </c>
      <c r="B38" s="2" t="s">
        <v>95</v>
      </c>
      <c r="C38" s="12">
        <v>10252255310</v>
      </c>
      <c r="D38" s="13">
        <f>Tabla135[[#This Row],[VALOR PROYECTADO 2023-1]]*80%</f>
        <v>8201804248</v>
      </c>
      <c r="E38" s="13">
        <f>Tabla135[[#This Row],[VALOR PROYECTADO 2023-1]]*0.2</f>
        <v>2050451062</v>
      </c>
      <c r="F38" s="8" t="s">
        <v>2</v>
      </c>
      <c r="G38" s="8" t="s">
        <v>44</v>
      </c>
      <c r="H38" s="8"/>
      <c r="I38" s="22" t="s">
        <v>665</v>
      </c>
      <c r="J38" s="8"/>
      <c r="K38" s="13">
        <v>0</v>
      </c>
      <c r="L38" s="43">
        <f>Tabla135[[#This Row],[VALOR EJECUTADO 2023-1]]-Tabla135[[#This Row],[VALOR DESEMBOLSADO 2023-1 
80% (Concepto técnico)]]</f>
        <v>-512955661</v>
      </c>
      <c r="M38" s="42">
        <v>7688848587</v>
      </c>
      <c r="N38" s="25">
        <f>Tabla135[[#This Row],[VALOR PROYECTADO 2023-1]]-Tabla135[[#This Row],[VALOR EJECUTADO 2023-1]]</f>
        <v>2563406723</v>
      </c>
      <c r="O38" s="26">
        <f>Tabla135[[#This Row],[VALOR EJECUTADO 2023-1]]/Tabla135[[#This Row],[VALOR PROYECTADO 2023-1]]</f>
        <v>0.74996655413958868</v>
      </c>
      <c r="P38" s="6">
        <f>VLOOKUP(Tabla135[[#This Row],[NOMBRE IES]],'[1]INFORMACIÓN IES'!$B:$M,12,0)</f>
        <v>8159406846</v>
      </c>
      <c r="Q38" s="6">
        <f>VLOOKUP(Tabla135[[#This Row],[NOMBRE IES]],'[1]INFORMACIÓN IES'!$B:$N,13,0)</f>
        <v>6527525476</v>
      </c>
      <c r="R38" s="7">
        <f>+Tabla135[[#This Row],[VALOR PROYECTADO 2023-2]]-Tabla135[[#This Row],[VALOR DESEMBOLSADO 2023-2 
80%3]]</f>
        <v>1631881370</v>
      </c>
      <c r="S38" s="41" t="s">
        <v>46</v>
      </c>
      <c r="T38" s="8" t="s">
        <v>2</v>
      </c>
      <c r="U38" s="7"/>
      <c r="V38" s="7"/>
      <c r="W38" s="7"/>
      <c r="X38" s="9">
        <f>Tabla135[[#This Row],[VALOR PROYECTADO 2023-2]]-Tabla135[[#This Row],[VALOR EJECUTADO 2023-2]]</f>
        <v>8159406846</v>
      </c>
      <c r="Y38" s="1">
        <f>Tabla135[[#This Row],[VALOR EJECUTADO 2023-2]]/Tabla135[[#This Row],[VALOR PROYECTADO 2023-2]]</f>
        <v>0</v>
      </c>
    </row>
    <row r="39" spans="1:25" x14ac:dyDescent="0.25">
      <c r="A39" s="2">
        <v>47</v>
      </c>
      <c r="B39" s="2" t="s">
        <v>96</v>
      </c>
      <c r="C39" s="30">
        <v>4872056574</v>
      </c>
      <c r="D39" s="13">
        <f>Tabla135[[#This Row],[VALOR PROYECTADO 2023-1]]*80%</f>
        <v>3897645259.2000003</v>
      </c>
      <c r="E39" s="13">
        <v>239536271</v>
      </c>
      <c r="F39" s="8" t="s">
        <v>67</v>
      </c>
      <c r="G39" s="8" t="s">
        <v>51</v>
      </c>
      <c r="H39" s="8" t="s">
        <v>45</v>
      </c>
      <c r="I39" s="22"/>
      <c r="J39" s="14">
        <v>45226</v>
      </c>
      <c r="K39" s="13">
        <f>Tabla135[[#This Row],[VALOR EJECUTADO 2023-1]]-Tabla135[[#This Row],[VALOR DESEMBOLSADO 2023-1 
80% (Concepto técnico)]]</f>
        <v>239536270.79999971</v>
      </c>
      <c r="L39" s="1" t="s">
        <v>56</v>
      </c>
      <c r="M39" s="64">
        <v>4137181530</v>
      </c>
      <c r="N39" s="25">
        <f>Tabla135[[#This Row],[VALOR PROYECTADO 2023-1]]-Tabla135[[#This Row],[VALOR EJECUTADO 2023-1]]</f>
        <v>734875044</v>
      </c>
      <c r="O39" s="26">
        <f>Tabla135[[#This Row],[VALOR EJECUTADO 2023-1]]/Tabla135[[#This Row],[VALOR PROYECTADO 2023-1]]</f>
        <v>0.84916533032032071</v>
      </c>
      <c r="P39" s="6">
        <f>VLOOKUP(Tabla135[[#This Row],[NOMBRE IES]],'[1]INFORMACIÓN IES'!$B:$M,12,0)</f>
        <v>4470544441</v>
      </c>
      <c r="Q39" s="6">
        <f>VLOOKUP(Tabla135[[#This Row],[NOMBRE IES]],'[1]INFORMACIÓN IES'!$B:$N,13,0)</f>
        <v>3576435553</v>
      </c>
      <c r="R39" s="7">
        <f>+Tabla135[[#This Row],[VALOR PROYECTADO 2023-2]]-Tabla135[[#This Row],[VALOR DESEMBOLSADO 2023-2 
80%3]]</f>
        <v>894108888</v>
      </c>
      <c r="S39" s="41" t="s">
        <v>46</v>
      </c>
      <c r="T39" s="8" t="s">
        <v>2</v>
      </c>
      <c r="U39" s="7"/>
      <c r="V39" s="7"/>
      <c r="W39" s="7"/>
      <c r="X39" s="9">
        <f>Tabla135[[#This Row],[VALOR PROYECTADO 2023-2]]-Tabla135[[#This Row],[VALOR EJECUTADO 2023-2]]</f>
        <v>4470544441</v>
      </c>
      <c r="Y39" s="1">
        <f>Tabla135[[#This Row],[VALOR EJECUTADO 2023-2]]/Tabla135[[#This Row],[VALOR PROYECTADO 2023-2]]</f>
        <v>0</v>
      </c>
    </row>
    <row r="40" spans="1:25" x14ac:dyDescent="0.25">
      <c r="A40" s="2">
        <v>48</v>
      </c>
      <c r="B40" s="2" t="s">
        <v>98</v>
      </c>
      <c r="C40" s="30">
        <v>3560472162</v>
      </c>
      <c r="D40" s="13">
        <v>2848377730</v>
      </c>
      <c r="E40" s="13">
        <v>461773870</v>
      </c>
      <c r="F40" s="8" t="s">
        <v>67</v>
      </c>
      <c r="G40" s="8" t="s">
        <v>51</v>
      </c>
      <c r="H40" s="8" t="s">
        <v>45</v>
      </c>
      <c r="I40" s="22"/>
      <c r="J40" s="14">
        <v>45231</v>
      </c>
      <c r="K40" s="13">
        <f>Tabla135[[#This Row],[VALOR EJECUTADO 2023-1]]-Tabla135[[#This Row],[VALOR DESEMBOLSADO 2023-1 
80% (Concepto técnico)]]</f>
        <v>461773870</v>
      </c>
      <c r="L40" s="1" t="s">
        <v>56</v>
      </c>
      <c r="M40" s="64">
        <v>3310151600</v>
      </c>
      <c r="N40" s="25">
        <f>Tabla135[[#This Row],[VALOR PROYECTADO 2023-1]]-Tabla135[[#This Row],[VALOR EJECUTADO 2023-1]]</f>
        <v>250320562</v>
      </c>
      <c r="O40" s="26">
        <f>Tabla135[[#This Row],[VALOR EJECUTADO 2023-1]]/Tabla135[[#This Row],[VALOR PROYECTADO 2023-1]]</f>
        <v>0.92969455998796824</v>
      </c>
      <c r="P40" s="6">
        <f>VLOOKUP(Tabla135[[#This Row],[NOMBRE IES]],'[1]INFORMACIÓN IES'!$B:$M,12,0)</f>
        <v>3519743920</v>
      </c>
      <c r="Q40" s="6">
        <f>VLOOKUP(Tabla135[[#This Row],[NOMBRE IES]],'[1]INFORMACIÓN IES'!$B:$N,13,0)</f>
        <v>2815795136</v>
      </c>
      <c r="R40" s="7">
        <f>+Tabla135[[#This Row],[VALOR PROYECTADO 2023-2]]-Tabla135[[#This Row],[VALOR DESEMBOLSADO 2023-2 
80%3]]</f>
        <v>703948784</v>
      </c>
      <c r="S40" s="41" t="s">
        <v>46</v>
      </c>
      <c r="T40" s="8" t="s">
        <v>2</v>
      </c>
      <c r="U40" s="7"/>
      <c r="V40" s="7"/>
      <c r="W40" s="7"/>
      <c r="X40" s="9">
        <f>Tabla135[[#This Row],[VALOR PROYECTADO 2023-2]]-Tabla135[[#This Row],[VALOR EJECUTADO 2023-2]]</f>
        <v>3519743920</v>
      </c>
      <c r="Y40" s="1">
        <f>Tabla135[[#This Row],[VALOR EJECUTADO 2023-2]]/Tabla135[[#This Row],[VALOR PROYECTADO 2023-2]]</f>
        <v>0</v>
      </c>
    </row>
    <row r="41" spans="1:25" x14ac:dyDescent="0.25">
      <c r="A41" s="2">
        <v>49</v>
      </c>
      <c r="B41" s="2" t="s">
        <v>99</v>
      </c>
      <c r="C41" s="30">
        <v>237002667</v>
      </c>
      <c r="D41" s="13">
        <f>Tabla135[[#This Row],[VALOR PROYECTADO 2023-1]]*80%</f>
        <v>189602133.60000002</v>
      </c>
      <c r="E41" s="13">
        <v>114322016</v>
      </c>
      <c r="F41" s="8" t="s">
        <v>67</v>
      </c>
      <c r="G41" s="8" t="s">
        <v>51</v>
      </c>
      <c r="H41" s="8" t="s">
        <v>45</v>
      </c>
      <c r="I41" s="22"/>
      <c r="J41" s="14">
        <v>45203</v>
      </c>
      <c r="K41" s="13">
        <f>Tabla135[[#This Row],[VALOR ESTIMADO  POR DESEMBOLSAR 2023-1 
(20%)]]</f>
        <v>114322016</v>
      </c>
      <c r="L41" s="1" t="s">
        <v>56</v>
      </c>
      <c r="M41" s="64">
        <v>303924150</v>
      </c>
      <c r="N41" s="24">
        <f>Tabla135[[#This Row],[VALOR PROYECTADO 2023-1]]-Tabla135[[#This Row],[VALOR EJECUTADO 2023-1]]</f>
        <v>-66921483</v>
      </c>
      <c r="O41" s="26">
        <f>Tabla135[[#This Row],[VALOR EJECUTADO 2023-1]]/Tabla135[[#This Row],[VALOR PROYECTADO 2023-1]]</f>
        <v>1.2823659490717882</v>
      </c>
      <c r="P41" s="6">
        <f>VLOOKUP(Tabla135[[#This Row],[NOMBRE IES]],'[1]INFORMACIÓN IES'!$B:$M,12,0)</f>
        <v>359864010</v>
      </c>
      <c r="Q41" s="6">
        <f>VLOOKUP(Tabla135[[#This Row],[NOMBRE IES]],'[1]INFORMACIÓN IES'!$B:$N,13,0)</f>
        <v>287891208</v>
      </c>
      <c r="R41" s="7">
        <f>+Tabla135[[#This Row],[VALOR PROYECTADO 2023-2]]-Tabla135[[#This Row],[VALOR DESEMBOLSADO 2023-2 
80%3]]</f>
        <v>71972802</v>
      </c>
      <c r="S41" s="40" t="s">
        <v>44</v>
      </c>
      <c r="T41" s="8" t="s">
        <v>2</v>
      </c>
      <c r="U41" s="7"/>
      <c r="V41" s="7"/>
      <c r="W41" s="7"/>
      <c r="X41" s="9">
        <f>Tabla135[[#This Row],[VALOR PROYECTADO 2023-2]]-Tabla135[[#This Row],[VALOR EJECUTADO 2023-2]]</f>
        <v>359864010</v>
      </c>
      <c r="Y41" s="1">
        <f>Tabla135[[#This Row],[VALOR EJECUTADO 2023-2]]/Tabla135[[#This Row],[VALOR PROYECTADO 2023-2]]</f>
        <v>0</v>
      </c>
    </row>
    <row r="42" spans="1:25" x14ac:dyDescent="0.25">
      <c r="A42" s="2">
        <v>50</v>
      </c>
      <c r="B42" s="2" t="s">
        <v>100</v>
      </c>
      <c r="C42" s="30">
        <v>13754059535.73</v>
      </c>
      <c r="D42" s="13">
        <f>Tabla135[[#This Row],[VALOR PROYECTADO 2023-1]]*80%</f>
        <v>11003247628.584</v>
      </c>
      <c r="E42" s="13">
        <v>3274062237</v>
      </c>
      <c r="F42" s="8" t="s">
        <v>67</v>
      </c>
      <c r="G42" s="8" t="s">
        <v>51</v>
      </c>
      <c r="H42" s="8" t="s">
        <v>45</v>
      </c>
      <c r="I42" s="22"/>
      <c r="J42" s="14">
        <v>45208</v>
      </c>
      <c r="K42" s="13">
        <f>Tabla135[[#This Row],[VALOR EJECUTADO 2023-1]]-Tabla135[[#This Row],[VALOR DESEMBOLSADO 2023-1 
80% (Concepto técnico)]]</f>
        <v>3274062237.4160004</v>
      </c>
      <c r="L42" s="1" t="s">
        <v>56</v>
      </c>
      <c r="M42" s="64">
        <v>14277309866</v>
      </c>
      <c r="N42" s="24">
        <f>Tabla135[[#This Row],[VALOR PROYECTADO 2023-1]]-Tabla135[[#This Row],[VALOR EJECUTADO 2023-1]]</f>
        <v>-523250330.27000046</v>
      </c>
      <c r="O42" s="26">
        <f>Tabla135[[#This Row],[VALOR EJECUTADO 2023-1]]/Tabla135[[#This Row],[VALOR PROYECTADO 2023-1]]</f>
        <v>1.0380433375986713</v>
      </c>
      <c r="P42" s="6">
        <f>VLOOKUP(Tabla135[[#This Row],[NOMBRE IES]],'[1]INFORMACIÓN IES'!$B:$M,12,0)</f>
        <v>15511700841</v>
      </c>
      <c r="Q42" s="6">
        <f>VLOOKUP(Tabla135[[#This Row],[NOMBRE IES]],'[1]INFORMACIÓN IES'!$B:$N,13,0)</f>
        <v>12409360673</v>
      </c>
      <c r="R42" s="7">
        <f>+Tabla135[[#This Row],[VALOR PROYECTADO 2023-2]]-Tabla135[[#This Row],[VALOR DESEMBOLSADO 2023-2 
80%3]]</f>
        <v>3102340168</v>
      </c>
      <c r="S42" s="41" t="s">
        <v>46</v>
      </c>
      <c r="T42" s="8" t="s">
        <v>2</v>
      </c>
      <c r="U42" s="7"/>
      <c r="V42" s="7"/>
      <c r="W42" s="7"/>
      <c r="X42" s="9">
        <f>Tabla135[[#This Row],[VALOR PROYECTADO 2023-2]]-Tabla135[[#This Row],[VALOR EJECUTADO 2023-2]]</f>
        <v>15511700841</v>
      </c>
      <c r="Y42" s="1">
        <f>Tabla135[[#This Row],[VALOR EJECUTADO 2023-2]]/Tabla135[[#This Row],[VALOR PROYECTADO 2023-2]]</f>
        <v>0</v>
      </c>
    </row>
    <row r="43" spans="1:25" hidden="1" x14ac:dyDescent="0.25">
      <c r="A43" s="2">
        <v>51</v>
      </c>
      <c r="B43" s="2" t="s">
        <v>101</v>
      </c>
      <c r="C43" s="12">
        <v>2461104078.4099998</v>
      </c>
      <c r="D43" s="13">
        <f>Tabla135[[#This Row],[VALOR PROYECTADO 2023-1]]*80%</f>
        <v>1968883262.7279999</v>
      </c>
      <c r="F43" s="8" t="s">
        <v>2</v>
      </c>
      <c r="G43" s="8" t="s">
        <v>44</v>
      </c>
      <c r="H43" s="8"/>
      <c r="I43" s="22" t="s">
        <v>666</v>
      </c>
      <c r="J43" s="8"/>
      <c r="K43" s="20">
        <f>Tabla135[[#This Row],[VALOR EJECUTADO 2023-1]]-Tabla135[[#This Row],[VALOR DESEMBOLSADO 2023-1 
80% (Concepto técnico)]]</f>
        <v>-1968883262.7279999</v>
      </c>
      <c r="M43" s="46"/>
      <c r="N43" s="25">
        <f>Tabla135[[#This Row],[VALOR PROYECTADO 2023-1]]-Tabla135[[#This Row],[VALOR EJECUTADO 2023-1]]</f>
        <v>2461104078.4099998</v>
      </c>
      <c r="O43" s="26">
        <f>Tabla135[[#This Row],[VALOR EJECUTADO 2023-1]]/Tabla135[[#This Row],[VALOR PROYECTADO 2023-1]]</f>
        <v>0</v>
      </c>
      <c r="P43" s="6">
        <f>VLOOKUP(Tabla135[[#This Row],[NOMBRE IES]],'[1]INFORMACIÓN IES'!$B:$M,12,0)</f>
        <v>1741835700</v>
      </c>
      <c r="Q43" s="6">
        <f>VLOOKUP(Tabla135[[#This Row],[NOMBRE IES]],'[1]INFORMACIÓN IES'!$B:$N,13,0)</f>
        <v>1393468560</v>
      </c>
      <c r="R43" s="7">
        <f>+Tabla135[[#This Row],[VALOR PROYECTADO 2023-2]]-Tabla135[[#This Row],[VALOR DESEMBOLSADO 2023-2 
80%3]]</f>
        <v>348367140</v>
      </c>
      <c r="S43" s="41" t="s">
        <v>46</v>
      </c>
      <c r="T43" s="8" t="s">
        <v>2</v>
      </c>
      <c r="U43" s="7"/>
      <c r="V43" s="7"/>
      <c r="W43" s="7"/>
      <c r="X43" s="9">
        <f>Tabla135[[#This Row],[VALOR PROYECTADO 2023-2]]-Tabla135[[#This Row],[VALOR EJECUTADO 2023-2]]</f>
        <v>1741835700</v>
      </c>
      <c r="Y43" s="1">
        <f>Tabla135[[#This Row],[VALOR EJECUTADO 2023-2]]/Tabla135[[#This Row],[VALOR PROYECTADO 2023-2]]</f>
        <v>0</v>
      </c>
    </row>
    <row r="44" spans="1:25" hidden="1" x14ac:dyDescent="0.25">
      <c r="A44" s="2">
        <v>52</v>
      </c>
      <c r="B44" s="2" t="s">
        <v>102</v>
      </c>
      <c r="C44" s="30">
        <v>9780193982.9699993</v>
      </c>
      <c r="D44" s="13">
        <f>Tabla135[[#This Row],[VALOR PROYECTADO 2023-1]]*80%</f>
        <v>7824155186.3759995</v>
      </c>
      <c r="E44" s="34">
        <v>0</v>
      </c>
      <c r="F44" s="8" t="s">
        <v>67</v>
      </c>
      <c r="G44" s="8" t="s">
        <v>51</v>
      </c>
      <c r="H44" s="8" t="s">
        <v>45</v>
      </c>
      <c r="I44" s="22"/>
      <c r="J44" s="14">
        <v>45224</v>
      </c>
      <c r="K44" s="13">
        <v>0</v>
      </c>
      <c r="L44" s="13">
        <v>302339821</v>
      </c>
      <c r="M44" s="64">
        <v>7521815366</v>
      </c>
      <c r="N44" s="25">
        <f>Tabla135[[#This Row],[VALOR PROYECTADO 2023-1]]-Tabla135[[#This Row],[VALOR EJECUTADO 2023-1]]</f>
        <v>2258378616.9699993</v>
      </c>
      <c r="O44" s="26">
        <f>Tabla135[[#This Row],[VALOR EJECUTADO 2023-1]]/Tabla135[[#This Row],[VALOR PROYECTADO 2023-1]]</f>
        <v>0.7690865210953427</v>
      </c>
      <c r="P44" s="6">
        <f>VLOOKUP(Tabla135[[#This Row],[NOMBRE IES]],'[1]INFORMACIÓN IES'!$B:$M,12,0)</f>
        <v>6904472014</v>
      </c>
      <c r="Q44" s="6">
        <f>VLOOKUP(Tabla135[[#This Row],[NOMBRE IES]],'[1]INFORMACIÓN IES'!$B:$N,13,0)</f>
        <v>5523577611</v>
      </c>
      <c r="R44" s="7">
        <f>+Tabla135[[#This Row],[VALOR PROYECTADO 2023-2]]-Tabla135[[#This Row],[VALOR DESEMBOLSADO 2023-2 
80%3]]</f>
        <v>1380894403</v>
      </c>
      <c r="S44" s="41" t="s">
        <v>46</v>
      </c>
      <c r="T44" s="8" t="s">
        <v>2</v>
      </c>
      <c r="U44" s="7"/>
      <c r="V44" s="7"/>
      <c r="W44" s="7"/>
      <c r="X44" s="9">
        <f>Tabla135[[#This Row],[VALOR PROYECTADO 2023-2]]-Tabla135[[#This Row],[VALOR EJECUTADO 2023-2]]</f>
        <v>6904472014</v>
      </c>
      <c r="Y44" s="1">
        <f>Tabla135[[#This Row],[VALOR EJECUTADO 2023-2]]/Tabla135[[#This Row],[VALOR PROYECTADO 2023-2]]</f>
        <v>0</v>
      </c>
    </row>
    <row r="45" spans="1:25" ht="57" hidden="1" x14ac:dyDescent="0.25">
      <c r="A45" s="2">
        <v>53</v>
      </c>
      <c r="B45" s="2" t="s">
        <v>103</v>
      </c>
      <c r="C45" s="12">
        <v>101930300030.00999</v>
      </c>
      <c r="D45" s="13">
        <f>Tabla135[[#This Row],[VALOR PROYECTADO 2023-1]]*80%</f>
        <v>81544240024.007996</v>
      </c>
      <c r="F45" s="8" t="s">
        <v>2</v>
      </c>
      <c r="G45" s="8" t="s">
        <v>44</v>
      </c>
      <c r="H45" s="8"/>
      <c r="I45" s="22" t="s">
        <v>667</v>
      </c>
      <c r="J45" s="8"/>
      <c r="K45" s="20">
        <f>Tabla135[[#This Row],[VALOR EJECUTADO 2023-1]]-Tabla135[[#This Row],[VALOR DESEMBOLSADO 2023-1 
80% (Concepto técnico)]]</f>
        <v>-81544240024.007996</v>
      </c>
      <c r="M45" s="42"/>
      <c r="N45" s="25">
        <f>Tabla135[[#This Row],[VALOR PROYECTADO 2023-1]]-Tabla135[[#This Row],[VALOR EJECUTADO 2023-1]]</f>
        <v>101930300030.00999</v>
      </c>
      <c r="O45" s="26">
        <f>Tabla135[[#This Row],[VALOR EJECUTADO 2023-1]]/Tabla135[[#This Row],[VALOR PROYECTADO 2023-1]]</f>
        <v>0</v>
      </c>
      <c r="P45" s="6">
        <f>VLOOKUP(Tabla135[[#This Row],[NOMBRE IES]],'[1]INFORMACIÓN IES'!$B:$M,12,0)</f>
        <v>102478431000</v>
      </c>
      <c r="Q45" s="6">
        <f>VLOOKUP(Tabla135[[#This Row],[NOMBRE IES]],'[1]INFORMACIÓN IES'!$B:$N,13,0)</f>
        <v>81982744800</v>
      </c>
      <c r="R45" s="7">
        <f>+Tabla135[[#This Row],[VALOR PROYECTADO 2023-2]]-Tabla135[[#This Row],[VALOR DESEMBOLSADO 2023-2 
80%3]]</f>
        <v>20495686200</v>
      </c>
      <c r="S45" s="41" t="s">
        <v>46</v>
      </c>
      <c r="T45" s="8" t="s">
        <v>2</v>
      </c>
      <c r="U45" s="7"/>
      <c r="V45" s="7"/>
      <c r="W45" s="7"/>
      <c r="X45" s="9">
        <f>Tabla135[[#This Row],[VALOR PROYECTADO 2023-2]]-Tabla135[[#This Row],[VALOR EJECUTADO 2023-2]]</f>
        <v>102478431000</v>
      </c>
      <c r="Y45" s="1">
        <f>Tabla135[[#This Row],[VALOR EJECUTADO 2023-2]]/Tabla135[[#This Row],[VALOR PROYECTADO 2023-2]]</f>
        <v>0</v>
      </c>
    </row>
    <row r="46" spans="1:25" hidden="1" x14ac:dyDescent="0.25">
      <c r="A46" s="2">
        <v>18</v>
      </c>
      <c r="B46" s="2" t="s">
        <v>104</v>
      </c>
      <c r="C46" s="30">
        <v>388574919.61000001</v>
      </c>
      <c r="D46" s="13">
        <f>Tabla135[[#This Row],[VALOR PROYECTADO 2023-1]]*80%</f>
        <v>310859935.68800002</v>
      </c>
      <c r="E46" s="34">
        <v>0</v>
      </c>
      <c r="F46" s="8" t="s">
        <v>67</v>
      </c>
      <c r="G46" s="8" t="s">
        <v>51</v>
      </c>
      <c r="H46" s="8"/>
      <c r="I46" s="22"/>
      <c r="J46" s="8"/>
      <c r="K46" s="13">
        <f>Tabla135[[#This Row],[VALOR ESTIMADO  POR DESEMBOLSAR 2023-1 
(20%)]]</f>
        <v>0</v>
      </c>
      <c r="L46" s="13">
        <v>37113186</v>
      </c>
      <c r="M46" s="63">
        <v>273746750</v>
      </c>
      <c r="N46" s="25">
        <f>Tabla135[[#This Row],[VALOR PROYECTADO 2023-1]]-Tabla135[[#This Row],[VALOR EJECUTADO 2023-1]]</f>
        <v>114828169.61000001</v>
      </c>
      <c r="O46" s="26">
        <f>Tabla135[[#This Row],[VALOR EJECUTADO 2023-1]]/Tabla135[[#This Row],[VALOR PROYECTADO 2023-1]]</f>
        <v>0.70448898316636255</v>
      </c>
      <c r="P46" s="6">
        <f>VLOOKUP(Tabla135[[#This Row],[NOMBRE IES]],'[1]INFORMACIÓN IES'!$B:$M,12,0)</f>
        <v>308661155</v>
      </c>
      <c r="Q46" s="6">
        <f>VLOOKUP(Tabla135[[#This Row],[NOMBRE IES]],'[1]INFORMACIÓN IES'!$B:$N,13,0)</f>
        <v>246928924</v>
      </c>
      <c r="R46" s="7">
        <f>+Tabla135[[#This Row],[VALOR PROYECTADO 2023-2]]-Tabla135[[#This Row],[VALOR DESEMBOLSADO 2023-2 
80%3]]</f>
        <v>61732231</v>
      </c>
      <c r="S46" s="40" t="s">
        <v>44</v>
      </c>
      <c r="T46" s="8" t="s">
        <v>2</v>
      </c>
      <c r="U46" s="7"/>
      <c r="V46" s="7"/>
      <c r="W46" s="7"/>
      <c r="X46" s="9">
        <f>Tabla135[[#This Row],[VALOR PROYECTADO 2023-2]]-Tabla135[[#This Row],[VALOR EJECUTADO 2023-2]]</f>
        <v>308661155</v>
      </c>
      <c r="Y46" s="1">
        <f>Tabla135[[#This Row],[VALOR EJECUTADO 2023-2]]/Tabla135[[#This Row],[VALOR PROYECTADO 2023-2]]</f>
        <v>0</v>
      </c>
    </row>
    <row r="47" spans="1:25" ht="34.5" hidden="1" x14ac:dyDescent="0.25">
      <c r="A47" s="2">
        <v>19</v>
      </c>
      <c r="B47" s="2" t="s">
        <v>106</v>
      </c>
      <c r="C47" s="12">
        <v>9667792103.6499996</v>
      </c>
      <c r="D47" s="13">
        <f>Tabla135[[#This Row],[VALOR PROYECTADO 2023-1]]*80%</f>
        <v>7734233682.9200001</v>
      </c>
      <c r="E47" s="15">
        <v>1187693216</v>
      </c>
      <c r="F47" s="8" t="s">
        <v>110</v>
      </c>
      <c r="G47" s="8" t="s">
        <v>44</v>
      </c>
      <c r="H47" s="8"/>
      <c r="I47" s="22" t="s">
        <v>668</v>
      </c>
      <c r="J47" s="18"/>
      <c r="K47" s="13">
        <f>Tabla135[[#This Row],[VALOR ESTIMADO  POR DESEMBOLSAR 2023-1 
(20%)]]</f>
        <v>1187693216</v>
      </c>
      <c r="M47" s="16"/>
      <c r="N47" s="25">
        <f>Tabla135[[#This Row],[VALOR PROYECTADO 2023-1]]-Tabla135[[#This Row],[VALOR EJECUTADO 2023-1]]</f>
        <v>9667792103.6499996</v>
      </c>
      <c r="O47" s="26">
        <f>Tabla135[[#This Row],[VALOR EJECUTADO 2023-1]]/Tabla135[[#This Row],[VALOR PROYECTADO 2023-1]]</f>
        <v>0</v>
      </c>
      <c r="P47" s="6">
        <f>VLOOKUP(Tabla135[[#This Row],[NOMBRE IES]],'[1]INFORMACIÓN IES'!$B:$M,12,0)</f>
        <v>9889888689</v>
      </c>
      <c r="Q47" s="6">
        <f>VLOOKUP(Tabla135[[#This Row],[NOMBRE IES]],'[1]INFORMACIÓN IES'!$B:$N,13,0)</f>
        <v>7911910951</v>
      </c>
      <c r="R47" s="7">
        <f>+Tabla135[[#This Row],[VALOR PROYECTADO 2023-2]]-Tabla135[[#This Row],[VALOR DESEMBOLSADO 2023-2 
80%3]]</f>
        <v>1977977738</v>
      </c>
      <c r="S47" s="41" t="s">
        <v>46</v>
      </c>
      <c r="T47" s="8" t="s">
        <v>2</v>
      </c>
      <c r="U47" s="7"/>
      <c r="V47" s="7"/>
      <c r="W47" s="7"/>
      <c r="X47" s="9">
        <f>Tabla135[[#This Row],[VALOR PROYECTADO 2023-2]]-Tabla135[[#This Row],[VALOR EJECUTADO 2023-2]]</f>
        <v>9889888689</v>
      </c>
      <c r="Y47" s="1">
        <f>Tabla135[[#This Row],[VALOR EJECUTADO 2023-2]]/Tabla135[[#This Row],[VALOR PROYECTADO 2023-2]]</f>
        <v>0</v>
      </c>
    </row>
    <row r="48" spans="1:25" x14ac:dyDescent="0.25">
      <c r="A48" s="2">
        <v>20</v>
      </c>
      <c r="B48" s="2" t="s">
        <v>107</v>
      </c>
      <c r="C48" s="30">
        <v>19144987659</v>
      </c>
      <c r="D48" s="13">
        <f>Tabla135[[#This Row],[VALOR PROYECTADO 2023-1]]*80%</f>
        <v>15315990127.200001</v>
      </c>
      <c r="E48" s="13">
        <v>2342492673</v>
      </c>
      <c r="F48" s="8" t="s">
        <v>67</v>
      </c>
      <c r="G48" s="8" t="s">
        <v>51</v>
      </c>
      <c r="H48" s="8"/>
      <c r="I48" s="22"/>
      <c r="J48" s="8"/>
      <c r="K48" s="13">
        <f>Tabla135[[#This Row],[VALOR ESTIMADO  POR DESEMBOLSAR 2023-1 
(20%)]]</f>
        <v>2342492673</v>
      </c>
      <c r="L48" s="1" t="s">
        <v>56</v>
      </c>
      <c r="M48" s="63">
        <v>17658482800</v>
      </c>
      <c r="N48" s="25">
        <f>Tabla135[[#This Row],[VALOR PROYECTADO 2023-1]]-Tabla135[[#This Row],[VALOR EJECUTADO 2023-1]]</f>
        <v>1486504859</v>
      </c>
      <c r="O48" s="26">
        <f>Tabla135[[#This Row],[VALOR EJECUTADO 2023-1]]/Tabla135[[#This Row],[VALOR PROYECTADO 2023-1]]</f>
        <v>0.9223554026005758</v>
      </c>
      <c r="P48" s="6">
        <f>VLOOKUP(Tabla135[[#This Row],[NOMBRE IES]],'[1]INFORMACIÓN IES'!$B:$M,12,0)</f>
        <v>19592826880</v>
      </c>
      <c r="Q48" s="6">
        <f>VLOOKUP(Tabla135[[#This Row],[NOMBRE IES]],'[1]INFORMACIÓN IES'!$B:$N,13,0)</f>
        <v>15674261504</v>
      </c>
      <c r="R48" s="7">
        <f>+Tabla135[[#This Row],[VALOR PROYECTADO 2023-2]]-Tabla135[[#This Row],[VALOR DESEMBOLSADO 2023-2 
80%3]]</f>
        <v>3918565376</v>
      </c>
      <c r="S48" s="40" t="s">
        <v>44</v>
      </c>
      <c r="T48" s="8" t="s">
        <v>2</v>
      </c>
      <c r="U48" s="7"/>
      <c r="V48" s="7"/>
      <c r="W48" s="7"/>
      <c r="X48" s="9">
        <f>Tabla135[[#This Row],[VALOR PROYECTADO 2023-2]]-Tabla135[[#This Row],[VALOR EJECUTADO 2023-2]]</f>
        <v>19592826880</v>
      </c>
      <c r="Y48" s="1">
        <f>Tabla135[[#This Row],[VALOR EJECUTADO 2023-2]]/Tabla135[[#This Row],[VALOR PROYECTADO 2023-2]]</f>
        <v>0</v>
      </c>
    </row>
    <row r="49" spans="1:25" x14ac:dyDescent="0.25">
      <c r="A49" s="2">
        <v>21</v>
      </c>
      <c r="B49" s="2" t="s">
        <v>108</v>
      </c>
      <c r="C49" s="30">
        <v>915696592</v>
      </c>
      <c r="D49" s="13">
        <f>Tabla135[[#This Row],[VALOR PROYECTADO 2023-1]]*80%</f>
        <v>732557273.60000002</v>
      </c>
      <c r="E49" s="13">
        <v>234766726</v>
      </c>
      <c r="F49" s="8" t="s">
        <v>67</v>
      </c>
      <c r="G49" s="8" t="s">
        <v>51</v>
      </c>
      <c r="H49" s="8"/>
      <c r="I49" s="22"/>
      <c r="J49" s="8"/>
      <c r="K49" s="13">
        <f>Tabla135[[#This Row],[VALOR ESTIMADO  POR DESEMBOLSAR 2023-1 
(20%)]]</f>
        <v>234766726</v>
      </c>
      <c r="L49" s="13" t="s">
        <v>56</v>
      </c>
      <c r="M49" s="63">
        <v>967324000</v>
      </c>
      <c r="N49" s="24">
        <f>Tabla135[[#This Row],[VALOR PROYECTADO 2023-1]]-Tabla135[[#This Row],[VALOR EJECUTADO 2023-1]]</f>
        <v>-51627408</v>
      </c>
      <c r="O49" s="26">
        <f>Tabla135[[#This Row],[VALOR EJECUTADO 2023-1]]/Tabla135[[#This Row],[VALOR PROYECTADO 2023-1]]</f>
        <v>1.0563804741123248</v>
      </c>
      <c r="P49" s="6">
        <f>VLOOKUP(Tabla135[[#This Row],[NOMBRE IES]],'[1]INFORMACIÓN IES'!$B:$M,12,0)</f>
        <v>997449200</v>
      </c>
      <c r="Q49" s="6">
        <f>VLOOKUP(Tabla135[[#This Row],[NOMBRE IES]],'[1]INFORMACIÓN IES'!$B:$N,13,0)</f>
        <v>797959360</v>
      </c>
      <c r="R49" s="7">
        <f>+Tabla135[[#This Row],[VALOR PROYECTADO 2023-2]]-Tabla135[[#This Row],[VALOR DESEMBOLSADO 2023-2 
80%3]]</f>
        <v>199489840</v>
      </c>
      <c r="S49" s="40" t="s">
        <v>44</v>
      </c>
      <c r="T49" s="8" t="s">
        <v>2</v>
      </c>
      <c r="U49" s="7"/>
      <c r="V49" s="7"/>
      <c r="W49" s="7"/>
      <c r="X49" s="9">
        <f>Tabla135[[#This Row],[VALOR PROYECTADO 2023-2]]-Tabla135[[#This Row],[VALOR EJECUTADO 2023-2]]</f>
        <v>997449200</v>
      </c>
      <c r="Y49" s="1">
        <f>Tabla135[[#This Row],[VALOR EJECUTADO 2023-2]]/Tabla135[[#This Row],[VALOR PROYECTADO 2023-2]]</f>
        <v>0</v>
      </c>
    </row>
    <row r="50" spans="1:25" x14ac:dyDescent="0.25">
      <c r="A50" s="2">
        <v>22</v>
      </c>
      <c r="B50" s="2" t="s">
        <v>109</v>
      </c>
      <c r="C50" s="30">
        <v>798310318</v>
      </c>
      <c r="D50" s="13">
        <f>Tabla135[[#This Row],[VALOR PROYECTADO 2023-1]]*80%</f>
        <v>638648254.39999998</v>
      </c>
      <c r="E50" s="13">
        <v>322839149</v>
      </c>
      <c r="F50" s="8" t="s">
        <v>67</v>
      </c>
      <c r="G50" s="8" t="s">
        <v>51</v>
      </c>
      <c r="H50" s="8" t="s">
        <v>45</v>
      </c>
      <c r="I50" s="22"/>
      <c r="J50" s="8"/>
      <c r="K50" s="13">
        <f>Tabla135[[#This Row],[VALOR ESTIMADO  POR DESEMBOLSAR 2023-1 
(20%)]]</f>
        <v>322839149</v>
      </c>
      <c r="L50" s="1" t="s">
        <v>56</v>
      </c>
      <c r="M50" s="63">
        <v>961487404</v>
      </c>
      <c r="N50" s="24">
        <f>Tabla135[[#This Row],[VALOR PROYECTADO 2023-1]]-Tabla135[[#This Row],[VALOR EJECUTADO 2023-1]]</f>
        <v>-163177086</v>
      </c>
      <c r="O50" s="26">
        <f>Tabla135[[#This Row],[VALOR EJECUTADO 2023-1]]/Tabla135[[#This Row],[VALOR PROYECTADO 2023-1]]</f>
        <v>1.2044030777515267</v>
      </c>
      <c r="P50" s="6">
        <f>VLOOKUP(Tabla135[[#This Row],[NOMBRE IES]],'[1]INFORMACIÓN IES'!$B:$M,12,0)</f>
        <v>1093350394</v>
      </c>
      <c r="Q50" s="6">
        <f>VLOOKUP(Tabla135[[#This Row],[NOMBRE IES]],'[1]INFORMACIÓN IES'!$B:$N,13,0)</f>
        <v>874680315</v>
      </c>
      <c r="R50" s="7">
        <f>+Tabla135[[#This Row],[VALOR PROYECTADO 2023-2]]-Tabla135[[#This Row],[VALOR DESEMBOLSADO 2023-2 
80%3]]</f>
        <v>218670079</v>
      </c>
      <c r="S50" s="40" t="s">
        <v>44</v>
      </c>
      <c r="T50" s="8" t="s">
        <v>2</v>
      </c>
      <c r="U50" s="7"/>
      <c r="V50" s="7"/>
      <c r="W50" s="7"/>
      <c r="X50" s="9">
        <f>Tabla135[[#This Row],[VALOR PROYECTADO 2023-2]]-Tabla135[[#This Row],[VALOR EJECUTADO 2023-2]]</f>
        <v>1093350394</v>
      </c>
      <c r="Y50" s="1">
        <f>Tabla135[[#This Row],[VALOR EJECUTADO 2023-2]]/Tabla135[[#This Row],[VALOR PROYECTADO 2023-2]]</f>
        <v>0</v>
      </c>
    </row>
    <row r="51" spans="1:25" hidden="1" x14ac:dyDescent="0.25">
      <c r="A51" s="2">
        <v>23</v>
      </c>
      <c r="B51" s="37" t="s">
        <v>111</v>
      </c>
      <c r="C51" s="12">
        <v>10545864097</v>
      </c>
      <c r="D51" s="13">
        <f>Tabla135[[#This Row],[VALOR PROYECTADO 2023-1]]*80%</f>
        <v>8436691277.6000004</v>
      </c>
      <c r="E51" s="34">
        <v>0</v>
      </c>
      <c r="F51" s="8" t="s">
        <v>2</v>
      </c>
      <c r="G51" s="8" t="s">
        <v>44</v>
      </c>
      <c r="H51" s="8"/>
      <c r="I51" s="22"/>
      <c r="J51" s="18"/>
      <c r="K51" s="13">
        <v>0</v>
      </c>
      <c r="L51" s="44">
        <f>Tabla135[[#This Row],[VALOR EJECUTADO 2023-1]]-Tabla135[[#This Row],[VALOR DESEMBOLSADO 2023-1 
80% (Concepto técnico)]]</f>
        <v>-1448571350.6000004</v>
      </c>
      <c r="M51" s="42">
        <v>6988119927</v>
      </c>
      <c r="N51" s="25">
        <f>Tabla135[[#This Row],[VALOR PROYECTADO 2023-1]]-Tabla135[[#This Row],[VALOR EJECUTADO 2023-1]]</f>
        <v>3557744170</v>
      </c>
      <c r="O51" s="26">
        <f>Tabla135[[#This Row],[VALOR EJECUTADO 2023-1]]/Tabla135[[#This Row],[VALOR PROYECTADO 2023-1]]</f>
        <v>0.66264080996339814</v>
      </c>
      <c r="P51" s="6">
        <f>VLOOKUP(Tabla135[[#This Row],[NOMBRE IES]],'[1]INFORMACIÓN IES'!$B:$M,12,0)</f>
        <v>7604789479</v>
      </c>
      <c r="Q51" s="6">
        <f>VLOOKUP(Tabla135[[#This Row],[NOMBRE IES]],'[1]INFORMACIÓN IES'!$B:$N,13,0)</f>
        <v>6083831583</v>
      </c>
      <c r="R51" s="7">
        <f>+Tabla135[[#This Row],[VALOR PROYECTADO 2023-2]]-Tabla135[[#This Row],[VALOR DESEMBOLSADO 2023-2 
80%3]]</f>
        <v>1520957896</v>
      </c>
      <c r="S51" s="41" t="s">
        <v>46</v>
      </c>
      <c r="T51" s="8" t="s">
        <v>2</v>
      </c>
      <c r="U51" s="7"/>
      <c r="V51" s="7"/>
      <c r="W51" s="7"/>
      <c r="X51" s="9">
        <f>Tabla135[[#This Row],[VALOR PROYECTADO 2023-2]]-Tabla135[[#This Row],[VALOR EJECUTADO 2023-2]]</f>
        <v>7604789479</v>
      </c>
      <c r="Y51" s="1">
        <f>Tabla135[[#This Row],[VALOR EJECUTADO 2023-2]]/Tabla135[[#This Row],[VALOR PROYECTADO 2023-2]]</f>
        <v>0</v>
      </c>
    </row>
    <row r="52" spans="1:25" x14ac:dyDescent="0.25">
      <c r="A52" s="2">
        <v>24</v>
      </c>
      <c r="B52" s="2" t="s">
        <v>112</v>
      </c>
      <c r="C52" s="30">
        <v>290218743</v>
      </c>
      <c r="D52" s="13">
        <f>Tabla135[[#This Row],[VALOR PROYECTADO 2023-1]]*80%</f>
        <v>232174994.40000001</v>
      </c>
      <c r="E52" s="13">
        <v>294972606</v>
      </c>
      <c r="F52" s="8" t="s">
        <v>67</v>
      </c>
      <c r="G52" s="8" t="s">
        <v>51</v>
      </c>
      <c r="H52" s="8" t="s">
        <v>45</v>
      </c>
      <c r="I52" s="22"/>
      <c r="J52" s="8"/>
      <c r="K52" s="13">
        <f>Tabla135[[#This Row],[VALOR ESTIMADO  POR DESEMBOLSAR 2023-1 
(20%)]]</f>
        <v>294972606</v>
      </c>
      <c r="L52" s="1" t="s">
        <v>56</v>
      </c>
      <c r="M52" s="63">
        <v>527147600</v>
      </c>
      <c r="N52" s="24">
        <f>Tabla135[[#This Row],[VALOR PROYECTADO 2023-1]]-Tabla135[[#This Row],[VALOR EJECUTADO 2023-1]]</f>
        <v>-236928857</v>
      </c>
      <c r="O52" s="26">
        <f>Tabla135[[#This Row],[VALOR EJECUTADO 2023-1]]/Tabla135[[#This Row],[VALOR PROYECTADO 2023-1]]</f>
        <v>1.8163802742402477</v>
      </c>
      <c r="P52" s="6">
        <f>VLOOKUP(Tabla135[[#This Row],[NOMBRE IES]],'[1]INFORMACIÓN IES'!$B:$M,12,0)</f>
        <v>571032440</v>
      </c>
      <c r="Q52" s="6">
        <f>VLOOKUP(Tabla135[[#This Row],[NOMBRE IES]],'[1]INFORMACIÓN IES'!$B:$N,13,0)</f>
        <v>456825952</v>
      </c>
      <c r="R52" s="7">
        <f>+Tabla135[[#This Row],[VALOR PROYECTADO 2023-2]]-Tabla135[[#This Row],[VALOR DESEMBOLSADO 2023-2 
80%3]]</f>
        <v>114206488</v>
      </c>
      <c r="S52" s="40" t="s">
        <v>44</v>
      </c>
      <c r="T52" s="8" t="s">
        <v>2</v>
      </c>
      <c r="U52" s="7"/>
      <c r="V52" s="7"/>
      <c r="W52" s="7"/>
      <c r="X52" s="9">
        <f>Tabla135[[#This Row],[VALOR PROYECTADO 2023-2]]-Tabla135[[#This Row],[VALOR EJECUTADO 2023-2]]</f>
        <v>571032440</v>
      </c>
      <c r="Y52" s="1">
        <f>Tabla135[[#This Row],[VALOR EJECUTADO 2023-2]]/Tabla135[[#This Row],[VALOR PROYECTADO 2023-2]]</f>
        <v>0</v>
      </c>
    </row>
    <row r="53" spans="1:25" x14ac:dyDescent="0.25">
      <c r="A53" s="2">
        <v>25</v>
      </c>
      <c r="B53" s="2" t="s">
        <v>113</v>
      </c>
      <c r="C53" s="30">
        <v>10119051546</v>
      </c>
      <c r="D53" s="13">
        <f>Tabla135[[#This Row],[VALOR PROYECTADO 2023-1]]*80%</f>
        <v>8095241236.8000002</v>
      </c>
      <c r="E53" s="13">
        <v>2460003331</v>
      </c>
      <c r="F53" s="8" t="s">
        <v>67</v>
      </c>
      <c r="G53" s="8" t="s">
        <v>51</v>
      </c>
      <c r="H53" s="8"/>
      <c r="I53" s="22"/>
      <c r="J53" s="8"/>
      <c r="K53" s="13">
        <v>2460003331</v>
      </c>
      <c r="L53" s="1" t="s">
        <v>56</v>
      </c>
      <c r="M53" s="63">
        <v>10555244568</v>
      </c>
      <c r="N53" s="25">
        <f>Tabla135[[#This Row],[VALOR PROYECTADO 2023-1]]-Tabla135[[#This Row],[VALOR EJECUTADO 2023-1]]</f>
        <v>-436193022</v>
      </c>
      <c r="O53" s="26">
        <f>Tabla135[[#This Row],[VALOR EJECUTADO 2023-1]]/Tabla135[[#This Row],[VALOR PROYECTADO 2023-1]]</f>
        <v>1.0431061172104044</v>
      </c>
      <c r="P53" s="6">
        <f>VLOOKUP(Tabla135[[#This Row],[NOMBRE IES]],'[1]INFORMACIÓN IES'!$B:$M,12,0)</f>
        <v>11068007613</v>
      </c>
      <c r="Q53" s="6">
        <f>VLOOKUP(Tabla135[[#This Row],[NOMBRE IES]],'[1]INFORMACIÓN IES'!$B:$N,13,0)</f>
        <v>8854406090</v>
      </c>
      <c r="R53" s="7">
        <f>+Tabla135[[#This Row],[VALOR PROYECTADO 2023-2]]-Tabla135[[#This Row],[VALOR DESEMBOLSADO 2023-2 
80%3]]</f>
        <v>2213601523</v>
      </c>
      <c r="S53" s="40" t="s">
        <v>44</v>
      </c>
      <c r="T53" s="8" t="s">
        <v>2</v>
      </c>
      <c r="U53" s="7"/>
      <c r="V53" s="7"/>
      <c r="W53" s="7"/>
      <c r="X53" s="9">
        <f>Tabla135[[#This Row],[VALOR PROYECTADO 2023-2]]-Tabla135[[#This Row],[VALOR EJECUTADO 2023-2]]</f>
        <v>11068007613</v>
      </c>
      <c r="Y53" s="1">
        <f>Tabla135[[#This Row],[VALOR EJECUTADO 2023-2]]/Tabla135[[#This Row],[VALOR PROYECTADO 2023-2]]</f>
        <v>0</v>
      </c>
    </row>
    <row r="54" spans="1:25" x14ac:dyDescent="0.25">
      <c r="A54" s="2">
        <v>26</v>
      </c>
      <c r="B54" s="2" t="s">
        <v>114</v>
      </c>
      <c r="C54" s="30">
        <v>1454065054</v>
      </c>
      <c r="D54" s="13">
        <f>Tabla135[[#This Row],[VALOR PROYECTADO 2023-1]]*80%</f>
        <v>1163252043.2</v>
      </c>
      <c r="E54" s="13">
        <v>245358290</v>
      </c>
      <c r="F54" s="8" t="s">
        <v>67</v>
      </c>
      <c r="G54" s="8" t="s">
        <v>51</v>
      </c>
      <c r="H54" s="8" t="s">
        <v>45</v>
      </c>
      <c r="I54" s="22"/>
      <c r="J54" s="8"/>
      <c r="K54" s="13">
        <f>Tabla135[[#This Row],[VALOR ESTIMADO  POR DESEMBOLSAR 2023-1 
(20%)]]</f>
        <v>245358290</v>
      </c>
      <c r="L54" s="1" t="s">
        <v>56</v>
      </c>
      <c r="M54" s="63">
        <v>1408610334</v>
      </c>
      <c r="N54" s="25">
        <f>Tabla135[[#This Row],[VALOR PROYECTADO 2023-1]]-Tabla135[[#This Row],[VALOR EJECUTADO 2023-1]]</f>
        <v>45454720</v>
      </c>
      <c r="O54" s="26">
        <f>Tabla135[[#This Row],[VALOR EJECUTADO 2023-1]]/Tabla135[[#This Row],[VALOR PROYECTADO 2023-1]]</f>
        <v>0.96873955544495194</v>
      </c>
      <c r="P54" s="6">
        <f>VLOOKUP(Tabla135[[#This Row],[NOMBRE IES]],'[1]INFORMACIÓN IES'!$B:$M,12,0)</f>
        <v>1396895922</v>
      </c>
      <c r="Q54" s="6">
        <f>VLOOKUP(Tabla135[[#This Row],[NOMBRE IES]],'[1]INFORMACIÓN IES'!$B:$N,13,0)</f>
        <v>1117516738</v>
      </c>
      <c r="R54" s="7">
        <f>+Tabla135[[#This Row],[VALOR PROYECTADO 2023-2]]-Tabla135[[#This Row],[VALOR DESEMBOLSADO 2023-2 
80%3]]</f>
        <v>279379184</v>
      </c>
      <c r="S54" s="40" t="s">
        <v>44</v>
      </c>
      <c r="T54" s="8" t="s">
        <v>2</v>
      </c>
      <c r="U54" s="7"/>
      <c r="V54" s="7"/>
      <c r="W54" s="7"/>
      <c r="X54" s="9">
        <f>Tabla135[[#This Row],[VALOR PROYECTADO 2023-2]]-Tabla135[[#This Row],[VALOR EJECUTADO 2023-2]]</f>
        <v>1396895922</v>
      </c>
      <c r="Y54" s="1">
        <f>Tabla135[[#This Row],[VALOR EJECUTADO 2023-2]]/Tabla135[[#This Row],[VALOR PROYECTADO 2023-2]]</f>
        <v>0</v>
      </c>
    </row>
    <row r="55" spans="1:25" ht="23.25" hidden="1" x14ac:dyDescent="0.25">
      <c r="A55" s="2">
        <v>27</v>
      </c>
      <c r="B55" s="2" t="s">
        <v>115</v>
      </c>
      <c r="C55" s="12">
        <v>59950373775.410004</v>
      </c>
      <c r="D55" s="13">
        <f>Tabla135[[#This Row],[VALOR PROYECTADO 2023-1]]*80%</f>
        <v>47960299020.328003</v>
      </c>
      <c r="E55" s="12">
        <v>10791854966</v>
      </c>
      <c r="F55" s="8" t="s">
        <v>110</v>
      </c>
      <c r="G55" s="8" t="s">
        <v>44</v>
      </c>
      <c r="H55" s="8"/>
      <c r="I55" s="22" t="s">
        <v>669</v>
      </c>
      <c r="J55" s="18"/>
      <c r="K55" s="13">
        <f>Tabla135[[#This Row],[VALOR ESTIMADO  POR DESEMBOLSAR 2023-1 
(20%)]]</f>
        <v>10791854966</v>
      </c>
      <c r="M55" s="16"/>
      <c r="N55" s="25">
        <f>Tabla135[[#This Row],[VALOR PROYECTADO 2023-1]]-Tabla135[[#This Row],[VALOR EJECUTADO 2023-1]]</f>
        <v>59950373775.410004</v>
      </c>
      <c r="O55" s="26">
        <f>Tabla135[[#This Row],[VALOR EJECUTADO 2023-1]]/Tabla135[[#This Row],[VALOR PROYECTADO 2023-1]]</f>
        <v>0</v>
      </c>
      <c r="P55" s="6">
        <f>VLOOKUP(Tabla135[[#This Row],[NOMBRE IES]],'[1]INFORMACIÓN IES'!$B:$M,12,0)</f>
        <v>61710372243</v>
      </c>
      <c r="Q55" s="6">
        <f>VLOOKUP(Tabla135[[#This Row],[NOMBRE IES]],'[1]INFORMACIÓN IES'!$B:$N,13,0)</f>
        <v>49368297794</v>
      </c>
      <c r="R55" s="7">
        <f>+Tabla135[[#This Row],[VALOR PROYECTADO 2023-2]]-Tabla135[[#This Row],[VALOR DESEMBOLSADO 2023-2 
80%3]]</f>
        <v>12342074449</v>
      </c>
      <c r="S55" s="41" t="s">
        <v>46</v>
      </c>
      <c r="T55" s="8" t="s">
        <v>2</v>
      </c>
      <c r="U55" s="7"/>
      <c r="V55" s="7"/>
      <c r="W55" s="7"/>
      <c r="X55" s="9">
        <f>Tabla135[[#This Row],[VALOR PROYECTADO 2023-2]]-Tabla135[[#This Row],[VALOR EJECUTADO 2023-2]]</f>
        <v>61710372243</v>
      </c>
      <c r="Y55" s="1">
        <f>Tabla135[[#This Row],[VALOR EJECUTADO 2023-2]]/Tabla135[[#This Row],[VALOR PROYECTADO 2023-2]]</f>
        <v>0</v>
      </c>
    </row>
    <row r="56" spans="1:25" x14ac:dyDescent="0.25">
      <c r="A56" s="2">
        <v>28</v>
      </c>
      <c r="B56" s="2" t="s">
        <v>116</v>
      </c>
      <c r="C56" s="30">
        <v>4065118662</v>
      </c>
      <c r="D56" s="13">
        <f>Tabla135[[#This Row],[VALOR PROYECTADO 2023-1]]*80%</f>
        <v>3252094929.6000004</v>
      </c>
      <c r="E56" s="12">
        <v>393612470</v>
      </c>
      <c r="F56" s="8" t="s">
        <v>67</v>
      </c>
      <c r="G56" s="8" t="s">
        <v>51</v>
      </c>
      <c r="H56" s="8"/>
      <c r="I56" s="22"/>
      <c r="J56" s="8"/>
      <c r="K56" s="13">
        <v>393612470</v>
      </c>
      <c r="L56" s="1" t="s">
        <v>56</v>
      </c>
      <c r="M56" s="63">
        <v>3645707400</v>
      </c>
      <c r="N56" s="24">
        <f>Tabla135[[#This Row],[VALOR PROYECTADO 2023-1]]-Tabla135[[#This Row],[VALOR EJECUTADO 2023-1]]</f>
        <v>419411262</v>
      </c>
      <c r="O56" s="26">
        <f>Tabla135[[#This Row],[VALOR EJECUTADO 2023-1]]/Tabla135[[#This Row],[VALOR PROYECTADO 2023-1]]</f>
        <v>0.89682680952942873</v>
      </c>
      <c r="P56" s="6">
        <f>VLOOKUP(Tabla135[[#This Row],[NOMBRE IES]],'[1]INFORMACIÓN IES'!$B:$M,12,0)</f>
        <v>4155767660</v>
      </c>
      <c r="Q56" s="6">
        <f>VLOOKUP(Tabla135[[#This Row],[NOMBRE IES]],'[1]INFORMACIÓN IES'!$B:$N,13,0)</f>
        <v>3324614128</v>
      </c>
      <c r="R56" s="7">
        <f>+Tabla135[[#This Row],[VALOR PROYECTADO 2023-2]]-Tabla135[[#This Row],[VALOR DESEMBOLSADO 2023-2 
80%3]]</f>
        <v>831153532</v>
      </c>
      <c r="S56" s="40" t="s">
        <v>44</v>
      </c>
      <c r="T56" s="8" t="s">
        <v>2</v>
      </c>
      <c r="U56" s="7"/>
      <c r="V56" s="7"/>
      <c r="W56" s="7"/>
      <c r="X56" s="9">
        <f>Tabla135[[#This Row],[VALOR PROYECTADO 2023-2]]-Tabla135[[#This Row],[VALOR EJECUTADO 2023-2]]</f>
        <v>4155767660</v>
      </c>
      <c r="Y56" s="1">
        <f>Tabla135[[#This Row],[VALOR EJECUTADO 2023-2]]/Tabla135[[#This Row],[VALOR PROYECTADO 2023-2]]</f>
        <v>0</v>
      </c>
    </row>
    <row r="57" spans="1:25" ht="23.25" hidden="1" x14ac:dyDescent="0.25">
      <c r="A57" s="2">
        <v>29</v>
      </c>
      <c r="B57" s="2" t="s">
        <v>117</v>
      </c>
      <c r="C57" s="12">
        <v>5084626107</v>
      </c>
      <c r="D57" s="12">
        <v>4067700886</v>
      </c>
      <c r="E57" s="12">
        <v>1016925221</v>
      </c>
      <c r="F57" s="8" t="s">
        <v>2</v>
      </c>
      <c r="G57" s="8" t="s">
        <v>44</v>
      </c>
      <c r="H57" s="8"/>
      <c r="I57" s="22" t="s">
        <v>670</v>
      </c>
      <c r="J57" s="14">
        <v>45230</v>
      </c>
      <c r="K57" s="45">
        <f>Tabla135[[#This Row],[VALOR EJECUTADO 2023-1]]-Tabla135[[#This Row],[VALOR DESEMBOLSADO 2023-1 
80% (Concepto técnico)]]</f>
        <v>905924639</v>
      </c>
      <c r="L57" s="12">
        <v>0</v>
      </c>
      <c r="M57" s="42">
        <v>4973625525</v>
      </c>
      <c r="N57" s="25">
        <f>Tabla135[[#This Row],[VALOR PROYECTADO 2023-1]]-Tabla135[[#This Row],[VALOR EJECUTADO 2023-1]]</f>
        <v>111000582</v>
      </c>
      <c r="O57" s="26">
        <f>Tabla135[[#This Row],[VALOR EJECUTADO 2023-1]]/Tabla135[[#This Row],[VALOR PROYECTADO 2023-1]]</f>
        <v>0.9781693718153267</v>
      </c>
      <c r="P57" s="6">
        <f>VLOOKUP(Tabla135[[#This Row],[NOMBRE IES]],'[1]INFORMACIÓN IES'!$B:$M,12,0)</f>
        <v>1961785304</v>
      </c>
      <c r="Q57" s="6">
        <f>VLOOKUP(Tabla135[[#This Row],[NOMBRE IES]],'[1]INFORMACIÓN IES'!$B:$N,13,0)</f>
        <v>1569428243</v>
      </c>
      <c r="R57" s="7">
        <f>+Tabla135[[#This Row],[VALOR PROYECTADO 2023-2]]-Tabla135[[#This Row],[VALOR DESEMBOLSADO 2023-2 
80%3]]</f>
        <v>392357061</v>
      </c>
      <c r="S57" s="41" t="s">
        <v>46</v>
      </c>
      <c r="T57" s="8" t="s">
        <v>2</v>
      </c>
      <c r="U57" s="7"/>
      <c r="V57" s="7"/>
      <c r="W57" s="7"/>
      <c r="X57" s="9">
        <f>Tabla135[[#This Row],[VALOR PROYECTADO 2023-2]]-Tabla135[[#This Row],[VALOR EJECUTADO 2023-2]]</f>
        <v>1961785304</v>
      </c>
      <c r="Y57" s="1">
        <f>Tabla135[[#This Row],[VALOR EJECUTADO 2023-2]]/Tabla135[[#This Row],[VALOR PROYECTADO 2023-2]]</f>
        <v>0</v>
      </c>
    </row>
    <row r="58" spans="1:25" x14ac:dyDescent="0.25">
      <c r="A58" s="2">
        <v>30</v>
      </c>
      <c r="B58" s="2" t="s">
        <v>119</v>
      </c>
      <c r="C58" s="30">
        <v>1083254533</v>
      </c>
      <c r="D58" s="30">
        <v>866603627</v>
      </c>
      <c r="E58" s="12">
        <v>216650907</v>
      </c>
      <c r="F58" s="8" t="s">
        <v>67</v>
      </c>
      <c r="G58" s="8" t="s">
        <v>51</v>
      </c>
      <c r="H58" s="8" t="s">
        <v>45</v>
      </c>
      <c r="I58" s="22" t="s">
        <v>250</v>
      </c>
      <c r="J58" s="8" t="s">
        <v>250</v>
      </c>
      <c r="K58" s="30">
        <v>759049373</v>
      </c>
      <c r="L58" s="30" t="s">
        <v>56</v>
      </c>
      <c r="M58" s="63">
        <v>1625653000</v>
      </c>
      <c r="N58" s="24">
        <f>Tabla135[[#This Row],[VALOR PROYECTADO 2023-1]]-Tabla135[[#This Row],[VALOR EJECUTADO 2023-1]]</f>
        <v>-542398467</v>
      </c>
      <c r="O58" s="26">
        <f>Tabla135[[#This Row],[VALOR EJECUTADO 2023-1]]/Tabla135[[#This Row],[VALOR PROYECTADO 2023-1]]</f>
        <v>1.5007119291694671</v>
      </c>
      <c r="P58" s="6">
        <f>VLOOKUP(Tabla135[[#This Row],[NOMBRE IES]],'[1]INFORMACIÓN IES'!$B:$M,12,0)</f>
        <v>1712328200</v>
      </c>
      <c r="Q58" s="6">
        <f>VLOOKUP(Tabla135[[#This Row],[NOMBRE IES]],'[1]INFORMACIÓN IES'!$B:$N,13,0)</f>
        <v>1369862560</v>
      </c>
      <c r="R58" s="7">
        <f>+Tabla135[[#This Row],[VALOR PROYECTADO 2023-2]]-Tabla135[[#This Row],[VALOR DESEMBOLSADO 2023-2 
80%3]]</f>
        <v>342465640</v>
      </c>
      <c r="S58" s="40" t="s">
        <v>44</v>
      </c>
      <c r="T58" s="8" t="s">
        <v>2</v>
      </c>
      <c r="U58" s="7"/>
      <c r="V58" s="7"/>
      <c r="W58" s="7"/>
      <c r="X58" s="9">
        <f>Tabla135[[#This Row],[VALOR PROYECTADO 2023-2]]-Tabla135[[#This Row],[VALOR EJECUTADO 2023-2]]</f>
        <v>1712328200</v>
      </c>
      <c r="Y58" s="1">
        <f>Tabla135[[#This Row],[VALOR EJECUTADO 2023-2]]/Tabla135[[#This Row],[VALOR PROYECTADO 2023-2]]</f>
        <v>0</v>
      </c>
    </row>
    <row r="59" spans="1:25" x14ac:dyDescent="0.25">
      <c r="A59" s="2">
        <v>31</v>
      </c>
      <c r="B59" s="2" t="s">
        <v>120</v>
      </c>
      <c r="C59" s="30">
        <v>1017512796</v>
      </c>
      <c r="D59" s="30">
        <v>814010237</v>
      </c>
      <c r="E59" s="12">
        <v>203502559</v>
      </c>
      <c r="F59" s="8" t="s">
        <v>67</v>
      </c>
      <c r="G59" s="8" t="s">
        <v>51</v>
      </c>
      <c r="H59" s="8" t="s">
        <v>45</v>
      </c>
      <c r="I59" s="22" t="s">
        <v>250</v>
      </c>
      <c r="J59" s="8" t="s">
        <v>250</v>
      </c>
      <c r="K59" s="30">
        <v>232793723</v>
      </c>
      <c r="L59" s="30" t="s">
        <v>56</v>
      </c>
      <c r="M59" s="63">
        <v>1046803960</v>
      </c>
      <c r="N59" s="24">
        <f>Tabla135[[#This Row],[VALOR PROYECTADO 2023-1]]-Tabla135[[#This Row],[VALOR EJECUTADO 2023-1]]</f>
        <v>-29291164</v>
      </c>
      <c r="O59" s="26">
        <f>Tabla135[[#This Row],[VALOR EJECUTADO 2023-1]]/Tabla135[[#This Row],[VALOR PROYECTADO 2023-1]]</f>
        <v>1.0287870227432501</v>
      </c>
      <c r="P59" s="6">
        <f>VLOOKUP(Tabla135[[#This Row],[NOMBRE IES]],'[1]INFORMACIÓN IES'!$B:$M,12,0)</f>
        <v>1096614530</v>
      </c>
      <c r="Q59" s="6">
        <f>VLOOKUP(Tabla135[[#This Row],[NOMBRE IES]],'[1]INFORMACIÓN IES'!$B:$N,13,0)</f>
        <v>877291624</v>
      </c>
      <c r="R59" s="7">
        <f>+Tabla135[[#This Row],[VALOR PROYECTADO 2023-2]]-Tabla135[[#This Row],[VALOR DESEMBOLSADO 2023-2 
80%3]]</f>
        <v>219322906</v>
      </c>
      <c r="S59" s="40" t="s">
        <v>44</v>
      </c>
      <c r="T59" s="8" t="s">
        <v>2</v>
      </c>
      <c r="U59" s="7"/>
      <c r="V59" s="7"/>
      <c r="W59" s="7"/>
      <c r="X59" s="9">
        <f>Tabla135[[#This Row],[VALOR PROYECTADO 2023-2]]-Tabla135[[#This Row],[VALOR EJECUTADO 2023-2]]</f>
        <v>1096614530</v>
      </c>
      <c r="Y59" s="1">
        <f>Tabla135[[#This Row],[VALOR EJECUTADO 2023-2]]/Tabla135[[#This Row],[VALOR PROYECTADO 2023-2]]</f>
        <v>0</v>
      </c>
    </row>
    <row r="60" spans="1:25" hidden="1" x14ac:dyDescent="0.25">
      <c r="A60" s="2">
        <v>32</v>
      </c>
      <c r="B60" s="2" t="s">
        <v>121</v>
      </c>
      <c r="C60" s="30">
        <v>9073014654</v>
      </c>
      <c r="D60" s="30">
        <v>7258411723</v>
      </c>
      <c r="E60" s="35">
        <v>0</v>
      </c>
      <c r="F60" s="8" t="s">
        <v>67</v>
      </c>
      <c r="G60" s="8" t="s">
        <v>51</v>
      </c>
      <c r="H60" s="8" t="s">
        <v>45</v>
      </c>
      <c r="I60" s="22" t="s">
        <v>250</v>
      </c>
      <c r="J60" s="8" t="s">
        <v>250</v>
      </c>
      <c r="K60" s="30">
        <v>0</v>
      </c>
      <c r="L60" s="30">
        <v>-286491517</v>
      </c>
      <c r="M60" s="63">
        <v>6971920206</v>
      </c>
      <c r="N60" s="25">
        <f>Tabla135[[#This Row],[VALOR PROYECTADO 2023-1]]-Tabla135[[#This Row],[VALOR EJECUTADO 2023-1]]</f>
        <v>2101094448</v>
      </c>
      <c r="O60" s="26">
        <f>Tabla135[[#This Row],[VALOR EJECUTADO 2023-1]]/Tabla135[[#This Row],[VALOR PROYECTADO 2023-1]]</f>
        <v>0.76842377885131097</v>
      </c>
      <c r="P60" s="6">
        <f>VLOOKUP(Tabla135[[#This Row],[NOMBRE IES]],'[1]INFORMACIÓN IES'!$B:$M,12,0)</f>
        <v>7436991659</v>
      </c>
      <c r="Q60" s="6">
        <f>VLOOKUP(Tabla135[[#This Row],[NOMBRE IES]],'[1]INFORMACIÓN IES'!$B:$N,13,0)</f>
        <v>5949593327</v>
      </c>
      <c r="R60" s="7">
        <f>+Tabla135[[#This Row],[VALOR PROYECTADO 2023-2]]-Tabla135[[#This Row],[VALOR DESEMBOLSADO 2023-2 
80%3]]</f>
        <v>1487398332</v>
      </c>
      <c r="S60" s="40" t="s">
        <v>44</v>
      </c>
      <c r="T60" s="8" t="s">
        <v>2</v>
      </c>
      <c r="U60" s="7"/>
      <c r="V60" s="7"/>
      <c r="W60" s="7"/>
      <c r="X60" s="9">
        <f>Tabla135[[#This Row],[VALOR PROYECTADO 2023-2]]-Tabla135[[#This Row],[VALOR EJECUTADO 2023-2]]</f>
        <v>7436991659</v>
      </c>
      <c r="Y60" s="1">
        <f>Tabla135[[#This Row],[VALOR EJECUTADO 2023-2]]/Tabla135[[#This Row],[VALOR PROYECTADO 2023-2]]</f>
        <v>0</v>
      </c>
    </row>
    <row r="61" spans="1:25" x14ac:dyDescent="0.25">
      <c r="A61" s="2">
        <v>33</v>
      </c>
      <c r="B61" s="2" t="s">
        <v>122</v>
      </c>
      <c r="C61" s="30">
        <v>3807861536</v>
      </c>
      <c r="D61" s="30">
        <v>3046289229</v>
      </c>
      <c r="E61" s="12">
        <v>761572307</v>
      </c>
      <c r="F61" s="8" t="s">
        <v>67</v>
      </c>
      <c r="G61" s="8" t="s">
        <v>51</v>
      </c>
      <c r="H61" s="8" t="s">
        <v>45</v>
      </c>
      <c r="I61" s="22" t="s">
        <v>250</v>
      </c>
      <c r="J61" s="8" t="s">
        <v>250</v>
      </c>
      <c r="K61" s="30">
        <v>628938771</v>
      </c>
      <c r="L61" s="30" t="s">
        <v>56</v>
      </c>
      <c r="M61" s="63">
        <v>3675228000</v>
      </c>
      <c r="N61" s="25">
        <f>Tabla135[[#This Row],[VALOR PROYECTADO 2023-1]]-Tabla135[[#This Row],[VALOR EJECUTADO 2023-1]]</f>
        <v>132633536</v>
      </c>
      <c r="O61" s="26">
        <f>Tabla135[[#This Row],[VALOR EJECUTADO 2023-1]]/Tabla135[[#This Row],[VALOR PROYECTADO 2023-1]]</f>
        <v>0.9651684981856441</v>
      </c>
      <c r="P61" s="6">
        <f>VLOOKUP(Tabla135[[#This Row],[NOMBRE IES]],'[1]INFORMACIÓN IES'!$B:$M,12,0)</f>
        <v>4011692960</v>
      </c>
      <c r="Q61" s="6">
        <f>VLOOKUP(Tabla135[[#This Row],[NOMBRE IES]],'[1]INFORMACIÓN IES'!$B:$N,13,0)</f>
        <v>3209354368</v>
      </c>
      <c r="R61" s="7">
        <f>+Tabla135[[#This Row],[VALOR PROYECTADO 2023-2]]-Tabla135[[#This Row],[VALOR DESEMBOLSADO 2023-2 
80%3]]</f>
        <v>802338592</v>
      </c>
      <c r="S61" s="40" t="s">
        <v>44</v>
      </c>
      <c r="T61" s="8" t="s">
        <v>2</v>
      </c>
      <c r="U61" s="7"/>
      <c r="V61" s="7"/>
      <c r="W61" s="7"/>
      <c r="X61" s="9">
        <f>Tabla135[[#This Row],[VALOR PROYECTADO 2023-2]]-Tabla135[[#This Row],[VALOR EJECUTADO 2023-2]]</f>
        <v>4011692960</v>
      </c>
      <c r="Y61" s="1">
        <f>Tabla135[[#This Row],[VALOR EJECUTADO 2023-2]]/Tabla135[[#This Row],[VALOR PROYECTADO 2023-2]]</f>
        <v>0</v>
      </c>
    </row>
    <row r="62" spans="1:25" hidden="1" x14ac:dyDescent="0.25">
      <c r="A62" s="2">
        <v>34</v>
      </c>
      <c r="B62" s="2" t="s">
        <v>123</v>
      </c>
      <c r="C62" s="12">
        <v>1060426553</v>
      </c>
      <c r="D62" s="12">
        <v>848341242</v>
      </c>
      <c r="E62" s="12">
        <v>212085311</v>
      </c>
      <c r="F62" s="8" t="s">
        <v>2</v>
      </c>
      <c r="G62" s="8" t="s">
        <v>44</v>
      </c>
      <c r="H62" s="8"/>
      <c r="I62" s="22" t="s">
        <v>251</v>
      </c>
      <c r="J62" s="14">
        <v>45245</v>
      </c>
      <c r="K62" s="45">
        <f>Tabla135[[#This Row],[VALOR EJECUTADO 2023-1]]-Tabla135[[#This Row],[VALOR DESEMBOLSADO 2023-1 
80% (Concepto técnico)]]</f>
        <v>110448428</v>
      </c>
      <c r="L62" s="12">
        <v>0</v>
      </c>
      <c r="M62" s="42">
        <v>958789670</v>
      </c>
      <c r="N62" s="25">
        <f>Tabla135[[#This Row],[VALOR PROYECTADO 2023-1]]-Tabla135[[#This Row],[VALOR EJECUTADO 2023-1]]</f>
        <v>101636883</v>
      </c>
      <c r="O62" s="26">
        <f>Tabla135[[#This Row],[VALOR EJECUTADO 2023-1]]/Tabla135[[#This Row],[VALOR PROYECTADO 2023-1]]</f>
        <v>0.90415471706883976</v>
      </c>
      <c r="P62" s="6">
        <f>VLOOKUP(Tabla135[[#This Row],[NOMBRE IES]],'[1]INFORMACIÓN IES'!$B:$M,12,0)</f>
        <v>1058928816</v>
      </c>
      <c r="Q62" s="6">
        <f>VLOOKUP(Tabla135[[#This Row],[NOMBRE IES]],'[1]INFORMACIÓN IES'!$B:$N,13,0)</f>
        <v>847143053</v>
      </c>
      <c r="R62" s="7">
        <f>+Tabla135[[#This Row],[VALOR PROYECTADO 2023-2]]-Tabla135[[#This Row],[VALOR DESEMBOLSADO 2023-2 
80%3]]</f>
        <v>211785763</v>
      </c>
      <c r="S62" s="41" t="s">
        <v>46</v>
      </c>
      <c r="T62" s="8" t="s">
        <v>2</v>
      </c>
      <c r="U62" s="7"/>
      <c r="V62" s="7"/>
      <c r="W62" s="7"/>
      <c r="X62" s="9">
        <f>Tabla135[[#This Row],[VALOR PROYECTADO 2023-2]]-Tabla135[[#This Row],[VALOR EJECUTADO 2023-2]]</f>
        <v>1058928816</v>
      </c>
      <c r="Y62" s="1">
        <f>Tabla135[[#This Row],[VALOR EJECUTADO 2023-2]]/Tabla135[[#This Row],[VALOR PROYECTADO 2023-2]]</f>
        <v>0</v>
      </c>
    </row>
    <row r="63" spans="1:25" x14ac:dyDescent="0.25">
      <c r="A63" s="2">
        <v>35</v>
      </c>
      <c r="B63" s="2" t="s">
        <v>124</v>
      </c>
      <c r="C63" s="30">
        <v>218811046</v>
      </c>
      <c r="D63" s="30">
        <v>175048837</v>
      </c>
      <c r="E63" s="12"/>
      <c r="F63" s="8" t="s">
        <v>67</v>
      </c>
      <c r="G63" s="8" t="s">
        <v>51</v>
      </c>
      <c r="H63" s="8" t="s">
        <v>45</v>
      </c>
      <c r="I63" s="22" t="s">
        <v>250</v>
      </c>
      <c r="J63" s="8" t="s">
        <v>250</v>
      </c>
      <c r="K63" s="30">
        <v>107905912</v>
      </c>
      <c r="L63" s="30" t="s">
        <v>56</v>
      </c>
      <c r="M63" s="63">
        <v>282954750</v>
      </c>
      <c r="N63" s="24">
        <f>Tabla135[[#This Row],[VALOR PROYECTADO 2023-1]]-Tabla135[[#This Row],[VALOR EJECUTADO 2023-1]]</f>
        <v>-64143704</v>
      </c>
      <c r="O63" s="26">
        <f>Tabla135[[#This Row],[VALOR EJECUTADO 2023-1]]/Tabla135[[#This Row],[VALOR PROYECTADO 2023-1]]</f>
        <v>1.2931465534879807</v>
      </c>
      <c r="P63" s="6">
        <f>VLOOKUP(Tabla135[[#This Row],[NOMBRE IES]],'[1]INFORMACIÓN IES'!$B:$M,12,0)</f>
        <v>240692151</v>
      </c>
      <c r="Q63" s="6">
        <f>VLOOKUP(Tabla135[[#This Row],[NOMBRE IES]],'[1]INFORMACIÓN IES'!$B:$N,13,0)</f>
        <v>192553721</v>
      </c>
      <c r="R63" s="7">
        <f>+Tabla135[[#This Row],[VALOR PROYECTADO 2023-2]]-Tabla135[[#This Row],[VALOR DESEMBOLSADO 2023-2 
80%3]]</f>
        <v>48138430</v>
      </c>
      <c r="S63" s="40" t="s">
        <v>44</v>
      </c>
      <c r="T63" s="8" t="s">
        <v>2</v>
      </c>
      <c r="U63" s="7"/>
      <c r="V63" s="7"/>
      <c r="W63" s="7"/>
      <c r="X63" s="9">
        <f>Tabla135[[#This Row],[VALOR PROYECTADO 2023-2]]-Tabla135[[#This Row],[VALOR EJECUTADO 2023-2]]</f>
        <v>240692151</v>
      </c>
      <c r="Y63" s="1">
        <f>Tabla135[[#This Row],[VALOR EJECUTADO 2023-2]]/Tabla135[[#This Row],[VALOR PROYECTADO 2023-2]]</f>
        <v>0</v>
      </c>
    </row>
    <row r="64" spans="1:25" hidden="1" x14ac:dyDescent="0.25">
      <c r="A64" s="2">
        <v>36</v>
      </c>
      <c r="B64" s="2" t="s">
        <v>125</v>
      </c>
      <c r="C64" s="12">
        <v>5653192424</v>
      </c>
      <c r="D64" s="12">
        <v>4522553939</v>
      </c>
      <c r="E64" s="12">
        <v>1130638485</v>
      </c>
      <c r="F64" s="8" t="s">
        <v>2</v>
      </c>
      <c r="G64" s="8" t="s">
        <v>44</v>
      </c>
      <c r="H64" s="8"/>
      <c r="I64" s="22" t="s">
        <v>251</v>
      </c>
      <c r="J64" s="14">
        <v>45245</v>
      </c>
      <c r="K64" s="30">
        <v>0</v>
      </c>
      <c r="L64" s="43">
        <f>Tabla135[[#This Row],[VALOR EJECUTADO 2023-1]]-Tabla135[[#This Row],[VALOR DESEMBOLSADO 2023-1 
80% (Concepto técnico)]]</f>
        <v>-622729939</v>
      </c>
      <c r="M64" s="42">
        <v>3899824000</v>
      </c>
      <c r="N64" s="25">
        <f>Tabla135[[#This Row],[VALOR PROYECTADO 2023-1]]-Tabla135[[#This Row],[VALOR EJECUTADO 2023-1]]</f>
        <v>1753368424</v>
      </c>
      <c r="O64" s="26">
        <f>Tabla135[[#This Row],[VALOR EJECUTADO 2023-1]]/Tabla135[[#This Row],[VALOR PROYECTADO 2023-1]]</f>
        <v>0.68984455286604618</v>
      </c>
      <c r="P64" s="6">
        <f>VLOOKUP(Tabla135[[#This Row],[NOMBRE IES]],'[1]INFORMACIÓN IES'!$B:$M,12,0)</f>
        <v>4487393900</v>
      </c>
      <c r="Q64" s="6">
        <f>VLOOKUP(Tabla135[[#This Row],[NOMBRE IES]],'[1]INFORMACIÓN IES'!$B:$N,13,0)</f>
        <v>3589915120</v>
      </c>
      <c r="R64" s="7">
        <f>+Tabla135[[#This Row],[VALOR PROYECTADO 2023-2]]-Tabla135[[#This Row],[VALOR DESEMBOLSADO 2023-2 
80%3]]</f>
        <v>897478780</v>
      </c>
      <c r="S64" s="41" t="s">
        <v>46</v>
      </c>
      <c r="T64" s="8" t="s">
        <v>2</v>
      </c>
      <c r="U64" s="7"/>
      <c r="V64" s="7"/>
      <c r="W64" s="7"/>
      <c r="X64" s="9">
        <f>Tabla135[[#This Row],[VALOR PROYECTADO 2023-2]]-Tabla135[[#This Row],[VALOR EJECUTADO 2023-2]]</f>
        <v>4487393900</v>
      </c>
      <c r="Y64" s="1">
        <f>Tabla135[[#This Row],[VALOR EJECUTADO 2023-2]]/Tabla135[[#This Row],[VALOR PROYECTADO 2023-2]]</f>
        <v>0</v>
      </c>
    </row>
    <row r="65" spans="1:25" x14ac:dyDescent="0.25">
      <c r="A65" s="2">
        <v>37</v>
      </c>
      <c r="B65" s="2" t="s">
        <v>126</v>
      </c>
      <c r="C65" s="30">
        <v>461245394</v>
      </c>
      <c r="D65" s="30">
        <v>368996315</v>
      </c>
      <c r="E65" s="12">
        <v>92249079</v>
      </c>
      <c r="F65" s="8" t="s">
        <v>67</v>
      </c>
      <c r="G65" s="8" t="s">
        <v>51</v>
      </c>
      <c r="H65" s="8" t="s">
        <v>45</v>
      </c>
      <c r="I65" s="22" t="s">
        <v>250</v>
      </c>
      <c r="J65" s="8" t="s">
        <v>250</v>
      </c>
      <c r="K65" s="30">
        <v>210837591</v>
      </c>
      <c r="L65" s="30" t="s">
        <v>56</v>
      </c>
      <c r="M65" s="63">
        <v>579833906</v>
      </c>
      <c r="N65" s="24">
        <f>Tabla135[[#This Row],[VALOR PROYECTADO 2023-1]]-Tabla135[[#This Row],[VALOR EJECUTADO 2023-1]]</f>
        <v>-118588512</v>
      </c>
      <c r="O65" s="26">
        <f>Tabla135[[#This Row],[VALOR EJECUTADO 2023-1]]/Tabla135[[#This Row],[VALOR PROYECTADO 2023-1]]</f>
        <v>1.2571050324678148</v>
      </c>
      <c r="P65" s="6">
        <f>VLOOKUP(Tabla135[[#This Row],[NOMBRE IES]],'[1]INFORMACIÓN IES'!$B:$M,12,0)</f>
        <v>635534984</v>
      </c>
      <c r="Q65" s="6">
        <f>VLOOKUP(Tabla135[[#This Row],[NOMBRE IES]],'[1]INFORMACIÓN IES'!$B:$N,13,0)</f>
        <v>508427987</v>
      </c>
      <c r="R65" s="7">
        <f>+Tabla135[[#This Row],[VALOR PROYECTADO 2023-2]]-Tabla135[[#This Row],[VALOR DESEMBOLSADO 2023-2 
80%3]]</f>
        <v>127106997</v>
      </c>
      <c r="S65" s="40" t="s">
        <v>44</v>
      </c>
      <c r="T65" s="8" t="s">
        <v>2</v>
      </c>
      <c r="U65" s="7"/>
      <c r="V65" s="7"/>
      <c r="W65" s="7"/>
      <c r="X65" s="9">
        <f>Tabla135[[#This Row],[VALOR PROYECTADO 2023-2]]-Tabla135[[#This Row],[VALOR EJECUTADO 2023-2]]</f>
        <v>635534984</v>
      </c>
      <c r="Y65" s="1">
        <f>Tabla135[[#This Row],[VALOR EJECUTADO 2023-2]]/Tabla135[[#This Row],[VALOR PROYECTADO 2023-2]]</f>
        <v>0</v>
      </c>
    </row>
    <row r="66" spans="1:25" hidden="1" x14ac:dyDescent="0.25">
      <c r="A66" s="2"/>
      <c r="B66" s="68" t="s">
        <v>132</v>
      </c>
      <c r="C66" s="68"/>
      <c r="D66" s="69">
        <f>Tabla135[[#This Row],[VALOR PROYECTADO 2023-1]]*80%</f>
        <v>0</v>
      </c>
      <c r="F66" s="68"/>
      <c r="G66" s="70"/>
      <c r="H66" s="8"/>
      <c r="I66" s="22"/>
      <c r="J66" s="8"/>
      <c r="K66" s="71">
        <v>37139767791</v>
      </c>
      <c r="L66" s="68"/>
      <c r="M66" s="72"/>
      <c r="N66" s="16">
        <f>Tabla135[[#This Row],[VALOR PROYECTADO 2023-1]]-Tabla135[[#This Row],[VALOR EJECUTADO 2023-1]]</f>
        <v>0</v>
      </c>
      <c r="P66" s="66"/>
      <c r="Q66" s="66"/>
      <c r="R66" s="67">
        <f>+Tabla135[[#This Row],[VALOR PROYECTADO 2023-2]]-Tabla135[[#This Row],[VALOR DESEMBOLSADO 2023-2 
80%3]]</f>
        <v>0</v>
      </c>
      <c r="S66" s="67"/>
      <c r="T66" s="47"/>
      <c r="U66" s="7"/>
      <c r="V66" s="7"/>
      <c r="W66" s="7"/>
      <c r="X66" s="9">
        <f>Tabla135[[#This Row],[VALOR PROYECTADO 2023-2]]-Tabla135[[#This Row],[VALOR EJECUTADO 2023-2]]</f>
        <v>0</v>
      </c>
      <c r="Y66" s="1" t="e">
        <f>Tabla135[[#This Row],[VALOR EJECUTADO 2023-2]]/Tabla135[[#This Row],[VALOR PROYECTADO 2023-2]]</f>
        <v>#DIV/0!</v>
      </c>
    </row>
    <row r="69" spans="1:25" x14ac:dyDescent="0.25">
      <c r="D69" s="13"/>
    </row>
  </sheetData>
  <conditionalFormatting sqref="F1:J1048576">
    <cfRule type="containsText" dxfId="19" priority="6" operator="containsText" text="Aprobada">
      <formula>NOT(ISERROR(SEARCH("Aprobada",F1)))</formula>
    </cfRule>
    <cfRule type="containsText" dxfId="18" priority="7" operator="containsText" text="Aprobado">
      <formula>NOT(ISERROR(SEARCH("Aprobado",F1)))</formula>
    </cfRule>
    <cfRule type="containsText" dxfId="17" priority="8" operator="containsText" text="Generada">
      <formula>NOT(ISERROR(SEARCH("Generada",F1)))</formula>
    </cfRule>
    <cfRule type="containsText" dxfId="16" priority="9" operator="containsText" text="Cargada">
      <formula>NOT(ISERROR(SEARCH("Cargada",F1)))</formula>
    </cfRule>
    <cfRule type="containsText" dxfId="15" priority="10" operator="containsText" text="Sin generar">
      <formula>NOT(ISERROR(SEARCH("Sin generar",F1)))</formula>
    </cfRule>
  </conditionalFormatting>
  <conditionalFormatting sqref="T2:T66">
    <cfRule type="containsText" dxfId="14" priority="1" operator="containsText" text="Aprobada">
      <formula>NOT(ISERROR(SEARCH("Aprobada",T2)))</formula>
    </cfRule>
    <cfRule type="containsText" dxfId="13" priority="2" operator="containsText" text="Aprobado">
      <formula>NOT(ISERROR(SEARCH("Aprobado",T2)))</formula>
    </cfRule>
    <cfRule type="containsText" dxfId="12" priority="3" operator="containsText" text="Generada">
      <formula>NOT(ISERROR(SEARCH("Generada",T2)))</formula>
    </cfRule>
    <cfRule type="containsText" dxfId="11" priority="4" operator="containsText" text="Cargada">
      <formula>NOT(ISERROR(SEARCH("Cargada",T2)))</formula>
    </cfRule>
    <cfRule type="containsText" dxfId="10" priority="5" operator="containsText" text="Sin generar">
      <formula>NOT(ISERROR(SEARCH("Sin generar",T2)))</formula>
    </cfRule>
  </conditionalFormatting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A00-000000000000}">
          <x14:formula1>
            <xm:f>'Lista elegible'!$A$1:$A$4</xm:f>
          </x14:formula1>
          <xm:sqref>T2:T66 F2:F66</xm:sqref>
        </x14:dataValidation>
      </x14:dataValidations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A70"/>
  <sheetViews>
    <sheetView workbookViewId="0">
      <selection activeCell="I69" sqref="I69"/>
    </sheetView>
  </sheetViews>
  <sheetFormatPr baseColWidth="10" defaultColWidth="11.42578125" defaultRowHeight="15" x14ac:dyDescent="0.25"/>
  <cols>
    <col min="1" max="1" width="4.7109375" style="1" customWidth="1"/>
    <col min="2" max="2" width="62.5703125" style="1" bestFit="1" customWidth="1"/>
    <col min="3" max="3" width="17" style="1" bestFit="1" customWidth="1"/>
    <col min="4" max="4" width="17.7109375" style="1" bestFit="1" customWidth="1"/>
    <col min="5" max="5" width="24.140625" style="1" bestFit="1" customWidth="1"/>
    <col min="6" max="6" width="29.42578125" style="1" customWidth="1"/>
    <col min="7" max="7" width="30.7109375" style="1" customWidth="1"/>
    <col min="8" max="8" width="23.28515625" style="1" customWidth="1"/>
    <col min="9" max="10" width="13.140625" style="1" customWidth="1"/>
    <col min="11" max="11" width="39" style="1" customWidth="1"/>
    <col min="12" max="12" width="30.7109375" style="1" customWidth="1"/>
    <col min="13" max="14" width="25.140625" style="1" customWidth="1"/>
    <col min="15" max="15" width="27.42578125" style="15" customWidth="1"/>
    <col min="16" max="16" width="42.7109375" style="15" customWidth="1"/>
    <col min="17" max="17" width="27.140625" style="1" customWidth="1"/>
    <col min="18" max="18" width="25.140625" style="6" bestFit="1" customWidth="1"/>
    <col min="19" max="21" width="28.140625" style="6" customWidth="1"/>
    <col min="22" max="26" width="33.42578125" style="1" customWidth="1"/>
    <col min="27" max="27" width="27.140625" style="1" customWidth="1"/>
  </cols>
  <sheetData>
    <row r="1" spans="1:27" s="4" customFormat="1" ht="60" x14ac:dyDescent="0.25">
      <c r="A1" s="3" t="s">
        <v>11</v>
      </c>
      <c r="B1" s="3" t="s">
        <v>12</v>
      </c>
      <c r="C1" s="3" t="s">
        <v>671</v>
      </c>
      <c r="D1" s="3" t="s">
        <v>672</v>
      </c>
      <c r="E1" s="3" t="s">
        <v>13</v>
      </c>
      <c r="F1" s="3" t="s">
        <v>14</v>
      </c>
      <c r="G1" s="3" t="s">
        <v>15</v>
      </c>
      <c r="H1" s="27" t="s">
        <v>16</v>
      </c>
      <c r="I1" s="3" t="s">
        <v>17</v>
      </c>
      <c r="J1" s="38" t="s">
        <v>18</v>
      </c>
      <c r="K1" s="11" t="s">
        <v>221</v>
      </c>
      <c r="L1" s="11" t="s">
        <v>222</v>
      </c>
      <c r="M1" s="3" t="s">
        <v>22</v>
      </c>
      <c r="N1" s="3" t="s">
        <v>23</v>
      </c>
      <c r="O1" s="19" t="s">
        <v>24</v>
      </c>
      <c r="P1" s="19" t="s">
        <v>25</v>
      </c>
      <c r="Q1" s="3" t="s">
        <v>26</v>
      </c>
      <c r="R1" s="39" t="s">
        <v>27</v>
      </c>
      <c r="S1" s="39" t="s">
        <v>28</v>
      </c>
      <c r="T1" s="39" t="s">
        <v>29</v>
      </c>
      <c r="U1" s="39" t="s">
        <v>30</v>
      </c>
      <c r="V1" s="39" t="s">
        <v>31</v>
      </c>
      <c r="W1" s="39" t="s">
        <v>32</v>
      </c>
      <c r="X1" s="39" t="s">
        <v>33</v>
      </c>
      <c r="Y1" s="39" t="s">
        <v>34</v>
      </c>
      <c r="Z1" s="39" t="s">
        <v>35</v>
      </c>
      <c r="AA1" s="39" t="s">
        <v>36</v>
      </c>
    </row>
    <row r="2" spans="1:27" x14ac:dyDescent="0.25">
      <c r="A2" s="2">
        <v>1</v>
      </c>
      <c r="B2" s="2" t="s">
        <v>41</v>
      </c>
      <c r="C2" s="2" t="s">
        <v>673</v>
      </c>
      <c r="D2" s="2" t="s">
        <v>674</v>
      </c>
      <c r="E2" s="2" t="s">
        <v>42</v>
      </c>
      <c r="F2" s="30">
        <v>13861872203</v>
      </c>
      <c r="G2" s="13">
        <f>Tabla1[[#This Row],[VALOR PROYECTADO 2023-1]]*80%</f>
        <v>11089497762.400002</v>
      </c>
      <c r="H2" s="13"/>
      <c r="I2" s="8" t="s">
        <v>2</v>
      </c>
      <c r="J2" s="8" t="s">
        <v>44</v>
      </c>
      <c r="K2" s="22" t="s">
        <v>659</v>
      </c>
      <c r="L2" s="8"/>
      <c r="M2" s="13"/>
      <c r="O2" s="16">
        <f>+Tabla1[[#This Row],[VALOR A GIRAR
CIERRE 2023-1 ]]+Tabla1[[#This Row],[VALOR DESEMBOLSADO 2023-1 
80% (Concepto técnico)]]</f>
        <v>11089497762.400002</v>
      </c>
      <c r="P2" s="25">
        <f>Tabla1[[#This Row],[VALOR PROYECTADO 2023-1]]-Tabla1[[#This Row],[VALOR EJECUTADO 2023-1]]</f>
        <v>2772374440.5999985</v>
      </c>
      <c r="Q2" s="26">
        <f>Tabla1[[#This Row],[VALOR EJECUTADO 2023-1]]/Tabla1[[#This Row],[VALOR PROYECTADO 2023-1]]</f>
        <v>0.80000000000000016</v>
      </c>
      <c r="R2" s="6">
        <f>VLOOKUP(Tabla1[[#This Row],[NOMBRE IES]],'[1]INFORMACIÓN IES'!$B:$M,12,0)</f>
        <v>13373301126</v>
      </c>
      <c r="S2" s="6">
        <f>VLOOKUP(Tabla1[[#This Row],[NOMBRE IES]],'[1]INFORMACIÓN IES'!$B:$N,13,0)</f>
        <v>10698640901</v>
      </c>
      <c r="T2" s="7">
        <f>+Tabla1[[#This Row],[VALOR PROYECTADO 2023-2]]-Tabla1[[#This Row],[VALOR DESEMBOLSADO 2023-2 
80%3]]</f>
        <v>2674660225</v>
      </c>
      <c r="U2" s="41" t="s">
        <v>46</v>
      </c>
      <c r="V2" s="8" t="s">
        <v>2</v>
      </c>
      <c r="W2" s="8"/>
      <c r="X2" s="7"/>
      <c r="Y2" s="7"/>
      <c r="Z2" s="10">
        <f>Tabla1[[#This Row],[VALOR PROYECTADO 2023-2]]-Tabla1[[#This Row],[VALOR EJECUTADO 2023-2]]</f>
        <v>13373301126</v>
      </c>
      <c r="AA2" s="5">
        <f>Tabla1[[#This Row],[VALOR EJECUTADO 2023-2]]/Tabla1[[#This Row],[VALOR PROYECTADO 2023-2]]</f>
        <v>0</v>
      </c>
    </row>
    <row r="3" spans="1:27" x14ac:dyDescent="0.25">
      <c r="A3" s="2">
        <v>2</v>
      </c>
      <c r="B3" s="2" t="s">
        <v>47</v>
      </c>
      <c r="C3" s="2" t="s">
        <v>675</v>
      </c>
      <c r="D3" s="2" t="s">
        <v>676</v>
      </c>
      <c r="E3" s="2" t="s">
        <v>42</v>
      </c>
      <c r="F3" s="12">
        <v>1282801511</v>
      </c>
      <c r="G3" s="13">
        <v>1026241209</v>
      </c>
      <c r="H3" s="13">
        <v>256560302</v>
      </c>
      <c r="I3" s="8" t="s">
        <v>2</v>
      </c>
      <c r="J3" s="8" t="s">
        <v>44</v>
      </c>
      <c r="K3" s="23"/>
      <c r="L3" s="8"/>
      <c r="M3" s="13">
        <v>497286791</v>
      </c>
      <c r="N3" s="13">
        <v>0</v>
      </c>
      <c r="O3" s="16">
        <f>+Tabla1[[#This Row],[VALOR A GIRAR
CIERRE 2023-1 ]]+Tabla1[[#This Row],[VALOR DESEMBOLSADO 2023-1 
80% (Concepto técnico)]]</f>
        <v>1523528000</v>
      </c>
      <c r="P3" s="24">
        <f>Tabla1[[#This Row],[VALOR PROYECTADO 2023-1]]-Tabla1[[#This Row],[VALOR EJECUTADO 2023-1]]</f>
        <v>-240726489</v>
      </c>
      <c r="Q3" s="26">
        <f>Tabla1[[#This Row],[VALOR EJECUTADO 2023-1]]/Tabla1[[#This Row],[VALOR PROYECTADO 2023-1]]</f>
        <v>1.1876568486517787</v>
      </c>
      <c r="R3" s="6">
        <f>VLOOKUP(Tabla1[[#This Row],[NOMBRE IES]],'[1]INFORMACIÓN IES'!$B:$M,12,0)</f>
        <v>1575479400</v>
      </c>
      <c r="S3" s="6">
        <f>VLOOKUP(Tabla1[[#This Row],[NOMBRE IES]],'[1]INFORMACIÓN IES'!$B:$N,13,0)</f>
        <v>1260383520</v>
      </c>
      <c r="T3" s="7">
        <f>+Tabla1[[#This Row],[VALOR PROYECTADO 2023-2]]-Tabla1[[#This Row],[VALOR DESEMBOLSADO 2023-2 
80%3]]</f>
        <v>315095880</v>
      </c>
      <c r="U3" s="41" t="s">
        <v>46</v>
      </c>
      <c r="V3" s="8" t="s">
        <v>2</v>
      </c>
      <c r="W3" s="7"/>
      <c r="X3" s="7"/>
      <c r="Y3" s="7"/>
      <c r="Z3" s="9">
        <f>Tabla1[[#This Row],[VALOR PROYECTADO 2023-2]]-Tabla1[[#This Row],[VALOR EJECUTADO 2023-2]]</f>
        <v>1575479400</v>
      </c>
      <c r="AA3" s="1">
        <f>Tabla1[[#This Row],[VALOR EJECUTADO 2023-2]]/Tabla1[[#This Row],[VALOR PROYECTADO 2023-2]]</f>
        <v>0</v>
      </c>
    </row>
    <row r="4" spans="1:27" hidden="1" x14ac:dyDescent="0.25">
      <c r="A4" s="2">
        <v>3</v>
      </c>
      <c r="B4" s="2" t="s">
        <v>50</v>
      </c>
      <c r="C4" s="2" t="s">
        <v>677</v>
      </c>
      <c r="D4" s="2" t="s">
        <v>678</v>
      </c>
      <c r="E4" s="2" t="s">
        <v>42</v>
      </c>
      <c r="F4" s="12">
        <v>4183866401</v>
      </c>
      <c r="G4" s="13">
        <f>Tabla1[[#This Row],[VALOR PROYECTADO 2023-1]]*80%</f>
        <v>3347093120.8000002</v>
      </c>
      <c r="H4" s="13">
        <v>3438605429</v>
      </c>
      <c r="I4" s="8" t="s">
        <v>67</v>
      </c>
      <c r="J4" s="8" t="s">
        <v>51</v>
      </c>
      <c r="K4" s="22"/>
      <c r="L4" s="8"/>
      <c r="M4" s="13">
        <f>Tabla1[[#This Row],[VALOR ESTIMADO  POR DESEMBOLSAR 2023-1 
(20%)]]</f>
        <v>3438605429</v>
      </c>
      <c r="O4" s="16">
        <f>+Tabla1[[#This Row],[VALOR A GIRAR
CIERRE 2023-1 ]]+Tabla1[[#This Row],[VALOR DESEMBOLSADO 2023-1 
80% (Concepto técnico)]]</f>
        <v>6785698549.8000002</v>
      </c>
      <c r="P4" s="24">
        <f>Tabla1[[#This Row],[VALOR PROYECTADO 2023-1]]-Tabla1[[#This Row],[VALOR EJECUTADO 2023-1]]</f>
        <v>-2601832148.8000002</v>
      </c>
      <c r="Q4" s="26">
        <f>Tabla1[[#This Row],[VALOR EJECUTADO 2023-1]]/Tabla1[[#This Row],[VALOR PROYECTADO 2023-1]]</f>
        <v>1.621872665001475</v>
      </c>
      <c r="R4" s="6">
        <f>VLOOKUP(Tabla1[[#This Row],[NOMBRE IES]],'[1]INFORMACIÓN IES'!$B:$M,12,0)</f>
        <v>7426059429</v>
      </c>
      <c r="S4" s="6">
        <f>VLOOKUP(Tabla1[[#This Row],[NOMBRE IES]],'[1]INFORMACIÓN IES'!$B:$N,13,0)</f>
        <v>5940847543</v>
      </c>
      <c r="T4" s="7">
        <f>+Tabla1[[#This Row],[VALOR PROYECTADO 2023-2]]-Tabla1[[#This Row],[VALOR DESEMBOLSADO 2023-2 
80%3]]</f>
        <v>1485211886</v>
      </c>
      <c r="U4" s="40" t="s">
        <v>44</v>
      </c>
      <c r="V4" s="8" t="s">
        <v>2</v>
      </c>
      <c r="W4" s="7"/>
      <c r="X4" s="7"/>
      <c r="Y4" s="7"/>
      <c r="Z4" s="9">
        <f>Tabla1[[#This Row],[VALOR PROYECTADO 2023-2]]-Tabla1[[#This Row],[VALOR EJECUTADO 2023-2]]</f>
        <v>7426059429</v>
      </c>
      <c r="AA4" s="1">
        <f>Tabla1[[#This Row],[VALOR EJECUTADO 2023-2]]/Tabla1[[#This Row],[VALOR PROYECTADO 2023-2]]</f>
        <v>0</v>
      </c>
    </row>
    <row r="5" spans="1:27" x14ac:dyDescent="0.25">
      <c r="A5" s="2">
        <v>4</v>
      </c>
      <c r="B5" s="2" t="s">
        <v>52</v>
      </c>
      <c r="C5" s="2" t="s">
        <v>675</v>
      </c>
      <c r="D5" s="2" t="s">
        <v>679</v>
      </c>
      <c r="E5" s="2" t="s">
        <v>42</v>
      </c>
      <c r="F5" s="12">
        <v>14695076294</v>
      </c>
      <c r="G5" s="13">
        <f>Tabla1[[#This Row],[VALOR PROYECTADO 2023-1]]*80%</f>
        <v>11756061035.200001</v>
      </c>
      <c r="H5" s="13"/>
      <c r="I5" s="8" t="s">
        <v>2</v>
      </c>
      <c r="J5" s="8" t="s">
        <v>44</v>
      </c>
      <c r="K5" s="22" t="s">
        <v>660</v>
      </c>
      <c r="L5" s="8"/>
      <c r="M5" s="13">
        <f>Tabla1[[#This Row],[VALOR ESTIMADO  POR DESEMBOLSAR 2023-1 
(20%)]]</f>
        <v>0</v>
      </c>
      <c r="O5" s="16">
        <f>+Tabla1[[#This Row],[VALOR A GIRAR
CIERRE 2023-1 ]]+Tabla1[[#This Row],[VALOR DESEMBOLSADO 2023-1 
80% (Concepto técnico)]]</f>
        <v>11756061035.200001</v>
      </c>
      <c r="P5" s="25">
        <f>Tabla1[[#This Row],[VALOR PROYECTADO 2023-1]]-Tabla1[[#This Row],[VALOR EJECUTADO 2023-1]]</f>
        <v>2939015258.7999992</v>
      </c>
      <c r="Q5" s="26">
        <f>Tabla1[[#This Row],[VALOR EJECUTADO 2023-1]]/Tabla1[[#This Row],[VALOR PROYECTADO 2023-1]]</f>
        <v>0.8</v>
      </c>
      <c r="R5" s="6">
        <f>VLOOKUP(Tabla1[[#This Row],[NOMBRE IES]],'[1]INFORMACIÓN IES'!$B:$M,12,0)</f>
        <v>13720183871</v>
      </c>
      <c r="S5" s="6">
        <f>VLOOKUP(Tabla1[[#This Row],[NOMBRE IES]],'[1]INFORMACIÓN IES'!$B:$N,13,0)</f>
        <v>10976147097</v>
      </c>
      <c r="T5" s="7">
        <f>+Tabla1[[#This Row],[VALOR PROYECTADO 2023-2]]-Tabla1[[#This Row],[VALOR DESEMBOLSADO 2023-2 
80%3]]</f>
        <v>2744036774</v>
      </c>
      <c r="U5" s="41" t="s">
        <v>46</v>
      </c>
      <c r="V5" s="8" t="s">
        <v>2</v>
      </c>
      <c r="W5" s="7"/>
      <c r="X5" s="7"/>
      <c r="Y5" s="7"/>
      <c r="Z5" s="9">
        <f>Tabla1[[#This Row],[VALOR PROYECTADO 2023-2]]-Tabla1[[#This Row],[VALOR EJECUTADO 2023-2]]</f>
        <v>13720183871</v>
      </c>
      <c r="AA5" s="1">
        <f>Tabla1[[#This Row],[VALOR EJECUTADO 2023-2]]/Tabla1[[#This Row],[VALOR PROYECTADO 2023-2]]</f>
        <v>0</v>
      </c>
    </row>
    <row r="6" spans="1:27" hidden="1" x14ac:dyDescent="0.25">
      <c r="A6" s="2">
        <v>5</v>
      </c>
      <c r="B6" s="2" t="s">
        <v>53</v>
      </c>
      <c r="C6" s="2" t="s">
        <v>680</v>
      </c>
      <c r="D6" s="2" t="s">
        <v>680</v>
      </c>
      <c r="E6" s="2" t="s">
        <v>54</v>
      </c>
      <c r="F6" s="12">
        <v>3472234793</v>
      </c>
      <c r="G6" s="13">
        <f>Tabla1[[#This Row],[VALOR PROYECTADO 2023-1]]*80%</f>
        <v>2777787834.4000001</v>
      </c>
      <c r="H6" s="13">
        <f>Tabla1[[#This Row],[VALOR EJECUTADO 2023-1]]-Tabla1[[#This Row],[VALOR DESEMBOLSADO 2023-1 
80% (Concepto técnico)]]</f>
        <v>254752165.5999999</v>
      </c>
      <c r="I6" s="8" t="s">
        <v>67</v>
      </c>
      <c r="J6" s="8" t="s">
        <v>51</v>
      </c>
      <c r="K6" s="22"/>
      <c r="L6" s="8"/>
      <c r="M6" s="33">
        <f>Tabla1[[#This Row],[VALOR EJECUTADO 2023-1]]-Tabla1[[#This Row],[VALOR DESEMBOLSADO 2023-1 
80% (Concepto técnico)]]</f>
        <v>254752165.5999999</v>
      </c>
      <c r="N6" s="1" t="s">
        <v>56</v>
      </c>
      <c r="O6" s="32">
        <v>3032540000</v>
      </c>
      <c r="P6" s="25">
        <f>Tabla1[[#This Row],[VALOR PROYECTADO 2023-1]]-Tabla1[[#This Row],[VALOR EJECUTADO 2023-1]]</f>
        <v>439694793</v>
      </c>
      <c r="Q6" s="26">
        <f>Tabla1[[#This Row],[VALOR EJECUTADO 2023-1]]/Tabla1[[#This Row],[VALOR PROYECTADO 2023-1]]</f>
        <v>0.8733683580711703</v>
      </c>
      <c r="R6" s="6">
        <f>VLOOKUP(Tabla1[[#This Row],[NOMBRE IES]],'[1]INFORMACIÓN IES'!$B:$M,12,0)</f>
        <v>3383420700</v>
      </c>
      <c r="S6" s="6">
        <f>VLOOKUP(Tabla1[[#This Row],[NOMBRE IES]],'[1]INFORMACIÓN IES'!$B:$N,13,0)</f>
        <v>2706736560</v>
      </c>
      <c r="T6" s="7">
        <f>+Tabla1[[#This Row],[VALOR PROYECTADO 2023-2]]-Tabla1[[#This Row],[VALOR DESEMBOLSADO 2023-2 
80%3]]</f>
        <v>676684140</v>
      </c>
      <c r="U6" s="40" t="s">
        <v>44</v>
      </c>
      <c r="V6" s="8" t="s">
        <v>2</v>
      </c>
      <c r="W6" s="7"/>
      <c r="X6" s="7"/>
      <c r="Y6" s="7"/>
      <c r="Z6" s="9">
        <f>Tabla1[[#This Row],[VALOR PROYECTADO 2023-2]]-Tabla1[[#This Row],[VALOR EJECUTADO 2023-2]]</f>
        <v>3383420700</v>
      </c>
      <c r="AA6" s="1">
        <f>Tabla1[[#This Row],[VALOR EJECUTADO 2023-2]]/Tabla1[[#This Row],[VALOR PROYECTADO 2023-2]]</f>
        <v>0</v>
      </c>
    </row>
    <row r="7" spans="1:27" x14ac:dyDescent="0.25">
      <c r="A7" s="2">
        <v>6</v>
      </c>
      <c r="B7" s="2" t="s">
        <v>57</v>
      </c>
      <c r="C7" s="2" t="s">
        <v>680</v>
      </c>
      <c r="D7" s="2" t="s">
        <v>680</v>
      </c>
      <c r="E7" s="2" t="s">
        <v>54</v>
      </c>
      <c r="F7" s="12">
        <v>9565497049</v>
      </c>
      <c r="G7" s="13">
        <f>Tabla1[[#This Row],[VALOR PROYECTADO 2023-1]]*80%</f>
        <v>7652397639.2000008</v>
      </c>
      <c r="H7" s="13">
        <f>Tabla1[[#This Row],[VALOR EJECUTADO 2023-1]]-Tabla1[[#This Row],[VALOR DESEMBOLSADO 2023-1 
80% (Concepto técnico)]]</f>
        <v>505949360.79999924</v>
      </c>
      <c r="I7" s="8" t="s">
        <v>2</v>
      </c>
      <c r="J7" s="8" t="s">
        <v>44</v>
      </c>
      <c r="K7" s="22" t="s">
        <v>244</v>
      </c>
      <c r="L7" s="14">
        <v>45226</v>
      </c>
      <c r="M7" s="13">
        <f>Tabla1[[#This Row],[VALOR EJECUTADO 2023-1]]-Tabla1[[#This Row],[VALOR DESEMBOLSADO 2023-1 
80% (Concepto técnico)]]</f>
        <v>505949360.79999924</v>
      </c>
      <c r="N7" s="1" t="s">
        <v>56</v>
      </c>
      <c r="O7" s="32">
        <v>8158347000</v>
      </c>
      <c r="P7" s="25">
        <f>Tabla1[[#This Row],[VALOR PROYECTADO 2023-1]]-Tabla1[[#This Row],[VALOR EJECUTADO 2023-1]]</f>
        <v>1407150049</v>
      </c>
      <c r="Q7" s="26">
        <f>Tabla1[[#This Row],[VALOR EJECUTADO 2023-1]]/Tabla1[[#This Row],[VALOR PROYECTADO 2023-1]]</f>
        <v>0.85289315946764033</v>
      </c>
      <c r="R7" s="6">
        <f>VLOOKUP(Tabla1[[#This Row],[NOMBRE IES]],'[1]INFORMACIÓN IES'!$B:$M,12,0)</f>
        <v>9088227500</v>
      </c>
      <c r="S7" s="6">
        <f>VLOOKUP(Tabla1[[#This Row],[NOMBRE IES]],'[1]INFORMACIÓN IES'!$B:$N,13,0)</f>
        <v>7270582000</v>
      </c>
      <c r="T7" s="7">
        <f>+Tabla1[[#This Row],[VALOR PROYECTADO 2023-2]]-Tabla1[[#This Row],[VALOR DESEMBOLSADO 2023-2 
80%3]]</f>
        <v>1817645500</v>
      </c>
      <c r="U7" s="41" t="s">
        <v>46</v>
      </c>
      <c r="V7" s="8" t="s">
        <v>2</v>
      </c>
      <c r="W7" s="7"/>
      <c r="X7" s="7"/>
      <c r="Y7" s="7"/>
      <c r="Z7" s="9">
        <f>Tabla1[[#This Row],[VALOR PROYECTADO 2023-2]]-Tabla1[[#This Row],[VALOR EJECUTADO 2023-2]]</f>
        <v>9088227500</v>
      </c>
      <c r="AA7" s="1">
        <f>Tabla1[[#This Row],[VALOR EJECUTADO 2023-2]]/Tabla1[[#This Row],[VALOR PROYECTADO 2023-2]]</f>
        <v>0</v>
      </c>
    </row>
    <row r="8" spans="1:27" x14ac:dyDescent="0.25">
      <c r="A8" s="2">
        <v>61</v>
      </c>
      <c r="B8" s="2" t="s">
        <v>58</v>
      </c>
      <c r="C8" s="2" t="s">
        <v>681</v>
      </c>
      <c r="D8" s="2" t="s">
        <v>682</v>
      </c>
      <c r="E8" s="2" t="s">
        <v>54</v>
      </c>
      <c r="F8" s="12">
        <v>244117310</v>
      </c>
      <c r="G8" s="13">
        <f>Tabla1[[#This Row],[VALOR PROYECTADO 2023-1]]*80%</f>
        <v>195293848</v>
      </c>
      <c r="H8" s="13">
        <f>Tabla1[[#This Row],[VALOR EJECUTADO 2023-1]]-Tabla1[[#This Row],[VALOR DESEMBOLSADO 2023-1 
80% (Concepto técnico)]]</f>
        <v>38921825</v>
      </c>
      <c r="I8" s="8" t="s">
        <v>2</v>
      </c>
      <c r="J8" s="8" t="s">
        <v>44</v>
      </c>
      <c r="K8" s="22"/>
      <c r="L8" s="8"/>
      <c r="M8" s="13">
        <f>Tabla1[[#This Row],[VALOR EJECUTADO 2023-1]]-Tabla1[[#This Row],[VALOR DESEMBOLSADO 2023-1 
80% (Concepto técnico)]]</f>
        <v>38921825</v>
      </c>
      <c r="N8" s="1" t="s">
        <v>56</v>
      </c>
      <c r="O8" s="32">
        <v>234215673</v>
      </c>
      <c r="P8" s="25">
        <f>Tabla1[[#This Row],[VALOR PROYECTADO 2023-1]]-Tabla1[[#This Row],[VALOR EJECUTADO 2023-1]]</f>
        <v>9901637</v>
      </c>
      <c r="Q8" s="26">
        <f>Tabla1[[#This Row],[VALOR EJECUTADO 2023-1]]/Tabla1[[#This Row],[VALOR PROYECTADO 2023-1]]</f>
        <v>0.95943902134592585</v>
      </c>
      <c r="R8" s="6">
        <f>VLOOKUP(Tabla1[[#This Row],[NOMBRE IES]],'[1]INFORMACIÓN IES'!$B:$M,12,0)</f>
        <v>238695832</v>
      </c>
      <c r="S8" s="6">
        <f>VLOOKUP(Tabla1[[#This Row],[NOMBRE IES]],'[1]INFORMACIÓN IES'!$B:$N,13,0)</f>
        <v>190956665.60000002</v>
      </c>
      <c r="T8" s="7">
        <f>+Tabla1[[#This Row],[VALOR PROYECTADO 2023-2]]-Tabla1[[#This Row],[VALOR DESEMBOLSADO 2023-2 
80%3]]</f>
        <v>47739166.399999976</v>
      </c>
      <c r="U8" s="41" t="s">
        <v>46</v>
      </c>
      <c r="V8" s="8" t="s">
        <v>2</v>
      </c>
      <c r="W8" s="7"/>
      <c r="X8" s="7"/>
      <c r="Y8" s="7"/>
      <c r="Z8" s="9">
        <f>Tabla1[[#This Row],[VALOR PROYECTADO 2023-2]]-Tabla1[[#This Row],[VALOR EJECUTADO 2023-2]]</f>
        <v>238695832</v>
      </c>
      <c r="AA8" s="1">
        <f>Tabla1[[#This Row],[VALOR EJECUTADO 2023-2]]/Tabla1[[#This Row],[VALOR PROYECTADO 2023-2]]</f>
        <v>0</v>
      </c>
    </row>
    <row r="9" spans="1:27" x14ac:dyDescent="0.25">
      <c r="A9" s="2">
        <v>62</v>
      </c>
      <c r="B9" s="2" t="s">
        <v>60</v>
      </c>
      <c r="C9" s="2" t="s">
        <v>681</v>
      </c>
      <c r="D9" s="2" t="s">
        <v>683</v>
      </c>
      <c r="E9" s="2" t="s">
        <v>54</v>
      </c>
      <c r="F9" s="12">
        <v>10334311869</v>
      </c>
      <c r="G9" s="13">
        <f>Tabla1[[#This Row],[VALOR PROYECTADO 2023-1]]*80%</f>
        <v>8267449495.2000008</v>
      </c>
      <c r="H9" s="20">
        <f>Tabla1[[#This Row],[VALOR EJECUTADO 2023-1]]-Tabla1[[#This Row],[VALOR DESEMBOLSADO 2023-1 
80% (Concepto técnico)]]</f>
        <v>-1980689345.2000008</v>
      </c>
      <c r="I9" s="8" t="s">
        <v>2</v>
      </c>
      <c r="J9" s="8" t="s">
        <v>44</v>
      </c>
      <c r="K9" s="23" t="s">
        <v>232</v>
      </c>
      <c r="L9" s="14">
        <v>45240</v>
      </c>
      <c r="M9" s="20">
        <f>Tabla1[[#This Row],[VALOR EJECUTADO 2023-1]]-Tabla1[[#This Row],[VALOR DESEMBOLSADO 2023-1 
80% (Concepto técnico)]]</f>
        <v>-1980689345.2000008</v>
      </c>
      <c r="N9" s="5" t="s">
        <v>684</v>
      </c>
      <c r="O9" s="32">
        <v>6286760150</v>
      </c>
      <c r="P9" s="25">
        <f>Tabla1[[#This Row],[VALOR PROYECTADO 2023-1]]-Tabla1[[#This Row],[VALOR EJECUTADO 2023-1]]</f>
        <v>4047551719</v>
      </c>
      <c r="Q9" s="26">
        <f>Tabla1[[#This Row],[VALOR EJECUTADO 2023-1]]/Tabla1[[#This Row],[VALOR PROYECTADO 2023-1]]</f>
        <v>0.60833853571407059</v>
      </c>
      <c r="R9" s="6">
        <f>VLOOKUP(Tabla1[[#This Row],[NOMBRE IES]],'[1]INFORMACIÓN IES'!$B:$M,12,0)</f>
        <v>8643036930</v>
      </c>
      <c r="S9" s="6">
        <f>VLOOKUP(Tabla1[[#This Row],[NOMBRE IES]],'[1]INFORMACIÓN IES'!$B:$N,13,0)</f>
        <v>6914429544</v>
      </c>
      <c r="T9" s="7">
        <f>+Tabla1[[#This Row],[VALOR PROYECTADO 2023-2]]-Tabla1[[#This Row],[VALOR DESEMBOLSADO 2023-2 
80%3]]</f>
        <v>1728607386</v>
      </c>
      <c r="U9" s="41" t="s">
        <v>46</v>
      </c>
      <c r="V9" s="8" t="s">
        <v>2</v>
      </c>
      <c r="W9" s="7"/>
      <c r="X9" s="7"/>
      <c r="Y9" s="7"/>
      <c r="Z9" s="9">
        <f>Tabla1[[#This Row],[VALOR PROYECTADO 2023-2]]-Tabla1[[#This Row],[VALOR EJECUTADO 2023-2]]</f>
        <v>8643036930</v>
      </c>
      <c r="AA9" s="1">
        <f>Tabla1[[#This Row],[VALOR EJECUTADO 2023-2]]/Tabla1[[#This Row],[VALOR PROYECTADO 2023-2]]</f>
        <v>0</v>
      </c>
    </row>
    <row r="10" spans="1:27" x14ac:dyDescent="0.25">
      <c r="A10" s="2">
        <v>63</v>
      </c>
      <c r="B10" s="2" t="s">
        <v>61</v>
      </c>
      <c r="C10" s="2" t="s">
        <v>680</v>
      </c>
      <c r="D10" s="2" t="s">
        <v>680</v>
      </c>
      <c r="E10" s="2" t="s">
        <v>54</v>
      </c>
      <c r="F10" s="12">
        <v>26619140077</v>
      </c>
      <c r="G10" s="13">
        <f>Tabla1[[#This Row],[VALOR PROYECTADO 2023-1]]*80%</f>
        <v>21295312061.600002</v>
      </c>
      <c r="H10" s="13">
        <f>Tabla1[[#This Row],[VALOR EJECUTADO 2023-1]]-Tabla1[[#This Row],[VALOR DESEMBOLSADO 2023-1 
80% (Concepto técnico)]]</f>
        <v>1459969114.3999977</v>
      </c>
      <c r="I10" s="8" t="s">
        <v>2</v>
      </c>
      <c r="J10" s="8" t="s">
        <v>44</v>
      </c>
      <c r="K10" s="22" t="s">
        <v>244</v>
      </c>
      <c r="L10" s="14">
        <v>45226</v>
      </c>
      <c r="M10" s="13">
        <f>Tabla1[[#This Row],[VALOR EJECUTADO 2023-1]]-Tabla1[[#This Row],[VALOR DESEMBOLSADO 2023-1 
80% (Concepto técnico)]]</f>
        <v>1459969114.3999977</v>
      </c>
      <c r="N10" s="1" t="s">
        <v>56</v>
      </c>
      <c r="O10" s="32">
        <v>22755281176</v>
      </c>
      <c r="P10" s="25">
        <f>Tabla1[[#This Row],[VALOR PROYECTADO 2023-1]]-Tabla1[[#This Row],[VALOR EJECUTADO 2023-1]]</f>
        <v>3863858901</v>
      </c>
      <c r="Q10" s="26">
        <f>Tabla1[[#This Row],[VALOR EJECUTADO 2023-1]]/Tabla1[[#This Row],[VALOR PROYECTADO 2023-1]]</f>
        <v>0.85484659197016932</v>
      </c>
      <c r="R10" s="6">
        <f>VLOOKUP(Tabla1[[#This Row],[NOMBRE IES]],'[1]INFORMACIÓN IES'!$B:$M,12,0)</f>
        <v>24624230866</v>
      </c>
      <c r="S10" s="6">
        <f>VLOOKUP(Tabla1[[#This Row],[NOMBRE IES]],'[1]INFORMACIÓN IES'!$B:$N,13,0)</f>
        <v>19699384692.799999</v>
      </c>
      <c r="T10" s="7">
        <f>+Tabla1[[#This Row],[VALOR PROYECTADO 2023-2]]-Tabla1[[#This Row],[VALOR DESEMBOLSADO 2023-2 
80%3]]</f>
        <v>4924846173.2000008</v>
      </c>
      <c r="U10" s="41" t="s">
        <v>46</v>
      </c>
      <c r="V10" s="8" t="s">
        <v>2</v>
      </c>
      <c r="W10" s="7"/>
      <c r="X10" s="7"/>
      <c r="Y10" s="7"/>
      <c r="Z10" s="9">
        <f>Tabla1[[#This Row],[VALOR PROYECTADO 2023-2]]-Tabla1[[#This Row],[VALOR EJECUTADO 2023-2]]</f>
        <v>24624230866</v>
      </c>
      <c r="AA10" s="1">
        <f>Tabla1[[#This Row],[VALOR EJECUTADO 2023-2]]/Tabla1[[#This Row],[VALOR PROYECTADO 2023-2]]</f>
        <v>0</v>
      </c>
    </row>
    <row r="11" spans="1:27" hidden="1" x14ac:dyDescent="0.25">
      <c r="A11" s="2">
        <v>64</v>
      </c>
      <c r="B11" s="2" t="s">
        <v>62</v>
      </c>
      <c r="C11" s="2" t="s">
        <v>685</v>
      </c>
      <c r="D11" s="2" t="s">
        <v>686</v>
      </c>
      <c r="E11" s="2" t="s">
        <v>54</v>
      </c>
      <c r="F11" s="12">
        <v>3228310276</v>
      </c>
      <c r="G11" s="13">
        <f>Tabla1[[#This Row],[VALOR PROYECTADO 2023-1]]*80%</f>
        <v>2582648220.8000002</v>
      </c>
      <c r="H11" s="13">
        <f>Tabla1[[#This Row],[VALOR EJECUTADO 2023-1]]-Tabla1[[#This Row],[VALOR DESEMBOLSADO 2023-1 
80% (Concepto técnico)]]</f>
        <v>349033779.19999981</v>
      </c>
      <c r="I11" s="8" t="s">
        <v>67</v>
      </c>
      <c r="J11" s="8" t="s">
        <v>51</v>
      </c>
      <c r="K11" s="22"/>
      <c r="L11" s="8"/>
      <c r="M11" s="13">
        <f>Tabla1[[#This Row],[VALOR EJECUTADO 2023-1]]-Tabla1[[#This Row],[VALOR DESEMBOLSADO 2023-1 
80% (Concepto técnico)]]</f>
        <v>349033779.19999981</v>
      </c>
      <c r="N11" s="1" t="s">
        <v>56</v>
      </c>
      <c r="O11" s="32">
        <v>2931682000</v>
      </c>
      <c r="P11" s="25">
        <f>Tabla1[[#This Row],[VALOR PROYECTADO 2023-1]]-Tabla1[[#This Row],[VALOR EJECUTADO 2023-1]]</f>
        <v>296628276</v>
      </c>
      <c r="Q11" s="26">
        <f>Tabla1[[#This Row],[VALOR EJECUTADO 2023-1]]/Tabla1[[#This Row],[VALOR PROYECTADO 2023-1]]</f>
        <v>0.90811655304472971</v>
      </c>
      <c r="R11" s="6">
        <f>VLOOKUP(Tabla1[[#This Row],[NOMBRE IES]],'[1]INFORMACIÓN IES'!$B:$M,12,0)</f>
        <v>3133424800</v>
      </c>
      <c r="S11" s="6">
        <f>VLOOKUP(Tabla1[[#This Row],[NOMBRE IES]],'[1]INFORMACIÓN IES'!$B:$N,13,0)</f>
        <v>2506739840</v>
      </c>
      <c r="T11" s="7">
        <f>+Tabla1[[#This Row],[VALOR PROYECTADO 2023-2]]-Tabla1[[#This Row],[VALOR DESEMBOLSADO 2023-2 
80%3]]</f>
        <v>626684960</v>
      </c>
      <c r="U11" s="40" t="s">
        <v>44</v>
      </c>
      <c r="V11" s="8" t="s">
        <v>2</v>
      </c>
      <c r="W11" s="7"/>
      <c r="X11" s="7"/>
      <c r="Y11" s="7"/>
      <c r="Z11" s="9">
        <f>Tabla1[[#This Row],[VALOR PROYECTADO 2023-2]]-Tabla1[[#This Row],[VALOR EJECUTADO 2023-2]]</f>
        <v>3133424800</v>
      </c>
      <c r="AA11" s="1">
        <f>Tabla1[[#This Row],[VALOR EJECUTADO 2023-2]]/Tabla1[[#This Row],[VALOR PROYECTADO 2023-2]]</f>
        <v>0</v>
      </c>
    </row>
    <row r="12" spans="1:27" hidden="1" x14ac:dyDescent="0.25">
      <c r="A12" s="2">
        <v>54</v>
      </c>
      <c r="B12" s="2" t="s">
        <v>63</v>
      </c>
      <c r="C12" s="2" t="s">
        <v>687</v>
      </c>
      <c r="D12" s="2" t="s">
        <v>688</v>
      </c>
      <c r="E12" s="2" t="s">
        <v>64</v>
      </c>
      <c r="F12" s="12">
        <v>2215707677</v>
      </c>
      <c r="G12" s="13">
        <f>Tabla1[[#This Row],[VALOR PROYECTADO 2023-1]]*80%</f>
        <v>1772566141.6000001</v>
      </c>
      <c r="H12" s="12">
        <v>710880442</v>
      </c>
      <c r="I12" s="8" t="s">
        <v>67</v>
      </c>
      <c r="J12" s="8" t="s">
        <v>51</v>
      </c>
      <c r="K12" s="22"/>
      <c r="L12" s="8"/>
      <c r="M12" s="13">
        <f>Tabla1[[#This Row],[VALOR ESTIMADO  POR DESEMBOLSAR 2023-1 
(20%)]]</f>
        <v>710880442</v>
      </c>
      <c r="O12" s="16"/>
      <c r="P12" s="24">
        <f>Tabla1[[#This Row],[VALOR PROYECTADO 2023-1]]-Tabla1[[#This Row],[VALOR EJECUTADO 2023-1]]</f>
        <v>2215707677</v>
      </c>
      <c r="Q12" s="26">
        <f>Tabla1[[#This Row],[VALOR EJECUTADO 2023-1]]/Tabla1[[#This Row],[VALOR PROYECTADO 2023-1]]</f>
        <v>0</v>
      </c>
      <c r="R12" s="6">
        <f>VLOOKUP(Tabla1[[#This Row],[NOMBRE IES]],'[1]INFORMACIÓN IES'!$B:$M,12,0)</f>
        <v>2713207581</v>
      </c>
      <c r="S12" s="6">
        <f>VLOOKUP(Tabla1[[#This Row],[NOMBRE IES]],'[1]INFORMACIÓN IES'!$B:$N,13,0)</f>
        <v>2170566065</v>
      </c>
      <c r="T12" s="7">
        <f>+Tabla1[[#This Row],[VALOR PROYECTADO 2023-2]]-Tabla1[[#This Row],[VALOR DESEMBOLSADO 2023-2 
80%3]]</f>
        <v>542641516</v>
      </c>
      <c r="U12" s="40" t="s">
        <v>44</v>
      </c>
      <c r="V12" s="8" t="s">
        <v>2</v>
      </c>
      <c r="W12" s="7"/>
      <c r="X12" s="7"/>
      <c r="Y12" s="7"/>
      <c r="Z12" s="9">
        <f>Tabla1[[#This Row],[VALOR PROYECTADO 2023-2]]-Tabla1[[#This Row],[VALOR EJECUTADO 2023-2]]</f>
        <v>2713207581</v>
      </c>
      <c r="AA12" s="1">
        <f>Tabla1[[#This Row],[VALOR EJECUTADO 2023-2]]/Tabla1[[#This Row],[VALOR PROYECTADO 2023-2]]</f>
        <v>0</v>
      </c>
    </row>
    <row r="13" spans="1:27" hidden="1" x14ac:dyDescent="0.25">
      <c r="A13" s="2">
        <v>55</v>
      </c>
      <c r="B13" s="2" t="s">
        <v>66</v>
      </c>
      <c r="C13" s="2" t="s">
        <v>687</v>
      </c>
      <c r="D13" s="2" t="s">
        <v>689</v>
      </c>
      <c r="E13" s="2" t="s">
        <v>64</v>
      </c>
      <c r="F13" s="12">
        <v>14623077531</v>
      </c>
      <c r="G13" s="13">
        <f>Tabla1[[#This Row],[VALOR PROYECTADO 2023-1]]*80%</f>
        <v>11698462024.800001</v>
      </c>
      <c r="H13" s="12">
        <v>6013503975</v>
      </c>
      <c r="I13" s="8" t="s">
        <v>67</v>
      </c>
      <c r="J13" s="8" t="s">
        <v>51</v>
      </c>
      <c r="K13" s="22"/>
      <c r="L13" s="8"/>
      <c r="M13" s="13">
        <f>Tabla1[[#This Row],[VALOR ESTIMADO  POR DESEMBOLSAR 2023-1 
(20%)]]</f>
        <v>6013503975</v>
      </c>
      <c r="O13" s="16"/>
      <c r="P13" s="24">
        <f>Tabla1[[#This Row],[VALOR PROYECTADO 2023-1]]-Tabla1[[#This Row],[VALOR EJECUTADO 2023-1]]</f>
        <v>14623077531</v>
      </c>
      <c r="Q13" s="26">
        <f>Tabla1[[#This Row],[VALOR EJECUTADO 2023-1]]/Tabla1[[#This Row],[VALOR PROYECTADO 2023-1]]</f>
        <v>0</v>
      </c>
      <c r="R13" s="6">
        <f>VLOOKUP(Tabla1[[#This Row],[NOMBRE IES]],'[1]INFORMACIÓN IES'!$B:$M,12,0)</f>
        <v>18794106650</v>
      </c>
      <c r="S13" s="6">
        <f>VLOOKUP(Tabla1[[#This Row],[NOMBRE IES]],'[1]INFORMACIÓN IES'!$B:$N,13,0)</f>
        <v>15035285320</v>
      </c>
      <c r="T13" s="7">
        <f>+Tabla1[[#This Row],[VALOR PROYECTADO 2023-2]]-Tabla1[[#This Row],[VALOR DESEMBOLSADO 2023-2 
80%3]]</f>
        <v>3758821330</v>
      </c>
      <c r="U13" s="40" t="s">
        <v>44</v>
      </c>
      <c r="V13" s="8" t="s">
        <v>2</v>
      </c>
      <c r="W13" s="7"/>
      <c r="X13" s="7"/>
      <c r="Y13" s="7"/>
      <c r="Z13" s="9">
        <f>Tabla1[[#This Row],[VALOR PROYECTADO 2023-2]]-Tabla1[[#This Row],[VALOR EJECUTADO 2023-2]]</f>
        <v>18794106650</v>
      </c>
      <c r="AA13" s="1">
        <f>Tabla1[[#This Row],[VALOR EJECUTADO 2023-2]]/Tabla1[[#This Row],[VALOR PROYECTADO 2023-2]]</f>
        <v>0</v>
      </c>
    </row>
    <row r="14" spans="1:27" hidden="1" x14ac:dyDescent="0.25">
      <c r="A14" s="2">
        <v>56</v>
      </c>
      <c r="B14" s="2" t="s">
        <v>69</v>
      </c>
      <c r="C14" s="2" t="s">
        <v>687</v>
      </c>
      <c r="D14" s="2" t="s">
        <v>689</v>
      </c>
      <c r="E14" s="2" t="s">
        <v>64</v>
      </c>
      <c r="F14" s="12">
        <v>11045018362</v>
      </c>
      <c r="G14" s="13">
        <f>Tabla1[[#This Row],[VALOR PROYECTADO 2023-1]]*80%</f>
        <v>8836014689.6000004</v>
      </c>
      <c r="H14" s="12">
        <v>2384691680</v>
      </c>
      <c r="I14" s="8" t="s">
        <v>67</v>
      </c>
      <c r="J14" s="8" t="s">
        <v>51</v>
      </c>
      <c r="K14" s="22"/>
      <c r="L14" s="8"/>
      <c r="M14" s="13">
        <f>Tabla1[[#This Row],[VALOR ESTIMADO  POR DESEMBOLSAR 2023-1 
(20%)]]</f>
        <v>2384691680</v>
      </c>
      <c r="O14" s="16"/>
      <c r="P14" s="24">
        <f>Tabla1[[#This Row],[VALOR PROYECTADO 2023-1]]-Tabla1[[#This Row],[VALOR EJECUTADO 2023-1]]</f>
        <v>11045018362</v>
      </c>
      <c r="Q14" s="26">
        <f>Tabla1[[#This Row],[VALOR EJECUTADO 2023-1]]/Tabla1[[#This Row],[VALOR PROYECTADO 2023-1]]</f>
        <v>0</v>
      </c>
      <c r="R14" s="6">
        <f>VLOOKUP(Tabla1[[#This Row],[NOMBRE IES]],'[1]INFORMACIÓN IES'!$B:$M,12,0)</f>
        <v>11735034863</v>
      </c>
      <c r="S14" s="6">
        <f>VLOOKUP(Tabla1[[#This Row],[NOMBRE IES]],'[1]INFORMACIÓN IES'!$B:$N,13,0)</f>
        <v>9388027890</v>
      </c>
      <c r="T14" s="7">
        <f>+Tabla1[[#This Row],[VALOR PROYECTADO 2023-2]]-Tabla1[[#This Row],[VALOR DESEMBOLSADO 2023-2 
80%3]]</f>
        <v>2347006973</v>
      </c>
      <c r="U14" s="40" t="s">
        <v>44</v>
      </c>
      <c r="V14" s="8" t="s">
        <v>2</v>
      </c>
      <c r="W14" s="7"/>
      <c r="X14" s="7"/>
      <c r="Y14" s="7"/>
      <c r="Z14" s="9">
        <f>Tabla1[[#This Row],[VALOR PROYECTADO 2023-2]]-Tabla1[[#This Row],[VALOR EJECUTADO 2023-2]]</f>
        <v>11735034863</v>
      </c>
      <c r="AA14" s="1">
        <f>Tabla1[[#This Row],[VALOR EJECUTADO 2023-2]]/Tabla1[[#This Row],[VALOR PROYECTADO 2023-2]]</f>
        <v>0</v>
      </c>
    </row>
    <row r="15" spans="1:27" hidden="1" x14ac:dyDescent="0.25">
      <c r="A15" s="2">
        <v>57</v>
      </c>
      <c r="B15" s="2" t="s">
        <v>70</v>
      </c>
      <c r="C15" s="2" t="s">
        <v>680</v>
      </c>
      <c r="D15" s="2" t="s">
        <v>680</v>
      </c>
      <c r="E15" s="2" t="s">
        <v>64</v>
      </c>
      <c r="F15" s="30">
        <v>6988372088</v>
      </c>
      <c r="G15" s="13">
        <f>Tabla1[[#This Row],[VALOR PROYECTADO 2023-1]]*80%</f>
        <v>5590697670.4000006</v>
      </c>
      <c r="H15" s="12">
        <v>1397674418</v>
      </c>
      <c r="I15" s="8" t="s">
        <v>110</v>
      </c>
      <c r="J15" s="8" t="s">
        <v>44</v>
      </c>
      <c r="K15" s="22" t="s">
        <v>234</v>
      </c>
      <c r="L15" s="8"/>
      <c r="M15" s="13">
        <f>Tabla1[[#This Row],[VALOR ESTIMADO  POR DESEMBOLSAR 2023-1 
(20%)]]</f>
        <v>1397674418</v>
      </c>
      <c r="O15" s="16"/>
      <c r="P15" s="24">
        <f>Tabla1[[#This Row],[VALOR PROYECTADO 2023-1]]-Tabla1[[#This Row],[VALOR EJECUTADO 2023-1]]</f>
        <v>6988372088</v>
      </c>
      <c r="Q15" s="26">
        <f>Tabla1[[#This Row],[VALOR EJECUTADO 2023-1]]/Tabla1[[#This Row],[VALOR PROYECTADO 2023-1]]</f>
        <v>0</v>
      </c>
      <c r="R15" s="6">
        <f>VLOOKUP(Tabla1[[#This Row],[NOMBRE IES]],'[1]INFORMACIÓN IES'!$B:$M,12,0)</f>
        <v>4094189543</v>
      </c>
      <c r="S15" s="6">
        <f>VLOOKUP(Tabla1[[#This Row],[NOMBRE IES]],'[1]INFORMACIÓN IES'!$B:$N,13,0)</f>
        <v>3275351634</v>
      </c>
      <c r="T15" s="7">
        <f>+Tabla1[[#This Row],[VALOR PROYECTADO 2023-2]]-Tabla1[[#This Row],[VALOR DESEMBOLSADO 2023-2 
80%3]]</f>
        <v>818837909</v>
      </c>
      <c r="U15" s="41" t="s">
        <v>46</v>
      </c>
      <c r="V15" s="8" t="s">
        <v>2</v>
      </c>
      <c r="W15" s="7"/>
      <c r="X15" s="7"/>
      <c r="Y15" s="7"/>
      <c r="Z15" s="9">
        <f>Tabla1[[#This Row],[VALOR PROYECTADO 2023-2]]-Tabla1[[#This Row],[VALOR EJECUTADO 2023-2]]</f>
        <v>4094189543</v>
      </c>
      <c r="AA15" s="1">
        <f>Tabla1[[#This Row],[VALOR EJECUTADO 2023-2]]/Tabla1[[#This Row],[VALOR PROYECTADO 2023-2]]</f>
        <v>0</v>
      </c>
    </row>
    <row r="16" spans="1:27" hidden="1" x14ac:dyDescent="0.25">
      <c r="A16" s="2">
        <v>58</v>
      </c>
      <c r="B16" s="2" t="s">
        <v>71</v>
      </c>
      <c r="C16" s="2" t="s">
        <v>680</v>
      </c>
      <c r="D16" s="2" t="s">
        <v>680</v>
      </c>
      <c r="E16" s="2" t="s">
        <v>64</v>
      </c>
      <c r="F16" s="12">
        <v>5890764095</v>
      </c>
      <c r="G16" s="13">
        <f>Tabla1[[#This Row],[VALOR PROYECTADO 2023-1]]*80%</f>
        <v>4712611276</v>
      </c>
      <c r="H16" s="12"/>
      <c r="I16" s="8" t="s">
        <v>67</v>
      </c>
      <c r="J16" s="8" t="s">
        <v>51</v>
      </c>
      <c r="K16" s="22"/>
      <c r="L16" s="8"/>
      <c r="M16" s="13">
        <f>Tabla1[[#This Row],[VALOR ESTIMADO  POR DESEMBOLSAR 2023-1 
(20%)]]</f>
        <v>0</v>
      </c>
      <c r="N16" s="13">
        <v>534993276</v>
      </c>
      <c r="O16" s="16"/>
      <c r="P16" s="25">
        <f>Tabla1[[#This Row],[VALOR PROYECTADO 2023-1]]-Tabla1[[#This Row],[VALOR EJECUTADO 2023-1]]</f>
        <v>5890764095</v>
      </c>
      <c r="Q16" s="26">
        <f>Tabla1[[#This Row],[VALOR EJECUTADO 2023-1]]/Tabla1[[#This Row],[VALOR PROYECTADO 2023-1]]</f>
        <v>0</v>
      </c>
      <c r="R16" s="6">
        <f>VLOOKUP(Tabla1[[#This Row],[NOMBRE IES]],'[1]INFORMACIÓN IES'!$B:$M,12,0)</f>
        <v>4552466050</v>
      </c>
      <c r="S16" s="6">
        <f>VLOOKUP(Tabla1[[#This Row],[NOMBRE IES]],'[1]INFORMACIÓN IES'!$B:$N,13,0)</f>
        <v>3641972840</v>
      </c>
      <c r="T16" s="7">
        <f>+Tabla1[[#This Row],[VALOR PROYECTADO 2023-2]]-Tabla1[[#This Row],[VALOR DESEMBOLSADO 2023-2 
80%3]]</f>
        <v>910493210</v>
      </c>
      <c r="U16" s="40" t="s">
        <v>44</v>
      </c>
      <c r="V16" s="8" t="s">
        <v>2</v>
      </c>
      <c r="W16" s="7"/>
      <c r="X16" s="7"/>
      <c r="Y16" s="7"/>
      <c r="Z16" s="9">
        <f>Tabla1[[#This Row],[VALOR PROYECTADO 2023-2]]-Tabla1[[#This Row],[VALOR EJECUTADO 2023-2]]</f>
        <v>4552466050</v>
      </c>
      <c r="AA16" s="1">
        <f>Tabla1[[#This Row],[VALOR EJECUTADO 2023-2]]/Tabla1[[#This Row],[VALOR PROYECTADO 2023-2]]</f>
        <v>0</v>
      </c>
    </row>
    <row r="17" spans="1:27" hidden="1" x14ac:dyDescent="0.25">
      <c r="A17" s="2">
        <v>59</v>
      </c>
      <c r="B17" s="2" t="s">
        <v>72</v>
      </c>
      <c r="C17" s="2" t="s">
        <v>690</v>
      </c>
      <c r="D17" s="2" t="s">
        <v>691</v>
      </c>
      <c r="E17" s="2" t="s">
        <v>64</v>
      </c>
      <c r="F17" s="12">
        <v>6876897849</v>
      </c>
      <c r="G17" s="13">
        <f>Tabla1[[#This Row],[VALOR PROYECTADO 2023-1]]*80%</f>
        <v>5501518279.2000008</v>
      </c>
      <c r="H17" s="12">
        <v>1815451421</v>
      </c>
      <c r="I17" s="8" t="s">
        <v>67</v>
      </c>
      <c r="J17" s="8" t="s">
        <v>51</v>
      </c>
      <c r="K17" s="22"/>
      <c r="L17" s="8"/>
      <c r="M17" s="13">
        <f>Tabla1[[#This Row],[VALOR ESTIMADO  POR DESEMBOLSAR 2023-1 
(20%)]]</f>
        <v>1815451421</v>
      </c>
      <c r="O17" s="16"/>
      <c r="P17" s="24">
        <f>Tabla1[[#This Row],[VALOR PROYECTADO 2023-1]]-Tabla1[[#This Row],[VALOR EJECUTADO 2023-1]]</f>
        <v>6876897849</v>
      </c>
      <c r="Q17" s="26">
        <f>Tabla1[[#This Row],[VALOR EJECUTADO 2023-1]]/Tabla1[[#This Row],[VALOR PROYECTADO 2023-1]]</f>
        <v>0</v>
      </c>
      <c r="R17" s="6">
        <f>VLOOKUP(Tabla1[[#This Row],[NOMBRE IES]],'[1]INFORMACIÓN IES'!$B:$M,12,0)</f>
        <v>7334126690</v>
      </c>
      <c r="S17" s="6">
        <f>VLOOKUP(Tabla1[[#This Row],[NOMBRE IES]],'[1]INFORMACIÓN IES'!$B:$N,13,0)</f>
        <v>5867301352</v>
      </c>
      <c r="T17" s="7">
        <f>+Tabla1[[#This Row],[VALOR PROYECTADO 2023-2]]-Tabla1[[#This Row],[VALOR DESEMBOLSADO 2023-2 
80%3]]</f>
        <v>1466825338</v>
      </c>
      <c r="U17" s="40" t="s">
        <v>44</v>
      </c>
      <c r="V17" s="8" t="s">
        <v>2</v>
      </c>
      <c r="W17" s="7"/>
      <c r="X17" s="7"/>
      <c r="Y17" s="7"/>
      <c r="Z17" s="9">
        <f>Tabla1[[#This Row],[VALOR PROYECTADO 2023-2]]-Tabla1[[#This Row],[VALOR EJECUTADO 2023-2]]</f>
        <v>7334126690</v>
      </c>
      <c r="AA17" s="1">
        <f>Tabla1[[#This Row],[VALOR EJECUTADO 2023-2]]/Tabla1[[#This Row],[VALOR PROYECTADO 2023-2]]</f>
        <v>0</v>
      </c>
    </row>
    <row r="18" spans="1:27" x14ac:dyDescent="0.25">
      <c r="A18" s="2">
        <v>60</v>
      </c>
      <c r="B18" s="2" t="s">
        <v>73</v>
      </c>
      <c r="C18" s="2" t="s">
        <v>692</v>
      </c>
      <c r="D18" s="2" t="s">
        <v>692</v>
      </c>
      <c r="E18" s="2" t="s">
        <v>64</v>
      </c>
      <c r="F18" s="31">
        <v>0</v>
      </c>
      <c r="G18" s="20">
        <v>0</v>
      </c>
      <c r="H18" s="32">
        <v>52207584</v>
      </c>
      <c r="I18" s="8" t="s">
        <v>2</v>
      </c>
      <c r="J18" s="8" t="s">
        <v>44</v>
      </c>
      <c r="K18" s="22"/>
      <c r="L18" s="8"/>
      <c r="M18" s="13">
        <f>Tabla1[[#This Row],[VALOR ESTIMADO  POR DESEMBOLSAR 2023-1 
(20%)]]</f>
        <v>52207584</v>
      </c>
      <c r="O18" s="16"/>
      <c r="P18" s="24">
        <f>Tabla1[[#This Row],[VALOR PROYECTADO 2023-1]]-Tabla1[[#This Row],[VALOR EJECUTADO 2023-1]]</f>
        <v>0</v>
      </c>
      <c r="Q18" s="26">
        <v>1</v>
      </c>
      <c r="R18" s="6">
        <f>VLOOKUP(Tabla1[[#This Row],[NOMBRE IES]],'[1]INFORMACIÓN IES'!$B:$M,12,0)</f>
        <v>56830131</v>
      </c>
      <c r="S18" s="6">
        <f>VLOOKUP(Tabla1[[#This Row],[NOMBRE IES]],'[1]INFORMACIÓN IES'!$B:$N,13,0)</f>
        <v>45464105</v>
      </c>
      <c r="T18" s="7">
        <f>+Tabla1[[#This Row],[VALOR PROYECTADO 2023-2]]-Tabla1[[#This Row],[VALOR DESEMBOLSADO 2023-2 
80%3]]</f>
        <v>11366026</v>
      </c>
      <c r="U18" s="41" t="s">
        <v>46</v>
      </c>
      <c r="V18" s="8" t="s">
        <v>2</v>
      </c>
      <c r="W18" s="7"/>
      <c r="X18" s="7"/>
      <c r="Y18" s="7"/>
      <c r="Z18" s="9">
        <f>Tabla1[[#This Row],[VALOR PROYECTADO 2023-2]]-Tabla1[[#This Row],[VALOR EJECUTADO 2023-2]]</f>
        <v>56830131</v>
      </c>
      <c r="AA18" s="1">
        <f>Tabla1[[#This Row],[VALOR EJECUTADO 2023-2]]/Tabla1[[#This Row],[VALOR PROYECTADO 2023-2]]</f>
        <v>0</v>
      </c>
    </row>
    <row r="19" spans="1:27" hidden="1" x14ac:dyDescent="0.25">
      <c r="A19" s="2">
        <v>7</v>
      </c>
      <c r="B19" s="2" t="s">
        <v>74</v>
      </c>
      <c r="C19" s="2" t="s">
        <v>693</v>
      </c>
      <c r="D19" s="2" t="s">
        <v>694</v>
      </c>
      <c r="E19" s="2" t="s">
        <v>75</v>
      </c>
      <c r="F19" s="12">
        <v>9435109011</v>
      </c>
      <c r="G19" s="13">
        <f>Tabla1[[#This Row],[VALOR PROYECTADO 2023-1]]*80%</f>
        <v>7548087208.8000002</v>
      </c>
      <c r="H19" s="17">
        <v>547937297</v>
      </c>
      <c r="I19" s="8" t="s">
        <v>67</v>
      </c>
      <c r="J19" s="8" t="s">
        <v>51</v>
      </c>
      <c r="K19" s="22"/>
      <c r="L19" s="8"/>
      <c r="M19" s="13">
        <f>Tabla1[[#This Row],[VALOR ESTIMADO  POR DESEMBOLSAR 2023-1 
(20%)]]</f>
        <v>547937297</v>
      </c>
      <c r="O19" s="16"/>
      <c r="P19" s="25">
        <f>Tabla1[[#This Row],[VALOR PROYECTADO 2023-1]]-Tabla1[[#This Row],[VALOR EJECUTADO 2023-1]]</f>
        <v>9435109011</v>
      </c>
      <c r="Q19" s="26">
        <f>Tabla1[[#This Row],[VALOR EJECUTADO 2023-1]]/Tabla1[[#This Row],[VALOR PROYECTADO 2023-1]]</f>
        <v>0</v>
      </c>
      <c r="R19" s="6">
        <f>VLOOKUP(Tabla1[[#This Row],[NOMBRE IES]],'[1]INFORMACIÓN IES'!$B:$M,12,0)</f>
        <v>8559653045</v>
      </c>
      <c r="S19" s="6">
        <f>VLOOKUP(Tabla1[[#This Row],[NOMBRE IES]],'[1]INFORMACIÓN IES'!$B:$N,13,0)</f>
        <v>6847722436</v>
      </c>
      <c r="T19" s="7">
        <f>+Tabla1[[#This Row],[VALOR PROYECTADO 2023-2]]-Tabla1[[#This Row],[VALOR DESEMBOLSADO 2023-2 
80%3]]</f>
        <v>1711930609</v>
      </c>
      <c r="U19" s="40" t="s">
        <v>44</v>
      </c>
      <c r="V19" s="8" t="s">
        <v>2</v>
      </c>
      <c r="W19" s="7"/>
      <c r="X19" s="7"/>
      <c r="Y19" s="7"/>
      <c r="Z19" s="9">
        <f>Tabla1[[#This Row],[VALOR PROYECTADO 2023-2]]-Tabla1[[#This Row],[VALOR EJECUTADO 2023-2]]</f>
        <v>8559653045</v>
      </c>
      <c r="AA19" s="1">
        <f>Tabla1[[#This Row],[VALOR EJECUTADO 2023-2]]/Tabla1[[#This Row],[VALOR PROYECTADO 2023-2]]</f>
        <v>0</v>
      </c>
    </row>
    <row r="20" spans="1:27" hidden="1" x14ac:dyDescent="0.25">
      <c r="A20" s="2">
        <v>8</v>
      </c>
      <c r="B20" s="2" t="s">
        <v>76</v>
      </c>
      <c r="C20" s="2" t="s">
        <v>695</v>
      </c>
      <c r="D20" s="2" t="s">
        <v>696</v>
      </c>
      <c r="E20" s="2" t="s">
        <v>75</v>
      </c>
      <c r="F20" s="12">
        <v>4289147704</v>
      </c>
      <c r="G20" s="13">
        <f>Tabla1[[#This Row],[VALOR PROYECTADO 2023-1]]*80%</f>
        <v>3431318163.2000003</v>
      </c>
      <c r="H20" s="17">
        <v>563897532</v>
      </c>
      <c r="I20" s="8" t="s">
        <v>67</v>
      </c>
      <c r="J20" s="8" t="s">
        <v>51</v>
      </c>
      <c r="K20" s="22"/>
      <c r="L20" s="8"/>
      <c r="M20" s="13">
        <f>Tabla1[[#This Row],[VALOR ESTIMADO  POR DESEMBOLSAR 2023-1 
(20%)]]</f>
        <v>563897532</v>
      </c>
      <c r="O20" s="16"/>
      <c r="P20" s="25">
        <f>Tabla1[[#This Row],[VALOR PROYECTADO 2023-1]]-Tabla1[[#This Row],[VALOR EJECUTADO 2023-1]]</f>
        <v>4289147704</v>
      </c>
      <c r="Q20" s="26">
        <f>Tabla1[[#This Row],[VALOR EJECUTADO 2023-1]]/Tabla1[[#This Row],[VALOR PROYECTADO 2023-1]]</f>
        <v>0</v>
      </c>
      <c r="R20" s="6">
        <f>VLOOKUP(Tabla1[[#This Row],[NOMBRE IES]],'[1]INFORMACIÓN IES'!$B:$M,12,0)</f>
        <v>2874801031</v>
      </c>
      <c r="S20" s="6">
        <f>VLOOKUP(Tabla1[[#This Row],[NOMBRE IES]],'[1]INFORMACIÓN IES'!$B:$N,13,0)</f>
        <v>2229840825</v>
      </c>
      <c r="T20" s="7">
        <f>+Tabla1[[#This Row],[VALOR PROYECTADO 2023-2]]-Tabla1[[#This Row],[VALOR DESEMBOLSADO 2023-2 
80%3]]</f>
        <v>644960206</v>
      </c>
      <c r="U20" s="40" t="s">
        <v>44</v>
      </c>
      <c r="V20" s="8" t="s">
        <v>2</v>
      </c>
      <c r="W20" s="7"/>
      <c r="X20" s="7"/>
      <c r="Y20" s="7"/>
      <c r="Z20" s="9">
        <f>Tabla1[[#This Row],[VALOR PROYECTADO 2023-2]]-Tabla1[[#This Row],[VALOR EJECUTADO 2023-2]]</f>
        <v>2874801031</v>
      </c>
      <c r="AA20" s="1">
        <f>Tabla1[[#This Row],[VALOR EJECUTADO 2023-2]]/Tabla1[[#This Row],[VALOR PROYECTADO 2023-2]]</f>
        <v>0</v>
      </c>
    </row>
    <row r="21" spans="1:27" hidden="1" x14ac:dyDescent="0.25">
      <c r="A21" s="2">
        <v>9</v>
      </c>
      <c r="B21" s="2" t="s">
        <v>77</v>
      </c>
      <c r="C21" s="2" t="s">
        <v>695</v>
      </c>
      <c r="D21" s="2" t="s">
        <v>697</v>
      </c>
      <c r="E21" s="2" t="s">
        <v>75</v>
      </c>
      <c r="F21" s="12">
        <v>221455584</v>
      </c>
      <c r="G21" s="13">
        <f>Tabla1[[#This Row],[VALOR PROYECTADO 2023-1]]*80%</f>
        <v>177164467.20000002</v>
      </c>
      <c r="H21" s="17">
        <v>66334035</v>
      </c>
      <c r="I21" s="8" t="s">
        <v>67</v>
      </c>
      <c r="J21" s="8" t="s">
        <v>51</v>
      </c>
      <c r="K21" s="22"/>
      <c r="L21" s="8"/>
      <c r="M21" s="13">
        <f>Tabla1[[#This Row],[VALOR ESTIMADO  POR DESEMBOLSAR 2023-1 
(20%)]]</f>
        <v>66334035</v>
      </c>
      <c r="O21" s="16"/>
      <c r="P21" s="24">
        <f>Tabla1[[#This Row],[VALOR PROYECTADO 2023-1]]-Tabla1[[#This Row],[VALOR EJECUTADO 2023-1]]</f>
        <v>221455584</v>
      </c>
      <c r="Q21" s="26">
        <f>Tabla1[[#This Row],[VALOR EJECUTADO 2023-1]]/Tabla1[[#This Row],[VALOR PROYECTADO 2023-1]]</f>
        <v>0</v>
      </c>
      <c r="R21" s="6">
        <f>VLOOKUP(Tabla1[[#This Row],[NOMBRE IES]],'[1]INFORMACIÓN IES'!$B:$M,12,0)</f>
        <v>264020022</v>
      </c>
      <c r="S21" s="6">
        <f>VLOOKUP(Tabla1[[#This Row],[NOMBRE IES]],'[1]INFORMACIÓN IES'!$B:$N,13,0)</f>
        <v>211216018</v>
      </c>
      <c r="T21" s="7">
        <f>+Tabla1[[#This Row],[VALOR PROYECTADO 2023-2]]-Tabla1[[#This Row],[VALOR DESEMBOLSADO 2023-2 
80%3]]</f>
        <v>52804004</v>
      </c>
      <c r="U21" s="40" t="s">
        <v>44</v>
      </c>
      <c r="V21" s="8" t="s">
        <v>2</v>
      </c>
      <c r="W21" s="7"/>
      <c r="X21" s="7"/>
      <c r="Y21" s="7"/>
      <c r="Z21" s="9">
        <f>Tabla1[[#This Row],[VALOR PROYECTADO 2023-2]]-Tabla1[[#This Row],[VALOR EJECUTADO 2023-2]]</f>
        <v>264020022</v>
      </c>
      <c r="AA21" s="1">
        <f>Tabla1[[#This Row],[VALOR EJECUTADO 2023-2]]/Tabla1[[#This Row],[VALOR PROYECTADO 2023-2]]</f>
        <v>0</v>
      </c>
    </row>
    <row r="22" spans="1:27" x14ac:dyDescent="0.25">
      <c r="A22" s="2">
        <v>10</v>
      </c>
      <c r="B22" s="2" t="s">
        <v>78</v>
      </c>
      <c r="C22" s="2" t="s">
        <v>698</v>
      </c>
      <c r="D22" s="2" t="s">
        <v>699</v>
      </c>
      <c r="E22" s="2" t="s">
        <v>75</v>
      </c>
      <c r="F22" s="12">
        <v>9136609132</v>
      </c>
      <c r="G22" s="13">
        <f>Tabla1[[#This Row],[VALOR PROYECTADO 2023-1]]*80%</f>
        <v>7309287305.6000004</v>
      </c>
      <c r="I22" s="8" t="s">
        <v>2</v>
      </c>
      <c r="J22" s="8" t="s">
        <v>44</v>
      </c>
      <c r="K22" s="22" t="s">
        <v>660</v>
      </c>
      <c r="L22" s="8"/>
      <c r="M22" s="13">
        <f>Tabla1[[#This Row],[VALOR ESTIMADO  POR DESEMBOLSAR 2023-1 
(20%)]]</f>
        <v>0</v>
      </c>
      <c r="O22" s="16"/>
      <c r="P22" s="25">
        <f>Tabla1[[#This Row],[VALOR PROYECTADO 2023-1]]-Tabla1[[#This Row],[VALOR EJECUTADO 2023-1]]</f>
        <v>9136609132</v>
      </c>
      <c r="Q22" s="26">
        <f>Tabla1[[#This Row],[VALOR EJECUTADO 2023-1]]/Tabla1[[#This Row],[VALOR PROYECTADO 2023-1]]</f>
        <v>0</v>
      </c>
      <c r="R22" s="6">
        <f>VLOOKUP(Tabla1[[#This Row],[NOMBRE IES]],'[1]INFORMACIÓN IES'!$B:$M,12,0)</f>
        <v>9136609132</v>
      </c>
      <c r="S22" s="6">
        <f>VLOOKUP(Tabla1[[#This Row],[NOMBRE IES]],'[1]INFORMACIÓN IES'!$B:$N,13,0)</f>
        <v>7309287306</v>
      </c>
      <c r="T22" s="7">
        <f>+Tabla1[[#This Row],[VALOR PROYECTADO 2023-2]]-Tabla1[[#This Row],[VALOR DESEMBOLSADO 2023-2 
80%3]]</f>
        <v>1827321826</v>
      </c>
      <c r="U22" s="41" t="s">
        <v>46</v>
      </c>
      <c r="V22" s="8" t="s">
        <v>2</v>
      </c>
      <c r="W22" s="7"/>
      <c r="X22" s="7"/>
      <c r="Y22" s="7"/>
      <c r="Z22" s="9">
        <f>Tabla1[[#This Row],[VALOR PROYECTADO 2023-2]]-Tabla1[[#This Row],[VALOR EJECUTADO 2023-2]]</f>
        <v>9136609132</v>
      </c>
      <c r="AA22" s="1">
        <f>Tabla1[[#This Row],[VALOR EJECUTADO 2023-2]]/Tabla1[[#This Row],[VALOR PROYECTADO 2023-2]]</f>
        <v>0</v>
      </c>
    </row>
    <row r="23" spans="1:27" x14ac:dyDescent="0.25">
      <c r="A23" s="2">
        <v>11</v>
      </c>
      <c r="B23" s="2" t="s">
        <v>7</v>
      </c>
      <c r="C23" s="2" t="s">
        <v>700</v>
      </c>
      <c r="D23" s="2" t="s">
        <v>701</v>
      </c>
      <c r="E23" s="2" t="s">
        <v>75</v>
      </c>
      <c r="F23" s="12">
        <v>2340379819</v>
      </c>
      <c r="G23" s="13">
        <f>Tabla1[[#This Row],[VALOR PROYECTADO 2023-1]]*80%</f>
        <v>1872303855.2</v>
      </c>
      <c r="I23" s="8" t="s">
        <v>2</v>
      </c>
      <c r="J23" s="8" t="s">
        <v>44</v>
      </c>
      <c r="K23" s="22" t="s">
        <v>236</v>
      </c>
      <c r="L23" s="8"/>
      <c r="M23" s="13">
        <f>Tabla1[[#This Row],[VALOR ESTIMADO  POR DESEMBOLSAR 2023-1 
(20%)]]</f>
        <v>0</v>
      </c>
      <c r="O23" s="16">
        <f>+Tabla1[[#This Row],[VALOR A GIRAR
CIERRE 2023-1 ]]+Tabla1[[#This Row],[VALOR DESEMBOLSADO 2023-1 
80% (Concepto técnico)]]</f>
        <v>1872303855.2</v>
      </c>
      <c r="P23" s="25">
        <f>Tabla1[[#This Row],[VALOR PROYECTADO 2023-1]]-Tabla1[[#This Row],[VALOR EJECUTADO 2023-1]]</f>
        <v>468075963.79999995</v>
      </c>
      <c r="Q23" s="26">
        <f>Tabla1[[#This Row],[VALOR EJECUTADO 2023-1]]/Tabla1[[#This Row],[VALOR PROYECTADO 2023-1]]</f>
        <v>0.8</v>
      </c>
      <c r="R23" s="6">
        <f>VLOOKUP(Tabla1[[#This Row],[NOMBRE IES]],'[1]INFORMACIÓN IES'!$B:$M,12,0)</f>
        <v>2340379819</v>
      </c>
      <c r="S23" s="6">
        <f>VLOOKUP(Tabla1[[#This Row],[NOMBRE IES]],'[1]INFORMACIÓN IES'!$B:$N,13,0)</f>
        <v>1872303855</v>
      </c>
      <c r="T23" s="7">
        <f>+Tabla1[[#This Row],[VALOR PROYECTADO 2023-2]]-Tabla1[[#This Row],[VALOR DESEMBOLSADO 2023-2 
80%3]]</f>
        <v>468075964</v>
      </c>
      <c r="U23" s="41" t="s">
        <v>46</v>
      </c>
      <c r="V23" s="8" t="s">
        <v>2</v>
      </c>
      <c r="W23" s="7"/>
      <c r="X23" s="7"/>
      <c r="Y23" s="7"/>
      <c r="Z23" s="9">
        <f>Tabla1[[#This Row],[VALOR PROYECTADO 2023-2]]-Tabla1[[#This Row],[VALOR EJECUTADO 2023-2]]</f>
        <v>2340379819</v>
      </c>
      <c r="AA23" s="1">
        <f>Tabla1[[#This Row],[VALOR EJECUTADO 2023-2]]/Tabla1[[#This Row],[VALOR PROYECTADO 2023-2]]</f>
        <v>0</v>
      </c>
    </row>
    <row r="24" spans="1:27" x14ac:dyDescent="0.25">
      <c r="A24" s="2">
        <v>12</v>
      </c>
      <c r="B24" s="2" t="s">
        <v>79</v>
      </c>
      <c r="C24" s="2" t="s">
        <v>702</v>
      </c>
      <c r="D24" s="2" t="s">
        <v>703</v>
      </c>
      <c r="E24" s="2" t="s">
        <v>75</v>
      </c>
      <c r="F24" s="12">
        <v>2871488245</v>
      </c>
      <c r="G24" s="13">
        <f>Tabla1[[#This Row],[VALOR PROYECTADO 2023-1]]*80%</f>
        <v>2297190596</v>
      </c>
      <c r="I24" s="8" t="s">
        <v>2</v>
      </c>
      <c r="J24" s="8" t="s">
        <v>44</v>
      </c>
      <c r="K24" s="22" t="s">
        <v>236</v>
      </c>
      <c r="L24" s="8"/>
      <c r="M24" s="13">
        <f>Tabla1[[#This Row],[VALOR ESTIMADO  POR DESEMBOLSAR 2023-1 
(20%)]]</f>
        <v>0</v>
      </c>
      <c r="O24" s="16">
        <f>+Tabla1[[#This Row],[VALOR A GIRAR
CIERRE 2023-1 ]]+Tabla1[[#This Row],[VALOR DESEMBOLSADO 2023-1 
80% (Concepto técnico)]]</f>
        <v>2297190596</v>
      </c>
      <c r="P24" s="25">
        <f>Tabla1[[#This Row],[VALOR PROYECTADO 2023-1]]-Tabla1[[#This Row],[VALOR EJECUTADO 2023-1]]</f>
        <v>574297649</v>
      </c>
      <c r="Q24" s="26">
        <f>Tabla1[[#This Row],[VALOR EJECUTADO 2023-1]]/Tabla1[[#This Row],[VALOR PROYECTADO 2023-1]]</f>
        <v>0.8</v>
      </c>
      <c r="R24" s="6">
        <f>VLOOKUP(Tabla1[[#This Row],[NOMBRE IES]],'[1]INFORMACIÓN IES'!$B:$M,12,0)</f>
        <v>2871488245</v>
      </c>
      <c r="S24" s="6">
        <f>VLOOKUP(Tabla1[[#This Row],[NOMBRE IES]],'[1]INFORMACIÓN IES'!$B:$N,13,0)</f>
        <v>2297190596</v>
      </c>
      <c r="T24" s="7">
        <f>+Tabla1[[#This Row],[VALOR PROYECTADO 2023-2]]-Tabla1[[#This Row],[VALOR DESEMBOLSADO 2023-2 
80%3]]</f>
        <v>574297649</v>
      </c>
      <c r="U24" s="41" t="s">
        <v>46</v>
      </c>
      <c r="V24" s="8" t="s">
        <v>2</v>
      </c>
      <c r="W24" s="7"/>
      <c r="X24" s="7"/>
      <c r="Y24" s="7"/>
      <c r="Z24" s="9">
        <f>Tabla1[[#This Row],[VALOR PROYECTADO 2023-2]]-Tabla1[[#This Row],[VALOR EJECUTADO 2023-2]]</f>
        <v>2871488245</v>
      </c>
      <c r="AA24" s="1">
        <f>Tabla1[[#This Row],[VALOR EJECUTADO 2023-2]]/Tabla1[[#This Row],[VALOR PROYECTADO 2023-2]]</f>
        <v>0</v>
      </c>
    </row>
    <row r="25" spans="1:27" hidden="1" x14ac:dyDescent="0.25">
      <c r="A25" s="2">
        <v>38</v>
      </c>
      <c r="B25" s="2" t="s">
        <v>80</v>
      </c>
      <c r="C25" s="2" t="s">
        <v>704</v>
      </c>
      <c r="D25" s="2" t="s">
        <v>705</v>
      </c>
      <c r="E25" s="2" t="s">
        <v>81</v>
      </c>
      <c r="F25" s="30">
        <v>7850101502</v>
      </c>
      <c r="G25" s="13">
        <v>6280081202</v>
      </c>
      <c r="H25" s="13">
        <f>Tabla1[[#This Row],[VALOR PROYECTADO 2023-1]]*0.2</f>
        <v>1570020300.4000001</v>
      </c>
      <c r="I25" s="8" t="s">
        <v>67</v>
      </c>
      <c r="J25" s="8" t="s">
        <v>51</v>
      </c>
      <c r="K25" s="22"/>
      <c r="L25" s="14">
        <v>45231</v>
      </c>
      <c r="M25" s="36">
        <v>1061514898</v>
      </c>
      <c r="O25" s="16">
        <f>Tabla1[[#This Row],[VALOR DESEMBOLSADO 2023-1 
80% (Concepto técnico)]]</f>
        <v>6280081202</v>
      </c>
      <c r="P25" s="25">
        <f>Tabla1[[#This Row],[VALOR PROYECTADO 2023-1]]-Tabla1[[#This Row],[VALOR EJECUTADO 2023-1]]</f>
        <v>1570020300</v>
      </c>
      <c r="Q25" s="26">
        <f>Tabla1[[#This Row],[VALOR EJECUTADO 2023-1]]/Tabla1[[#This Row],[VALOR PROYECTADO 2023-1]]</f>
        <v>0.80000000005095473</v>
      </c>
      <c r="R25" s="6">
        <f>VLOOKUP(Tabla1[[#This Row],[NOMBRE IES]],'[1]INFORMACIÓN IES'!$B:$M,12,0)</f>
        <v>7999358180</v>
      </c>
      <c r="S25" s="6">
        <f>VLOOKUP(Tabla1[[#This Row],[NOMBRE IES]],'[1]INFORMACIÓN IES'!$B:$N,13,0)</f>
        <v>6399486544</v>
      </c>
      <c r="T25" s="7">
        <f>+Tabla1[[#This Row],[VALOR PROYECTADO 2023-2]]-Tabla1[[#This Row],[VALOR DESEMBOLSADO 2023-2 
80%3]]</f>
        <v>1599871636</v>
      </c>
      <c r="U25" s="40" t="s">
        <v>44</v>
      </c>
      <c r="V25" s="8" t="s">
        <v>2</v>
      </c>
      <c r="W25" s="7"/>
      <c r="X25" s="7"/>
      <c r="Y25" s="7"/>
      <c r="Z25" s="9">
        <f>Tabla1[[#This Row],[VALOR PROYECTADO 2023-2]]-Tabla1[[#This Row],[VALOR EJECUTADO 2023-2]]</f>
        <v>7999358180</v>
      </c>
      <c r="AA25" s="1">
        <f>Tabla1[[#This Row],[VALOR EJECUTADO 2023-2]]/Tabla1[[#This Row],[VALOR PROYECTADO 2023-2]]</f>
        <v>0</v>
      </c>
    </row>
    <row r="26" spans="1:27" ht="23.25" x14ac:dyDescent="0.25">
      <c r="A26" s="2">
        <v>39</v>
      </c>
      <c r="B26" s="2" t="s">
        <v>82</v>
      </c>
      <c r="C26" s="2" t="s">
        <v>704</v>
      </c>
      <c r="D26" s="2" t="s">
        <v>705</v>
      </c>
      <c r="E26" s="2" t="s">
        <v>81</v>
      </c>
      <c r="F26" s="30">
        <v>1062641445</v>
      </c>
      <c r="G26" s="13">
        <v>850113156</v>
      </c>
      <c r="H26" s="13">
        <f>Tabla1[[#This Row],[VALOR PROYECTADO 2023-1]]*0.2</f>
        <v>212528289</v>
      </c>
      <c r="I26" s="8" t="s">
        <v>2</v>
      </c>
      <c r="J26" s="8" t="s">
        <v>44</v>
      </c>
      <c r="K26" s="22" t="s">
        <v>661</v>
      </c>
      <c r="L26" s="8"/>
      <c r="M26" s="13">
        <f>Tabla1[[#This Row],[VALOR ESTIMADO  POR DESEMBOLSAR 2023-1 
(20%)]]</f>
        <v>212528289</v>
      </c>
      <c r="O26" s="16">
        <f>Tabla1[[#This Row],[VALOR DESEMBOLSADO 2023-1 
80% (Concepto técnico)]]</f>
        <v>850113156</v>
      </c>
      <c r="P26" s="25">
        <f>Tabla1[[#This Row],[VALOR PROYECTADO 2023-1]]-Tabla1[[#This Row],[VALOR EJECUTADO 2023-1]]</f>
        <v>212528289</v>
      </c>
      <c r="Q26" s="26">
        <f>Tabla1[[#This Row],[VALOR EJECUTADO 2023-1]]/Tabla1[[#This Row],[VALOR PROYECTADO 2023-1]]</f>
        <v>0.8</v>
      </c>
      <c r="R26" s="6">
        <f>VLOOKUP(Tabla1[[#This Row],[NOMBRE IES]],'[1]INFORMACIÓN IES'!$B:$M,12,0)</f>
        <v>1017667214</v>
      </c>
      <c r="S26" s="6">
        <f>VLOOKUP(Tabla1[[#This Row],[NOMBRE IES]],'[1]INFORMACIÓN IES'!$B:$N,13,0)</f>
        <v>814133771.20000005</v>
      </c>
      <c r="T26" s="7">
        <f>+Tabla1[[#This Row],[VALOR PROYECTADO 2023-2]]-Tabla1[[#This Row],[VALOR DESEMBOLSADO 2023-2 
80%3]]</f>
        <v>203533442.79999995</v>
      </c>
      <c r="U26" s="41" t="s">
        <v>46</v>
      </c>
      <c r="V26" s="8" t="s">
        <v>2</v>
      </c>
      <c r="W26" s="7"/>
      <c r="X26" s="7"/>
      <c r="Y26" s="7"/>
      <c r="Z26" s="9">
        <f>Tabla1[[#This Row],[VALOR PROYECTADO 2023-2]]-Tabla1[[#This Row],[VALOR EJECUTADO 2023-2]]</f>
        <v>1017667214</v>
      </c>
      <c r="AA26" s="1">
        <f>Tabla1[[#This Row],[VALOR EJECUTADO 2023-2]]/Tabla1[[#This Row],[VALOR PROYECTADO 2023-2]]</f>
        <v>0</v>
      </c>
    </row>
    <row r="27" spans="1:27" ht="23.25" x14ac:dyDescent="0.25">
      <c r="A27" s="2">
        <v>40</v>
      </c>
      <c r="B27" s="2" t="s">
        <v>83</v>
      </c>
      <c r="C27" s="2" t="s">
        <v>704</v>
      </c>
      <c r="D27" s="2" t="s">
        <v>706</v>
      </c>
      <c r="E27" s="2" t="s">
        <v>81</v>
      </c>
      <c r="F27" s="30">
        <v>4373230861</v>
      </c>
      <c r="G27" s="13">
        <v>3498584689</v>
      </c>
      <c r="H27" s="13">
        <f>Tabla1[[#This Row],[VALOR PROYECTADO 2023-1]]*0.2</f>
        <v>874646172.20000005</v>
      </c>
      <c r="I27" s="8" t="s">
        <v>2</v>
      </c>
      <c r="J27" s="8" t="s">
        <v>44</v>
      </c>
      <c r="K27" s="22" t="s">
        <v>661</v>
      </c>
      <c r="L27" s="8"/>
      <c r="M27" s="13">
        <f>Tabla1[[#This Row],[VALOR ESTIMADO  POR DESEMBOLSAR 2023-1 
(20%)]]</f>
        <v>874646172.20000005</v>
      </c>
      <c r="O27" s="16">
        <f>Tabla1[[#This Row],[VALOR DESEMBOLSADO 2023-1 
80% (Concepto técnico)]]</f>
        <v>3498584689</v>
      </c>
      <c r="P27" s="25">
        <f>Tabla1[[#This Row],[VALOR PROYECTADO 2023-1]]-Tabla1[[#This Row],[VALOR EJECUTADO 2023-1]]</f>
        <v>874646172</v>
      </c>
      <c r="Q27" s="26">
        <f>Tabla1[[#This Row],[VALOR EJECUTADO 2023-1]]/Tabla1[[#This Row],[VALOR PROYECTADO 2023-1]]</f>
        <v>0.8000000000457328</v>
      </c>
      <c r="R27" s="6">
        <f>VLOOKUP(Tabla1[[#This Row],[NOMBRE IES]],'[1]INFORMACIÓN IES'!$B:$M,12,0)</f>
        <v>4178440131</v>
      </c>
      <c r="S27" s="6">
        <f>VLOOKUP(Tabla1[[#This Row],[NOMBRE IES]],'[1]INFORMACIÓN IES'!$B:$N,13,0)</f>
        <v>3342752104.8000002</v>
      </c>
      <c r="T27" s="7">
        <f>+Tabla1[[#This Row],[VALOR PROYECTADO 2023-2]]-Tabla1[[#This Row],[VALOR DESEMBOLSADO 2023-2 
80%3]]</f>
        <v>835688026.19999981</v>
      </c>
      <c r="U27" s="41" t="s">
        <v>46</v>
      </c>
      <c r="V27" s="8" t="s">
        <v>2</v>
      </c>
      <c r="W27" s="7"/>
      <c r="X27" s="7"/>
      <c r="Y27" s="7"/>
      <c r="Z27" s="9">
        <f>Tabla1[[#This Row],[VALOR PROYECTADO 2023-2]]-Tabla1[[#This Row],[VALOR EJECUTADO 2023-2]]</f>
        <v>4178440131</v>
      </c>
      <c r="AA27" s="1">
        <f>Tabla1[[#This Row],[VALOR EJECUTADO 2023-2]]/Tabla1[[#This Row],[VALOR PROYECTADO 2023-2]]</f>
        <v>0</v>
      </c>
    </row>
    <row r="28" spans="1:27" hidden="1" x14ac:dyDescent="0.25">
      <c r="A28" s="2">
        <v>41</v>
      </c>
      <c r="B28" s="2" t="s">
        <v>84</v>
      </c>
      <c r="C28" s="2" t="s">
        <v>704</v>
      </c>
      <c r="D28" s="2" t="s">
        <v>706</v>
      </c>
      <c r="E28" s="2" t="s">
        <v>81</v>
      </c>
      <c r="F28" s="30">
        <v>2496575230</v>
      </c>
      <c r="G28" s="13">
        <v>1997260184</v>
      </c>
      <c r="H28" s="13">
        <f>Tabla1[[#This Row],[VALOR PROYECTADO 2023-1]]*0.2</f>
        <v>499315046</v>
      </c>
      <c r="I28" s="8" t="s">
        <v>110</v>
      </c>
      <c r="J28" s="8" t="s">
        <v>44</v>
      </c>
      <c r="K28" s="22" t="s">
        <v>663</v>
      </c>
      <c r="L28" s="8"/>
      <c r="M28" s="13">
        <f>Tabla1[[#This Row],[VALOR ESTIMADO  POR DESEMBOLSAR 2023-1 
(20%)]]</f>
        <v>499315046</v>
      </c>
      <c r="O28" s="16">
        <f>Tabla1[[#This Row],[VALOR DESEMBOLSADO 2023-1 
80% (Concepto técnico)]]</f>
        <v>1997260184</v>
      </c>
      <c r="P28" s="25">
        <f>Tabla1[[#This Row],[VALOR PROYECTADO 2023-1]]-Tabla1[[#This Row],[VALOR EJECUTADO 2023-1]]</f>
        <v>499315046</v>
      </c>
      <c r="Q28" s="26">
        <f>Tabla1[[#This Row],[VALOR EJECUTADO 2023-1]]/Tabla1[[#This Row],[VALOR PROYECTADO 2023-1]]</f>
        <v>0.8</v>
      </c>
      <c r="R28" s="6">
        <f>VLOOKUP(Tabla1[[#This Row],[NOMBRE IES]],'[1]INFORMACIÓN IES'!$B:$M,12,0)</f>
        <v>2699101907</v>
      </c>
      <c r="S28" s="6">
        <f>VLOOKUP(Tabla1[[#This Row],[NOMBRE IES]],'[1]INFORMACIÓN IES'!$B:$N,13,0)</f>
        <v>2159281525.5999999</v>
      </c>
      <c r="T28" s="7">
        <f>+Tabla1[[#This Row],[VALOR PROYECTADO 2023-2]]-Tabla1[[#This Row],[VALOR DESEMBOLSADO 2023-2 
80%3]]</f>
        <v>539820381.4000001</v>
      </c>
      <c r="U28" s="41" t="s">
        <v>46</v>
      </c>
      <c r="V28" s="8" t="s">
        <v>2</v>
      </c>
      <c r="W28" s="7"/>
      <c r="X28" s="7"/>
      <c r="Y28" s="7"/>
      <c r="Z28" s="9">
        <f>Tabla1[[#This Row],[VALOR PROYECTADO 2023-2]]-Tabla1[[#This Row],[VALOR EJECUTADO 2023-2]]</f>
        <v>2699101907</v>
      </c>
      <c r="AA28" s="1">
        <f>Tabla1[[#This Row],[VALOR EJECUTADO 2023-2]]/Tabla1[[#This Row],[VALOR PROYECTADO 2023-2]]</f>
        <v>0</v>
      </c>
    </row>
    <row r="29" spans="1:27" hidden="1" x14ac:dyDescent="0.25">
      <c r="A29" s="2">
        <v>42</v>
      </c>
      <c r="B29" s="2" t="s">
        <v>85</v>
      </c>
      <c r="C29" s="2" t="s">
        <v>704</v>
      </c>
      <c r="D29" s="2" t="s">
        <v>706</v>
      </c>
      <c r="E29" s="2" t="s">
        <v>81</v>
      </c>
      <c r="F29" s="30">
        <v>7235460742</v>
      </c>
      <c r="G29" s="13">
        <v>5788368594</v>
      </c>
      <c r="H29" s="13">
        <f>Tabla1[[#This Row],[VALOR PROYECTADO 2023-1]]*0.2</f>
        <v>1447092148.4000001</v>
      </c>
      <c r="I29" s="8" t="s">
        <v>67</v>
      </c>
      <c r="J29" s="8" t="s">
        <v>51</v>
      </c>
      <c r="K29" s="22"/>
      <c r="L29" s="14">
        <v>45231</v>
      </c>
      <c r="M29" s="13">
        <v>631719631</v>
      </c>
      <c r="O29" s="16">
        <f>Tabla1[[#This Row],[VALOR DESEMBOLSADO 2023-1 
80% (Concepto técnico)]]</f>
        <v>5788368594</v>
      </c>
      <c r="P29" s="25">
        <f>Tabla1[[#This Row],[VALOR PROYECTADO 2023-1]]-Tabla1[[#This Row],[VALOR EJECUTADO 2023-1]]</f>
        <v>1447092148</v>
      </c>
      <c r="Q29" s="26">
        <f>Tabla1[[#This Row],[VALOR EJECUTADO 2023-1]]/Tabla1[[#This Row],[VALOR PROYECTADO 2023-1]]</f>
        <v>0.80000000005528327</v>
      </c>
      <c r="R29" s="6">
        <f>VLOOKUP(Tabla1[[#This Row],[NOMBRE IES]],'[1]INFORMACIÓN IES'!$B:$M,12,0)</f>
        <v>6941515048</v>
      </c>
      <c r="S29" s="6">
        <f>VLOOKUP(Tabla1[[#This Row],[NOMBRE IES]],'[1]INFORMACIÓN IES'!$B:$N,13,0)</f>
        <v>5553212038.4000006</v>
      </c>
      <c r="T29" s="7">
        <f>+Tabla1[[#This Row],[VALOR PROYECTADO 2023-2]]-Tabla1[[#This Row],[VALOR DESEMBOLSADO 2023-2 
80%3]]</f>
        <v>1388303009.5999994</v>
      </c>
      <c r="U29" s="40" t="s">
        <v>44</v>
      </c>
      <c r="V29" s="8" t="s">
        <v>2</v>
      </c>
      <c r="W29" s="7"/>
      <c r="X29" s="7"/>
      <c r="Y29" s="7"/>
      <c r="Z29" s="9">
        <f>Tabla1[[#This Row],[VALOR PROYECTADO 2023-2]]-Tabla1[[#This Row],[VALOR EJECUTADO 2023-2]]</f>
        <v>6941515048</v>
      </c>
      <c r="AA29" s="1">
        <f>Tabla1[[#This Row],[VALOR EJECUTADO 2023-2]]/Tabla1[[#This Row],[VALOR PROYECTADO 2023-2]]</f>
        <v>0</v>
      </c>
    </row>
    <row r="30" spans="1:27" hidden="1" x14ac:dyDescent="0.25">
      <c r="A30" s="2">
        <v>43</v>
      </c>
      <c r="B30" s="2" t="s">
        <v>86</v>
      </c>
      <c r="C30" s="2" t="s">
        <v>704</v>
      </c>
      <c r="D30" s="2" t="s">
        <v>706</v>
      </c>
      <c r="E30" s="2" t="s">
        <v>81</v>
      </c>
      <c r="F30" s="30">
        <v>14538266912</v>
      </c>
      <c r="G30" s="13">
        <v>11630613530</v>
      </c>
      <c r="H30" s="13">
        <f>Tabla1[[#This Row],[VALOR PROYECTADO 2023-1]]*0.2</f>
        <v>2907653382.4000001</v>
      </c>
      <c r="I30" s="8" t="s">
        <v>67</v>
      </c>
      <c r="J30" s="8" t="s">
        <v>51</v>
      </c>
      <c r="K30" s="22"/>
      <c r="L30" s="14">
        <v>45226</v>
      </c>
      <c r="M30" s="13">
        <v>554058953</v>
      </c>
      <c r="O30" s="16">
        <f>Tabla1[[#This Row],[VALOR DESEMBOLSADO 2023-1 
80% (Concepto técnico)]]</f>
        <v>11630613530</v>
      </c>
      <c r="P30" s="25">
        <f>Tabla1[[#This Row],[VALOR PROYECTADO 2023-1]]-Tabla1[[#This Row],[VALOR EJECUTADO 2023-1]]</f>
        <v>2907653382</v>
      </c>
      <c r="Q30" s="26">
        <f>Tabla1[[#This Row],[VALOR EJECUTADO 2023-1]]/Tabla1[[#This Row],[VALOR PROYECTADO 2023-1]]</f>
        <v>0.80000000002751359</v>
      </c>
      <c r="R30" s="6">
        <f>VLOOKUP(Tabla1[[#This Row],[NOMBRE IES]],'[1]INFORMACIÓN IES'!$B:$M,12,0)</f>
        <v>13034680269</v>
      </c>
      <c r="S30" s="6">
        <f>VLOOKUP(Tabla1[[#This Row],[NOMBRE IES]],'[1]INFORMACIÓN IES'!$B:$N,13,0)</f>
        <v>10427744215.200001</v>
      </c>
      <c r="T30" s="7">
        <f>+Tabla1[[#This Row],[VALOR PROYECTADO 2023-2]]-Tabla1[[#This Row],[VALOR DESEMBOLSADO 2023-2 
80%3]]</f>
        <v>2606936053.7999992</v>
      </c>
      <c r="U30" s="40" t="s">
        <v>44</v>
      </c>
      <c r="V30" s="8" t="s">
        <v>2</v>
      </c>
      <c r="W30" s="7"/>
      <c r="X30" s="7"/>
      <c r="Y30" s="7"/>
      <c r="Z30" s="9">
        <f>Tabla1[[#This Row],[VALOR PROYECTADO 2023-2]]-Tabla1[[#This Row],[VALOR EJECUTADO 2023-2]]</f>
        <v>13034680269</v>
      </c>
      <c r="AA30" s="1">
        <f>Tabla1[[#This Row],[VALOR EJECUTADO 2023-2]]/Tabla1[[#This Row],[VALOR PROYECTADO 2023-2]]</f>
        <v>0</v>
      </c>
    </row>
    <row r="31" spans="1:27" ht="23.25" x14ac:dyDescent="0.25">
      <c r="A31" s="2">
        <v>44</v>
      </c>
      <c r="B31" s="2" t="s">
        <v>87</v>
      </c>
      <c r="C31" s="2" t="s">
        <v>704</v>
      </c>
      <c r="D31" s="2" t="s">
        <v>706</v>
      </c>
      <c r="E31" s="2" t="s">
        <v>81</v>
      </c>
      <c r="F31" s="30">
        <v>12861265399</v>
      </c>
      <c r="G31" s="13">
        <v>10289012319</v>
      </c>
      <c r="H31" s="13">
        <f>Tabla1[[#This Row],[VALOR PROYECTADO 2023-1]]*0.2</f>
        <v>2572253079.8000002</v>
      </c>
      <c r="I31" s="8" t="s">
        <v>2</v>
      </c>
      <c r="J31" s="8" t="s">
        <v>44</v>
      </c>
      <c r="K31" s="22" t="s">
        <v>707</v>
      </c>
      <c r="L31" s="8"/>
      <c r="M31" s="13">
        <f>Tabla1[[#This Row],[VALOR ESTIMADO  POR DESEMBOLSAR 2023-1 
(20%)]]</f>
        <v>2572253079.8000002</v>
      </c>
      <c r="O31" s="16">
        <f>Tabla1[[#This Row],[VALOR DESEMBOLSADO 2023-1 
80% (Concepto técnico)]]</f>
        <v>10289012319</v>
      </c>
      <c r="P31" s="25">
        <f>Tabla1[[#This Row],[VALOR PROYECTADO 2023-1]]-Tabla1[[#This Row],[VALOR EJECUTADO 2023-1]]</f>
        <v>2572253080</v>
      </c>
      <c r="Q31" s="26">
        <f>Tabla1[[#This Row],[VALOR EJECUTADO 2023-1]]/Tabla1[[#This Row],[VALOR PROYECTADO 2023-1]]</f>
        <v>0.79999999998444948</v>
      </c>
      <c r="R31" s="6">
        <f>VLOOKUP(Tabla1[[#This Row],[NOMBRE IES]],'[1]INFORMACIÓN IES'!$B:$M,12,0)</f>
        <v>14311258280</v>
      </c>
      <c r="S31" s="6">
        <f>VLOOKUP(Tabla1[[#This Row],[NOMBRE IES]],'[1]INFORMACIÓN IES'!$B:$N,13,0)</f>
        <v>11449006624</v>
      </c>
      <c r="T31" s="7">
        <f>+Tabla1[[#This Row],[VALOR PROYECTADO 2023-2]]-Tabla1[[#This Row],[VALOR DESEMBOLSADO 2023-2 
80%3]]</f>
        <v>2862251656</v>
      </c>
      <c r="U31" s="41" t="s">
        <v>46</v>
      </c>
      <c r="V31" s="8" t="s">
        <v>2</v>
      </c>
      <c r="W31" s="7"/>
      <c r="X31" s="7"/>
      <c r="Y31" s="7"/>
      <c r="Z31" s="9">
        <f>Tabla1[[#This Row],[VALOR PROYECTADO 2023-2]]-Tabla1[[#This Row],[VALOR EJECUTADO 2023-2]]</f>
        <v>14311258280</v>
      </c>
      <c r="AA31" s="1">
        <f>Tabla1[[#This Row],[VALOR EJECUTADO 2023-2]]/Tabla1[[#This Row],[VALOR PROYECTADO 2023-2]]</f>
        <v>0</v>
      </c>
    </row>
    <row r="32" spans="1:27" x14ac:dyDescent="0.25">
      <c r="A32" s="2">
        <v>45</v>
      </c>
      <c r="B32" s="2" t="s">
        <v>88</v>
      </c>
      <c r="C32" s="2" t="s">
        <v>704</v>
      </c>
      <c r="D32" s="2" t="s">
        <v>706</v>
      </c>
      <c r="E32" s="2" t="s">
        <v>81</v>
      </c>
      <c r="F32" s="30">
        <v>10781898068</v>
      </c>
      <c r="G32" s="13">
        <v>8625518454</v>
      </c>
      <c r="H32" s="13">
        <f>Tabla1[[#This Row],[VALOR PROYECTADO 2023-1]]*0.2</f>
        <v>2156379613.5999999</v>
      </c>
      <c r="I32" s="8" t="s">
        <v>2</v>
      </c>
      <c r="J32" s="8" t="s">
        <v>44</v>
      </c>
      <c r="K32" s="22" t="s">
        <v>662</v>
      </c>
      <c r="L32" s="8"/>
      <c r="M32" s="13">
        <f>Tabla1[[#This Row],[VALOR ESTIMADO  POR DESEMBOLSAR 2023-1 
(20%)]]</f>
        <v>2156379613.5999999</v>
      </c>
      <c r="O32" s="16">
        <f>Tabla1[[#This Row],[VALOR DESEMBOLSADO 2023-1 
80% (Concepto técnico)]]</f>
        <v>8625518454</v>
      </c>
      <c r="P32" s="25">
        <f>Tabla1[[#This Row],[VALOR PROYECTADO 2023-1]]-Tabla1[[#This Row],[VALOR EJECUTADO 2023-1]]</f>
        <v>2156379614</v>
      </c>
      <c r="Q32" s="26">
        <f>Tabla1[[#This Row],[VALOR EJECUTADO 2023-1]]/Tabla1[[#This Row],[VALOR PROYECTADO 2023-1]]</f>
        <v>0.79999999996290083</v>
      </c>
      <c r="R32" s="6">
        <f>VLOOKUP(Tabla1[[#This Row],[NOMBRE IES]],'[1]INFORMACIÓN IES'!$B:$M,12,0)</f>
        <v>6746242853</v>
      </c>
      <c r="S32" s="6">
        <f>VLOOKUP(Tabla1[[#This Row],[NOMBRE IES]],'[1]INFORMACIÓN IES'!$B:$N,13,0)</f>
        <v>5396994282.4000006</v>
      </c>
      <c r="T32" s="7">
        <f>+Tabla1[[#This Row],[VALOR PROYECTADO 2023-2]]-Tabla1[[#This Row],[VALOR DESEMBOLSADO 2023-2 
80%3]]</f>
        <v>1349248570.5999994</v>
      </c>
      <c r="U32" s="41" t="s">
        <v>46</v>
      </c>
      <c r="V32" s="8" t="s">
        <v>2</v>
      </c>
      <c r="W32" s="7"/>
      <c r="X32" s="7"/>
      <c r="Y32" s="7"/>
      <c r="Z32" s="9">
        <f>Tabla1[[#This Row],[VALOR PROYECTADO 2023-2]]-Tabla1[[#This Row],[VALOR EJECUTADO 2023-2]]</f>
        <v>6746242853</v>
      </c>
      <c r="AA32" s="1">
        <f>Tabla1[[#This Row],[VALOR EJECUTADO 2023-2]]/Tabla1[[#This Row],[VALOR PROYECTADO 2023-2]]</f>
        <v>0</v>
      </c>
    </row>
    <row r="33" spans="1:27" hidden="1" x14ac:dyDescent="0.25">
      <c r="A33" s="2">
        <v>46</v>
      </c>
      <c r="B33" s="2" t="s">
        <v>89</v>
      </c>
      <c r="C33" s="2" t="s">
        <v>704</v>
      </c>
      <c r="D33" s="2" t="s">
        <v>706</v>
      </c>
      <c r="E33" s="2" t="s">
        <v>81</v>
      </c>
      <c r="F33" s="30">
        <v>8875077165</v>
      </c>
      <c r="G33" s="13">
        <v>7100061732</v>
      </c>
      <c r="H33" s="13">
        <f>Tabla1[[#This Row],[VALOR PROYECTADO 2023-1]]*0.2</f>
        <v>1775015433</v>
      </c>
      <c r="I33" s="8" t="s">
        <v>110</v>
      </c>
      <c r="J33" s="8" t="s">
        <v>44</v>
      </c>
      <c r="K33" s="22" t="s">
        <v>663</v>
      </c>
      <c r="L33" s="8"/>
      <c r="M33" s="13">
        <f>Tabla1[[#This Row],[VALOR ESTIMADO  POR DESEMBOLSAR 2023-1 
(20%)]]</f>
        <v>1775015433</v>
      </c>
      <c r="O33" s="16">
        <f>Tabla1[[#This Row],[VALOR DESEMBOLSADO 2023-1 
80% (Concepto técnico)]]</f>
        <v>7100061732</v>
      </c>
      <c r="P33" s="25">
        <f>Tabla1[[#This Row],[VALOR PROYECTADO 2023-1]]-Tabla1[[#This Row],[VALOR EJECUTADO 2023-1]]</f>
        <v>1775015433</v>
      </c>
      <c r="Q33" s="26">
        <f>Tabla1[[#This Row],[VALOR EJECUTADO 2023-1]]/Tabla1[[#This Row],[VALOR PROYECTADO 2023-1]]</f>
        <v>0.8</v>
      </c>
      <c r="R33" s="6">
        <f>VLOOKUP(Tabla1[[#This Row],[NOMBRE IES]],'[1]INFORMACIÓN IES'!$B:$M,12,0)</f>
        <v>7254318640</v>
      </c>
      <c r="S33" s="6">
        <f>VLOOKUP(Tabla1[[#This Row],[NOMBRE IES]],'[1]INFORMACIÓN IES'!$B:$N,13,0)</f>
        <v>5803454912</v>
      </c>
      <c r="T33" s="7">
        <f>+Tabla1[[#This Row],[VALOR PROYECTADO 2023-2]]-Tabla1[[#This Row],[VALOR DESEMBOLSADO 2023-2 
80%3]]</f>
        <v>1450863728</v>
      </c>
      <c r="U33" s="41" t="s">
        <v>46</v>
      </c>
      <c r="V33" s="8" t="s">
        <v>2</v>
      </c>
      <c r="W33" s="7"/>
      <c r="X33" s="7"/>
      <c r="Y33" s="7"/>
      <c r="Z33" s="9">
        <f>Tabla1[[#This Row],[VALOR PROYECTADO 2023-2]]-Tabla1[[#This Row],[VALOR EJECUTADO 2023-2]]</f>
        <v>7254318640</v>
      </c>
      <c r="AA33" s="1">
        <f>Tabla1[[#This Row],[VALOR EJECUTADO 2023-2]]/Tabla1[[#This Row],[VALOR PROYECTADO 2023-2]]</f>
        <v>0</v>
      </c>
    </row>
    <row r="34" spans="1:27" x14ac:dyDescent="0.25">
      <c r="A34" s="2">
        <v>13</v>
      </c>
      <c r="B34" s="2" t="s">
        <v>90</v>
      </c>
      <c r="C34" s="2" t="s">
        <v>708</v>
      </c>
      <c r="D34" s="2" t="s">
        <v>709</v>
      </c>
      <c r="E34" s="2" t="s">
        <v>531</v>
      </c>
      <c r="F34" s="12">
        <v>710730824</v>
      </c>
      <c r="G34" s="13">
        <f>Tabla1[[#This Row],[VALOR PROYECTADO 2023-1]]*80%</f>
        <v>568584659.20000005</v>
      </c>
      <c r="I34" s="8" t="s">
        <v>2</v>
      </c>
      <c r="J34" s="8" t="s">
        <v>44</v>
      </c>
      <c r="K34" s="22"/>
      <c r="L34" s="8"/>
      <c r="M34" s="13">
        <f>Tabla1[[#This Row],[VALOR ESTIMADO  POR DESEMBOLSAR 2023-1 
(20%)]]</f>
        <v>0</v>
      </c>
      <c r="O34" s="16">
        <f>+Tabla1[[#This Row],[VALOR A GIRAR
CIERRE 2023-1 ]]+Tabla1[[#This Row],[VALOR DESEMBOLSADO 2023-1 
80% (Concepto técnico)]]</f>
        <v>568584659.20000005</v>
      </c>
      <c r="P34" s="25">
        <f>Tabla1[[#This Row],[VALOR PROYECTADO 2023-1]]-Tabla1[[#This Row],[VALOR EJECUTADO 2023-1]]</f>
        <v>142146164.79999995</v>
      </c>
      <c r="Q34" s="26">
        <f>Tabla1[[#This Row],[VALOR EJECUTADO 2023-1]]/Tabla1[[#This Row],[VALOR PROYECTADO 2023-1]]</f>
        <v>0.8</v>
      </c>
      <c r="R34" s="6">
        <f>VLOOKUP(Tabla1[[#This Row],[NOMBRE IES]],'[1]INFORMACIÓN IES'!$B:$M,12,0)</f>
        <v>149470874</v>
      </c>
      <c r="S34" s="6">
        <f>VLOOKUP(Tabla1[[#This Row],[NOMBRE IES]],'[1]INFORMACIÓN IES'!$B:$N,13,0)</f>
        <v>119576699</v>
      </c>
      <c r="T34" s="7">
        <f>+Tabla1[[#This Row],[VALOR PROYECTADO 2023-2]]-Tabla1[[#This Row],[VALOR DESEMBOLSADO 2023-2 
80%3]]</f>
        <v>29894175</v>
      </c>
      <c r="U34" s="41" t="s">
        <v>46</v>
      </c>
      <c r="V34" s="8" t="s">
        <v>2</v>
      </c>
      <c r="W34" s="7"/>
      <c r="X34" s="7"/>
      <c r="Y34" s="7"/>
      <c r="Z34" s="9">
        <f>Tabla1[[#This Row],[VALOR PROYECTADO 2023-2]]-Tabla1[[#This Row],[VALOR EJECUTADO 2023-2]]</f>
        <v>149470874</v>
      </c>
      <c r="AA34" s="1">
        <f>Tabla1[[#This Row],[VALOR EJECUTADO 2023-2]]/Tabla1[[#This Row],[VALOR PROYECTADO 2023-2]]</f>
        <v>0</v>
      </c>
    </row>
    <row r="35" spans="1:27" hidden="1" x14ac:dyDescent="0.25">
      <c r="A35" s="2">
        <v>14</v>
      </c>
      <c r="B35" s="2" t="s">
        <v>92</v>
      </c>
      <c r="C35" s="2" t="s">
        <v>708</v>
      </c>
      <c r="D35" s="2" t="s">
        <v>710</v>
      </c>
      <c r="E35" s="2" t="s">
        <v>531</v>
      </c>
      <c r="F35" s="12">
        <v>243697305</v>
      </c>
      <c r="G35" s="13">
        <f>Tabla1[[#This Row],[VALOR PROYECTADO 2023-1]]*80%</f>
        <v>194957844</v>
      </c>
      <c r="H35" s="13">
        <v>60011317</v>
      </c>
      <c r="I35" s="8" t="s">
        <v>67</v>
      </c>
      <c r="J35" s="8" t="s">
        <v>51</v>
      </c>
      <c r="K35" s="22"/>
      <c r="L35" s="8"/>
      <c r="M35" s="13">
        <f>Tabla1[[#This Row],[VALOR ESTIMADO  POR DESEMBOLSAR 2023-1 
(20%)]]</f>
        <v>60011317</v>
      </c>
      <c r="O35" s="16">
        <f>+Tabla1[[#This Row],[VALOR A GIRAR
CIERRE 2023-1 ]]+Tabla1[[#This Row],[VALOR DESEMBOLSADO 2023-1 
80% (Concepto técnico)]]</f>
        <v>254969161</v>
      </c>
      <c r="P35" s="24">
        <f>Tabla1[[#This Row],[VALOR PROYECTADO 2023-1]]-Tabla1[[#This Row],[VALOR EJECUTADO 2023-1]]</f>
        <v>-11271856</v>
      </c>
      <c r="Q35" s="26">
        <f>Tabla1[[#This Row],[VALOR EJECUTADO 2023-1]]/Tabla1[[#This Row],[VALOR PROYECTADO 2023-1]]</f>
        <v>1.0462535110923774</v>
      </c>
      <c r="R35" s="6">
        <f>VLOOKUP(Tabla1[[#This Row],[NOMBRE IES]],'[1]INFORMACIÓN IES'!$B:$M,12,0)</f>
        <v>280466077</v>
      </c>
      <c r="S35" s="6">
        <f>VLOOKUP(Tabla1[[#This Row],[NOMBRE IES]],'[1]INFORMACIÓN IES'!$B:$N,13,0)</f>
        <v>224372861</v>
      </c>
      <c r="T35" s="7">
        <f>+Tabla1[[#This Row],[VALOR PROYECTADO 2023-2]]-Tabla1[[#This Row],[VALOR DESEMBOLSADO 2023-2 
80%3]]</f>
        <v>56093216</v>
      </c>
      <c r="U35" s="40" t="s">
        <v>44</v>
      </c>
      <c r="V35" s="8" t="s">
        <v>2</v>
      </c>
      <c r="W35" s="7"/>
      <c r="X35" s="7"/>
      <c r="Y35" s="7"/>
      <c r="Z35" s="9">
        <f>Tabla1[[#This Row],[VALOR PROYECTADO 2023-2]]-Tabla1[[#This Row],[VALOR EJECUTADO 2023-2]]</f>
        <v>280466077</v>
      </c>
      <c r="AA35" s="1">
        <f>Tabla1[[#This Row],[VALOR EJECUTADO 2023-2]]/Tabla1[[#This Row],[VALOR PROYECTADO 2023-2]]</f>
        <v>0</v>
      </c>
    </row>
    <row r="36" spans="1:27" x14ac:dyDescent="0.25">
      <c r="A36" s="2">
        <v>15</v>
      </c>
      <c r="B36" s="2" t="s">
        <v>93</v>
      </c>
      <c r="C36" s="2" t="s">
        <v>708</v>
      </c>
      <c r="D36" s="2" t="s">
        <v>710</v>
      </c>
      <c r="E36" s="2" t="s">
        <v>531</v>
      </c>
      <c r="F36" s="12">
        <v>8831728849</v>
      </c>
      <c r="G36" s="13">
        <f>Tabla1[[#This Row],[VALOR PROYECTADO 2023-1]]*80%</f>
        <v>7065383079.2000008</v>
      </c>
      <c r="I36" s="8" t="s">
        <v>2</v>
      </c>
      <c r="J36" s="8" t="s">
        <v>44</v>
      </c>
      <c r="K36" s="22" t="s">
        <v>664</v>
      </c>
      <c r="L36" s="8"/>
      <c r="M36" s="13">
        <f>Tabla1[[#This Row],[VALOR ESTIMADO  POR DESEMBOLSAR 2023-1 
(20%)]]</f>
        <v>0</v>
      </c>
      <c r="O36" s="16">
        <f>+Tabla1[[#This Row],[VALOR A GIRAR
CIERRE 2023-1 ]]+Tabla1[[#This Row],[VALOR DESEMBOLSADO 2023-1 
80% (Concepto técnico)]]</f>
        <v>7065383079.2000008</v>
      </c>
      <c r="P36" s="25">
        <f>Tabla1[[#This Row],[VALOR PROYECTADO 2023-1]]-Tabla1[[#This Row],[VALOR EJECUTADO 2023-1]]</f>
        <v>1766345769.7999992</v>
      </c>
      <c r="Q36" s="26">
        <f>Tabla1[[#This Row],[VALOR EJECUTADO 2023-1]]/Tabla1[[#This Row],[VALOR PROYECTADO 2023-1]]</f>
        <v>0.8</v>
      </c>
      <c r="R36" s="6">
        <f>VLOOKUP(Tabla1[[#This Row],[NOMBRE IES]],'[1]INFORMACIÓN IES'!$B:$M,12,0)</f>
        <v>9251638000</v>
      </c>
      <c r="S36" s="6">
        <f>VLOOKUP(Tabla1[[#This Row],[NOMBRE IES]],'[1]INFORMACIÓN IES'!$B:$N,13,0)</f>
        <v>7401310400</v>
      </c>
      <c r="T36" s="7">
        <f>+Tabla1[[#This Row],[VALOR PROYECTADO 2023-2]]-Tabla1[[#This Row],[VALOR DESEMBOLSADO 2023-2 
80%3]]</f>
        <v>1850327600</v>
      </c>
      <c r="U36" s="41" t="s">
        <v>46</v>
      </c>
      <c r="V36" s="8" t="s">
        <v>2</v>
      </c>
      <c r="W36" s="7"/>
      <c r="X36" s="7"/>
      <c r="Y36" s="7"/>
      <c r="Z36" s="9">
        <f>Tabla1[[#This Row],[VALOR PROYECTADO 2023-2]]-Tabla1[[#This Row],[VALOR EJECUTADO 2023-2]]</f>
        <v>9251638000</v>
      </c>
      <c r="AA36" s="1">
        <f>Tabla1[[#This Row],[VALOR EJECUTADO 2023-2]]/Tabla1[[#This Row],[VALOR PROYECTADO 2023-2]]</f>
        <v>0</v>
      </c>
    </row>
    <row r="37" spans="1:27" x14ac:dyDescent="0.25">
      <c r="A37" s="2">
        <v>16</v>
      </c>
      <c r="B37" s="2" t="s">
        <v>94</v>
      </c>
      <c r="C37" s="2" t="s">
        <v>711</v>
      </c>
      <c r="D37" s="2" t="s">
        <v>712</v>
      </c>
      <c r="E37" s="2" t="s">
        <v>531</v>
      </c>
      <c r="F37" s="12">
        <v>6442433158</v>
      </c>
      <c r="G37" s="13">
        <f>Tabla1[[#This Row],[VALOR PROYECTADO 2023-1]]*80%</f>
        <v>5153946526.4000006</v>
      </c>
      <c r="I37" s="8" t="s">
        <v>2</v>
      </c>
      <c r="J37" s="8" t="s">
        <v>44</v>
      </c>
      <c r="K37" s="22"/>
      <c r="L37" s="8"/>
      <c r="M37" s="13">
        <f>Tabla1[[#This Row],[VALOR ESTIMADO  POR DESEMBOLSAR 2023-1 
(20%)]]</f>
        <v>0</v>
      </c>
      <c r="O37" s="16">
        <f>+Tabla1[[#This Row],[VALOR A GIRAR
CIERRE 2023-1 ]]+Tabla1[[#This Row],[VALOR DESEMBOLSADO 2023-1 
80% (Concepto técnico)]]</f>
        <v>5153946526.4000006</v>
      </c>
      <c r="P37" s="25">
        <f>Tabla1[[#This Row],[VALOR PROYECTADO 2023-1]]-Tabla1[[#This Row],[VALOR EJECUTADO 2023-1]]</f>
        <v>1288486631.5999994</v>
      </c>
      <c r="Q37" s="26">
        <f>Tabla1[[#This Row],[VALOR EJECUTADO 2023-1]]/Tabla1[[#This Row],[VALOR PROYECTADO 2023-1]]</f>
        <v>0.8</v>
      </c>
      <c r="R37" s="6">
        <f>VLOOKUP(Tabla1[[#This Row],[NOMBRE IES]],'[1]INFORMACIÓN IES'!$B:$M,12,0)</f>
        <v>5846245947</v>
      </c>
      <c r="S37" s="6">
        <f>VLOOKUP(Tabla1[[#This Row],[NOMBRE IES]],'[1]INFORMACIÓN IES'!$B:$N,13,0)</f>
        <v>4676996758</v>
      </c>
      <c r="T37" s="7">
        <f>+Tabla1[[#This Row],[VALOR PROYECTADO 2023-2]]-Tabla1[[#This Row],[VALOR DESEMBOLSADO 2023-2 
80%3]]</f>
        <v>1169249189</v>
      </c>
      <c r="U37" s="41" t="s">
        <v>46</v>
      </c>
      <c r="V37" s="8" t="s">
        <v>2</v>
      </c>
      <c r="W37" s="7"/>
      <c r="X37" s="7"/>
      <c r="Y37" s="7"/>
      <c r="Z37" s="9">
        <f>Tabla1[[#This Row],[VALOR PROYECTADO 2023-2]]-Tabla1[[#This Row],[VALOR EJECUTADO 2023-2]]</f>
        <v>5846245947</v>
      </c>
      <c r="AA37" s="1">
        <f>Tabla1[[#This Row],[VALOR EJECUTADO 2023-2]]/Tabla1[[#This Row],[VALOR PROYECTADO 2023-2]]</f>
        <v>0</v>
      </c>
    </row>
    <row r="38" spans="1:27" ht="23.25" x14ac:dyDescent="0.25">
      <c r="A38" s="2">
        <v>17</v>
      </c>
      <c r="B38" s="2" t="s">
        <v>95</v>
      </c>
      <c r="C38" s="2" t="s">
        <v>713</v>
      </c>
      <c r="D38" s="2" t="s">
        <v>714</v>
      </c>
      <c r="E38" s="2" t="s">
        <v>531</v>
      </c>
      <c r="F38" s="12">
        <v>10252255310</v>
      </c>
      <c r="G38" s="13">
        <f>Tabla1[[#This Row],[VALOR PROYECTADO 2023-1]]*80%</f>
        <v>8201804248</v>
      </c>
      <c r="I38" s="8" t="s">
        <v>2</v>
      </c>
      <c r="J38" s="8" t="s">
        <v>44</v>
      </c>
      <c r="K38" s="22" t="s">
        <v>665</v>
      </c>
      <c r="L38" s="8"/>
      <c r="M38" s="13">
        <f>Tabla1[[#This Row],[VALOR ESTIMADO  POR DESEMBOLSAR 2023-1 
(20%)]]</f>
        <v>0</v>
      </c>
      <c r="O38" s="16">
        <f>+Tabla1[[#This Row],[VALOR A GIRAR
CIERRE 2023-1 ]]+Tabla1[[#This Row],[VALOR DESEMBOLSADO 2023-1 
80% (Concepto técnico)]]</f>
        <v>8201804248</v>
      </c>
      <c r="P38" s="25">
        <f>Tabla1[[#This Row],[VALOR PROYECTADO 2023-1]]-Tabla1[[#This Row],[VALOR EJECUTADO 2023-1]]</f>
        <v>2050451062</v>
      </c>
      <c r="Q38" s="26">
        <f>Tabla1[[#This Row],[VALOR EJECUTADO 2023-1]]/Tabla1[[#This Row],[VALOR PROYECTADO 2023-1]]</f>
        <v>0.8</v>
      </c>
      <c r="R38" s="6">
        <f>VLOOKUP(Tabla1[[#This Row],[NOMBRE IES]],'[1]INFORMACIÓN IES'!$B:$M,12,0)</f>
        <v>8159406846</v>
      </c>
      <c r="S38" s="6">
        <f>VLOOKUP(Tabla1[[#This Row],[NOMBRE IES]],'[1]INFORMACIÓN IES'!$B:$N,13,0)</f>
        <v>6527525476</v>
      </c>
      <c r="T38" s="7">
        <f>+Tabla1[[#This Row],[VALOR PROYECTADO 2023-2]]-Tabla1[[#This Row],[VALOR DESEMBOLSADO 2023-2 
80%3]]</f>
        <v>1631881370</v>
      </c>
      <c r="U38" s="41" t="s">
        <v>46</v>
      </c>
      <c r="V38" s="8" t="s">
        <v>2</v>
      </c>
      <c r="W38" s="7"/>
      <c r="X38" s="7"/>
      <c r="Y38" s="7"/>
      <c r="Z38" s="9">
        <f>Tabla1[[#This Row],[VALOR PROYECTADO 2023-2]]-Tabla1[[#This Row],[VALOR EJECUTADO 2023-2]]</f>
        <v>8159406846</v>
      </c>
      <c r="AA38" s="1">
        <f>Tabla1[[#This Row],[VALOR EJECUTADO 2023-2]]/Tabla1[[#This Row],[VALOR PROYECTADO 2023-2]]</f>
        <v>0</v>
      </c>
    </row>
    <row r="39" spans="1:27" ht="23.25" x14ac:dyDescent="0.25">
      <c r="A39" s="2">
        <v>47</v>
      </c>
      <c r="B39" s="2" t="s">
        <v>96</v>
      </c>
      <c r="C39" s="2" t="s">
        <v>715</v>
      </c>
      <c r="D39" s="2" t="s">
        <v>716</v>
      </c>
      <c r="E39" s="2" t="s">
        <v>97</v>
      </c>
      <c r="F39" s="12">
        <v>4872056573.0600004</v>
      </c>
      <c r="G39" s="13">
        <f>Tabla1[[#This Row],[VALOR PROYECTADO 2023-1]]*80%</f>
        <v>3897645258.4480004</v>
      </c>
      <c r="I39" s="8" t="s">
        <v>2</v>
      </c>
      <c r="J39" s="8" t="s">
        <v>44</v>
      </c>
      <c r="K39" s="22" t="s">
        <v>717</v>
      </c>
      <c r="L39" s="8"/>
      <c r="M39" s="13">
        <f>Tabla1[[#This Row],[VALOR ESTIMADO  POR DESEMBOLSAR 2023-1 
(20%)]]</f>
        <v>0</v>
      </c>
      <c r="O39" s="16">
        <f>+Tabla1[[#This Row],[VALOR A GIRAR
CIERRE 2023-1 ]]+Tabla1[[#This Row],[VALOR DESEMBOLSADO 2023-1 
80% (Concepto técnico)]]</f>
        <v>3897645258.4480004</v>
      </c>
      <c r="P39" s="25">
        <f>Tabla1[[#This Row],[VALOR PROYECTADO 2023-1]]-Tabla1[[#This Row],[VALOR EJECUTADO 2023-1]]</f>
        <v>974411314.61199999</v>
      </c>
      <c r="Q39" s="26">
        <f>Tabla1[[#This Row],[VALOR EJECUTADO 2023-1]]/Tabla1[[#This Row],[VALOR PROYECTADO 2023-1]]</f>
        <v>0.8</v>
      </c>
      <c r="R39" s="6">
        <f>VLOOKUP(Tabla1[[#This Row],[NOMBRE IES]],'[1]INFORMACIÓN IES'!$B:$M,12,0)</f>
        <v>4470544441</v>
      </c>
      <c r="S39" s="6">
        <f>VLOOKUP(Tabla1[[#This Row],[NOMBRE IES]],'[1]INFORMACIÓN IES'!$B:$N,13,0)</f>
        <v>3576435553</v>
      </c>
      <c r="T39" s="7">
        <f>+Tabla1[[#This Row],[VALOR PROYECTADO 2023-2]]-Tabla1[[#This Row],[VALOR DESEMBOLSADO 2023-2 
80%3]]</f>
        <v>894108888</v>
      </c>
      <c r="U39" s="41" t="s">
        <v>46</v>
      </c>
      <c r="V39" s="8" t="s">
        <v>2</v>
      </c>
      <c r="W39" s="7"/>
      <c r="X39" s="7"/>
      <c r="Y39" s="7"/>
      <c r="Z39" s="9">
        <f>Tabla1[[#This Row],[VALOR PROYECTADO 2023-2]]-Tabla1[[#This Row],[VALOR EJECUTADO 2023-2]]</f>
        <v>4470544441</v>
      </c>
      <c r="AA39" s="1">
        <f>Tabla1[[#This Row],[VALOR EJECUTADO 2023-2]]/Tabla1[[#This Row],[VALOR PROYECTADO 2023-2]]</f>
        <v>0</v>
      </c>
    </row>
    <row r="40" spans="1:27" ht="23.25" x14ac:dyDescent="0.25">
      <c r="A40" s="2">
        <v>48</v>
      </c>
      <c r="B40" s="2" t="s">
        <v>98</v>
      </c>
      <c r="C40" s="2" t="s">
        <v>718</v>
      </c>
      <c r="D40" s="2" t="s">
        <v>719</v>
      </c>
      <c r="E40" s="2" t="s">
        <v>97</v>
      </c>
      <c r="F40" s="12">
        <v>3560472161.8699999</v>
      </c>
      <c r="G40" s="13">
        <f>Tabla1[[#This Row],[VALOR PROYECTADO 2023-1]]*80%</f>
        <v>2848377729.4960003</v>
      </c>
      <c r="I40" s="8" t="s">
        <v>2</v>
      </c>
      <c r="J40" s="8" t="s">
        <v>44</v>
      </c>
      <c r="K40" s="22" t="s">
        <v>720</v>
      </c>
      <c r="L40" s="8"/>
      <c r="M40" s="13">
        <f>Tabla1[[#This Row],[VALOR ESTIMADO  POR DESEMBOLSAR 2023-1 
(20%)]]</f>
        <v>0</v>
      </c>
      <c r="O40" s="16">
        <f>+Tabla1[[#This Row],[VALOR A GIRAR
CIERRE 2023-1 ]]+Tabla1[[#This Row],[VALOR DESEMBOLSADO 2023-1 
80% (Concepto técnico)]]</f>
        <v>2848377729.4960003</v>
      </c>
      <c r="P40" s="25">
        <f>Tabla1[[#This Row],[VALOR PROYECTADO 2023-1]]-Tabla1[[#This Row],[VALOR EJECUTADO 2023-1]]</f>
        <v>712094432.3739996</v>
      </c>
      <c r="Q40" s="26">
        <f>Tabla1[[#This Row],[VALOR EJECUTADO 2023-1]]/Tabla1[[#This Row],[VALOR PROYECTADO 2023-1]]</f>
        <v>0.80000000000000016</v>
      </c>
      <c r="R40" s="6">
        <f>VLOOKUP(Tabla1[[#This Row],[NOMBRE IES]],'[1]INFORMACIÓN IES'!$B:$M,12,0)</f>
        <v>3519743920</v>
      </c>
      <c r="S40" s="6">
        <f>VLOOKUP(Tabla1[[#This Row],[NOMBRE IES]],'[1]INFORMACIÓN IES'!$B:$N,13,0)</f>
        <v>2815795136</v>
      </c>
      <c r="T40" s="7">
        <f>+Tabla1[[#This Row],[VALOR PROYECTADO 2023-2]]-Tabla1[[#This Row],[VALOR DESEMBOLSADO 2023-2 
80%3]]</f>
        <v>703948784</v>
      </c>
      <c r="U40" s="41" t="s">
        <v>46</v>
      </c>
      <c r="V40" s="8" t="s">
        <v>2</v>
      </c>
      <c r="W40" s="7"/>
      <c r="X40" s="7"/>
      <c r="Y40" s="7"/>
      <c r="Z40" s="9">
        <f>Tabla1[[#This Row],[VALOR PROYECTADO 2023-2]]-Tabla1[[#This Row],[VALOR EJECUTADO 2023-2]]</f>
        <v>3519743920</v>
      </c>
      <c r="AA40" s="1">
        <f>Tabla1[[#This Row],[VALOR EJECUTADO 2023-2]]/Tabla1[[#This Row],[VALOR PROYECTADO 2023-2]]</f>
        <v>0</v>
      </c>
    </row>
    <row r="41" spans="1:27" hidden="1" x14ac:dyDescent="0.25">
      <c r="A41" s="2">
        <v>49</v>
      </c>
      <c r="B41" s="2" t="s">
        <v>99</v>
      </c>
      <c r="C41" s="2" t="s">
        <v>721</v>
      </c>
      <c r="D41" s="2" t="s">
        <v>722</v>
      </c>
      <c r="E41" s="2" t="s">
        <v>97</v>
      </c>
      <c r="F41" s="12">
        <v>237002666.91</v>
      </c>
      <c r="G41" s="13">
        <f>Tabla1[[#This Row],[VALOR PROYECTADO 2023-1]]*80%</f>
        <v>189602133.528</v>
      </c>
      <c r="H41" s="13">
        <v>114322016</v>
      </c>
      <c r="I41" s="8" t="s">
        <v>67</v>
      </c>
      <c r="J41" s="8" t="s">
        <v>51</v>
      </c>
      <c r="K41" s="22"/>
      <c r="L41" s="14">
        <v>45203</v>
      </c>
      <c r="M41" s="21">
        <f>Tabla1[[#This Row],[VALOR ESTIMADO  POR DESEMBOLSAR 2023-1 
(20%)]]</f>
        <v>114322016</v>
      </c>
      <c r="N41" s="1">
        <v>0</v>
      </c>
      <c r="O41" s="16">
        <f>+Tabla1[[#This Row],[VALOR A GIRAR
CIERRE 2023-1 ]]+Tabla1[[#This Row],[VALOR DESEMBOLSADO 2023-1 
80% (Concepto técnico)]]</f>
        <v>303924149.528</v>
      </c>
      <c r="P41" s="24">
        <f>Tabla1[[#This Row],[VALOR PROYECTADO 2023-1]]-Tabla1[[#This Row],[VALOR EJECUTADO 2023-1]]</f>
        <v>-66921482.618000001</v>
      </c>
      <c r="Q41" s="26">
        <f>Tabla1[[#This Row],[VALOR EJECUTADO 2023-1]]/Tabla1[[#This Row],[VALOR PROYECTADO 2023-1]]</f>
        <v>1.2823659475672184</v>
      </c>
      <c r="R41" s="6">
        <f>VLOOKUP(Tabla1[[#This Row],[NOMBRE IES]],'[1]INFORMACIÓN IES'!$B:$M,12,0)</f>
        <v>359864010</v>
      </c>
      <c r="S41" s="6">
        <f>VLOOKUP(Tabla1[[#This Row],[NOMBRE IES]],'[1]INFORMACIÓN IES'!$B:$N,13,0)</f>
        <v>287891208</v>
      </c>
      <c r="T41" s="7">
        <f>+Tabla1[[#This Row],[VALOR PROYECTADO 2023-2]]-Tabla1[[#This Row],[VALOR DESEMBOLSADO 2023-2 
80%3]]</f>
        <v>71972802</v>
      </c>
      <c r="U41" s="40" t="s">
        <v>44</v>
      </c>
      <c r="V41" s="8" t="s">
        <v>2</v>
      </c>
      <c r="W41" s="7"/>
      <c r="X41" s="7"/>
      <c r="Y41" s="7"/>
      <c r="Z41" s="9">
        <f>Tabla1[[#This Row],[VALOR PROYECTADO 2023-2]]-Tabla1[[#This Row],[VALOR EJECUTADO 2023-2]]</f>
        <v>359864010</v>
      </c>
      <c r="AA41" s="1">
        <f>Tabla1[[#This Row],[VALOR EJECUTADO 2023-2]]/Tabla1[[#This Row],[VALOR PROYECTADO 2023-2]]</f>
        <v>0</v>
      </c>
    </row>
    <row r="42" spans="1:27" ht="45.75" x14ac:dyDescent="0.25">
      <c r="A42" s="2">
        <v>50</v>
      </c>
      <c r="B42" s="2" t="s">
        <v>100</v>
      </c>
      <c r="C42" s="2" t="s">
        <v>721</v>
      </c>
      <c r="D42" s="2" t="s">
        <v>722</v>
      </c>
      <c r="E42" s="2" t="s">
        <v>97</v>
      </c>
      <c r="F42" s="12">
        <v>13754059535.73</v>
      </c>
      <c r="G42" s="13">
        <f>Tabla1[[#This Row],[VALOR PROYECTADO 2023-1]]*80%</f>
        <v>11003247628.584</v>
      </c>
      <c r="I42" s="8" t="s">
        <v>2</v>
      </c>
      <c r="J42" s="8" t="s">
        <v>44</v>
      </c>
      <c r="K42" s="22" t="s">
        <v>723</v>
      </c>
      <c r="L42" s="8"/>
      <c r="M42" s="13">
        <f>Tabla1[[#This Row],[VALOR ESTIMADO  POR DESEMBOLSAR 2023-1 
(20%)]]</f>
        <v>0</v>
      </c>
      <c r="O42" s="16">
        <f>+Tabla1[[#This Row],[VALOR A GIRAR
CIERRE 2023-1 ]]+Tabla1[[#This Row],[VALOR DESEMBOLSADO 2023-1 
80% (Concepto técnico)]]</f>
        <v>11003247628.584</v>
      </c>
      <c r="P42" s="25">
        <f>Tabla1[[#This Row],[VALOR PROYECTADO 2023-1]]-Tabla1[[#This Row],[VALOR EJECUTADO 2023-1]]</f>
        <v>2750811907.1459999</v>
      </c>
      <c r="Q42" s="26">
        <f>Tabla1[[#This Row],[VALOR EJECUTADO 2023-1]]/Tabla1[[#This Row],[VALOR PROYECTADO 2023-1]]</f>
        <v>0.8</v>
      </c>
      <c r="R42" s="6">
        <f>VLOOKUP(Tabla1[[#This Row],[NOMBRE IES]],'[1]INFORMACIÓN IES'!$B:$M,12,0)</f>
        <v>15511700841</v>
      </c>
      <c r="S42" s="6">
        <f>VLOOKUP(Tabla1[[#This Row],[NOMBRE IES]],'[1]INFORMACIÓN IES'!$B:$N,13,0)</f>
        <v>12409360673</v>
      </c>
      <c r="T42" s="7">
        <f>+Tabla1[[#This Row],[VALOR PROYECTADO 2023-2]]-Tabla1[[#This Row],[VALOR DESEMBOLSADO 2023-2 
80%3]]</f>
        <v>3102340168</v>
      </c>
      <c r="U42" s="41" t="s">
        <v>46</v>
      </c>
      <c r="V42" s="8" t="s">
        <v>2</v>
      </c>
      <c r="W42" s="7"/>
      <c r="X42" s="7"/>
      <c r="Y42" s="7"/>
      <c r="Z42" s="9">
        <f>Tabla1[[#This Row],[VALOR PROYECTADO 2023-2]]-Tabla1[[#This Row],[VALOR EJECUTADO 2023-2]]</f>
        <v>15511700841</v>
      </c>
      <c r="AA42" s="1">
        <f>Tabla1[[#This Row],[VALOR EJECUTADO 2023-2]]/Tabla1[[#This Row],[VALOR PROYECTADO 2023-2]]</f>
        <v>0</v>
      </c>
    </row>
    <row r="43" spans="1:27" x14ac:dyDescent="0.25">
      <c r="A43" s="2">
        <v>51</v>
      </c>
      <c r="B43" s="2" t="s">
        <v>101</v>
      </c>
      <c r="C43" s="2" t="s">
        <v>721</v>
      </c>
      <c r="D43" s="2" t="s">
        <v>724</v>
      </c>
      <c r="E43" s="2" t="s">
        <v>97</v>
      </c>
      <c r="F43" s="12">
        <v>2461104078.4099998</v>
      </c>
      <c r="G43" s="13">
        <f>Tabla1[[#This Row],[VALOR PROYECTADO 2023-1]]*80%</f>
        <v>1968883262.7279999</v>
      </c>
      <c r="I43" s="8" t="s">
        <v>2</v>
      </c>
      <c r="J43" s="8" t="s">
        <v>44</v>
      </c>
      <c r="K43" s="22" t="s">
        <v>725</v>
      </c>
      <c r="L43" s="8"/>
      <c r="M43" s="13">
        <f>Tabla1[[#This Row],[VALOR ESTIMADO  POR DESEMBOLSAR 2023-1 
(20%)]]</f>
        <v>0</v>
      </c>
      <c r="O43" s="16">
        <f>+Tabla1[[#This Row],[VALOR A GIRAR
CIERRE 2023-1 ]]+Tabla1[[#This Row],[VALOR DESEMBOLSADO 2023-1 
80% (Concepto técnico)]]</f>
        <v>1968883262.7279999</v>
      </c>
      <c r="P43" s="25">
        <f>Tabla1[[#This Row],[VALOR PROYECTADO 2023-1]]-Tabla1[[#This Row],[VALOR EJECUTADO 2023-1]]</f>
        <v>492220815.68199992</v>
      </c>
      <c r="Q43" s="26">
        <f>Tabla1[[#This Row],[VALOR EJECUTADO 2023-1]]/Tabla1[[#This Row],[VALOR PROYECTADO 2023-1]]</f>
        <v>0.8</v>
      </c>
      <c r="R43" s="6">
        <f>VLOOKUP(Tabla1[[#This Row],[NOMBRE IES]],'[1]INFORMACIÓN IES'!$B:$M,12,0)</f>
        <v>1741835700</v>
      </c>
      <c r="S43" s="6">
        <f>VLOOKUP(Tabla1[[#This Row],[NOMBRE IES]],'[1]INFORMACIÓN IES'!$B:$N,13,0)</f>
        <v>1393468560</v>
      </c>
      <c r="T43" s="7">
        <f>+Tabla1[[#This Row],[VALOR PROYECTADO 2023-2]]-Tabla1[[#This Row],[VALOR DESEMBOLSADO 2023-2 
80%3]]</f>
        <v>348367140</v>
      </c>
      <c r="U43" s="41" t="s">
        <v>46</v>
      </c>
      <c r="V43" s="8" t="s">
        <v>2</v>
      </c>
      <c r="W43" s="7"/>
      <c r="X43" s="7"/>
      <c r="Y43" s="7"/>
      <c r="Z43" s="9">
        <f>Tabla1[[#This Row],[VALOR PROYECTADO 2023-2]]-Tabla1[[#This Row],[VALOR EJECUTADO 2023-2]]</f>
        <v>1741835700</v>
      </c>
      <c r="AA43" s="1">
        <f>Tabla1[[#This Row],[VALOR EJECUTADO 2023-2]]/Tabla1[[#This Row],[VALOR PROYECTADO 2023-2]]</f>
        <v>0</v>
      </c>
    </row>
    <row r="44" spans="1:27" ht="23.25" x14ac:dyDescent="0.25">
      <c r="A44" s="2">
        <v>52</v>
      </c>
      <c r="B44" s="2" t="s">
        <v>102</v>
      </c>
      <c r="C44" s="2" t="s">
        <v>721</v>
      </c>
      <c r="D44" s="2" t="s">
        <v>726</v>
      </c>
      <c r="E44" s="2" t="s">
        <v>97</v>
      </c>
      <c r="F44" s="12">
        <v>9780193982.9699993</v>
      </c>
      <c r="G44" s="13">
        <f>Tabla1[[#This Row],[VALOR PROYECTADO 2023-1]]*80%</f>
        <v>7824155186.3759995</v>
      </c>
      <c r="I44" s="8" t="s">
        <v>2</v>
      </c>
      <c r="J44" s="8" t="s">
        <v>44</v>
      </c>
      <c r="K44" s="22" t="s">
        <v>727</v>
      </c>
      <c r="L44" s="8"/>
      <c r="M44" s="13">
        <f>Tabla1[[#This Row],[VALOR ESTIMADO  POR DESEMBOLSAR 2023-1 
(20%)]]</f>
        <v>0</v>
      </c>
      <c r="O44" s="16">
        <f>+Tabla1[[#This Row],[VALOR A GIRAR
CIERRE 2023-1 ]]+Tabla1[[#This Row],[VALOR DESEMBOLSADO 2023-1 
80% (Concepto técnico)]]</f>
        <v>7824155186.3759995</v>
      </c>
      <c r="P44" s="25">
        <f>Tabla1[[#This Row],[VALOR PROYECTADO 2023-1]]-Tabla1[[#This Row],[VALOR EJECUTADO 2023-1]]</f>
        <v>1956038796.5939999</v>
      </c>
      <c r="Q44" s="26">
        <f>Tabla1[[#This Row],[VALOR EJECUTADO 2023-1]]/Tabla1[[#This Row],[VALOR PROYECTADO 2023-1]]</f>
        <v>0.8</v>
      </c>
      <c r="R44" s="6">
        <f>VLOOKUP(Tabla1[[#This Row],[NOMBRE IES]],'[1]INFORMACIÓN IES'!$B:$M,12,0)</f>
        <v>6904472014</v>
      </c>
      <c r="S44" s="6">
        <f>VLOOKUP(Tabla1[[#This Row],[NOMBRE IES]],'[1]INFORMACIÓN IES'!$B:$N,13,0)</f>
        <v>5523577611</v>
      </c>
      <c r="T44" s="7">
        <f>+Tabla1[[#This Row],[VALOR PROYECTADO 2023-2]]-Tabla1[[#This Row],[VALOR DESEMBOLSADO 2023-2 
80%3]]</f>
        <v>1380894403</v>
      </c>
      <c r="U44" s="41" t="s">
        <v>46</v>
      </c>
      <c r="V44" s="8" t="s">
        <v>2</v>
      </c>
      <c r="W44" s="7"/>
      <c r="X44" s="7"/>
      <c r="Y44" s="7"/>
      <c r="Z44" s="9">
        <f>Tabla1[[#This Row],[VALOR PROYECTADO 2023-2]]-Tabla1[[#This Row],[VALOR EJECUTADO 2023-2]]</f>
        <v>6904472014</v>
      </c>
      <c r="AA44" s="1">
        <f>Tabla1[[#This Row],[VALOR EJECUTADO 2023-2]]/Tabla1[[#This Row],[VALOR PROYECTADO 2023-2]]</f>
        <v>0</v>
      </c>
    </row>
    <row r="45" spans="1:27" ht="57" x14ac:dyDescent="0.25">
      <c r="A45" s="2">
        <v>53</v>
      </c>
      <c r="B45" s="2" t="s">
        <v>103</v>
      </c>
      <c r="C45" s="2" t="s">
        <v>680</v>
      </c>
      <c r="D45" s="2" t="s">
        <v>680</v>
      </c>
      <c r="E45" s="2" t="s">
        <v>97</v>
      </c>
      <c r="F45" s="12">
        <v>101930300030.00999</v>
      </c>
      <c r="G45" s="13">
        <f>Tabla1[[#This Row],[VALOR PROYECTADO 2023-1]]*80%</f>
        <v>81544240024.007996</v>
      </c>
      <c r="I45" s="8" t="s">
        <v>2</v>
      </c>
      <c r="J45" s="8" t="s">
        <v>44</v>
      </c>
      <c r="K45" s="22" t="s">
        <v>667</v>
      </c>
      <c r="L45" s="8"/>
      <c r="M45" s="13">
        <f>Tabla1[[#This Row],[VALOR ESTIMADO  POR DESEMBOLSAR 2023-1 
(20%)]]</f>
        <v>0</v>
      </c>
      <c r="O45" s="16">
        <f>+Tabla1[[#This Row],[VALOR A GIRAR
CIERRE 2023-1 ]]+Tabla1[[#This Row],[VALOR DESEMBOLSADO 2023-1 
80% (Concepto técnico)]]</f>
        <v>81544240024.007996</v>
      </c>
      <c r="P45" s="25">
        <f>Tabla1[[#This Row],[VALOR PROYECTADO 2023-1]]-Tabla1[[#This Row],[VALOR EJECUTADO 2023-1]]</f>
        <v>20386060006.001999</v>
      </c>
      <c r="Q45" s="26">
        <f>Tabla1[[#This Row],[VALOR EJECUTADO 2023-1]]/Tabla1[[#This Row],[VALOR PROYECTADO 2023-1]]</f>
        <v>0.8</v>
      </c>
      <c r="R45" s="6">
        <f>VLOOKUP(Tabla1[[#This Row],[NOMBRE IES]],'[1]INFORMACIÓN IES'!$B:$M,12,0)</f>
        <v>102478431000</v>
      </c>
      <c r="S45" s="6">
        <f>VLOOKUP(Tabla1[[#This Row],[NOMBRE IES]],'[1]INFORMACIÓN IES'!$B:$N,13,0)</f>
        <v>81982744800</v>
      </c>
      <c r="T45" s="7">
        <f>+Tabla1[[#This Row],[VALOR PROYECTADO 2023-2]]-Tabla1[[#This Row],[VALOR DESEMBOLSADO 2023-2 
80%3]]</f>
        <v>20495686200</v>
      </c>
      <c r="U45" s="41" t="s">
        <v>46</v>
      </c>
      <c r="V45" s="8" t="s">
        <v>2</v>
      </c>
      <c r="W45" s="7"/>
      <c r="X45" s="7"/>
      <c r="Y45" s="7"/>
      <c r="Z45" s="9">
        <f>Tabla1[[#This Row],[VALOR PROYECTADO 2023-2]]-Tabla1[[#This Row],[VALOR EJECUTADO 2023-2]]</f>
        <v>102478431000</v>
      </c>
      <c r="AA45" s="1">
        <f>Tabla1[[#This Row],[VALOR EJECUTADO 2023-2]]/Tabla1[[#This Row],[VALOR PROYECTADO 2023-2]]</f>
        <v>0</v>
      </c>
    </row>
    <row r="46" spans="1:27" hidden="1" x14ac:dyDescent="0.25">
      <c r="A46" s="2">
        <v>18</v>
      </c>
      <c r="B46" s="2" t="s">
        <v>104</v>
      </c>
      <c r="C46" s="2" t="s">
        <v>728</v>
      </c>
      <c r="D46" s="2" t="s">
        <v>729</v>
      </c>
      <c r="E46" s="2" t="s">
        <v>105</v>
      </c>
      <c r="F46" s="12">
        <v>388574919.61000001</v>
      </c>
      <c r="G46" s="13">
        <f>Tabla1[[#This Row],[VALOR PROYECTADO 2023-1]]*80%</f>
        <v>310859935.68800002</v>
      </c>
      <c r="H46" s="34">
        <v>0</v>
      </c>
      <c r="I46" s="8" t="s">
        <v>67</v>
      </c>
      <c r="J46" s="8" t="s">
        <v>51</v>
      </c>
      <c r="K46" s="22"/>
      <c r="L46" s="8"/>
      <c r="M46" s="13">
        <f>Tabla1[[#This Row],[VALOR ESTIMADO  POR DESEMBOLSAR 2023-1 
(20%)]]</f>
        <v>0</v>
      </c>
      <c r="N46" s="13">
        <v>37113186</v>
      </c>
      <c r="O46" s="16">
        <f>+Tabla1[[#This Row],[VALOR A GIRAR
CIERRE 2023-1 ]]+Tabla1[[#This Row],[VALOR DESEMBOLSADO 2023-1 
80% (Concepto técnico)]]</f>
        <v>310859935.68800002</v>
      </c>
      <c r="P46" s="25">
        <f>Tabla1[[#This Row],[VALOR PROYECTADO 2023-1]]-Tabla1[[#This Row],[VALOR EJECUTADO 2023-1]]</f>
        <v>77714983.921999991</v>
      </c>
      <c r="Q46" s="26">
        <f>Tabla1[[#This Row],[VALOR EJECUTADO 2023-1]]/Tabla1[[#This Row],[VALOR PROYECTADO 2023-1]]</f>
        <v>0.8</v>
      </c>
      <c r="R46" s="6">
        <f>VLOOKUP(Tabla1[[#This Row],[NOMBRE IES]],'[1]INFORMACIÓN IES'!$B:$M,12,0)</f>
        <v>308661155</v>
      </c>
      <c r="S46" s="6">
        <f>VLOOKUP(Tabla1[[#This Row],[NOMBRE IES]],'[1]INFORMACIÓN IES'!$B:$N,13,0)</f>
        <v>246928924</v>
      </c>
      <c r="T46" s="7">
        <f>+Tabla1[[#This Row],[VALOR PROYECTADO 2023-2]]-Tabla1[[#This Row],[VALOR DESEMBOLSADO 2023-2 
80%3]]</f>
        <v>61732231</v>
      </c>
      <c r="U46" s="40" t="s">
        <v>44</v>
      </c>
      <c r="V46" s="8" t="s">
        <v>2</v>
      </c>
      <c r="W46" s="7"/>
      <c r="X46" s="7"/>
      <c r="Y46" s="7"/>
      <c r="Z46" s="9">
        <f>Tabla1[[#This Row],[VALOR PROYECTADO 2023-2]]-Tabla1[[#This Row],[VALOR EJECUTADO 2023-2]]</f>
        <v>308661155</v>
      </c>
      <c r="AA46" s="1">
        <f>Tabla1[[#This Row],[VALOR EJECUTADO 2023-2]]/Tabla1[[#This Row],[VALOR PROYECTADO 2023-2]]</f>
        <v>0</v>
      </c>
    </row>
    <row r="47" spans="1:27" ht="23.25" x14ac:dyDescent="0.25">
      <c r="A47" s="2">
        <v>19</v>
      </c>
      <c r="B47" s="2" t="s">
        <v>106</v>
      </c>
      <c r="C47" s="2" t="s">
        <v>728</v>
      </c>
      <c r="D47" s="2" t="s">
        <v>730</v>
      </c>
      <c r="E47" s="2" t="s">
        <v>105</v>
      </c>
      <c r="F47" s="12">
        <v>9667792103.6499996</v>
      </c>
      <c r="G47" s="13">
        <f>Tabla1[[#This Row],[VALOR PROYECTADO 2023-1]]*80%</f>
        <v>7734233682.9200001</v>
      </c>
      <c r="H47" s="15">
        <v>1187693216</v>
      </c>
      <c r="I47" s="8" t="s">
        <v>2</v>
      </c>
      <c r="J47" s="8" t="s">
        <v>44</v>
      </c>
      <c r="K47" s="22" t="s">
        <v>668</v>
      </c>
      <c r="L47" s="18">
        <v>45231</v>
      </c>
      <c r="M47" s="13">
        <f>Tabla1[[#This Row],[VALOR ESTIMADO  POR DESEMBOLSAR 2023-1 
(20%)]]</f>
        <v>1187693216</v>
      </c>
      <c r="O47" s="16">
        <f>+Tabla1[[#This Row],[VALOR A GIRAR
CIERRE 2023-1 ]]+Tabla1[[#This Row],[VALOR DESEMBOLSADO 2023-1 
80% (Concepto técnico)]]</f>
        <v>8921926898.9200001</v>
      </c>
      <c r="P47" s="25">
        <f>Tabla1[[#This Row],[VALOR PROYECTADO 2023-1]]-Tabla1[[#This Row],[VALOR EJECUTADO 2023-1]]</f>
        <v>745865204.72999954</v>
      </c>
      <c r="Q47" s="26">
        <f>Tabla1[[#This Row],[VALOR EJECUTADO 2023-1]]/Tabla1[[#This Row],[VALOR PROYECTADO 2023-1]]</f>
        <v>0.92285051263686113</v>
      </c>
      <c r="R47" s="6">
        <f>VLOOKUP(Tabla1[[#This Row],[NOMBRE IES]],'[1]INFORMACIÓN IES'!$B:$M,12,0)</f>
        <v>9889888689</v>
      </c>
      <c r="S47" s="6">
        <f>VLOOKUP(Tabla1[[#This Row],[NOMBRE IES]],'[1]INFORMACIÓN IES'!$B:$N,13,0)</f>
        <v>7911910951</v>
      </c>
      <c r="T47" s="7">
        <f>+Tabla1[[#This Row],[VALOR PROYECTADO 2023-2]]-Tabla1[[#This Row],[VALOR DESEMBOLSADO 2023-2 
80%3]]</f>
        <v>1977977738</v>
      </c>
      <c r="U47" s="41" t="s">
        <v>46</v>
      </c>
      <c r="V47" s="8" t="s">
        <v>2</v>
      </c>
      <c r="W47" s="7"/>
      <c r="X47" s="7"/>
      <c r="Y47" s="7"/>
      <c r="Z47" s="9">
        <f>Tabla1[[#This Row],[VALOR PROYECTADO 2023-2]]-Tabla1[[#This Row],[VALOR EJECUTADO 2023-2]]</f>
        <v>9889888689</v>
      </c>
      <c r="AA47" s="1">
        <f>Tabla1[[#This Row],[VALOR EJECUTADO 2023-2]]/Tabla1[[#This Row],[VALOR PROYECTADO 2023-2]]</f>
        <v>0</v>
      </c>
    </row>
    <row r="48" spans="1:27" hidden="1" x14ac:dyDescent="0.25">
      <c r="A48" s="2">
        <v>20</v>
      </c>
      <c r="B48" s="2" t="s">
        <v>107</v>
      </c>
      <c r="C48" s="2" t="s">
        <v>728</v>
      </c>
      <c r="D48" s="2" t="s">
        <v>730</v>
      </c>
      <c r="E48" s="2" t="s">
        <v>105</v>
      </c>
      <c r="F48" s="12">
        <v>19144987659</v>
      </c>
      <c r="G48" s="13">
        <f>Tabla1[[#This Row],[VALOR PROYECTADO 2023-1]]*80%</f>
        <v>15315990127.200001</v>
      </c>
      <c r="H48" s="13">
        <v>2342492673</v>
      </c>
      <c r="I48" s="8" t="s">
        <v>67</v>
      </c>
      <c r="J48" s="8" t="s">
        <v>51</v>
      </c>
      <c r="K48" s="22"/>
      <c r="L48" s="8"/>
      <c r="M48" s="13">
        <f>Tabla1[[#This Row],[VALOR ESTIMADO  POR DESEMBOLSAR 2023-1 
(20%)]]</f>
        <v>2342492673</v>
      </c>
      <c r="O48" s="16">
        <f>+Tabla1[[#This Row],[VALOR A GIRAR
CIERRE 2023-1 ]]+Tabla1[[#This Row],[VALOR DESEMBOLSADO 2023-1 
80% (Concepto técnico)]]</f>
        <v>17658482800.200001</v>
      </c>
      <c r="P48" s="25">
        <f>Tabla1[[#This Row],[VALOR PROYECTADO 2023-1]]-Tabla1[[#This Row],[VALOR EJECUTADO 2023-1]]</f>
        <v>1486504858.7999992</v>
      </c>
      <c r="Q48" s="26">
        <f>Tabla1[[#This Row],[VALOR EJECUTADO 2023-1]]/Tabla1[[#This Row],[VALOR PROYECTADO 2023-1]]</f>
        <v>0.92235540261102245</v>
      </c>
      <c r="R48" s="6">
        <f>VLOOKUP(Tabla1[[#This Row],[NOMBRE IES]],'[1]INFORMACIÓN IES'!$B:$M,12,0)</f>
        <v>19592826880</v>
      </c>
      <c r="S48" s="6">
        <f>VLOOKUP(Tabla1[[#This Row],[NOMBRE IES]],'[1]INFORMACIÓN IES'!$B:$N,13,0)</f>
        <v>15674261504</v>
      </c>
      <c r="T48" s="7">
        <f>+Tabla1[[#This Row],[VALOR PROYECTADO 2023-2]]-Tabla1[[#This Row],[VALOR DESEMBOLSADO 2023-2 
80%3]]</f>
        <v>3918565376</v>
      </c>
      <c r="U48" s="40" t="s">
        <v>44</v>
      </c>
      <c r="V48" s="8" t="s">
        <v>2</v>
      </c>
      <c r="W48" s="7"/>
      <c r="X48" s="7"/>
      <c r="Y48" s="7"/>
      <c r="Z48" s="9">
        <f>Tabla1[[#This Row],[VALOR PROYECTADO 2023-2]]-Tabla1[[#This Row],[VALOR EJECUTADO 2023-2]]</f>
        <v>19592826880</v>
      </c>
      <c r="AA48" s="1">
        <f>Tabla1[[#This Row],[VALOR EJECUTADO 2023-2]]/Tabla1[[#This Row],[VALOR PROYECTADO 2023-2]]</f>
        <v>0</v>
      </c>
    </row>
    <row r="49" spans="1:27" hidden="1" x14ac:dyDescent="0.25">
      <c r="A49" s="2">
        <v>21</v>
      </c>
      <c r="B49" s="2" t="s">
        <v>108</v>
      </c>
      <c r="C49" s="2" t="s">
        <v>728</v>
      </c>
      <c r="D49" s="2" t="s">
        <v>730</v>
      </c>
      <c r="E49" s="2" t="s">
        <v>105</v>
      </c>
      <c r="F49" s="12">
        <v>915696591</v>
      </c>
      <c r="G49" s="13">
        <f>Tabla1[[#This Row],[VALOR PROYECTADO 2023-1]]*80%</f>
        <v>732557272.80000007</v>
      </c>
      <c r="H49" s="13">
        <v>234766726</v>
      </c>
      <c r="I49" s="8" t="s">
        <v>67</v>
      </c>
      <c r="J49" s="8" t="s">
        <v>51</v>
      </c>
      <c r="K49" s="22"/>
      <c r="L49" s="8"/>
      <c r="M49" s="13">
        <f>Tabla1[[#This Row],[VALOR ESTIMADO  POR DESEMBOLSAR 2023-1 
(20%)]]</f>
        <v>234766726</v>
      </c>
      <c r="N49" s="13"/>
      <c r="O49" s="16">
        <f>+Tabla1[[#This Row],[VALOR A GIRAR
CIERRE 2023-1 ]]+Tabla1[[#This Row],[VALOR DESEMBOLSADO 2023-1 
80% (Concepto técnico)]]</f>
        <v>967323998.80000007</v>
      </c>
      <c r="P49" s="24">
        <f>Tabla1[[#This Row],[VALOR PROYECTADO 2023-1]]-Tabla1[[#This Row],[VALOR EJECUTADO 2023-1]]</f>
        <v>-51627407.800000072</v>
      </c>
      <c r="Q49" s="26">
        <f>Tabla1[[#This Row],[VALOR EJECUTADO 2023-1]]/Tabla1[[#This Row],[VALOR PROYECTADO 2023-1]]</f>
        <v>1.056380473955483</v>
      </c>
      <c r="R49" s="6">
        <f>VLOOKUP(Tabla1[[#This Row],[NOMBRE IES]],'[1]INFORMACIÓN IES'!$B:$M,12,0)</f>
        <v>997449200</v>
      </c>
      <c r="S49" s="6">
        <f>VLOOKUP(Tabla1[[#This Row],[NOMBRE IES]],'[1]INFORMACIÓN IES'!$B:$N,13,0)</f>
        <v>797959360</v>
      </c>
      <c r="T49" s="7">
        <f>+Tabla1[[#This Row],[VALOR PROYECTADO 2023-2]]-Tabla1[[#This Row],[VALOR DESEMBOLSADO 2023-2 
80%3]]</f>
        <v>199489840</v>
      </c>
      <c r="U49" s="40" t="s">
        <v>44</v>
      </c>
      <c r="V49" s="8" t="s">
        <v>2</v>
      </c>
      <c r="W49" s="7"/>
      <c r="X49" s="7"/>
      <c r="Y49" s="7"/>
      <c r="Z49" s="9">
        <f>Tabla1[[#This Row],[VALOR PROYECTADO 2023-2]]-Tabla1[[#This Row],[VALOR EJECUTADO 2023-2]]</f>
        <v>997449200</v>
      </c>
      <c r="AA49" s="1">
        <f>Tabla1[[#This Row],[VALOR EJECUTADO 2023-2]]/Tabla1[[#This Row],[VALOR PROYECTADO 2023-2]]</f>
        <v>0</v>
      </c>
    </row>
    <row r="50" spans="1:27" hidden="1" x14ac:dyDescent="0.25">
      <c r="A50" s="2">
        <v>22</v>
      </c>
      <c r="B50" s="2" t="s">
        <v>109</v>
      </c>
      <c r="C50" s="2" t="s">
        <v>728</v>
      </c>
      <c r="D50" s="2" t="s">
        <v>730</v>
      </c>
      <c r="E50" s="2" t="s">
        <v>105</v>
      </c>
      <c r="F50" s="12">
        <v>798310318</v>
      </c>
      <c r="G50" s="13">
        <f>Tabla1[[#This Row],[VALOR PROYECTADO 2023-1]]*80%</f>
        <v>638648254.39999998</v>
      </c>
      <c r="H50" s="13">
        <v>322839149</v>
      </c>
      <c r="I50" s="8" t="s">
        <v>67</v>
      </c>
      <c r="J50" s="8" t="s">
        <v>51</v>
      </c>
      <c r="K50" s="22"/>
      <c r="L50" s="8"/>
      <c r="M50" s="13">
        <f>Tabla1[[#This Row],[VALOR ESTIMADO  POR DESEMBOLSAR 2023-1 
(20%)]]</f>
        <v>322839149</v>
      </c>
      <c r="O50" s="16">
        <f>+Tabla1[[#This Row],[VALOR A GIRAR
CIERRE 2023-1 ]]+Tabla1[[#This Row],[VALOR DESEMBOLSADO 2023-1 
80% (Concepto técnico)]]</f>
        <v>961487403.39999998</v>
      </c>
      <c r="P50" s="24">
        <f>Tabla1[[#This Row],[VALOR PROYECTADO 2023-1]]-Tabla1[[#This Row],[VALOR EJECUTADO 2023-1]]</f>
        <v>-163177085.39999998</v>
      </c>
      <c r="Q50" s="26">
        <f>Tabla1[[#This Row],[VALOR EJECUTADO 2023-1]]/Tabla1[[#This Row],[VALOR PROYECTADO 2023-1]]</f>
        <v>1.2044030769999392</v>
      </c>
      <c r="R50" s="6">
        <f>VLOOKUP(Tabla1[[#This Row],[NOMBRE IES]],'[1]INFORMACIÓN IES'!$B:$M,12,0)</f>
        <v>1093350394</v>
      </c>
      <c r="S50" s="6">
        <f>VLOOKUP(Tabla1[[#This Row],[NOMBRE IES]],'[1]INFORMACIÓN IES'!$B:$N,13,0)</f>
        <v>874680315</v>
      </c>
      <c r="T50" s="7">
        <f>+Tabla1[[#This Row],[VALOR PROYECTADO 2023-2]]-Tabla1[[#This Row],[VALOR DESEMBOLSADO 2023-2 
80%3]]</f>
        <v>218670079</v>
      </c>
      <c r="U50" s="40" t="s">
        <v>44</v>
      </c>
      <c r="V50" s="8" t="s">
        <v>2</v>
      </c>
      <c r="W50" s="7"/>
      <c r="X50" s="7"/>
      <c r="Y50" s="7"/>
      <c r="Z50" s="9">
        <f>Tabla1[[#This Row],[VALOR PROYECTADO 2023-2]]-Tabla1[[#This Row],[VALOR EJECUTADO 2023-2]]</f>
        <v>1093350394</v>
      </c>
      <c r="AA50" s="1">
        <f>Tabla1[[#This Row],[VALOR EJECUTADO 2023-2]]/Tabla1[[#This Row],[VALOR PROYECTADO 2023-2]]</f>
        <v>0</v>
      </c>
    </row>
    <row r="51" spans="1:27" x14ac:dyDescent="0.25">
      <c r="A51" s="2">
        <v>23</v>
      </c>
      <c r="B51" s="37" t="s">
        <v>111</v>
      </c>
      <c r="C51" s="2" t="s">
        <v>728</v>
      </c>
      <c r="D51" s="2" t="s">
        <v>730</v>
      </c>
      <c r="E51" s="2" t="s">
        <v>105</v>
      </c>
      <c r="F51" s="12">
        <v>10545864097</v>
      </c>
      <c r="G51" s="13">
        <f>Tabla1[[#This Row],[VALOR PROYECTADO 2023-1]]*80%</f>
        <v>8436691277.6000004</v>
      </c>
      <c r="H51" s="34">
        <v>0</v>
      </c>
      <c r="I51" s="8" t="s">
        <v>2</v>
      </c>
      <c r="J51" s="8" t="s">
        <v>44</v>
      </c>
      <c r="K51" s="22"/>
      <c r="L51" s="18"/>
      <c r="M51" s="13">
        <f>Tabla1[[#This Row],[VALOR ESTIMADO  POR DESEMBOLSAR 2023-1 
(20%)]]</f>
        <v>0</v>
      </c>
      <c r="N51" s="13">
        <v>1448571351</v>
      </c>
      <c r="O51" s="16">
        <f>+Tabla1[[#This Row],[VALOR A GIRAR
CIERRE 2023-1 ]]+Tabla1[[#This Row],[VALOR DESEMBOLSADO 2023-1 
80% (Concepto técnico)]]</f>
        <v>8436691277.6000004</v>
      </c>
      <c r="P51" s="25">
        <f>Tabla1[[#This Row],[VALOR PROYECTADO 2023-1]]-Tabla1[[#This Row],[VALOR EJECUTADO 2023-1]]</f>
        <v>2109172819.3999996</v>
      </c>
      <c r="Q51" s="26">
        <f>Tabla1[[#This Row],[VALOR EJECUTADO 2023-1]]/Tabla1[[#This Row],[VALOR PROYECTADO 2023-1]]</f>
        <v>0.8</v>
      </c>
      <c r="R51" s="6">
        <f>VLOOKUP(Tabla1[[#This Row],[NOMBRE IES]],'[1]INFORMACIÓN IES'!$B:$M,12,0)</f>
        <v>7604789479</v>
      </c>
      <c r="S51" s="6">
        <f>VLOOKUP(Tabla1[[#This Row],[NOMBRE IES]],'[1]INFORMACIÓN IES'!$B:$N,13,0)</f>
        <v>6083831583</v>
      </c>
      <c r="T51" s="7">
        <f>+Tabla1[[#This Row],[VALOR PROYECTADO 2023-2]]-Tabla1[[#This Row],[VALOR DESEMBOLSADO 2023-2 
80%3]]</f>
        <v>1520957896</v>
      </c>
      <c r="U51" s="41" t="s">
        <v>46</v>
      </c>
      <c r="V51" s="8" t="s">
        <v>2</v>
      </c>
      <c r="W51" s="7"/>
      <c r="X51" s="7"/>
      <c r="Y51" s="7"/>
      <c r="Z51" s="9">
        <f>Tabla1[[#This Row],[VALOR PROYECTADO 2023-2]]-Tabla1[[#This Row],[VALOR EJECUTADO 2023-2]]</f>
        <v>7604789479</v>
      </c>
      <c r="AA51" s="1">
        <f>Tabla1[[#This Row],[VALOR EJECUTADO 2023-2]]/Tabla1[[#This Row],[VALOR PROYECTADO 2023-2]]</f>
        <v>0</v>
      </c>
    </row>
    <row r="52" spans="1:27" hidden="1" x14ac:dyDescent="0.25">
      <c r="A52" s="2">
        <v>24</v>
      </c>
      <c r="B52" s="2" t="s">
        <v>112</v>
      </c>
      <c r="C52" s="2" t="s">
        <v>728</v>
      </c>
      <c r="D52" s="2" t="s">
        <v>731</v>
      </c>
      <c r="E52" s="2" t="s">
        <v>105</v>
      </c>
      <c r="F52" s="12">
        <v>290218743</v>
      </c>
      <c r="G52" s="13">
        <f>Tabla1[[#This Row],[VALOR PROYECTADO 2023-1]]*80%</f>
        <v>232174994.40000001</v>
      </c>
      <c r="H52" s="13">
        <v>294972606</v>
      </c>
      <c r="I52" s="8" t="s">
        <v>67</v>
      </c>
      <c r="J52" s="8" t="s">
        <v>51</v>
      </c>
      <c r="K52" s="22"/>
      <c r="L52" s="8"/>
      <c r="M52" s="13">
        <f>Tabla1[[#This Row],[VALOR ESTIMADO  POR DESEMBOLSAR 2023-1 
(20%)]]</f>
        <v>294972606</v>
      </c>
      <c r="O52" s="16">
        <f>+Tabla1[[#This Row],[VALOR A GIRAR
CIERRE 2023-1 ]]+Tabla1[[#This Row],[VALOR DESEMBOLSADO 2023-1 
80% (Concepto técnico)]]</f>
        <v>527147600.39999998</v>
      </c>
      <c r="P52" s="24">
        <f>Tabla1[[#This Row],[VALOR PROYECTADO 2023-1]]-Tabla1[[#This Row],[VALOR EJECUTADO 2023-1]]</f>
        <v>-236928857.39999998</v>
      </c>
      <c r="Q52" s="26">
        <f>Tabla1[[#This Row],[VALOR EJECUTADO 2023-1]]/Tabla1[[#This Row],[VALOR PROYECTADO 2023-1]]</f>
        <v>1.8163802756185186</v>
      </c>
      <c r="R52" s="6">
        <f>VLOOKUP(Tabla1[[#This Row],[NOMBRE IES]],'[1]INFORMACIÓN IES'!$B:$M,12,0)</f>
        <v>571032440</v>
      </c>
      <c r="S52" s="6">
        <f>VLOOKUP(Tabla1[[#This Row],[NOMBRE IES]],'[1]INFORMACIÓN IES'!$B:$N,13,0)</f>
        <v>456825952</v>
      </c>
      <c r="T52" s="7">
        <f>+Tabla1[[#This Row],[VALOR PROYECTADO 2023-2]]-Tabla1[[#This Row],[VALOR DESEMBOLSADO 2023-2 
80%3]]</f>
        <v>114206488</v>
      </c>
      <c r="U52" s="40" t="s">
        <v>44</v>
      </c>
      <c r="V52" s="8" t="s">
        <v>2</v>
      </c>
      <c r="W52" s="7"/>
      <c r="X52" s="7"/>
      <c r="Y52" s="7"/>
      <c r="Z52" s="9">
        <f>Tabla1[[#This Row],[VALOR PROYECTADO 2023-2]]-Tabla1[[#This Row],[VALOR EJECUTADO 2023-2]]</f>
        <v>571032440</v>
      </c>
      <c r="AA52" s="1">
        <f>Tabla1[[#This Row],[VALOR EJECUTADO 2023-2]]/Tabla1[[#This Row],[VALOR PROYECTADO 2023-2]]</f>
        <v>0</v>
      </c>
    </row>
    <row r="53" spans="1:27" hidden="1" x14ac:dyDescent="0.25">
      <c r="A53" s="2">
        <v>25</v>
      </c>
      <c r="B53" s="2" t="s">
        <v>113</v>
      </c>
      <c r="C53" s="2" t="s">
        <v>728</v>
      </c>
      <c r="D53" s="2" t="s">
        <v>732</v>
      </c>
      <c r="E53" s="2" t="s">
        <v>105</v>
      </c>
      <c r="F53" s="12">
        <v>10119051546</v>
      </c>
      <c r="G53" s="13">
        <f>Tabla1[[#This Row],[VALOR PROYECTADO 2023-1]]*80%</f>
        <v>8095241236.8000002</v>
      </c>
      <c r="H53" s="13">
        <v>245358290</v>
      </c>
      <c r="I53" s="8" t="s">
        <v>67</v>
      </c>
      <c r="J53" s="8" t="s">
        <v>51</v>
      </c>
      <c r="K53" s="22"/>
      <c r="L53" s="8"/>
      <c r="M53" s="13">
        <v>2460003331</v>
      </c>
      <c r="O53" s="16">
        <f>+Tabla1[[#This Row],[VALOR A GIRAR
CIERRE 2023-1 ]]+Tabla1[[#This Row],[VALOR DESEMBOLSADO 2023-1 
80% (Concepto técnico)]]</f>
        <v>10555244567.799999</v>
      </c>
      <c r="P53" s="25">
        <f>Tabla1[[#This Row],[VALOR PROYECTADO 2023-1]]-Tabla1[[#This Row],[VALOR EJECUTADO 2023-1]]</f>
        <v>-436193021.79999924</v>
      </c>
      <c r="Q53" s="26">
        <f>Tabla1[[#This Row],[VALOR EJECUTADO 2023-1]]/Tabla1[[#This Row],[VALOR PROYECTADO 2023-1]]</f>
        <v>1.0431061171906397</v>
      </c>
      <c r="R53" s="6">
        <f>VLOOKUP(Tabla1[[#This Row],[NOMBRE IES]],'[1]INFORMACIÓN IES'!$B:$M,12,0)</f>
        <v>11068007613</v>
      </c>
      <c r="S53" s="6">
        <f>VLOOKUP(Tabla1[[#This Row],[NOMBRE IES]],'[1]INFORMACIÓN IES'!$B:$N,13,0)</f>
        <v>8854406090</v>
      </c>
      <c r="T53" s="7">
        <f>+Tabla1[[#This Row],[VALOR PROYECTADO 2023-2]]-Tabla1[[#This Row],[VALOR DESEMBOLSADO 2023-2 
80%3]]</f>
        <v>2213601523</v>
      </c>
      <c r="U53" s="40" t="s">
        <v>44</v>
      </c>
      <c r="V53" s="8" t="s">
        <v>2</v>
      </c>
      <c r="W53" s="7"/>
      <c r="X53" s="7"/>
      <c r="Y53" s="7"/>
      <c r="Z53" s="9">
        <f>Tabla1[[#This Row],[VALOR PROYECTADO 2023-2]]-Tabla1[[#This Row],[VALOR EJECUTADO 2023-2]]</f>
        <v>11068007613</v>
      </c>
      <c r="AA53" s="1">
        <f>Tabla1[[#This Row],[VALOR EJECUTADO 2023-2]]/Tabla1[[#This Row],[VALOR PROYECTADO 2023-2]]</f>
        <v>0</v>
      </c>
    </row>
    <row r="54" spans="1:27" hidden="1" x14ac:dyDescent="0.25">
      <c r="A54" s="2">
        <v>26</v>
      </c>
      <c r="B54" s="2" t="s">
        <v>114</v>
      </c>
      <c r="C54" s="2" t="s">
        <v>728</v>
      </c>
      <c r="D54" s="2" t="s">
        <v>733</v>
      </c>
      <c r="E54" s="2" t="s">
        <v>105</v>
      </c>
      <c r="F54" s="12">
        <v>1454065054</v>
      </c>
      <c r="G54" s="13">
        <f>Tabla1[[#This Row],[VALOR PROYECTADO 2023-1]]*80%</f>
        <v>1163252043.2</v>
      </c>
      <c r="H54" s="13">
        <v>245358290</v>
      </c>
      <c r="I54" s="8" t="s">
        <v>67</v>
      </c>
      <c r="J54" s="8" t="s">
        <v>51</v>
      </c>
      <c r="K54" s="22"/>
      <c r="L54" s="8"/>
      <c r="M54" s="13">
        <f>Tabla1[[#This Row],[VALOR ESTIMADO  POR DESEMBOLSAR 2023-1 
(20%)]]</f>
        <v>245358290</v>
      </c>
      <c r="O54" s="16">
        <f>+Tabla1[[#This Row],[VALOR A GIRAR
CIERRE 2023-1 ]]+Tabla1[[#This Row],[VALOR DESEMBOLSADO 2023-1 
80% (Concepto técnico)]]</f>
        <v>1408610333.2</v>
      </c>
      <c r="P54" s="25">
        <f>Tabla1[[#This Row],[VALOR PROYECTADO 2023-1]]-Tabla1[[#This Row],[VALOR EJECUTADO 2023-1]]</f>
        <v>45454720.799999952</v>
      </c>
      <c r="Q54" s="26">
        <f>Tabla1[[#This Row],[VALOR EJECUTADO 2023-1]]/Tabla1[[#This Row],[VALOR PROYECTADO 2023-1]]</f>
        <v>0.96873955489477026</v>
      </c>
      <c r="R54" s="6">
        <f>VLOOKUP(Tabla1[[#This Row],[NOMBRE IES]],'[1]INFORMACIÓN IES'!$B:$M,12,0)</f>
        <v>1396895922</v>
      </c>
      <c r="S54" s="6">
        <f>VLOOKUP(Tabla1[[#This Row],[NOMBRE IES]],'[1]INFORMACIÓN IES'!$B:$N,13,0)</f>
        <v>1117516738</v>
      </c>
      <c r="T54" s="7">
        <f>+Tabla1[[#This Row],[VALOR PROYECTADO 2023-2]]-Tabla1[[#This Row],[VALOR DESEMBOLSADO 2023-2 
80%3]]</f>
        <v>279379184</v>
      </c>
      <c r="U54" s="40" t="s">
        <v>44</v>
      </c>
      <c r="V54" s="8" t="s">
        <v>2</v>
      </c>
      <c r="W54" s="7"/>
      <c r="X54" s="7"/>
      <c r="Y54" s="7"/>
      <c r="Z54" s="9">
        <f>Tabla1[[#This Row],[VALOR PROYECTADO 2023-2]]-Tabla1[[#This Row],[VALOR EJECUTADO 2023-2]]</f>
        <v>1396895922</v>
      </c>
      <c r="AA54" s="1">
        <f>Tabla1[[#This Row],[VALOR EJECUTADO 2023-2]]/Tabla1[[#This Row],[VALOR PROYECTADO 2023-2]]</f>
        <v>0</v>
      </c>
    </row>
    <row r="55" spans="1:27" ht="23.25" x14ac:dyDescent="0.25">
      <c r="A55" s="2">
        <v>27</v>
      </c>
      <c r="B55" s="2" t="s">
        <v>115</v>
      </c>
      <c r="C55" s="2" t="s">
        <v>680</v>
      </c>
      <c r="D55" s="2" t="s">
        <v>680</v>
      </c>
      <c r="E55" s="2" t="s">
        <v>105</v>
      </c>
      <c r="F55" s="12">
        <v>59950373775.410004</v>
      </c>
      <c r="G55" s="13">
        <f>Tabla1[[#This Row],[VALOR PROYECTADO 2023-1]]*80%</f>
        <v>47960299020.328003</v>
      </c>
      <c r="H55" s="12">
        <v>10791854966</v>
      </c>
      <c r="I55" s="8" t="s">
        <v>2</v>
      </c>
      <c r="J55" s="8" t="s">
        <v>44</v>
      </c>
      <c r="K55" s="22" t="s">
        <v>734</v>
      </c>
      <c r="L55" s="18">
        <v>45230</v>
      </c>
      <c r="M55" s="13">
        <f>Tabla1[[#This Row],[VALOR ESTIMADO  POR DESEMBOLSAR 2023-1 
(20%)]]</f>
        <v>10791854966</v>
      </c>
      <c r="O55" s="16">
        <f>+Tabla1[[#This Row],[VALOR A GIRAR
CIERRE 2023-1 ]]+Tabla1[[#This Row],[VALOR DESEMBOLSADO 2023-1 
80% (Concepto técnico)]]</f>
        <v>58752153986.328003</v>
      </c>
      <c r="P55" s="25">
        <f>Tabla1[[#This Row],[VALOR PROYECTADO 2023-1]]-Tabla1[[#This Row],[VALOR EJECUTADO 2023-1]]</f>
        <v>1198219789.0820007</v>
      </c>
      <c r="Q55" s="26">
        <f>Tabla1[[#This Row],[VALOR EJECUTADO 2023-1]]/Tabla1[[#This Row],[VALOR PROYECTADO 2023-1]]</f>
        <v>0.98001313897439823</v>
      </c>
      <c r="R55" s="6">
        <f>VLOOKUP(Tabla1[[#This Row],[NOMBRE IES]],'[1]INFORMACIÓN IES'!$B:$M,12,0)</f>
        <v>61710372243</v>
      </c>
      <c r="S55" s="6">
        <f>VLOOKUP(Tabla1[[#This Row],[NOMBRE IES]],'[1]INFORMACIÓN IES'!$B:$N,13,0)</f>
        <v>49368297794</v>
      </c>
      <c r="T55" s="7">
        <f>+Tabla1[[#This Row],[VALOR PROYECTADO 2023-2]]-Tabla1[[#This Row],[VALOR DESEMBOLSADO 2023-2 
80%3]]</f>
        <v>12342074449</v>
      </c>
      <c r="U55" s="41" t="s">
        <v>46</v>
      </c>
      <c r="V55" s="8" t="s">
        <v>2</v>
      </c>
      <c r="W55" s="7"/>
      <c r="X55" s="7"/>
      <c r="Y55" s="7"/>
      <c r="Z55" s="9">
        <f>Tabla1[[#This Row],[VALOR PROYECTADO 2023-2]]-Tabla1[[#This Row],[VALOR EJECUTADO 2023-2]]</f>
        <v>61710372243</v>
      </c>
      <c r="AA55" s="1">
        <f>Tabla1[[#This Row],[VALOR EJECUTADO 2023-2]]/Tabla1[[#This Row],[VALOR PROYECTADO 2023-2]]</f>
        <v>0</v>
      </c>
    </row>
    <row r="56" spans="1:27" hidden="1" x14ac:dyDescent="0.25">
      <c r="A56" s="2">
        <v>28</v>
      </c>
      <c r="B56" s="2" t="s">
        <v>116</v>
      </c>
      <c r="C56" s="2" t="s">
        <v>735</v>
      </c>
      <c r="D56" s="2" t="s">
        <v>736</v>
      </c>
      <c r="E56" s="2" t="s">
        <v>105</v>
      </c>
      <c r="F56" s="12">
        <v>4065118662</v>
      </c>
      <c r="G56" s="13">
        <f>Tabla1[[#This Row],[VALOR PROYECTADO 2023-1]]*80%</f>
        <v>3252094929.6000004</v>
      </c>
      <c r="H56" s="12">
        <v>2460003331</v>
      </c>
      <c r="I56" s="8" t="s">
        <v>67</v>
      </c>
      <c r="J56" s="8" t="s">
        <v>51</v>
      </c>
      <c r="K56" s="22"/>
      <c r="L56" s="8"/>
      <c r="M56" s="13">
        <v>393612470</v>
      </c>
      <c r="O56" s="16">
        <f>+Tabla1[[#This Row],[VALOR A GIRAR
CIERRE 2023-1 ]]+Tabla1[[#This Row],[VALOR DESEMBOLSADO 2023-1 
80% (Concepto técnico)]]</f>
        <v>3645707399.6000004</v>
      </c>
      <c r="P56" s="24">
        <f>Tabla1[[#This Row],[VALOR PROYECTADO 2023-1]]-Tabla1[[#This Row],[VALOR EJECUTADO 2023-1]]</f>
        <v>419411262.39999962</v>
      </c>
      <c r="Q56" s="26">
        <f>Tabla1[[#This Row],[VALOR EJECUTADO 2023-1]]/Tabla1[[#This Row],[VALOR PROYECTADO 2023-1]]</f>
        <v>0.89682680943103066</v>
      </c>
      <c r="R56" s="6">
        <f>VLOOKUP(Tabla1[[#This Row],[NOMBRE IES]],'[1]INFORMACIÓN IES'!$B:$M,12,0)</f>
        <v>4155767660</v>
      </c>
      <c r="S56" s="6">
        <f>VLOOKUP(Tabla1[[#This Row],[NOMBRE IES]],'[1]INFORMACIÓN IES'!$B:$N,13,0)</f>
        <v>3324614128</v>
      </c>
      <c r="T56" s="7">
        <f>+Tabla1[[#This Row],[VALOR PROYECTADO 2023-2]]-Tabla1[[#This Row],[VALOR DESEMBOLSADO 2023-2 
80%3]]</f>
        <v>831153532</v>
      </c>
      <c r="U56" s="40" t="s">
        <v>44</v>
      </c>
      <c r="V56" s="8" t="s">
        <v>2</v>
      </c>
      <c r="W56" s="7"/>
      <c r="X56" s="7"/>
      <c r="Y56" s="7"/>
      <c r="Z56" s="9">
        <f>Tabla1[[#This Row],[VALOR PROYECTADO 2023-2]]-Tabla1[[#This Row],[VALOR EJECUTADO 2023-2]]</f>
        <v>4155767660</v>
      </c>
      <c r="AA56" s="1">
        <f>Tabla1[[#This Row],[VALOR EJECUTADO 2023-2]]/Tabla1[[#This Row],[VALOR PROYECTADO 2023-2]]</f>
        <v>0</v>
      </c>
    </row>
    <row r="57" spans="1:27" ht="23.25" x14ac:dyDescent="0.25">
      <c r="A57" s="2">
        <v>29</v>
      </c>
      <c r="B57" s="2" t="s">
        <v>117</v>
      </c>
      <c r="C57" s="2" t="s">
        <v>737</v>
      </c>
      <c r="D57" s="2" t="s">
        <v>738</v>
      </c>
      <c r="E57" s="2" t="s">
        <v>118</v>
      </c>
      <c r="F57" s="12">
        <v>5084626107</v>
      </c>
      <c r="G57" s="12">
        <v>4067700886</v>
      </c>
      <c r="H57" s="12">
        <v>1016925221</v>
      </c>
      <c r="I57" s="8" t="s">
        <v>2</v>
      </c>
      <c r="J57" s="8" t="s">
        <v>44</v>
      </c>
      <c r="K57" s="22" t="s">
        <v>670</v>
      </c>
      <c r="L57" s="14">
        <v>45230</v>
      </c>
      <c r="M57" s="12">
        <v>0</v>
      </c>
      <c r="N57" s="12">
        <v>0</v>
      </c>
      <c r="O57" s="16">
        <f>+Tabla1[[#This Row],[VALOR A GIRAR
CIERRE 2023-1 ]]+Tabla1[[#This Row],[VALOR DESEMBOLSADO 2023-1 
80% (Concepto técnico)]]</f>
        <v>4067700886</v>
      </c>
      <c r="P57" s="25">
        <f>Tabla1[[#This Row],[VALOR PROYECTADO 2023-1]]-Tabla1[[#This Row],[VALOR EJECUTADO 2023-1]]</f>
        <v>1016925221</v>
      </c>
      <c r="Q57" s="26">
        <f>Tabla1[[#This Row],[VALOR EJECUTADO 2023-1]]/Tabla1[[#This Row],[VALOR PROYECTADO 2023-1]]</f>
        <v>0.80000000007866856</v>
      </c>
      <c r="R57" s="6">
        <f>VLOOKUP(Tabla1[[#This Row],[NOMBRE IES]],'[1]INFORMACIÓN IES'!$B:$M,12,0)</f>
        <v>1961785304</v>
      </c>
      <c r="S57" s="6">
        <f>VLOOKUP(Tabla1[[#This Row],[NOMBRE IES]],'[1]INFORMACIÓN IES'!$B:$N,13,0)</f>
        <v>1569428243</v>
      </c>
      <c r="T57" s="7">
        <f>+Tabla1[[#This Row],[VALOR PROYECTADO 2023-2]]-Tabla1[[#This Row],[VALOR DESEMBOLSADO 2023-2 
80%3]]</f>
        <v>392357061</v>
      </c>
      <c r="U57" s="41" t="s">
        <v>46</v>
      </c>
      <c r="V57" s="8" t="s">
        <v>2</v>
      </c>
      <c r="W57" s="7"/>
      <c r="X57" s="7"/>
      <c r="Y57" s="7"/>
      <c r="Z57" s="9">
        <f>Tabla1[[#This Row],[VALOR PROYECTADO 2023-2]]-Tabla1[[#This Row],[VALOR EJECUTADO 2023-2]]</f>
        <v>1961785304</v>
      </c>
      <c r="AA57" s="1">
        <f>Tabla1[[#This Row],[VALOR EJECUTADO 2023-2]]/Tabla1[[#This Row],[VALOR PROYECTADO 2023-2]]</f>
        <v>0</v>
      </c>
    </row>
    <row r="58" spans="1:27" hidden="1" x14ac:dyDescent="0.25">
      <c r="A58" s="2">
        <v>30</v>
      </c>
      <c r="B58" s="2" t="s">
        <v>119</v>
      </c>
      <c r="C58" s="2" t="s">
        <v>739</v>
      </c>
      <c r="D58" s="2" t="s">
        <v>740</v>
      </c>
      <c r="E58" s="2" t="s">
        <v>118</v>
      </c>
      <c r="F58" s="12">
        <v>1083254533</v>
      </c>
      <c r="G58" s="12">
        <v>866603627</v>
      </c>
      <c r="H58" s="12">
        <v>216650907</v>
      </c>
      <c r="I58" s="8" t="s">
        <v>67</v>
      </c>
      <c r="J58" s="8" t="s">
        <v>51</v>
      </c>
      <c r="K58" s="22" t="s">
        <v>250</v>
      </c>
      <c r="L58" s="8" t="s">
        <v>250</v>
      </c>
      <c r="M58" s="12">
        <v>759049373</v>
      </c>
      <c r="N58" s="12">
        <v>0</v>
      </c>
      <c r="O58" s="16">
        <f>+Tabla1[[#This Row],[VALOR A GIRAR
CIERRE 2023-1 ]]+Tabla1[[#This Row],[VALOR DESEMBOLSADO 2023-1 
80% (Concepto técnico)]]</f>
        <v>1625653000</v>
      </c>
      <c r="P58" s="24">
        <f>Tabla1[[#This Row],[VALOR PROYECTADO 2023-1]]-Tabla1[[#This Row],[VALOR EJECUTADO 2023-1]]</f>
        <v>-542398467</v>
      </c>
      <c r="Q58" s="26">
        <f>Tabla1[[#This Row],[VALOR EJECUTADO 2023-1]]/Tabla1[[#This Row],[VALOR PROYECTADO 2023-1]]</f>
        <v>1.5007119291694671</v>
      </c>
      <c r="R58" s="6">
        <f>VLOOKUP(Tabla1[[#This Row],[NOMBRE IES]],'[1]INFORMACIÓN IES'!$B:$M,12,0)</f>
        <v>1712328200</v>
      </c>
      <c r="S58" s="6">
        <f>VLOOKUP(Tabla1[[#This Row],[NOMBRE IES]],'[1]INFORMACIÓN IES'!$B:$N,13,0)</f>
        <v>1369862560</v>
      </c>
      <c r="T58" s="7">
        <f>+Tabla1[[#This Row],[VALOR PROYECTADO 2023-2]]-Tabla1[[#This Row],[VALOR DESEMBOLSADO 2023-2 
80%3]]</f>
        <v>342465640</v>
      </c>
      <c r="U58" s="40" t="s">
        <v>44</v>
      </c>
      <c r="V58" s="8" t="s">
        <v>2</v>
      </c>
      <c r="W58" s="7"/>
      <c r="X58" s="7"/>
      <c r="Y58" s="7"/>
      <c r="Z58" s="9">
        <f>Tabla1[[#This Row],[VALOR PROYECTADO 2023-2]]-Tabla1[[#This Row],[VALOR EJECUTADO 2023-2]]</f>
        <v>1712328200</v>
      </c>
      <c r="AA58" s="1">
        <f>Tabla1[[#This Row],[VALOR EJECUTADO 2023-2]]/Tabla1[[#This Row],[VALOR PROYECTADO 2023-2]]</f>
        <v>0</v>
      </c>
    </row>
    <row r="59" spans="1:27" hidden="1" x14ac:dyDescent="0.25">
      <c r="A59" s="2">
        <v>31</v>
      </c>
      <c r="B59" s="2" t="s">
        <v>120</v>
      </c>
      <c r="C59" s="2" t="s">
        <v>739</v>
      </c>
      <c r="D59" s="2" t="s">
        <v>740</v>
      </c>
      <c r="E59" s="2" t="s">
        <v>118</v>
      </c>
      <c r="F59" s="12">
        <v>1017512796</v>
      </c>
      <c r="G59" s="12">
        <v>814010237</v>
      </c>
      <c r="H59" s="12">
        <v>203502559</v>
      </c>
      <c r="I59" s="8" t="s">
        <v>67</v>
      </c>
      <c r="J59" s="8" t="s">
        <v>51</v>
      </c>
      <c r="K59" s="22" t="s">
        <v>250</v>
      </c>
      <c r="L59" s="8" t="s">
        <v>250</v>
      </c>
      <c r="M59" s="12">
        <v>232793723</v>
      </c>
      <c r="N59" s="12">
        <v>0</v>
      </c>
      <c r="O59" s="16">
        <f>+Tabla1[[#This Row],[VALOR A GIRAR
CIERRE 2023-1 ]]+Tabla1[[#This Row],[VALOR DESEMBOLSADO 2023-1 
80% (Concepto técnico)]]</f>
        <v>1046803960</v>
      </c>
      <c r="P59" s="24">
        <f>Tabla1[[#This Row],[VALOR PROYECTADO 2023-1]]-Tabla1[[#This Row],[VALOR EJECUTADO 2023-1]]</f>
        <v>-29291164</v>
      </c>
      <c r="Q59" s="26">
        <f>Tabla1[[#This Row],[VALOR EJECUTADO 2023-1]]/Tabla1[[#This Row],[VALOR PROYECTADO 2023-1]]</f>
        <v>1.0287870227432501</v>
      </c>
      <c r="R59" s="6">
        <f>VLOOKUP(Tabla1[[#This Row],[NOMBRE IES]],'[1]INFORMACIÓN IES'!$B:$M,12,0)</f>
        <v>1096614530</v>
      </c>
      <c r="S59" s="6">
        <f>VLOOKUP(Tabla1[[#This Row],[NOMBRE IES]],'[1]INFORMACIÓN IES'!$B:$N,13,0)</f>
        <v>877291624</v>
      </c>
      <c r="T59" s="7">
        <f>+Tabla1[[#This Row],[VALOR PROYECTADO 2023-2]]-Tabla1[[#This Row],[VALOR DESEMBOLSADO 2023-2 
80%3]]</f>
        <v>219322906</v>
      </c>
      <c r="U59" s="40" t="s">
        <v>44</v>
      </c>
      <c r="V59" s="8" t="s">
        <v>2</v>
      </c>
      <c r="W59" s="7"/>
      <c r="X59" s="7"/>
      <c r="Y59" s="7"/>
      <c r="Z59" s="9">
        <f>Tabla1[[#This Row],[VALOR PROYECTADO 2023-2]]-Tabla1[[#This Row],[VALOR EJECUTADO 2023-2]]</f>
        <v>1096614530</v>
      </c>
      <c r="AA59" s="1">
        <f>Tabla1[[#This Row],[VALOR EJECUTADO 2023-2]]/Tabla1[[#This Row],[VALOR PROYECTADO 2023-2]]</f>
        <v>0</v>
      </c>
    </row>
    <row r="60" spans="1:27" hidden="1" x14ac:dyDescent="0.25">
      <c r="A60" s="2">
        <v>32</v>
      </c>
      <c r="B60" s="2" t="s">
        <v>121</v>
      </c>
      <c r="C60" s="2" t="s">
        <v>739</v>
      </c>
      <c r="D60" s="2" t="s">
        <v>740</v>
      </c>
      <c r="E60" s="2" t="s">
        <v>118</v>
      </c>
      <c r="F60" s="12">
        <v>9073014654</v>
      </c>
      <c r="G60" s="12">
        <v>7258411723</v>
      </c>
      <c r="H60" s="35">
        <v>0</v>
      </c>
      <c r="I60" s="8" t="s">
        <v>67</v>
      </c>
      <c r="J60" s="8" t="s">
        <v>51</v>
      </c>
      <c r="K60" s="22" t="s">
        <v>250</v>
      </c>
      <c r="L60" s="8" t="s">
        <v>250</v>
      </c>
      <c r="M60" s="12">
        <v>0</v>
      </c>
      <c r="N60" s="12">
        <v>-286491517</v>
      </c>
      <c r="O60" s="16">
        <f>+Tabla1[[#This Row],[VALOR A GIRAR
CIERRE 2023-1 ]]+Tabla1[[#This Row],[VALOR DESEMBOLSADO 2023-1 
80% (Concepto técnico)]]</f>
        <v>7258411723</v>
      </c>
      <c r="P60" s="25">
        <f>Tabla1[[#This Row],[VALOR PROYECTADO 2023-1]]-Tabla1[[#This Row],[VALOR EJECUTADO 2023-1]]</f>
        <v>1814602931</v>
      </c>
      <c r="Q60" s="26">
        <f>Tabla1[[#This Row],[VALOR EJECUTADO 2023-1]]/Tabla1[[#This Row],[VALOR PROYECTADO 2023-1]]</f>
        <v>0.79999999997795657</v>
      </c>
      <c r="R60" s="6">
        <f>VLOOKUP(Tabla1[[#This Row],[NOMBRE IES]],'[1]INFORMACIÓN IES'!$B:$M,12,0)</f>
        <v>7436991659</v>
      </c>
      <c r="S60" s="6">
        <f>VLOOKUP(Tabla1[[#This Row],[NOMBRE IES]],'[1]INFORMACIÓN IES'!$B:$N,13,0)</f>
        <v>5949593327</v>
      </c>
      <c r="T60" s="7">
        <f>+Tabla1[[#This Row],[VALOR PROYECTADO 2023-2]]-Tabla1[[#This Row],[VALOR DESEMBOLSADO 2023-2 
80%3]]</f>
        <v>1487398332</v>
      </c>
      <c r="U60" s="40" t="s">
        <v>44</v>
      </c>
      <c r="V60" s="8" t="s">
        <v>2</v>
      </c>
      <c r="W60" s="7"/>
      <c r="X60" s="7"/>
      <c r="Y60" s="7"/>
      <c r="Z60" s="9">
        <f>Tabla1[[#This Row],[VALOR PROYECTADO 2023-2]]-Tabla1[[#This Row],[VALOR EJECUTADO 2023-2]]</f>
        <v>7436991659</v>
      </c>
      <c r="AA60" s="1">
        <f>Tabla1[[#This Row],[VALOR EJECUTADO 2023-2]]/Tabla1[[#This Row],[VALOR PROYECTADO 2023-2]]</f>
        <v>0</v>
      </c>
    </row>
    <row r="61" spans="1:27" hidden="1" x14ac:dyDescent="0.25">
      <c r="A61" s="2">
        <v>33</v>
      </c>
      <c r="B61" s="2" t="s">
        <v>122</v>
      </c>
      <c r="C61" s="2" t="s">
        <v>737</v>
      </c>
      <c r="D61" s="2" t="s">
        <v>741</v>
      </c>
      <c r="E61" s="2" t="s">
        <v>118</v>
      </c>
      <c r="F61" s="12">
        <v>3807861536</v>
      </c>
      <c r="G61" s="12">
        <v>3046289229</v>
      </c>
      <c r="H61" s="12">
        <v>761572307</v>
      </c>
      <c r="I61" s="8" t="s">
        <v>67</v>
      </c>
      <c r="J61" s="8" t="s">
        <v>51</v>
      </c>
      <c r="K61" s="22" t="s">
        <v>250</v>
      </c>
      <c r="L61" s="8" t="s">
        <v>250</v>
      </c>
      <c r="M61" s="12">
        <v>628938771</v>
      </c>
      <c r="N61" s="12">
        <v>0</v>
      </c>
      <c r="O61" s="16">
        <f>+Tabla1[[#This Row],[VALOR A GIRAR
CIERRE 2023-1 ]]+Tabla1[[#This Row],[VALOR DESEMBOLSADO 2023-1 
80% (Concepto técnico)]]</f>
        <v>3675228000</v>
      </c>
      <c r="P61" s="25">
        <f>Tabla1[[#This Row],[VALOR PROYECTADO 2023-1]]-Tabla1[[#This Row],[VALOR EJECUTADO 2023-1]]</f>
        <v>132633536</v>
      </c>
      <c r="Q61" s="26">
        <f>Tabla1[[#This Row],[VALOR EJECUTADO 2023-1]]/Tabla1[[#This Row],[VALOR PROYECTADO 2023-1]]</f>
        <v>0.9651684981856441</v>
      </c>
      <c r="R61" s="6">
        <f>VLOOKUP(Tabla1[[#This Row],[NOMBRE IES]],'[1]INFORMACIÓN IES'!$B:$M,12,0)</f>
        <v>4011692960</v>
      </c>
      <c r="S61" s="6">
        <f>VLOOKUP(Tabla1[[#This Row],[NOMBRE IES]],'[1]INFORMACIÓN IES'!$B:$N,13,0)</f>
        <v>3209354368</v>
      </c>
      <c r="T61" s="7">
        <f>+Tabla1[[#This Row],[VALOR PROYECTADO 2023-2]]-Tabla1[[#This Row],[VALOR DESEMBOLSADO 2023-2 
80%3]]</f>
        <v>802338592</v>
      </c>
      <c r="U61" s="40" t="s">
        <v>44</v>
      </c>
      <c r="V61" s="8" t="s">
        <v>2</v>
      </c>
      <c r="W61" s="7"/>
      <c r="X61" s="7"/>
      <c r="Y61" s="7"/>
      <c r="Z61" s="9">
        <f>Tabla1[[#This Row],[VALOR PROYECTADO 2023-2]]-Tabla1[[#This Row],[VALOR EJECUTADO 2023-2]]</f>
        <v>4011692960</v>
      </c>
      <c r="AA61" s="1">
        <f>Tabla1[[#This Row],[VALOR EJECUTADO 2023-2]]/Tabla1[[#This Row],[VALOR PROYECTADO 2023-2]]</f>
        <v>0</v>
      </c>
    </row>
    <row r="62" spans="1:27" x14ac:dyDescent="0.25">
      <c r="A62" s="2">
        <v>34</v>
      </c>
      <c r="B62" s="2" t="s">
        <v>123</v>
      </c>
      <c r="C62" s="2" t="s">
        <v>742</v>
      </c>
      <c r="D62" s="2" t="s">
        <v>743</v>
      </c>
      <c r="E62" s="2" t="s">
        <v>118</v>
      </c>
      <c r="F62" s="12">
        <v>1060426553</v>
      </c>
      <c r="G62" s="12">
        <v>848341242</v>
      </c>
      <c r="H62" s="12">
        <v>212085311</v>
      </c>
      <c r="I62" s="8" t="s">
        <v>2</v>
      </c>
      <c r="J62" s="8" t="s">
        <v>44</v>
      </c>
      <c r="K62" s="22" t="s">
        <v>251</v>
      </c>
      <c r="L62" s="14">
        <v>45245</v>
      </c>
      <c r="M62" s="12">
        <v>0</v>
      </c>
      <c r="N62" s="12">
        <v>0</v>
      </c>
      <c r="O62" s="16">
        <f>+Tabla1[[#This Row],[VALOR A GIRAR
CIERRE 2023-1 ]]+Tabla1[[#This Row],[VALOR DESEMBOLSADO 2023-1 
80% (Concepto técnico)]]</f>
        <v>848341242</v>
      </c>
      <c r="P62" s="25">
        <f>Tabla1[[#This Row],[VALOR PROYECTADO 2023-1]]-Tabla1[[#This Row],[VALOR EJECUTADO 2023-1]]</f>
        <v>212085311</v>
      </c>
      <c r="Q62" s="26">
        <f>Tabla1[[#This Row],[VALOR EJECUTADO 2023-1]]/Tabla1[[#This Row],[VALOR PROYECTADO 2023-1]]</f>
        <v>0.79999999962279333</v>
      </c>
      <c r="R62" s="6">
        <f>VLOOKUP(Tabla1[[#This Row],[NOMBRE IES]],'[1]INFORMACIÓN IES'!$B:$M,12,0)</f>
        <v>1058928816</v>
      </c>
      <c r="S62" s="6">
        <f>VLOOKUP(Tabla1[[#This Row],[NOMBRE IES]],'[1]INFORMACIÓN IES'!$B:$N,13,0)</f>
        <v>847143053</v>
      </c>
      <c r="T62" s="7">
        <f>+Tabla1[[#This Row],[VALOR PROYECTADO 2023-2]]-Tabla1[[#This Row],[VALOR DESEMBOLSADO 2023-2 
80%3]]</f>
        <v>211785763</v>
      </c>
      <c r="U62" s="41" t="s">
        <v>46</v>
      </c>
      <c r="V62" s="8" t="s">
        <v>2</v>
      </c>
      <c r="W62" s="7"/>
      <c r="X62" s="7"/>
      <c r="Y62" s="7"/>
      <c r="Z62" s="9">
        <f>Tabla1[[#This Row],[VALOR PROYECTADO 2023-2]]-Tabla1[[#This Row],[VALOR EJECUTADO 2023-2]]</f>
        <v>1058928816</v>
      </c>
      <c r="AA62" s="1">
        <f>Tabla1[[#This Row],[VALOR EJECUTADO 2023-2]]/Tabla1[[#This Row],[VALOR PROYECTADO 2023-2]]</f>
        <v>0</v>
      </c>
    </row>
    <row r="63" spans="1:27" hidden="1" x14ac:dyDescent="0.25">
      <c r="A63" s="2">
        <v>35</v>
      </c>
      <c r="B63" s="2" t="s">
        <v>124</v>
      </c>
      <c r="C63" s="2" t="s">
        <v>742</v>
      </c>
      <c r="D63" s="2" t="s">
        <v>743</v>
      </c>
      <c r="E63" s="2" t="s">
        <v>118</v>
      </c>
      <c r="F63" s="12">
        <v>218811046</v>
      </c>
      <c r="G63" s="12">
        <v>175048837</v>
      </c>
      <c r="H63" s="12">
        <v>43762209</v>
      </c>
      <c r="I63" s="8" t="s">
        <v>67</v>
      </c>
      <c r="J63" s="8" t="s">
        <v>51</v>
      </c>
      <c r="K63" s="22" t="s">
        <v>250</v>
      </c>
      <c r="L63" s="8" t="s">
        <v>250</v>
      </c>
      <c r="M63" s="12">
        <v>107905913</v>
      </c>
      <c r="N63" s="12">
        <v>0</v>
      </c>
      <c r="O63" s="16">
        <f>+Tabla1[[#This Row],[VALOR A GIRAR
CIERRE 2023-1 ]]+Tabla1[[#This Row],[VALOR DESEMBOLSADO 2023-1 
80% (Concepto técnico)]]</f>
        <v>282954750</v>
      </c>
      <c r="P63" s="24">
        <f>Tabla1[[#This Row],[VALOR PROYECTADO 2023-1]]-Tabla1[[#This Row],[VALOR EJECUTADO 2023-1]]</f>
        <v>-64143704</v>
      </c>
      <c r="Q63" s="26">
        <f>Tabla1[[#This Row],[VALOR EJECUTADO 2023-1]]/Tabla1[[#This Row],[VALOR PROYECTADO 2023-1]]</f>
        <v>1.2931465534879807</v>
      </c>
      <c r="R63" s="6">
        <f>VLOOKUP(Tabla1[[#This Row],[NOMBRE IES]],'[1]INFORMACIÓN IES'!$B:$M,12,0)</f>
        <v>240692151</v>
      </c>
      <c r="S63" s="6">
        <f>VLOOKUP(Tabla1[[#This Row],[NOMBRE IES]],'[1]INFORMACIÓN IES'!$B:$N,13,0)</f>
        <v>192553721</v>
      </c>
      <c r="T63" s="7">
        <f>+Tabla1[[#This Row],[VALOR PROYECTADO 2023-2]]-Tabla1[[#This Row],[VALOR DESEMBOLSADO 2023-2 
80%3]]</f>
        <v>48138430</v>
      </c>
      <c r="U63" s="40" t="s">
        <v>44</v>
      </c>
      <c r="V63" s="8" t="s">
        <v>2</v>
      </c>
      <c r="W63" s="7"/>
      <c r="X63" s="7"/>
      <c r="Y63" s="7"/>
      <c r="Z63" s="9">
        <f>Tabla1[[#This Row],[VALOR PROYECTADO 2023-2]]-Tabla1[[#This Row],[VALOR EJECUTADO 2023-2]]</f>
        <v>240692151</v>
      </c>
      <c r="AA63" s="1">
        <f>Tabla1[[#This Row],[VALOR EJECUTADO 2023-2]]/Tabla1[[#This Row],[VALOR PROYECTADO 2023-2]]</f>
        <v>0</v>
      </c>
    </row>
    <row r="64" spans="1:27" x14ac:dyDescent="0.25">
      <c r="A64" s="2">
        <v>36</v>
      </c>
      <c r="B64" s="2" t="s">
        <v>125</v>
      </c>
      <c r="C64" s="2" t="s">
        <v>742</v>
      </c>
      <c r="D64" s="2" t="s">
        <v>743</v>
      </c>
      <c r="E64" s="2" t="s">
        <v>118</v>
      </c>
      <c r="F64" s="12">
        <v>5653192424</v>
      </c>
      <c r="G64" s="12">
        <v>4522553939</v>
      </c>
      <c r="H64" s="12">
        <v>1130638485</v>
      </c>
      <c r="I64" s="8" t="s">
        <v>2</v>
      </c>
      <c r="J64" s="8" t="s">
        <v>44</v>
      </c>
      <c r="K64" s="22" t="s">
        <v>251</v>
      </c>
      <c r="L64" s="14">
        <v>45245</v>
      </c>
      <c r="M64" s="12">
        <v>0</v>
      </c>
      <c r="N64" s="12">
        <v>0</v>
      </c>
      <c r="O64" s="16">
        <f>+Tabla1[[#This Row],[VALOR A GIRAR
CIERRE 2023-1 ]]+Tabla1[[#This Row],[VALOR DESEMBOLSADO 2023-1 
80% (Concepto técnico)]]</f>
        <v>4522553939</v>
      </c>
      <c r="P64" s="25">
        <f>Tabla1[[#This Row],[VALOR PROYECTADO 2023-1]]-Tabla1[[#This Row],[VALOR EJECUTADO 2023-1]]</f>
        <v>1130638485</v>
      </c>
      <c r="Q64" s="26">
        <f>Tabla1[[#This Row],[VALOR EJECUTADO 2023-1]]/Tabla1[[#This Row],[VALOR PROYECTADO 2023-1]]</f>
        <v>0.79999999996462179</v>
      </c>
      <c r="R64" s="6">
        <f>VLOOKUP(Tabla1[[#This Row],[NOMBRE IES]],'[1]INFORMACIÓN IES'!$B:$M,12,0)</f>
        <v>4487393900</v>
      </c>
      <c r="S64" s="6">
        <f>VLOOKUP(Tabla1[[#This Row],[NOMBRE IES]],'[1]INFORMACIÓN IES'!$B:$N,13,0)</f>
        <v>3589915120</v>
      </c>
      <c r="T64" s="7">
        <f>+Tabla1[[#This Row],[VALOR PROYECTADO 2023-2]]-Tabla1[[#This Row],[VALOR DESEMBOLSADO 2023-2 
80%3]]</f>
        <v>897478780</v>
      </c>
      <c r="U64" s="41" t="s">
        <v>46</v>
      </c>
      <c r="V64" s="8" t="s">
        <v>2</v>
      </c>
      <c r="W64" s="7"/>
      <c r="X64" s="7"/>
      <c r="Y64" s="7"/>
      <c r="Z64" s="9">
        <f>Tabla1[[#This Row],[VALOR PROYECTADO 2023-2]]-Tabla1[[#This Row],[VALOR EJECUTADO 2023-2]]</f>
        <v>4487393900</v>
      </c>
      <c r="AA64" s="1">
        <f>Tabla1[[#This Row],[VALOR EJECUTADO 2023-2]]/Tabla1[[#This Row],[VALOR PROYECTADO 2023-2]]</f>
        <v>0</v>
      </c>
    </row>
    <row r="65" spans="1:27" hidden="1" x14ac:dyDescent="0.25">
      <c r="A65" s="2">
        <v>37</v>
      </c>
      <c r="B65" s="2" t="s">
        <v>126</v>
      </c>
      <c r="C65" s="2" t="s">
        <v>744</v>
      </c>
      <c r="D65" s="2" t="s">
        <v>745</v>
      </c>
      <c r="E65" s="2" t="s">
        <v>118</v>
      </c>
      <c r="F65" s="12">
        <v>461245394</v>
      </c>
      <c r="G65" s="12">
        <v>368996315</v>
      </c>
      <c r="H65" s="12">
        <v>92249079</v>
      </c>
      <c r="I65" s="8" t="s">
        <v>67</v>
      </c>
      <c r="J65" s="8" t="s">
        <v>51</v>
      </c>
      <c r="K65" s="22" t="s">
        <v>250</v>
      </c>
      <c r="L65" s="8" t="s">
        <v>250</v>
      </c>
      <c r="M65" s="12">
        <v>210837591</v>
      </c>
      <c r="N65" s="12">
        <v>0</v>
      </c>
      <c r="O65" s="16">
        <f>+Tabla1[[#This Row],[VALOR A GIRAR
CIERRE 2023-1 ]]+Tabla1[[#This Row],[VALOR DESEMBOLSADO 2023-1 
80% (Concepto técnico)]]</f>
        <v>579833906</v>
      </c>
      <c r="P65" s="24">
        <f>Tabla1[[#This Row],[VALOR PROYECTADO 2023-1]]-Tabla1[[#This Row],[VALOR EJECUTADO 2023-1]]</f>
        <v>-118588512</v>
      </c>
      <c r="Q65" s="26">
        <f>Tabla1[[#This Row],[VALOR EJECUTADO 2023-1]]/Tabla1[[#This Row],[VALOR PROYECTADO 2023-1]]</f>
        <v>1.2571050324678148</v>
      </c>
      <c r="R65" s="6">
        <f>VLOOKUP(Tabla1[[#This Row],[NOMBRE IES]],'[1]INFORMACIÓN IES'!$B:$M,12,0)</f>
        <v>635534984</v>
      </c>
      <c r="S65" s="6">
        <f>VLOOKUP(Tabla1[[#This Row],[NOMBRE IES]],'[1]INFORMACIÓN IES'!$B:$N,13,0)</f>
        <v>508427987</v>
      </c>
      <c r="T65" s="7">
        <f>+Tabla1[[#This Row],[VALOR PROYECTADO 2023-2]]-Tabla1[[#This Row],[VALOR DESEMBOLSADO 2023-2 
80%3]]</f>
        <v>127106997</v>
      </c>
      <c r="U65" s="40" t="s">
        <v>44</v>
      </c>
      <c r="V65" s="8" t="s">
        <v>2</v>
      </c>
      <c r="W65" s="7"/>
      <c r="X65" s="7"/>
      <c r="Y65" s="7"/>
      <c r="Z65" s="9">
        <f>Tabla1[[#This Row],[VALOR PROYECTADO 2023-2]]-Tabla1[[#This Row],[VALOR EJECUTADO 2023-2]]</f>
        <v>635534984</v>
      </c>
      <c r="AA65" s="1">
        <f>Tabla1[[#This Row],[VALOR EJECUTADO 2023-2]]/Tabla1[[#This Row],[VALOR PROYECTADO 2023-2]]</f>
        <v>0</v>
      </c>
    </row>
    <row r="70" spans="1:27" x14ac:dyDescent="0.25">
      <c r="G70" s="13"/>
    </row>
  </sheetData>
  <phoneticPr fontId="6" type="noConversion"/>
  <conditionalFormatting sqref="I1:L1048576">
    <cfRule type="containsText" dxfId="9" priority="6" operator="containsText" text="Aprobada">
      <formula>NOT(ISERROR(SEARCH("Aprobada",I1)))</formula>
    </cfRule>
    <cfRule type="containsText" dxfId="8" priority="7" operator="containsText" text="Aprobado">
      <formula>NOT(ISERROR(SEARCH("Aprobado",I1)))</formula>
    </cfRule>
    <cfRule type="containsText" dxfId="7" priority="8" operator="containsText" text="Generada">
      <formula>NOT(ISERROR(SEARCH("Generada",I1)))</formula>
    </cfRule>
    <cfRule type="containsText" dxfId="6" priority="9" operator="containsText" text="Cargada">
      <formula>NOT(ISERROR(SEARCH("Cargada",I1)))</formula>
    </cfRule>
    <cfRule type="containsText" dxfId="5" priority="10" operator="containsText" text="Sin generar">
      <formula>NOT(ISERROR(SEARCH("Sin generar",I1)))</formula>
    </cfRule>
  </conditionalFormatting>
  <conditionalFormatting sqref="V2:V65">
    <cfRule type="containsText" dxfId="4" priority="1" operator="containsText" text="Aprobada">
      <formula>NOT(ISERROR(SEARCH("Aprobada",V2)))</formula>
    </cfRule>
    <cfRule type="containsText" dxfId="3" priority="2" operator="containsText" text="Aprobado">
      <formula>NOT(ISERROR(SEARCH("Aprobado",V2)))</formula>
    </cfRule>
    <cfRule type="containsText" dxfId="2" priority="3" operator="containsText" text="Generada">
      <formula>NOT(ISERROR(SEARCH("Generada",V2)))</formula>
    </cfRule>
    <cfRule type="containsText" dxfId="1" priority="4" operator="containsText" text="Cargada">
      <formula>NOT(ISERROR(SEARCH("Cargada",V2)))</formula>
    </cfRule>
    <cfRule type="containsText" dxfId="0" priority="5" operator="containsText" text="Sin generar">
      <formula>NOT(ISERROR(SEARCH("Sin generar",V2)))</formula>
    </cfRule>
  </conditionalFormatting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B00-000000000000}">
          <x14:formula1>
            <xm:f>'Lista elegible'!$A$1:$A$4</xm:f>
          </x14:formula1>
          <xm:sqref>V2:V65 I2:I65</xm:sqref>
        </x14:dataValidation>
      </x14:dataValidations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16"/>
  <sheetViews>
    <sheetView workbookViewId="0">
      <selection activeCell="F13" sqref="F13"/>
    </sheetView>
  </sheetViews>
  <sheetFormatPr baseColWidth="10" defaultColWidth="11.42578125" defaultRowHeight="15" x14ac:dyDescent="0.25"/>
  <sheetData>
    <row r="1" spans="1:1" x14ac:dyDescent="0.25">
      <c r="A1" t="s">
        <v>110</v>
      </c>
    </row>
    <row r="2" spans="1:1" x14ac:dyDescent="0.25">
      <c r="A2" t="s">
        <v>67</v>
      </c>
    </row>
    <row r="3" spans="1:1" x14ac:dyDescent="0.25">
      <c r="A3" t="s">
        <v>43</v>
      </c>
    </row>
    <row r="4" spans="1:1" x14ac:dyDescent="0.25">
      <c r="A4" t="s">
        <v>2</v>
      </c>
    </row>
    <row r="5" spans="1:1" x14ac:dyDescent="0.25">
      <c r="A5" t="s">
        <v>746</v>
      </c>
    </row>
    <row r="6" spans="1:1" x14ac:dyDescent="0.25">
      <c r="A6" t="s">
        <v>747</v>
      </c>
    </row>
    <row r="7" spans="1:1" x14ac:dyDescent="0.25">
      <c r="A7" t="s">
        <v>748</v>
      </c>
    </row>
    <row r="11" spans="1:1" x14ac:dyDescent="0.25">
      <c r="A11" t="s">
        <v>749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750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15"/>
  <sheetViews>
    <sheetView workbookViewId="0">
      <selection activeCell="C2" sqref="C2:C7"/>
    </sheetView>
  </sheetViews>
  <sheetFormatPr baseColWidth="10" defaultColWidth="11.42578125" defaultRowHeight="15" x14ac:dyDescent="0.25"/>
  <cols>
    <col min="3" max="3" width="74.42578125" customWidth="1"/>
    <col min="4" max="4" width="14.85546875" bestFit="1" customWidth="1"/>
  </cols>
  <sheetData>
    <row r="1" spans="2:4" x14ac:dyDescent="0.25">
      <c r="B1" s="217" t="s">
        <v>133</v>
      </c>
      <c r="C1" s="217" t="s">
        <v>134</v>
      </c>
      <c r="D1" s="217" t="s">
        <v>135</v>
      </c>
    </row>
    <row r="2" spans="2:4" ht="30" x14ac:dyDescent="0.25">
      <c r="B2" s="210">
        <v>1</v>
      </c>
      <c r="C2" s="215" t="s">
        <v>136</v>
      </c>
      <c r="D2" s="216"/>
    </row>
    <row r="3" spans="2:4" ht="30" x14ac:dyDescent="0.25">
      <c r="B3" s="210">
        <v>2</v>
      </c>
      <c r="C3" s="212" t="s">
        <v>137</v>
      </c>
      <c r="D3" s="209"/>
    </row>
    <row r="4" spans="2:4" ht="45" x14ac:dyDescent="0.25">
      <c r="B4" s="211">
        <v>3</v>
      </c>
      <c r="C4" s="213" t="s">
        <v>138</v>
      </c>
      <c r="D4" s="207"/>
    </row>
    <row r="5" spans="2:4" ht="75" x14ac:dyDescent="0.25">
      <c r="B5" s="210">
        <v>4</v>
      </c>
      <c r="C5" s="214" t="s">
        <v>139</v>
      </c>
      <c r="D5" s="208"/>
    </row>
    <row r="6" spans="2:4" ht="75" x14ac:dyDescent="0.25">
      <c r="B6" s="210">
        <v>5</v>
      </c>
      <c r="C6" s="215" t="s">
        <v>140</v>
      </c>
      <c r="D6" s="156"/>
    </row>
    <row r="7" spans="2:4" ht="60" x14ac:dyDescent="0.25">
      <c r="B7" s="211">
        <v>6</v>
      </c>
      <c r="C7" s="213" t="s">
        <v>141</v>
      </c>
      <c r="D7" s="207"/>
    </row>
    <row r="8" spans="2:4" x14ac:dyDescent="0.25">
      <c r="B8" s="218"/>
      <c r="C8" s="219"/>
      <c r="D8" s="207"/>
    </row>
    <row r="9" spans="2:4" x14ac:dyDescent="0.25">
      <c r="B9" s="133" t="s">
        <v>133</v>
      </c>
      <c r="C9" s="133" t="s">
        <v>134</v>
      </c>
      <c r="D9" s="133" t="s">
        <v>135</v>
      </c>
    </row>
    <row r="10" spans="2:4" ht="45" x14ac:dyDescent="0.25">
      <c r="B10" s="210">
        <v>1</v>
      </c>
      <c r="C10" s="212" t="s">
        <v>142</v>
      </c>
      <c r="D10" s="209"/>
    </row>
    <row r="11" spans="2:4" ht="60" x14ac:dyDescent="0.25">
      <c r="B11" s="210">
        <v>2</v>
      </c>
      <c r="C11" s="212" t="s">
        <v>143</v>
      </c>
      <c r="D11" s="207"/>
    </row>
    <row r="12" spans="2:4" ht="60" x14ac:dyDescent="0.25">
      <c r="B12" s="210">
        <v>3</v>
      </c>
      <c r="C12" s="212" t="s">
        <v>144</v>
      </c>
      <c r="D12" s="207"/>
    </row>
    <row r="13" spans="2:4" ht="90" x14ac:dyDescent="0.25">
      <c r="B13" s="210">
        <v>4</v>
      </c>
      <c r="C13" s="212" t="s">
        <v>145</v>
      </c>
      <c r="D13" s="207"/>
    </row>
    <row r="14" spans="2:4" ht="90" x14ac:dyDescent="0.25">
      <c r="B14" s="210">
        <v>5</v>
      </c>
      <c r="C14" s="213" t="s">
        <v>146</v>
      </c>
      <c r="D14" s="207"/>
    </row>
    <row r="15" spans="2:4" ht="75" x14ac:dyDescent="0.25">
      <c r="B15" s="211">
        <v>6</v>
      </c>
      <c r="C15" s="213" t="s">
        <v>147</v>
      </c>
      <c r="D15" s="20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0"/>
  <sheetViews>
    <sheetView workbookViewId="0">
      <selection activeCell="E20" sqref="E20"/>
    </sheetView>
  </sheetViews>
  <sheetFormatPr baseColWidth="10" defaultColWidth="11.42578125" defaultRowHeight="15" x14ac:dyDescent="0.25"/>
  <cols>
    <col min="1" max="1" width="22.28515625" bestFit="1" customWidth="1"/>
  </cols>
  <sheetData>
    <row r="1" spans="1:2" x14ac:dyDescent="0.25">
      <c r="A1" t="s">
        <v>148</v>
      </c>
    </row>
    <row r="2" spans="1:2" x14ac:dyDescent="0.25">
      <c r="A2" t="s">
        <v>149</v>
      </c>
    </row>
    <row r="4" spans="1:2" x14ac:dyDescent="0.25">
      <c r="A4" t="s">
        <v>150</v>
      </c>
    </row>
    <row r="5" spans="1:2" x14ac:dyDescent="0.25">
      <c r="A5" t="s">
        <v>151</v>
      </c>
    </row>
    <row r="8" spans="1:2" x14ac:dyDescent="0.25">
      <c r="A8" t="s">
        <v>152</v>
      </c>
    </row>
    <row r="9" spans="1:2" x14ac:dyDescent="0.25">
      <c r="A9" t="s">
        <v>153</v>
      </c>
    </row>
    <row r="10" spans="1:2" x14ac:dyDescent="0.25">
      <c r="A10" t="s">
        <v>154</v>
      </c>
    </row>
    <row r="11" spans="1:2" x14ac:dyDescent="0.25">
      <c r="A11" t="s">
        <v>155</v>
      </c>
    </row>
    <row r="12" spans="1:2" x14ac:dyDescent="0.25">
      <c r="A12" t="s">
        <v>156</v>
      </c>
    </row>
    <row r="13" spans="1:2" x14ac:dyDescent="0.25">
      <c r="A13" t="s">
        <v>157</v>
      </c>
    </row>
    <row r="16" spans="1:2" x14ac:dyDescent="0.25">
      <c r="A16" t="s">
        <v>158</v>
      </c>
      <c r="B16" s="180"/>
    </row>
    <row r="17" spans="1:2" x14ac:dyDescent="0.25">
      <c r="A17" t="s">
        <v>159</v>
      </c>
      <c r="B17" s="189"/>
    </row>
    <row r="18" spans="1:2" x14ac:dyDescent="0.25">
      <c r="A18" t="s">
        <v>160</v>
      </c>
      <c r="B18" s="190"/>
    </row>
    <row r="19" spans="1:2" x14ac:dyDescent="0.25">
      <c r="A19" t="s">
        <v>161</v>
      </c>
      <c r="B19" s="191"/>
    </row>
    <row r="20" spans="1:2" x14ac:dyDescent="0.25">
      <c r="A20" t="s">
        <v>162</v>
      </c>
      <c r="B20" s="411"/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9"/>
  <sheetViews>
    <sheetView zoomScale="80" zoomScaleNormal="80" workbookViewId="0">
      <selection activeCell="F20" sqref="F20"/>
    </sheetView>
  </sheetViews>
  <sheetFormatPr baseColWidth="10" defaultColWidth="11.42578125" defaultRowHeight="15" x14ac:dyDescent="0.25"/>
  <cols>
    <col min="1" max="1" width="58" bestFit="1" customWidth="1"/>
    <col min="2" max="2" width="16.28515625" bestFit="1" customWidth="1"/>
    <col min="7" max="7" width="10" customWidth="1"/>
  </cols>
  <sheetData>
    <row r="1" spans="1:3" x14ac:dyDescent="0.25">
      <c r="A1" s="675" t="s">
        <v>163</v>
      </c>
      <c r="B1" s="675"/>
    </row>
    <row r="2" spans="1:3" x14ac:dyDescent="0.25">
      <c r="A2" s="160" t="s">
        <v>5</v>
      </c>
      <c r="B2" s="161" t="s">
        <v>20</v>
      </c>
    </row>
    <row r="3" spans="1:3" x14ac:dyDescent="0.25">
      <c r="A3" s="110" t="s">
        <v>58</v>
      </c>
      <c r="B3" s="162">
        <v>45362</v>
      </c>
    </row>
    <row r="4" spans="1:3" x14ac:dyDescent="0.25">
      <c r="A4" s="110" t="s">
        <v>78</v>
      </c>
      <c r="B4" s="162">
        <v>45362</v>
      </c>
    </row>
    <row r="5" spans="1:3" x14ac:dyDescent="0.25">
      <c r="A5" s="143" t="s">
        <v>7</v>
      </c>
      <c r="B5" s="163">
        <v>45401</v>
      </c>
      <c r="C5" t="s">
        <v>164</v>
      </c>
    </row>
    <row r="6" spans="1:3" x14ac:dyDescent="0.25">
      <c r="A6" s="110" t="s">
        <v>79</v>
      </c>
      <c r="B6" s="162">
        <v>45362</v>
      </c>
    </row>
    <row r="7" spans="1:3" x14ac:dyDescent="0.25">
      <c r="A7" s="110" t="s">
        <v>123</v>
      </c>
      <c r="B7" s="162">
        <v>45401</v>
      </c>
    </row>
    <row r="8" spans="1:3" x14ac:dyDescent="0.25">
      <c r="A8" s="110" t="s">
        <v>125</v>
      </c>
      <c r="B8" s="162">
        <v>45362</v>
      </c>
    </row>
    <row r="10" spans="1:3" x14ac:dyDescent="0.25">
      <c r="A10" s="675" t="s">
        <v>165</v>
      </c>
      <c r="B10" s="675"/>
    </row>
    <row r="11" spans="1:3" x14ac:dyDescent="0.25">
      <c r="A11" s="160" t="s">
        <v>5</v>
      </c>
      <c r="B11" s="161" t="s">
        <v>20</v>
      </c>
    </row>
    <row r="12" spans="1:3" x14ac:dyDescent="0.25">
      <c r="A12" s="110" t="s">
        <v>47</v>
      </c>
      <c r="B12" s="162">
        <v>45362</v>
      </c>
    </row>
    <row r="13" spans="1:3" x14ac:dyDescent="0.25">
      <c r="A13" s="110" t="s">
        <v>50</v>
      </c>
      <c r="B13" s="162">
        <v>45362</v>
      </c>
    </row>
    <row r="14" spans="1:3" x14ac:dyDescent="0.25">
      <c r="A14" s="110" t="s">
        <v>52</v>
      </c>
      <c r="B14" s="162">
        <v>45401</v>
      </c>
    </row>
    <row r="15" spans="1:3" x14ac:dyDescent="0.25">
      <c r="A15" s="110" t="s">
        <v>53</v>
      </c>
      <c r="B15" s="162">
        <v>45362</v>
      </c>
    </row>
    <row r="16" spans="1:3" x14ac:dyDescent="0.25">
      <c r="A16" s="110" t="s">
        <v>69</v>
      </c>
      <c r="B16" s="162">
        <v>45401</v>
      </c>
    </row>
    <row r="17" spans="1:3" x14ac:dyDescent="0.25">
      <c r="A17" s="110" t="s">
        <v>58</v>
      </c>
      <c r="B17" s="162">
        <v>45362</v>
      </c>
    </row>
    <row r="18" spans="1:3" x14ac:dyDescent="0.25">
      <c r="A18" s="110" t="s">
        <v>74</v>
      </c>
      <c r="B18" s="162">
        <v>45362</v>
      </c>
    </row>
    <row r="19" spans="1:3" x14ac:dyDescent="0.25">
      <c r="A19" s="110" t="s">
        <v>76</v>
      </c>
      <c r="B19" s="162">
        <v>45362</v>
      </c>
    </row>
    <row r="20" spans="1:3" x14ac:dyDescent="0.25">
      <c r="A20" s="110" t="s">
        <v>77</v>
      </c>
      <c r="B20" s="162">
        <v>45362</v>
      </c>
    </row>
    <row r="21" spans="1:3" x14ac:dyDescent="0.25">
      <c r="A21" s="110" t="s">
        <v>7</v>
      </c>
      <c r="B21" s="162">
        <v>45401</v>
      </c>
    </row>
    <row r="22" spans="1:3" x14ac:dyDescent="0.25">
      <c r="A22" s="110" t="s">
        <v>62</v>
      </c>
      <c r="B22" s="162">
        <v>45401</v>
      </c>
    </row>
    <row r="23" spans="1:3" x14ac:dyDescent="0.25">
      <c r="A23" s="110" t="s">
        <v>88</v>
      </c>
      <c r="B23" s="162">
        <v>45401</v>
      </c>
    </row>
    <row r="24" spans="1:3" x14ac:dyDescent="0.25">
      <c r="A24" s="110" t="s">
        <v>92</v>
      </c>
      <c r="B24" s="162">
        <v>45362</v>
      </c>
    </row>
    <row r="25" spans="1:3" x14ac:dyDescent="0.25">
      <c r="A25" s="110" t="s">
        <v>96</v>
      </c>
      <c r="B25" s="162">
        <v>45401</v>
      </c>
    </row>
    <row r="26" spans="1:3" x14ac:dyDescent="0.25">
      <c r="A26" s="110" t="s">
        <v>98</v>
      </c>
      <c r="B26" s="162">
        <v>45401</v>
      </c>
    </row>
    <row r="27" spans="1:3" x14ac:dyDescent="0.25">
      <c r="A27" s="110" t="s">
        <v>100</v>
      </c>
      <c r="B27" s="162">
        <v>45362</v>
      </c>
    </row>
    <row r="28" spans="1:3" x14ac:dyDescent="0.25">
      <c r="A28" s="110" t="s">
        <v>106</v>
      </c>
      <c r="B28" s="162">
        <v>45362</v>
      </c>
    </row>
    <row r="29" spans="1:3" x14ac:dyDescent="0.25">
      <c r="A29" s="110" t="s">
        <v>107</v>
      </c>
      <c r="B29" s="162">
        <v>45362</v>
      </c>
    </row>
    <row r="30" spans="1:3" x14ac:dyDescent="0.25">
      <c r="A30" s="143" t="s">
        <v>109</v>
      </c>
      <c r="B30" s="163">
        <v>45401</v>
      </c>
      <c r="C30" t="s">
        <v>164</v>
      </c>
    </row>
    <row r="31" spans="1:3" x14ac:dyDescent="0.25">
      <c r="A31" s="110" t="s">
        <v>111</v>
      </c>
      <c r="B31" s="162">
        <v>45362</v>
      </c>
    </row>
    <row r="32" spans="1:3" x14ac:dyDescent="0.25">
      <c r="A32" s="110" t="s">
        <v>113</v>
      </c>
      <c r="B32" s="162">
        <v>45362</v>
      </c>
    </row>
    <row r="33" spans="1:3" x14ac:dyDescent="0.25">
      <c r="A33" s="110" t="s">
        <v>114</v>
      </c>
      <c r="B33" s="162">
        <v>45362</v>
      </c>
    </row>
    <row r="34" spans="1:3" x14ac:dyDescent="0.25">
      <c r="A34" s="110" t="s">
        <v>166</v>
      </c>
      <c r="B34" s="162">
        <v>45401</v>
      </c>
    </row>
    <row r="35" spans="1:3" x14ac:dyDescent="0.25">
      <c r="A35" s="110" t="s">
        <v>120</v>
      </c>
      <c r="B35" s="162">
        <v>45362</v>
      </c>
    </row>
    <row r="36" spans="1:3" x14ac:dyDescent="0.25">
      <c r="A36" s="110" t="s">
        <v>121</v>
      </c>
      <c r="B36" s="162">
        <v>45362</v>
      </c>
    </row>
    <row r="37" spans="1:3" x14ac:dyDescent="0.25">
      <c r="A37" s="143" t="s">
        <v>122</v>
      </c>
      <c r="B37" s="163">
        <v>45401</v>
      </c>
      <c r="C37" t="s">
        <v>164</v>
      </c>
    </row>
    <row r="38" spans="1:3" x14ac:dyDescent="0.25">
      <c r="A38" s="110" t="s">
        <v>125</v>
      </c>
      <c r="B38" s="162">
        <v>45401</v>
      </c>
    </row>
    <row r="39" spans="1:3" x14ac:dyDescent="0.25">
      <c r="A39" s="110" t="s">
        <v>126</v>
      </c>
      <c r="B39" s="162">
        <v>45362</v>
      </c>
    </row>
  </sheetData>
  <mergeCells count="2">
    <mergeCell ref="A1:B1"/>
    <mergeCell ref="A10:B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6"/>
  <sheetViews>
    <sheetView workbookViewId="0">
      <selection activeCell="B7" sqref="B7:E18"/>
    </sheetView>
  </sheetViews>
  <sheetFormatPr baseColWidth="10" defaultColWidth="11.42578125" defaultRowHeight="15" x14ac:dyDescent="0.25"/>
  <cols>
    <col min="2" max="2" width="56.7109375" bestFit="1" customWidth="1"/>
    <col min="3" max="4" width="19.28515625" bestFit="1" customWidth="1"/>
    <col min="5" max="5" width="18.5703125" bestFit="1" customWidth="1"/>
    <col min="6" max="6" width="19" bestFit="1" customWidth="1"/>
    <col min="11" max="11" width="19.28515625" bestFit="1" customWidth="1"/>
  </cols>
  <sheetData>
    <row r="1" spans="2:11" ht="15.75" thickBot="1" x14ac:dyDescent="0.3">
      <c r="B1" s="676" t="s">
        <v>163</v>
      </c>
      <c r="C1" s="676"/>
      <c r="D1" s="676"/>
      <c r="E1" s="676"/>
    </row>
    <row r="2" spans="2:11" x14ac:dyDescent="0.25">
      <c r="B2" s="84" t="s">
        <v>12</v>
      </c>
      <c r="C2" s="84" t="s">
        <v>167</v>
      </c>
      <c r="D2" s="84" t="s">
        <v>168</v>
      </c>
      <c r="E2" s="84" t="s">
        <v>169</v>
      </c>
    </row>
    <row r="3" spans="2:11" x14ac:dyDescent="0.25">
      <c r="B3" s="86" t="s">
        <v>123</v>
      </c>
      <c r="C3" s="100">
        <v>1060426553</v>
      </c>
      <c r="D3" s="100">
        <v>848341243</v>
      </c>
      <c r="E3" s="100">
        <v>213235117</v>
      </c>
    </row>
    <row r="4" spans="2:11" x14ac:dyDescent="0.25">
      <c r="B4" s="133" t="s">
        <v>132</v>
      </c>
      <c r="C4" s="134">
        <f>SUM(C3:C3)</f>
        <v>1060426553</v>
      </c>
      <c r="D4" s="134">
        <f>SUM(D3:D3)</f>
        <v>848341243</v>
      </c>
      <c r="E4" s="134">
        <f>SUM(E3:E3)</f>
        <v>213235117</v>
      </c>
    </row>
    <row r="7" spans="2:11" ht="15.75" thickBot="1" x14ac:dyDescent="0.3">
      <c r="B7" s="676" t="s">
        <v>165</v>
      </c>
      <c r="C7" s="676"/>
      <c r="D7" s="676"/>
      <c r="E7" s="676"/>
    </row>
    <row r="8" spans="2:11" x14ac:dyDescent="0.25">
      <c r="B8" s="84" t="s">
        <v>12</v>
      </c>
      <c r="C8" s="84" t="s">
        <v>167</v>
      </c>
      <c r="D8" s="84" t="s">
        <v>168</v>
      </c>
      <c r="E8" s="84" t="s">
        <v>169</v>
      </c>
    </row>
    <row r="9" spans="2:11" x14ac:dyDescent="0.25">
      <c r="B9" s="86" t="s">
        <v>52</v>
      </c>
      <c r="C9" s="100">
        <v>13720183871</v>
      </c>
      <c r="D9" s="100">
        <v>10976147096.799999</v>
      </c>
      <c r="E9" s="100">
        <v>2716080335</v>
      </c>
      <c r="K9" s="132" t="e">
        <f>E4+E18</f>
        <v>#REF!</v>
      </c>
    </row>
    <row r="10" spans="2:11" x14ac:dyDescent="0.25">
      <c r="B10" s="86" t="s">
        <v>62</v>
      </c>
      <c r="C10" s="100">
        <v>3133424800</v>
      </c>
      <c r="D10" s="100">
        <v>2506739840</v>
      </c>
      <c r="E10" s="100">
        <v>593078160</v>
      </c>
      <c r="K10" s="29">
        <v>13786361135</v>
      </c>
    </row>
    <row r="11" spans="2:11" x14ac:dyDescent="0.25">
      <c r="B11" s="86" t="s">
        <v>166</v>
      </c>
      <c r="C11" s="100">
        <v>1712328200</v>
      </c>
      <c r="D11" s="100">
        <v>1369862560</v>
      </c>
      <c r="E11" s="100">
        <v>1033106440</v>
      </c>
    </row>
    <row r="12" spans="2:11" x14ac:dyDescent="0.25">
      <c r="B12" s="86" t="s">
        <v>125</v>
      </c>
      <c r="C12" s="100">
        <v>4487393900</v>
      </c>
      <c r="D12" s="100">
        <v>3589915120</v>
      </c>
      <c r="E12" s="100">
        <v>597020880</v>
      </c>
    </row>
    <row r="13" spans="2:11" x14ac:dyDescent="0.25">
      <c r="B13" s="86" t="s">
        <v>88</v>
      </c>
      <c r="C13" s="100">
        <v>6746242853</v>
      </c>
      <c r="D13" s="100">
        <v>5396994283</v>
      </c>
      <c r="E13" s="100">
        <v>4626454573</v>
      </c>
    </row>
    <row r="14" spans="2:11" x14ac:dyDescent="0.25">
      <c r="B14" s="86" t="s">
        <v>96</v>
      </c>
      <c r="C14" s="100">
        <v>4470544441</v>
      </c>
      <c r="D14" s="100">
        <v>3576435552.8000002</v>
      </c>
      <c r="E14" s="100" t="e">
        <f>+'Giros FSE 2023-'!#REF!</f>
        <v>#REF!</v>
      </c>
    </row>
    <row r="15" spans="2:11" x14ac:dyDescent="0.25">
      <c r="B15" s="86" t="s">
        <v>98</v>
      </c>
      <c r="C15" s="100">
        <v>3519743920</v>
      </c>
      <c r="D15" s="100">
        <v>2815795136</v>
      </c>
      <c r="E15" s="100" t="e">
        <f>+'Giros FSE 2023-'!#REF!</f>
        <v>#REF!</v>
      </c>
    </row>
    <row r="16" spans="2:11" x14ac:dyDescent="0.25">
      <c r="B16" s="86" t="s">
        <v>7</v>
      </c>
      <c r="C16" s="100">
        <v>2340379819</v>
      </c>
      <c r="D16" s="100">
        <v>1872303855.2</v>
      </c>
      <c r="E16" s="100">
        <v>351217520</v>
      </c>
    </row>
    <row r="17" spans="1:6" x14ac:dyDescent="0.25">
      <c r="B17" s="86" t="s">
        <v>69</v>
      </c>
      <c r="C17" s="100">
        <v>11735034863</v>
      </c>
      <c r="D17" s="100">
        <v>9388027891</v>
      </c>
      <c r="E17" s="100">
        <v>2745646448</v>
      </c>
    </row>
    <row r="18" spans="1:6" x14ac:dyDescent="0.25">
      <c r="B18" s="133" t="s">
        <v>132</v>
      </c>
      <c r="C18" s="134">
        <f>SUM(C9:C17)</f>
        <v>51865276667</v>
      </c>
      <c r="D18" s="134">
        <f>SUM(D9:D17)</f>
        <v>41492221334.800003</v>
      </c>
      <c r="E18" s="134" t="e">
        <f>SUM(E9:E17)</f>
        <v>#REF!</v>
      </c>
      <c r="F18" s="29">
        <v>13573126018</v>
      </c>
    </row>
    <row r="22" spans="1:6" x14ac:dyDescent="0.25">
      <c r="A22" s="87" t="s">
        <v>170</v>
      </c>
      <c r="B22" s="87" t="s">
        <v>12</v>
      </c>
      <c r="C22" s="87" t="s">
        <v>167</v>
      </c>
      <c r="D22" s="87" t="s">
        <v>168</v>
      </c>
      <c r="E22" s="87" t="s">
        <v>169</v>
      </c>
      <c r="F22" s="87" t="s">
        <v>164</v>
      </c>
    </row>
    <row r="23" spans="1:6" x14ac:dyDescent="0.25">
      <c r="A23" s="135" t="s">
        <v>163</v>
      </c>
      <c r="B23" s="135" t="s">
        <v>7</v>
      </c>
      <c r="C23" s="135">
        <v>2340379819</v>
      </c>
      <c r="D23" s="135">
        <v>1872303856</v>
      </c>
      <c r="E23" s="135">
        <v>0</v>
      </c>
      <c r="F23" s="135">
        <v>150194703</v>
      </c>
    </row>
    <row r="24" spans="1:6" x14ac:dyDescent="0.25">
      <c r="A24" s="135" t="s">
        <v>165</v>
      </c>
      <c r="B24" s="135" t="s">
        <v>122</v>
      </c>
      <c r="C24" s="135">
        <v>4011692960</v>
      </c>
      <c r="D24" s="135">
        <v>3209354368</v>
      </c>
      <c r="E24" s="135">
        <v>0</v>
      </c>
      <c r="F24" s="135">
        <v>254793168</v>
      </c>
    </row>
    <row r="25" spans="1:6" x14ac:dyDescent="0.25">
      <c r="A25" s="135" t="s">
        <v>165</v>
      </c>
      <c r="B25" s="135" t="s">
        <v>109</v>
      </c>
      <c r="C25" s="135">
        <v>1093350394</v>
      </c>
      <c r="D25" s="135">
        <v>874680315.20000005</v>
      </c>
      <c r="E25" s="135">
        <v>0</v>
      </c>
      <c r="F25" s="135">
        <v>33021206</v>
      </c>
    </row>
    <row r="26" spans="1:6" x14ac:dyDescent="0.25">
      <c r="A26" s="677" t="s">
        <v>132</v>
      </c>
      <c r="B26" s="677"/>
      <c r="C26" s="136">
        <f>SUM(C23:C25)</f>
        <v>7445423173</v>
      </c>
      <c r="D26" s="136">
        <f>SUM(D23:D25)</f>
        <v>5956338539.1999998</v>
      </c>
      <c r="E26" s="136">
        <f t="shared" ref="E26" si="0">SUM(E23:E25)</f>
        <v>0</v>
      </c>
      <c r="F26" s="136">
        <f>SUM(F23:F25)</f>
        <v>438009077</v>
      </c>
    </row>
  </sheetData>
  <mergeCells count="3">
    <mergeCell ref="B1:E1"/>
    <mergeCell ref="B7:E7"/>
    <mergeCell ref="A26:B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J29"/>
  <sheetViews>
    <sheetView zoomScale="120" zoomScaleNormal="120" workbookViewId="0">
      <selection activeCell="F36" sqref="F36"/>
    </sheetView>
  </sheetViews>
  <sheetFormatPr baseColWidth="10" defaultColWidth="11.42578125" defaultRowHeight="11.25" x14ac:dyDescent="0.2"/>
  <cols>
    <col min="1" max="1" width="66.140625" style="164" bestFit="1" customWidth="1"/>
    <col min="2" max="2" width="17.28515625" style="164" bestFit="1" customWidth="1"/>
    <col min="3" max="3" width="24.85546875" style="164" bestFit="1" customWidth="1"/>
    <col min="4" max="4" width="19.7109375" style="164" bestFit="1" customWidth="1"/>
    <col min="5" max="5" width="13.42578125" style="164" bestFit="1" customWidth="1"/>
    <col min="6" max="6" width="11.42578125" style="164"/>
    <col min="7" max="7" width="14.7109375" style="164" bestFit="1" customWidth="1"/>
    <col min="8" max="9" width="18.42578125" style="164" bestFit="1" customWidth="1"/>
    <col min="10" max="10" width="21" style="164" bestFit="1" customWidth="1"/>
    <col min="11" max="16384" width="11.42578125" style="164"/>
  </cols>
  <sheetData>
    <row r="1" spans="1:10" ht="12" thickBot="1" x14ac:dyDescent="0.25">
      <c r="A1" s="678" t="s">
        <v>163</v>
      </c>
      <c r="B1" s="678"/>
      <c r="C1" s="678"/>
      <c r="D1" s="678"/>
    </row>
    <row r="2" spans="1:10" ht="10.15" customHeight="1" x14ac:dyDescent="0.2">
      <c r="A2" s="253" t="s">
        <v>12</v>
      </c>
      <c r="B2" s="253" t="s">
        <v>34</v>
      </c>
      <c r="C2" s="253" t="s">
        <v>171</v>
      </c>
      <c r="D2" s="253" t="s">
        <v>172</v>
      </c>
      <c r="E2" s="165" t="s">
        <v>173</v>
      </c>
    </row>
    <row r="3" spans="1:10" ht="12" thickBot="1" x14ac:dyDescent="0.25">
      <c r="A3" s="196" t="s">
        <v>115</v>
      </c>
      <c r="B3" s="197">
        <v>58833140872</v>
      </c>
      <c r="C3" s="198">
        <v>47960299021</v>
      </c>
      <c r="D3" s="197">
        <v>10872841851</v>
      </c>
      <c r="E3" s="195">
        <f>B3-C3</f>
        <v>10872841851</v>
      </c>
    </row>
    <row r="4" spans="1:10" x14ac:dyDescent="0.2">
      <c r="A4" s="254" t="s">
        <v>132</v>
      </c>
      <c r="B4" s="254">
        <f>SUM(B3:B3)</f>
        <v>58833140872</v>
      </c>
      <c r="C4" s="254">
        <f>SUM(C3:C3)</f>
        <v>47960299021</v>
      </c>
      <c r="D4" s="254">
        <f>SUM(D3:D3)</f>
        <v>10872841851</v>
      </c>
      <c r="E4" s="195">
        <f>SUM(E3:E3)</f>
        <v>10872841851</v>
      </c>
    </row>
    <row r="7" spans="1:10" ht="12" thickBot="1" x14ac:dyDescent="0.25">
      <c r="A7" s="678" t="s">
        <v>165</v>
      </c>
      <c r="B7" s="678"/>
      <c r="C7" s="678"/>
      <c r="D7" s="678"/>
    </row>
    <row r="8" spans="1:10" ht="22.5" x14ac:dyDescent="0.2">
      <c r="A8" s="253" t="s">
        <v>12</v>
      </c>
      <c r="B8" s="253" t="s">
        <v>34</v>
      </c>
      <c r="C8" s="253" t="s">
        <v>171</v>
      </c>
      <c r="D8" s="253" t="s">
        <v>174</v>
      </c>
      <c r="E8" s="165" t="s">
        <v>173</v>
      </c>
    </row>
    <row r="9" spans="1:10" x14ac:dyDescent="0.2">
      <c r="A9" s="199" t="s">
        <v>71</v>
      </c>
      <c r="B9" s="199">
        <v>4297382980</v>
      </c>
      <c r="C9" s="199">
        <v>3641972840</v>
      </c>
      <c r="D9" s="199">
        <v>655410140</v>
      </c>
      <c r="E9" s="195">
        <f>B9-C9</f>
        <v>655410140</v>
      </c>
      <c r="G9" s="240" t="s">
        <v>175</v>
      </c>
      <c r="H9" s="240" t="s">
        <v>176</v>
      </c>
      <c r="I9" s="240" t="s">
        <v>177</v>
      </c>
      <c r="J9" s="240" t="s">
        <v>178</v>
      </c>
    </row>
    <row r="10" spans="1:10" x14ac:dyDescent="0.2">
      <c r="A10" s="199" t="s">
        <v>179</v>
      </c>
      <c r="B10" s="199">
        <v>10461408349</v>
      </c>
      <c r="C10" s="199">
        <v>7309287306</v>
      </c>
      <c r="D10" s="199">
        <v>3152121043</v>
      </c>
      <c r="E10" s="195">
        <f t="shared" ref="E10" si="0">B10-C10</f>
        <v>3152121043</v>
      </c>
      <c r="G10" s="200">
        <v>11166890588</v>
      </c>
      <c r="H10" s="239">
        <v>2418555001</v>
      </c>
      <c r="I10" s="200">
        <v>2791722647.2199998</v>
      </c>
      <c r="J10" s="241">
        <f>H10+I10</f>
        <v>5210277648.2199993</v>
      </c>
    </row>
    <row r="11" spans="1:10" x14ac:dyDescent="0.2">
      <c r="A11" s="255" t="s">
        <v>132</v>
      </c>
      <c r="B11" s="255">
        <f>SUM(B9:B10)</f>
        <v>14758791329</v>
      </c>
      <c r="C11" s="255">
        <f>SUM(C9:C10)</f>
        <v>10951260146</v>
      </c>
      <c r="D11" s="255">
        <f>SUM(D9:D10)</f>
        <v>3807531183</v>
      </c>
      <c r="E11" s="195">
        <f>SUM(E9:E10)</f>
        <v>3807531183</v>
      </c>
      <c r="G11" s="238">
        <f>G10+D11+D4</f>
        <v>25847263622</v>
      </c>
    </row>
    <row r="13" spans="1:10" x14ac:dyDescent="0.2">
      <c r="G13" s="204">
        <f>D11+D4</f>
        <v>14680373034</v>
      </c>
    </row>
    <row r="14" spans="1:10" ht="22.5" x14ac:dyDescent="0.2">
      <c r="A14" s="679" t="s">
        <v>5</v>
      </c>
      <c r="B14" s="256" t="s">
        <v>180</v>
      </c>
      <c r="C14" s="256" t="s">
        <v>181</v>
      </c>
    </row>
    <row r="15" spans="1:10" ht="14.45" customHeight="1" x14ac:dyDescent="0.2">
      <c r="A15" s="679"/>
      <c r="B15" s="256" t="s">
        <v>182</v>
      </c>
      <c r="C15" s="256" t="s">
        <v>183</v>
      </c>
    </row>
    <row r="16" spans="1:10" x14ac:dyDescent="0.2">
      <c r="A16" s="201" t="s">
        <v>53</v>
      </c>
      <c r="B16" s="202">
        <v>5252884303</v>
      </c>
      <c r="C16" s="203">
        <v>4202307442.4000001</v>
      </c>
    </row>
    <row r="17" spans="1:6" x14ac:dyDescent="0.2">
      <c r="A17" s="201" t="s">
        <v>184</v>
      </c>
      <c r="B17" s="202">
        <v>198494143</v>
      </c>
      <c r="C17" s="203">
        <v>158795314</v>
      </c>
    </row>
    <row r="18" spans="1:6" x14ac:dyDescent="0.2">
      <c r="A18" s="201" t="s">
        <v>185</v>
      </c>
      <c r="B18" s="202">
        <v>731062754</v>
      </c>
      <c r="C18" s="203">
        <v>584850203</v>
      </c>
    </row>
    <row r="19" spans="1:6" x14ac:dyDescent="0.2">
      <c r="A19" s="201" t="s">
        <v>186</v>
      </c>
      <c r="B19" s="202">
        <v>2305977513</v>
      </c>
      <c r="C19" s="203">
        <v>1844782010</v>
      </c>
    </row>
    <row r="20" spans="1:6" x14ac:dyDescent="0.2">
      <c r="A20" s="201" t="s">
        <v>90</v>
      </c>
      <c r="B20" s="202">
        <v>5470194522</v>
      </c>
      <c r="C20" s="203">
        <v>4376155618</v>
      </c>
    </row>
    <row r="21" spans="1:6" x14ac:dyDescent="0.2">
      <c r="A21" s="257" t="s">
        <v>132</v>
      </c>
      <c r="B21" s="258">
        <f>SUM(B16:B20)</f>
        <v>13958613235</v>
      </c>
      <c r="C21" s="258">
        <f>SUM(C16:C20)</f>
        <v>11166890587.4</v>
      </c>
    </row>
    <row r="23" spans="1:6" x14ac:dyDescent="0.2">
      <c r="B23" s="204"/>
    </row>
    <row r="24" spans="1:6" ht="22.5" x14ac:dyDescent="0.2">
      <c r="A24" s="679" t="s">
        <v>5</v>
      </c>
      <c r="B24" s="256" t="s">
        <v>187</v>
      </c>
      <c r="C24" s="256" t="s">
        <v>188</v>
      </c>
      <c r="D24" s="256" t="s">
        <v>189</v>
      </c>
      <c r="F24" s="680" t="s">
        <v>190</v>
      </c>
    </row>
    <row r="25" spans="1:6" x14ac:dyDescent="0.2">
      <c r="A25" s="679"/>
      <c r="B25" s="256" t="s">
        <v>191</v>
      </c>
      <c r="C25" s="256" t="s">
        <v>183</v>
      </c>
      <c r="D25" s="256" t="s">
        <v>192</v>
      </c>
      <c r="E25" s="165" t="s">
        <v>173</v>
      </c>
      <c r="F25" s="680"/>
    </row>
    <row r="26" spans="1:6" x14ac:dyDescent="0.2">
      <c r="A26" s="201" t="s">
        <v>53</v>
      </c>
      <c r="B26" s="202">
        <v>4862194000</v>
      </c>
      <c r="C26" s="203">
        <v>3852818497</v>
      </c>
      <c r="D26" s="247">
        <v>1009375503</v>
      </c>
      <c r="E26" s="204">
        <f>B26-C26</f>
        <v>1009375503</v>
      </c>
      <c r="F26" s="680"/>
    </row>
    <row r="27" spans="1:6" x14ac:dyDescent="0.2">
      <c r="A27" s="201" t="s">
        <v>184</v>
      </c>
      <c r="B27" s="202">
        <v>171060179</v>
      </c>
      <c r="C27" s="203">
        <v>117268556</v>
      </c>
      <c r="D27" s="247">
        <v>53791623</v>
      </c>
      <c r="E27" s="204">
        <f t="shared" ref="E27:E28" si="1">B27-C27</f>
        <v>53791623</v>
      </c>
      <c r="F27" s="680"/>
    </row>
    <row r="28" spans="1:6" x14ac:dyDescent="0.2">
      <c r="A28" s="201" t="s">
        <v>186</v>
      </c>
      <c r="B28" s="202">
        <v>1670527612</v>
      </c>
      <c r="C28" s="203">
        <v>1460859004</v>
      </c>
      <c r="D28" s="247">
        <v>209668608</v>
      </c>
      <c r="E28" s="204">
        <f t="shared" si="1"/>
        <v>209668608</v>
      </c>
      <c r="F28" s="680"/>
    </row>
    <row r="29" spans="1:6" x14ac:dyDescent="0.2">
      <c r="A29" s="257" t="s">
        <v>132</v>
      </c>
      <c r="B29" s="258">
        <f>SUM(B26:B28)</f>
        <v>6703781791</v>
      </c>
      <c r="C29" s="258">
        <f>SUM(C26:C28)</f>
        <v>5430946057</v>
      </c>
      <c r="D29" s="258">
        <f>SUM(D26:D28)</f>
        <v>1272835734</v>
      </c>
    </row>
  </sheetData>
  <mergeCells count="5">
    <mergeCell ref="A1:D1"/>
    <mergeCell ref="A7:D7"/>
    <mergeCell ref="A14:A15"/>
    <mergeCell ref="A24:A25"/>
    <mergeCell ref="F24:F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65A130478CED4288D44164E423ED9D" ma:contentTypeVersion="14" ma:contentTypeDescription="Crear nuevo documento." ma:contentTypeScope="" ma:versionID="f675bed31acbbb8e3159186ea9a11eda">
  <xsd:schema xmlns:xsd="http://www.w3.org/2001/XMLSchema" xmlns:xs="http://www.w3.org/2001/XMLSchema" xmlns:p="http://schemas.microsoft.com/office/2006/metadata/properties" xmlns:ns2="d512f8f4-1f38-4787-94c6-33d7e40e524e" xmlns:ns3="5698cfc8-2a71-402d-9a5d-e90634467d66" targetNamespace="http://schemas.microsoft.com/office/2006/metadata/properties" ma:root="true" ma:fieldsID="702e3e8c994236fbd0aed334a6ab7703" ns2:_="" ns3:_="">
    <xsd:import namespace="d512f8f4-1f38-4787-94c6-33d7e40e524e"/>
    <xsd:import namespace="5698cfc8-2a71-402d-9a5d-e90634467d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2f8f4-1f38-4787-94c6-33d7e40e52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148dc318-5de1-4747-92ed-e07023d138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8cfc8-2a71-402d-9a5d-e90634467d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d13a6cb-fba7-4e01-9a93-ffc84482123d}" ma:internalName="TaxCatchAll" ma:showField="CatchAllData" ma:web="5698cfc8-2a71-402d-9a5d-e90634467d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698cfc8-2a71-402d-9a5d-e90634467d66">
      <UserInfo>
        <DisplayName>Jose Ferney Franco Rodriguez</DisplayName>
        <AccountId>61</AccountId>
        <AccountType/>
      </UserInfo>
      <UserInfo>
        <DisplayName>Fredy Peñuela Pinto</DisplayName>
        <AccountId>15</AccountId>
        <AccountType/>
      </UserInfo>
      <UserInfo>
        <DisplayName>Juan Paulo Ortiz Vallejo</DisplayName>
        <AccountId>30</AccountId>
        <AccountType/>
      </UserInfo>
      <UserInfo>
        <DisplayName>Gustavo Montero Sanchez</DisplayName>
        <AccountId>6</AccountId>
        <AccountType/>
      </UserInfo>
      <UserInfo>
        <DisplayName>Diana Marcela Guerrero Montero</DisplayName>
        <AccountId>50</AccountId>
        <AccountType/>
      </UserInfo>
      <UserInfo>
        <DisplayName>Karen Liseth Rincon Moreno</DisplayName>
        <AccountId>31</AccountId>
        <AccountType/>
      </UserInfo>
      <UserInfo>
        <DisplayName>Juan Carlos Gonzalez Gonzalez</DisplayName>
        <AccountId>32</AccountId>
        <AccountType/>
      </UserInfo>
      <UserInfo>
        <DisplayName>Jorge Alberto Espinosa Espitia</DisplayName>
        <AccountId>22</AccountId>
        <AccountType/>
      </UserInfo>
      <UserInfo>
        <DisplayName>Edgar Hernán Rodriguez Ariza</DisplayName>
        <AccountId>14</AccountId>
        <AccountType/>
      </UserInfo>
      <UserInfo>
        <DisplayName>Dayana Esther Mora Redondo</DisplayName>
        <AccountId>41</AccountId>
        <AccountType/>
      </UserInfo>
      <UserInfo>
        <DisplayName>Ana Francisca Ussa Alvarez</DisplayName>
        <AccountId>16</AccountId>
        <AccountType/>
      </UserInfo>
    </SharedWithUsers>
    <TaxCatchAll xmlns="5698cfc8-2a71-402d-9a5d-e90634467d66" xsi:nil="true"/>
    <lcf76f155ced4ddcb4097134ff3c332f xmlns="d512f8f4-1f38-4787-94c6-33d7e40e52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959D80-2803-46FD-8E7F-6EFCADFE12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83BA33-BA04-462B-85E4-64F277ED6A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2f8f4-1f38-4787-94c6-33d7e40e524e"/>
    <ds:schemaRef ds:uri="5698cfc8-2a71-402d-9a5d-e90634467d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788DD3-F9D1-4EDD-8222-4365BC8EA668}">
  <ds:schemaRefs>
    <ds:schemaRef ds:uri="http://schemas.microsoft.com/office/2006/metadata/properties"/>
    <ds:schemaRef ds:uri="http://schemas.microsoft.com/office/infopath/2007/PartnerControls"/>
    <ds:schemaRef ds:uri="5698cfc8-2a71-402d-9a5d-e90634467d66"/>
    <ds:schemaRef ds:uri="d512f8f4-1f38-4787-94c6-33d7e40e52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48</vt:i4>
      </vt:variant>
    </vt:vector>
  </HeadingPairs>
  <TitlesOfParts>
    <vt:vector size="48" baseType="lpstr">
      <vt:lpstr>2023-1</vt:lpstr>
      <vt:lpstr>2023-2</vt:lpstr>
      <vt:lpstr>Giros FSE 2023- (2)</vt:lpstr>
      <vt:lpstr>Disponible FSE</vt:lpstr>
      <vt:lpstr>Hoja4</vt:lpstr>
      <vt:lpstr>LISTAS</vt:lpstr>
      <vt:lpstr>IES 2024</vt:lpstr>
      <vt:lpstr>COMITÉ 15042024</vt:lpstr>
      <vt:lpstr>COMITÉ30082024</vt:lpstr>
      <vt:lpstr>JA26082024</vt:lpstr>
      <vt:lpstr>Decisiones 15042024</vt:lpstr>
      <vt:lpstr>RESUMEN</vt:lpstr>
      <vt:lpstr>Giros FSE 2023-</vt:lpstr>
      <vt:lpstr>Resumen 2023</vt:lpstr>
      <vt:lpstr>Estructura IES</vt:lpstr>
      <vt:lpstr>Comité 29 de nov</vt:lpstr>
      <vt:lpstr>Comité 12 de dic</vt:lpstr>
      <vt:lpstr>Caribe 2023 2024 </vt:lpstr>
      <vt:lpstr>pacifico 2023 2024</vt:lpstr>
      <vt:lpstr>JA 10 DE DIC</vt:lpstr>
      <vt:lpstr>Resu_deuda IES</vt:lpstr>
      <vt:lpstr>JA 24 DE DIC</vt:lpstr>
      <vt:lpstr>COLCARTAGENA</vt:lpstr>
      <vt:lpstr>016390 23 SEP 2024</vt:lpstr>
      <vt:lpstr>Proyección FSE</vt:lpstr>
      <vt:lpstr>Proyecc 2025 ITTU_DAY</vt:lpstr>
      <vt:lpstr>JA 12 DE NOV</vt:lpstr>
      <vt:lpstr>JA 26 DE NOV</vt:lpstr>
      <vt:lpstr>Prox Junta</vt:lpstr>
      <vt:lpstr>Giros FSE - PG 2024</vt:lpstr>
      <vt:lpstr>Hoja1</vt:lpstr>
      <vt:lpstr>Solo Dayi</vt:lpstr>
      <vt:lpstr>Pdte cierre</vt:lpstr>
      <vt:lpstr>xxxx</vt:lpstr>
      <vt:lpstr>Saldo</vt:lpstr>
      <vt:lpstr>DESPACHO</vt:lpstr>
      <vt:lpstr>RESU</vt:lpstr>
      <vt:lpstr>Hoja5</vt:lpstr>
      <vt:lpstr>Hoja3</vt:lpstr>
      <vt:lpstr>Tabla1</vt:lpstr>
      <vt:lpstr>Asignación</vt:lpstr>
      <vt:lpstr>Decisión FSE 2024</vt:lpstr>
      <vt:lpstr>Proyección PAC</vt:lpstr>
      <vt:lpstr>Dominios</vt:lpstr>
      <vt:lpstr>Hoja2</vt:lpstr>
      <vt:lpstr>BORRADOR DAYA</vt:lpstr>
      <vt:lpstr>Giros FSE 2023</vt:lpstr>
      <vt:lpstr>Lista elegible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Dayana Esther Mora Redondo</dc:creator>
  <cp:keywords/>
  <dc:description/>
  <cp:lastModifiedBy>Mauricio Josue Ramirez Cabana</cp:lastModifiedBy>
  <cp:revision/>
  <dcterms:created xsi:type="dcterms:W3CDTF">2023-10-11T22:20:59Z</dcterms:created>
  <dcterms:modified xsi:type="dcterms:W3CDTF">2025-03-05T19:48:12Z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0x010100EA65A130478CED4288D44164E423ED9D</vt:lpwstr>
  </property>
  <property fmtid="{D5CDD505-2E9C-101B-9397-08002B2CF9AE}" pid="3" name="MediaServiceImageTags">
    <vt:lpwstr/>
  </property>
</Properties>
</file>