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updateLinks="always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milver.ADS\Desktop\Normatividad Tesoral y Presupuestal SIIF\Normatividad presupuestal\Respuesta Proposición No. 066 del 05 de 2024\"/>
    </mc:Choice>
  </mc:AlternateContent>
  <bookViews>
    <workbookView xWindow="0" yWindow="0" windowWidth="28800" windowHeight="12300" tabRatio="961" firstSheet="1" activeTab="1"/>
  </bookViews>
  <sheets>
    <sheet name="REP_EPG034_EjecucionPresupuesta" sheetId="803" state="hidden" r:id="rId1"/>
    <sheet name="SECTOR" sheetId="681" r:id="rId2"/>
    <sheet name="FTO MJD" sheetId="809" r:id="rId3"/>
    <sheet name="MJD Inversión" sheetId="804" r:id="rId4"/>
    <sheet name="FTO SNR" sheetId="813" r:id="rId5"/>
    <sheet name="SNR Inversión " sheetId="805" r:id="rId6"/>
    <sheet name="FTO INPEC" sheetId="814" r:id="rId7"/>
    <sheet name="INPEC Inversión " sheetId="806" r:id="rId8"/>
    <sheet name="FTO AGENCIA" sheetId="810" r:id="rId9"/>
    <sheet name="AGENCIA Inversión  " sheetId="807" r:id="rId10"/>
    <sheet name="FTO USPEC" sheetId="812" r:id="rId11"/>
    <sheet name="USPEC Inversión  " sheetId="808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____________car234" localSheetId="9">#REF!</definedName>
    <definedName name="_____________car234" localSheetId="8">#REF!</definedName>
    <definedName name="_____________car234" localSheetId="6">#REF!</definedName>
    <definedName name="_____________car234" localSheetId="4">#REF!</definedName>
    <definedName name="_____________car234" localSheetId="10">#REF!</definedName>
    <definedName name="_____________car234" localSheetId="7">#REF!</definedName>
    <definedName name="_____________car234" localSheetId="3">#REF!</definedName>
    <definedName name="_____________car234" localSheetId="5">#REF!</definedName>
    <definedName name="_____________car234" localSheetId="11">#REF!</definedName>
    <definedName name="_____________car234">#REF!</definedName>
    <definedName name="____________car234" localSheetId="9">#REF!</definedName>
    <definedName name="____________car234" localSheetId="8">#REF!</definedName>
    <definedName name="____________car234" localSheetId="6">#REF!</definedName>
    <definedName name="____________car234" localSheetId="4">#REF!</definedName>
    <definedName name="____________car234" localSheetId="10">#REF!</definedName>
    <definedName name="____________car234" localSheetId="7">#REF!</definedName>
    <definedName name="____________car234" localSheetId="3">#REF!</definedName>
    <definedName name="____________car234" localSheetId="5">#REF!</definedName>
    <definedName name="____________car234" localSheetId="11">#REF!</definedName>
    <definedName name="____________car234">#REF!</definedName>
    <definedName name="___________car234" localSheetId="9">#REF!</definedName>
    <definedName name="___________car234" localSheetId="8">#REF!</definedName>
    <definedName name="___________car234" localSheetId="6">#REF!</definedName>
    <definedName name="___________car234" localSheetId="4">#REF!</definedName>
    <definedName name="___________car234" localSheetId="10">#REF!</definedName>
    <definedName name="___________car234" localSheetId="7">#REF!</definedName>
    <definedName name="___________car234" localSheetId="3">#REF!</definedName>
    <definedName name="___________car234" localSheetId="5">#REF!</definedName>
    <definedName name="___________car234" localSheetId="11">#REF!</definedName>
    <definedName name="___________car234">#REF!</definedName>
    <definedName name="__________car234" localSheetId="9">#REF!</definedName>
    <definedName name="__________car234" localSheetId="8">#REF!</definedName>
    <definedName name="__________car234" localSheetId="6">#REF!</definedName>
    <definedName name="__________car234" localSheetId="4">#REF!</definedName>
    <definedName name="__________car234" localSheetId="10">#REF!</definedName>
    <definedName name="__________car234" localSheetId="7">#REF!</definedName>
    <definedName name="__________car234" localSheetId="5">#REF!</definedName>
    <definedName name="__________car234" localSheetId="11">#REF!</definedName>
    <definedName name="__________car234">#REF!</definedName>
    <definedName name="_________car234" localSheetId="9">#REF!</definedName>
    <definedName name="_________car234" localSheetId="8">#REF!</definedName>
    <definedName name="_________car234" localSheetId="6">#REF!</definedName>
    <definedName name="_________car234" localSheetId="4">#REF!</definedName>
    <definedName name="_________car234" localSheetId="10">#REF!</definedName>
    <definedName name="_________car234" localSheetId="7">#REF!</definedName>
    <definedName name="_________car234" localSheetId="5">#REF!</definedName>
    <definedName name="_________car234" localSheetId="11">#REF!</definedName>
    <definedName name="_________car234">#REF!</definedName>
    <definedName name="________car234" localSheetId="9">#REF!</definedName>
    <definedName name="________car234" localSheetId="8">#REF!</definedName>
    <definedName name="________car234" localSheetId="6">#REF!</definedName>
    <definedName name="________car234" localSheetId="4">#REF!</definedName>
    <definedName name="________car234" localSheetId="10">#REF!</definedName>
    <definedName name="________car234" localSheetId="7">#REF!</definedName>
    <definedName name="________car234" localSheetId="5">#REF!</definedName>
    <definedName name="________car234" localSheetId="11">#REF!</definedName>
    <definedName name="________car234">#REF!</definedName>
    <definedName name="_______car234" localSheetId="9">#REF!</definedName>
    <definedName name="_______car234" localSheetId="8">#REF!</definedName>
    <definedName name="_______car234" localSheetId="6">#REF!</definedName>
    <definedName name="_______car234" localSheetId="4">#REF!</definedName>
    <definedName name="_______car234" localSheetId="10">#REF!</definedName>
    <definedName name="_______car234" localSheetId="7">#REF!</definedName>
    <definedName name="_______car234" localSheetId="5">#REF!</definedName>
    <definedName name="_______car234" localSheetId="11">#REF!</definedName>
    <definedName name="_______car234">#REF!</definedName>
    <definedName name="______car234" localSheetId="9">#REF!</definedName>
    <definedName name="______car234" localSheetId="8">#REF!</definedName>
    <definedName name="______car234" localSheetId="6">#REF!</definedName>
    <definedName name="______car234" localSheetId="4">#REF!</definedName>
    <definedName name="______car234" localSheetId="10">#REF!</definedName>
    <definedName name="______car234" localSheetId="7">#REF!</definedName>
    <definedName name="______car234" localSheetId="5">#REF!</definedName>
    <definedName name="______car234" localSheetId="11">#REF!</definedName>
    <definedName name="______car234">#REF!</definedName>
    <definedName name="_____car234" localSheetId="9">#REF!</definedName>
    <definedName name="_____car234" localSheetId="8">#REF!</definedName>
    <definedName name="_____car234" localSheetId="6">#REF!</definedName>
    <definedName name="_____car234" localSheetId="4">#REF!</definedName>
    <definedName name="_____car234" localSheetId="10">#REF!</definedName>
    <definedName name="_____car234" localSheetId="7">#REF!</definedName>
    <definedName name="_____car234" localSheetId="5">#REF!</definedName>
    <definedName name="_____car234" localSheetId="11">#REF!</definedName>
    <definedName name="_____car234">#REF!</definedName>
    <definedName name="____car234" localSheetId="9">#REF!</definedName>
    <definedName name="____car234" localSheetId="8">#REF!</definedName>
    <definedName name="____car234" localSheetId="6">#REF!</definedName>
    <definedName name="____car234" localSheetId="4">#REF!</definedName>
    <definedName name="____car234" localSheetId="10">#REF!</definedName>
    <definedName name="____car234" localSheetId="7">#REF!</definedName>
    <definedName name="____car234" localSheetId="5">#REF!</definedName>
    <definedName name="____car234" localSheetId="11">#REF!</definedName>
    <definedName name="____car234">#REF!</definedName>
    <definedName name="___CAR0124" localSheetId="9">#REF!</definedName>
    <definedName name="___CAR0124" localSheetId="8">#REF!</definedName>
    <definedName name="___CAR0124" localSheetId="6">#REF!</definedName>
    <definedName name="___CAR0124" localSheetId="4">#REF!</definedName>
    <definedName name="___CAR0124" localSheetId="10">#REF!</definedName>
    <definedName name="___CAR0124" localSheetId="7">#REF!</definedName>
    <definedName name="___CAR0124" localSheetId="5">#REF!</definedName>
    <definedName name="___CAR0124" localSheetId="11">#REF!</definedName>
    <definedName name="___CAR0124">#REF!</definedName>
    <definedName name="___car234" localSheetId="9">#REF!</definedName>
    <definedName name="___car234" localSheetId="8">#REF!</definedName>
    <definedName name="___car234" localSheetId="6">#REF!</definedName>
    <definedName name="___car234" localSheetId="4">#REF!</definedName>
    <definedName name="___car234" localSheetId="10">#REF!</definedName>
    <definedName name="___car234" localSheetId="7">#REF!</definedName>
    <definedName name="___car234" localSheetId="5">#REF!</definedName>
    <definedName name="___car234" localSheetId="11">#REF!</definedName>
    <definedName name="___car234">#REF!</definedName>
    <definedName name="__CAR0124" localSheetId="9">#REF!</definedName>
    <definedName name="__CAR0124" localSheetId="8">#REF!</definedName>
    <definedName name="__CAR0124" localSheetId="6">#REF!</definedName>
    <definedName name="__CAR0124" localSheetId="4">#REF!</definedName>
    <definedName name="__CAR0124" localSheetId="10">#REF!</definedName>
    <definedName name="__CAR0124" localSheetId="7">#REF!</definedName>
    <definedName name="__CAR0124" localSheetId="5">#REF!</definedName>
    <definedName name="__CAR0124" localSheetId="11">#REF!</definedName>
    <definedName name="__CAR0124">#REF!</definedName>
    <definedName name="__car234" localSheetId="9">#REF!</definedName>
    <definedName name="__car234" localSheetId="8">#REF!</definedName>
    <definedName name="__car234" localSheetId="6">#REF!</definedName>
    <definedName name="__car234" localSheetId="4">#REF!</definedName>
    <definedName name="__car234" localSheetId="10">#REF!</definedName>
    <definedName name="__car234" localSheetId="7">#REF!</definedName>
    <definedName name="__car234" localSheetId="5">#REF!</definedName>
    <definedName name="__car234" localSheetId="11">#REF!</definedName>
    <definedName name="__car234">#REF!</definedName>
    <definedName name="__CER34" localSheetId="9">#REF!</definedName>
    <definedName name="__CER34" localSheetId="8">#REF!</definedName>
    <definedName name="__CER34" localSheetId="6">#REF!</definedName>
    <definedName name="__CER34" localSheetId="4">#REF!</definedName>
    <definedName name="__CER34" localSheetId="10">#REF!</definedName>
    <definedName name="__CER34" localSheetId="7">#REF!</definedName>
    <definedName name="__CER34" localSheetId="5">#REF!</definedName>
    <definedName name="__CER34" localSheetId="11">#REF!</definedName>
    <definedName name="__CER34">#REF!</definedName>
    <definedName name="_CAR0124" localSheetId="9">#REF!</definedName>
    <definedName name="_CAR0124" localSheetId="8">#REF!</definedName>
    <definedName name="_CAR0124" localSheetId="6">#REF!</definedName>
    <definedName name="_CAR0124" localSheetId="4">#REF!</definedName>
    <definedName name="_CAR0124" localSheetId="10">#REF!</definedName>
    <definedName name="_CAR0124" localSheetId="7">#REF!</definedName>
    <definedName name="_CAR0124" localSheetId="5">#REF!</definedName>
    <definedName name="_CAR0124" localSheetId="11">#REF!</definedName>
    <definedName name="_CAR0124">#REF!</definedName>
    <definedName name="_car234" localSheetId="9">#REF!</definedName>
    <definedName name="_car234" localSheetId="8">#REF!</definedName>
    <definedName name="_car234" localSheetId="6">#REF!</definedName>
    <definedName name="_car234" localSheetId="4">#REF!</definedName>
    <definedName name="_car234" localSheetId="10">#REF!</definedName>
    <definedName name="_car234" localSheetId="7">#REF!</definedName>
    <definedName name="_car234" localSheetId="5">#REF!</definedName>
    <definedName name="_car234" localSheetId="11">#REF!</definedName>
    <definedName name="_car234">#REF!</definedName>
    <definedName name="_CER34" localSheetId="9">#REF!</definedName>
    <definedName name="_CER34" localSheetId="8">#REF!</definedName>
    <definedName name="_CER34" localSheetId="6">#REF!</definedName>
    <definedName name="_CER34" localSheetId="4">#REF!</definedName>
    <definedName name="_CER34" localSheetId="10">#REF!</definedName>
    <definedName name="_CER34" localSheetId="7">#REF!</definedName>
    <definedName name="_CER34" localSheetId="5">#REF!</definedName>
    <definedName name="_CER34" localSheetId="11">#REF!</definedName>
    <definedName name="_CER34">#REF!</definedName>
    <definedName name="_xlnm._FilterDatabase" localSheetId="3" hidden="1">'MJD Inversión'!$B$8:$M$29</definedName>
    <definedName name="_xlnm._FilterDatabase" localSheetId="0" hidden="1">REP_EPG034_EjecucionPresupuesta!$A$4:$AA$124</definedName>
    <definedName name="AAA" localSheetId="9">#REF!</definedName>
    <definedName name="AAA" localSheetId="8">#REF!</definedName>
    <definedName name="AAA" localSheetId="6">#REF!</definedName>
    <definedName name="AAA" localSheetId="2">#REF!</definedName>
    <definedName name="AAA" localSheetId="4">#REF!</definedName>
    <definedName name="AAA" localSheetId="10">#REF!</definedName>
    <definedName name="AAA" localSheetId="7">#REF!</definedName>
    <definedName name="AAA" localSheetId="3">#REF!</definedName>
    <definedName name="AAA" localSheetId="5">#REF!</definedName>
    <definedName name="AAA" localSheetId="11">#REF!</definedName>
    <definedName name="AAA">#REF!</definedName>
    <definedName name="AAAA123" localSheetId="9">#REF!</definedName>
    <definedName name="AAAA123" localSheetId="8">#REF!</definedName>
    <definedName name="AAAA123" localSheetId="6">#REF!</definedName>
    <definedName name="AAAA123" localSheetId="4">#REF!</definedName>
    <definedName name="AAAA123" localSheetId="10">#REF!</definedName>
    <definedName name="AAAA123" localSheetId="7">#REF!</definedName>
    <definedName name="AAAA123" localSheetId="3">#REF!</definedName>
    <definedName name="AAAA123" localSheetId="5">#REF!</definedName>
    <definedName name="AAAA123" localSheetId="11">#REF!</definedName>
    <definedName name="AAAA123">#REF!</definedName>
    <definedName name="aaaaa123" localSheetId="9">#REF!</definedName>
    <definedName name="aaaaa123" localSheetId="8">#REF!</definedName>
    <definedName name="aaaaa123" localSheetId="6">#REF!</definedName>
    <definedName name="aaaaa123" localSheetId="4">#REF!</definedName>
    <definedName name="aaaaa123" localSheetId="10">#REF!</definedName>
    <definedName name="aaaaa123" localSheetId="7">#REF!</definedName>
    <definedName name="aaaaa123" localSheetId="3">#REF!</definedName>
    <definedName name="aaaaa123" localSheetId="5">#REF!</definedName>
    <definedName name="aaaaa123" localSheetId="11">#REF!</definedName>
    <definedName name="aaaaa123">#REF!</definedName>
    <definedName name="AAAAAAAA" localSheetId="9">#REF!</definedName>
    <definedName name="AAAAAAAA" localSheetId="8">#REF!</definedName>
    <definedName name="AAAAAAAA" localSheetId="6">#REF!</definedName>
    <definedName name="AAAAAAAA" localSheetId="4">#REF!</definedName>
    <definedName name="AAAAAAAA" localSheetId="10">#REF!</definedName>
    <definedName name="AAAAAAAA" localSheetId="7">#REF!</definedName>
    <definedName name="AAAAAAAA" localSheetId="5">#REF!</definedName>
    <definedName name="AAAAAAAA" localSheetId="11">#REF!</definedName>
    <definedName name="AAAAAAAA">#REF!</definedName>
    <definedName name="Agregado">[1]Listas!$E$4:$E$5</definedName>
    <definedName name="Alias">[1]Listas!$F$3:$F$68</definedName>
    <definedName name="año">[2]Listas!$M$2:$M$8</definedName>
    <definedName name="_xlnm.Print_Area" localSheetId="6">'FTO INPEC'!$A$1:$J$36</definedName>
    <definedName name="_xlnm.Print_Area" localSheetId="2">'FTO MJD'!$A$1:$J$32</definedName>
    <definedName name="_xlnm.Print_Area" localSheetId="4">'FTO SNR'!$A$1:$J$34</definedName>
    <definedName name="_xlnm.Print_Area" localSheetId="3">'MJD Inversión'!$B$1:$L$34</definedName>
    <definedName name="_xlnm.Print_Area" localSheetId="1">SECTOR!$B$1:$N$45</definedName>
    <definedName name="_xlnm.Print_Area" localSheetId="11">'USPEC Inversión  '!$A$1:$L$17</definedName>
    <definedName name="_xlnm.Print_Area">#REF!</definedName>
    <definedName name="ASD" localSheetId="9">#REF!</definedName>
    <definedName name="ASD" localSheetId="8">#REF!</definedName>
    <definedName name="ASD" localSheetId="6">#REF!</definedName>
    <definedName name="ASD" localSheetId="4">#REF!</definedName>
    <definedName name="ASD" localSheetId="10">#REF!</definedName>
    <definedName name="ASD" localSheetId="7">#REF!</definedName>
    <definedName name="ASD" localSheetId="3">#REF!</definedName>
    <definedName name="ASD" localSheetId="5">#REF!</definedName>
    <definedName name="ASD" localSheetId="11">#REF!</definedName>
    <definedName name="ASD">#REF!</definedName>
    <definedName name="Basica" localSheetId="9">#REF!</definedName>
    <definedName name="Basica" localSheetId="8">#REF!</definedName>
    <definedName name="Basica" localSheetId="6">#REF!</definedName>
    <definedName name="Basica" localSheetId="4">#REF!</definedName>
    <definedName name="Basica" localSheetId="10">#REF!</definedName>
    <definedName name="Basica" localSheetId="7">#REF!</definedName>
    <definedName name="Basica" localSheetId="3">#REF!</definedName>
    <definedName name="Basica" localSheetId="5">#REF!</definedName>
    <definedName name="Basica" localSheetId="11">#REF!</definedName>
    <definedName name="Basica">#REF!</definedName>
    <definedName name="bb" localSheetId="9">#REF!</definedName>
    <definedName name="bb" localSheetId="8">#REF!</definedName>
    <definedName name="bb" localSheetId="6">#REF!</definedName>
    <definedName name="bb" localSheetId="4">#REF!</definedName>
    <definedName name="bb" localSheetId="10">#REF!</definedName>
    <definedName name="bb" localSheetId="7">#REF!</definedName>
    <definedName name="bb" localSheetId="5">#REF!</definedName>
    <definedName name="bb" localSheetId="11">#REF!</definedName>
    <definedName name="bb">#REF!</definedName>
    <definedName name="BBB" localSheetId="9">#REF!</definedName>
    <definedName name="BBB" localSheetId="8">#REF!</definedName>
    <definedName name="BBB" localSheetId="6">#REF!</definedName>
    <definedName name="BBB" localSheetId="4">#REF!</definedName>
    <definedName name="BBB" localSheetId="10">#REF!</definedName>
    <definedName name="BBB" localSheetId="7">#REF!</definedName>
    <definedName name="BBB" localSheetId="5">#REF!</definedName>
    <definedName name="BBB" localSheetId="11">#REF!</definedName>
    <definedName name="BBB">#REF!</definedName>
    <definedName name="BBBB" localSheetId="9">#REF!</definedName>
    <definedName name="BBBB" localSheetId="8">#REF!</definedName>
    <definedName name="BBBB" localSheetId="6">#REF!</definedName>
    <definedName name="BBBB" localSheetId="4">#REF!</definedName>
    <definedName name="BBBB" localSheetId="10">#REF!</definedName>
    <definedName name="BBBB" localSheetId="7">#REF!</definedName>
    <definedName name="BBBB" localSheetId="5">#REF!</definedName>
    <definedName name="BBBB" localSheetId="11">#REF!</definedName>
    <definedName name="BBBB">#REF!</definedName>
    <definedName name="bbbbb" localSheetId="9">#REF!</definedName>
    <definedName name="bbbbb" localSheetId="8">#REF!</definedName>
    <definedName name="bbbbb" localSheetId="6">#REF!</definedName>
    <definedName name="bbbbb" localSheetId="4">#REF!</definedName>
    <definedName name="bbbbb" localSheetId="10">#REF!</definedName>
    <definedName name="bbbbb" localSheetId="7">#REF!</definedName>
    <definedName name="bbbbb" localSheetId="5">#REF!</definedName>
    <definedName name="bbbbb" localSheetId="11">#REF!</definedName>
    <definedName name="bbbbb">#REF!</definedName>
    <definedName name="bbbbbb">[3]OBLIGACIONES!$D$4:$D$9</definedName>
    <definedName name="bbbbbbb">[3]Listas!$D$4:$D$9</definedName>
    <definedName name="BBBBBBB11" localSheetId="9">#REF!</definedName>
    <definedName name="BBBBBBB11" localSheetId="8">#REF!</definedName>
    <definedName name="BBBBBBB11" localSheetId="6">#REF!</definedName>
    <definedName name="BBBBBBB11" localSheetId="2">#REF!</definedName>
    <definedName name="BBBBBBB11" localSheetId="4">#REF!</definedName>
    <definedName name="BBBBBBB11" localSheetId="10">#REF!</definedName>
    <definedName name="BBBBBBB11" localSheetId="7">#REF!</definedName>
    <definedName name="BBBBBBB11" localSheetId="3">#REF!</definedName>
    <definedName name="BBBBBBB11" localSheetId="5">#REF!</definedName>
    <definedName name="BBBBBBB11" localSheetId="11">#REF!</definedName>
    <definedName name="BBBBBBB11">#REF!</definedName>
    <definedName name="belkis" localSheetId="9">#REF!</definedName>
    <definedName name="belkis" localSheetId="8">#REF!</definedName>
    <definedName name="belkis" localSheetId="6">#REF!</definedName>
    <definedName name="belkis" localSheetId="4">#REF!</definedName>
    <definedName name="belkis" localSheetId="10">#REF!</definedName>
    <definedName name="belkis" localSheetId="7">#REF!</definedName>
    <definedName name="belkis" localSheetId="3">#REF!</definedName>
    <definedName name="belkis" localSheetId="5">#REF!</definedName>
    <definedName name="belkis" localSheetId="11">#REF!</definedName>
    <definedName name="belkis">#REF!</definedName>
    <definedName name="brglllmb" localSheetId="9">#REF!</definedName>
    <definedName name="brglllmb" localSheetId="8">#REF!</definedName>
    <definedName name="brglllmb" localSheetId="6">#REF!</definedName>
    <definedName name="brglllmb" localSheetId="4">#REF!</definedName>
    <definedName name="brglllmb" localSheetId="10">#REF!</definedName>
    <definedName name="brglllmb" localSheetId="7">#REF!</definedName>
    <definedName name="brglllmb" localSheetId="3">#REF!</definedName>
    <definedName name="brglllmb" localSheetId="5">#REF!</definedName>
    <definedName name="brglllmb" localSheetId="11">#REF!</definedName>
    <definedName name="brglllmb">#REF!</definedName>
    <definedName name="CAPITAL">[1]Listas!$I$4:$I$8</definedName>
    <definedName name="carl" localSheetId="9">#REF!</definedName>
    <definedName name="carl" localSheetId="8">#REF!</definedName>
    <definedName name="carl" localSheetId="6">#REF!</definedName>
    <definedName name="carl" localSheetId="2">#REF!</definedName>
    <definedName name="carl" localSheetId="4">#REF!</definedName>
    <definedName name="carl" localSheetId="10">#REF!</definedName>
    <definedName name="carl" localSheetId="7">#REF!</definedName>
    <definedName name="carl" localSheetId="3">#REF!</definedName>
    <definedName name="carl" localSheetId="5">#REF!</definedName>
    <definedName name="carl" localSheetId="11">#REF!</definedName>
    <definedName name="carl">#REF!</definedName>
    <definedName name="Categorias">[1]Listas!$D$4:$D$9</definedName>
    <definedName name="CCC" localSheetId="9">#REF!</definedName>
    <definedName name="CCC" localSheetId="8">#REF!</definedName>
    <definedName name="CCC" localSheetId="6">#REF!</definedName>
    <definedName name="CCC" localSheetId="2">#REF!</definedName>
    <definedName name="CCC" localSheetId="4">#REF!</definedName>
    <definedName name="CCC" localSheetId="10">#REF!</definedName>
    <definedName name="CCC" localSheetId="7">#REF!</definedName>
    <definedName name="CCC" localSheetId="3">#REF!</definedName>
    <definedName name="CCC" localSheetId="5">#REF!</definedName>
    <definedName name="CCC" localSheetId="11">#REF!</definedName>
    <definedName name="CCC">#REF!</definedName>
    <definedName name="CCCC" localSheetId="9">#REF!</definedName>
    <definedName name="CCCC" localSheetId="8">#REF!</definedName>
    <definedName name="CCCC" localSheetId="6">#REF!</definedName>
    <definedName name="CCCC" localSheetId="4">#REF!</definedName>
    <definedName name="CCCC" localSheetId="10">#REF!</definedName>
    <definedName name="CCCC" localSheetId="7">#REF!</definedName>
    <definedName name="CCCC" localSheetId="3">#REF!</definedName>
    <definedName name="CCCC" localSheetId="5">#REF!</definedName>
    <definedName name="CCCC" localSheetId="11">#REF!</definedName>
    <definedName name="CCCC">#REF!</definedName>
    <definedName name="cccccccc" localSheetId="9">#REF!</definedName>
    <definedName name="cccccccc" localSheetId="8">#REF!</definedName>
    <definedName name="cccccccc" localSheetId="6">#REF!</definedName>
    <definedName name="cccccccc" localSheetId="4">#REF!</definedName>
    <definedName name="cccccccc" localSheetId="10">#REF!</definedName>
    <definedName name="cccccccc" localSheetId="7">#REF!</definedName>
    <definedName name="cccccccc" localSheetId="3">#REF!</definedName>
    <definedName name="cccccccc" localSheetId="5">#REF!</definedName>
    <definedName name="cccccccc" localSheetId="11">#REF!</definedName>
    <definedName name="cccccccc">#REF!</definedName>
    <definedName name="cla" localSheetId="9">#REF!</definedName>
    <definedName name="cla" localSheetId="8">#REF!</definedName>
    <definedName name="cla" localSheetId="6">#REF!</definedName>
    <definedName name="cla" localSheetId="4">#REF!</definedName>
    <definedName name="cla" localSheetId="10">#REF!</definedName>
    <definedName name="cla" localSheetId="7">#REF!</definedName>
    <definedName name="cla" localSheetId="5">#REF!</definedName>
    <definedName name="cla" localSheetId="11">#REF!</definedName>
    <definedName name="cla">#REF!</definedName>
    <definedName name="Concepto" localSheetId="9">#REF!</definedName>
    <definedName name="Concepto" localSheetId="8">#REF!</definedName>
    <definedName name="Concepto" localSheetId="6">#REF!</definedName>
    <definedName name="Concepto" localSheetId="4">#REF!</definedName>
    <definedName name="Concepto" localSheetId="10">#REF!</definedName>
    <definedName name="Concepto" localSheetId="7">#REF!</definedName>
    <definedName name="Concepto" localSheetId="5">#REF!</definedName>
    <definedName name="Concepto" localSheetId="11">#REF!</definedName>
    <definedName name="Concepto">#REF!</definedName>
    <definedName name="Cuenta">[2]Listas!$I$2:$I$5</definedName>
    <definedName name="CVDF" localSheetId="9">#REF!</definedName>
    <definedName name="CVDF" localSheetId="8">#REF!</definedName>
    <definedName name="CVDF" localSheetId="6">#REF!</definedName>
    <definedName name="CVDF" localSheetId="2">#REF!</definedName>
    <definedName name="CVDF" localSheetId="4">#REF!</definedName>
    <definedName name="CVDF" localSheetId="10">#REF!</definedName>
    <definedName name="CVDF" localSheetId="7">#REF!</definedName>
    <definedName name="CVDF" localSheetId="3">#REF!</definedName>
    <definedName name="CVDF" localSheetId="5">#REF!</definedName>
    <definedName name="CVDF" localSheetId="11">#REF!</definedName>
    <definedName name="CVDF">#REF!</definedName>
    <definedName name="DDDD" localSheetId="9">#REF!</definedName>
    <definedName name="DDDD" localSheetId="8">#REF!</definedName>
    <definedName name="DDDD" localSheetId="6">#REF!</definedName>
    <definedName name="DDDD" localSheetId="4">#REF!</definedName>
    <definedName name="DDDD" localSheetId="10">#REF!</definedName>
    <definedName name="DDDD" localSheetId="7">#REF!</definedName>
    <definedName name="DDDD" localSheetId="3">#REF!</definedName>
    <definedName name="DDDD" localSheetId="5">#REF!</definedName>
    <definedName name="DDDD" localSheetId="11">#REF!</definedName>
    <definedName name="DDDD">#REF!</definedName>
    <definedName name="ddddd" localSheetId="9">#REF!</definedName>
    <definedName name="ddddd" localSheetId="8">#REF!</definedName>
    <definedName name="ddddd" localSheetId="6">#REF!</definedName>
    <definedName name="ddddd" localSheetId="4">#REF!</definedName>
    <definedName name="ddddd" localSheetId="10">#REF!</definedName>
    <definedName name="ddddd" localSheetId="7">#REF!</definedName>
    <definedName name="ddddd" localSheetId="3">#REF!</definedName>
    <definedName name="ddddd" localSheetId="5">#REF!</definedName>
    <definedName name="ddddd" localSheetId="11">#REF!</definedName>
    <definedName name="ddddd">#REF!</definedName>
    <definedName name="DDDDDDDD" localSheetId="9">#REF!</definedName>
    <definedName name="DDDDDDDD" localSheetId="8">#REF!</definedName>
    <definedName name="DDDDDDDD" localSheetId="6">#REF!</definedName>
    <definedName name="DDDDDDDD" localSheetId="4">#REF!</definedName>
    <definedName name="DDDDDDDD" localSheetId="10">#REF!</definedName>
    <definedName name="DDDDDDDD" localSheetId="7">#REF!</definedName>
    <definedName name="DDDDDDDD" localSheetId="5">#REF!</definedName>
    <definedName name="DDDDDDDD" localSheetId="11">#REF!</definedName>
    <definedName name="DDDDDDDD">#REF!</definedName>
    <definedName name="DDDDDDDDDD" localSheetId="9">#REF!</definedName>
    <definedName name="DDDDDDDDDD" localSheetId="8">#REF!</definedName>
    <definedName name="DDDDDDDDDD" localSheetId="6">#REF!</definedName>
    <definedName name="DDDDDDDDDD" localSheetId="4">#REF!</definedName>
    <definedName name="DDDDDDDDDD" localSheetId="10">#REF!</definedName>
    <definedName name="DDDDDDDDDD" localSheetId="7">#REF!</definedName>
    <definedName name="DDDDDDDDDD" localSheetId="5">#REF!</definedName>
    <definedName name="DDDDDDDDDD" localSheetId="11">#REF!</definedName>
    <definedName name="DDDDDDDDDD">#REF!</definedName>
    <definedName name="DDFDF" localSheetId="9">#REF!</definedName>
    <definedName name="DDFDF" localSheetId="8">#REF!</definedName>
    <definedName name="DDFDF" localSheetId="6">#REF!</definedName>
    <definedName name="DDFDF" localSheetId="4">#REF!</definedName>
    <definedName name="DDFDF" localSheetId="10">#REF!</definedName>
    <definedName name="DDFDF" localSheetId="7">#REF!</definedName>
    <definedName name="DDFDF" localSheetId="5">#REF!</definedName>
    <definedName name="DDFDF" localSheetId="11">#REF!</definedName>
    <definedName name="DDFDF">#REF!</definedName>
    <definedName name="DE" localSheetId="9">#REF!</definedName>
    <definedName name="DE" localSheetId="8">#REF!</definedName>
    <definedName name="DE" localSheetId="6">#REF!</definedName>
    <definedName name="DE" localSheetId="4">#REF!</definedName>
    <definedName name="DE" localSheetId="10">#REF!</definedName>
    <definedName name="DE" localSheetId="7">#REF!</definedName>
    <definedName name="DE" localSheetId="5">#REF!</definedName>
    <definedName name="DE" localSheetId="11">#REF!</definedName>
    <definedName name="DE">#REF!</definedName>
    <definedName name="Despacho">[2]Listas!$E$2:$E$4</definedName>
    <definedName name="dfh" localSheetId="9">#REF!</definedName>
    <definedName name="dfh" localSheetId="8">#REF!</definedName>
    <definedName name="dfh" localSheetId="6">#REF!</definedName>
    <definedName name="dfh" localSheetId="2">#REF!</definedName>
    <definedName name="dfh" localSheetId="4">#REF!</definedName>
    <definedName name="dfh" localSheetId="10">#REF!</definedName>
    <definedName name="dfh" localSheetId="7">#REF!</definedName>
    <definedName name="dfh" localSheetId="3">#REF!</definedName>
    <definedName name="dfh" localSheetId="5">#REF!</definedName>
    <definedName name="dfh" localSheetId="11">#REF!</definedName>
    <definedName name="dfh">#REF!</definedName>
    <definedName name="DGHDG" localSheetId="9">#REF!</definedName>
    <definedName name="DGHDG" localSheetId="8">#REF!</definedName>
    <definedName name="DGHDG" localSheetId="6">#REF!</definedName>
    <definedName name="DGHDG" localSheetId="4">#REF!</definedName>
    <definedName name="DGHDG" localSheetId="10">#REF!</definedName>
    <definedName name="DGHDG" localSheetId="7">#REF!</definedName>
    <definedName name="DGHDG" localSheetId="3">#REF!</definedName>
    <definedName name="DGHDG" localSheetId="5">#REF!</definedName>
    <definedName name="DGHDG" localSheetId="11">#REF!</definedName>
    <definedName name="DGHDG">#REF!</definedName>
    <definedName name="DGHFGGHJ">'[4]Prog y Sub MGMP'!$C$2:$C$63</definedName>
    <definedName name="DGHG" localSheetId="9">#REF!</definedName>
    <definedName name="DGHG" localSheetId="8">#REF!</definedName>
    <definedName name="DGHG" localSheetId="6">#REF!</definedName>
    <definedName name="DGHG" localSheetId="2">#REF!</definedName>
    <definedName name="DGHG" localSheetId="4">#REF!</definedName>
    <definedName name="DGHG" localSheetId="10">#REF!</definedName>
    <definedName name="DGHG" localSheetId="7">#REF!</definedName>
    <definedName name="DGHG" localSheetId="3">#REF!</definedName>
    <definedName name="DGHG" localSheetId="5">#REF!</definedName>
    <definedName name="DGHG" localSheetId="11">#REF!</definedName>
    <definedName name="DGHG">#REF!</definedName>
    <definedName name="DHDGHFG" localSheetId="9">#REF!</definedName>
    <definedName name="DHDGHFG" localSheetId="8">#REF!</definedName>
    <definedName name="DHDGHFG" localSheetId="6">#REF!</definedName>
    <definedName name="DHDGHFG" localSheetId="4">#REF!</definedName>
    <definedName name="DHDGHFG" localSheetId="10">#REF!</definedName>
    <definedName name="DHDGHFG" localSheetId="7">#REF!</definedName>
    <definedName name="DHDGHFG" localSheetId="3">#REF!</definedName>
    <definedName name="DHDGHFG" localSheetId="5">#REF!</definedName>
    <definedName name="DHDGHFG" localSheetId="11">#REF!</definedName>
    <definedName name="DHDGHFG">#REF!</definedName>
    <definedName name="DHDGHGHGF" localSheetId="9">#REF!</definedName>
    <definedName name="DHDGHGHGF" localSheetId="8">#REF!</definedName>
    <definedName name="DHDGHGHGF" localSheetId="6">#REF!</definedName>
    <definedName name="DHDGHGHGF" localSheetId="4">#REF!</definedName>
    <definedName name="DHDGHGHGF" localSheetId="10">#REF!</definedName>
    <definedName name="DHDGHGHGF" localSheetId="7">#REF!</definedName>
    <definedName name="DHDGHGHGF" localSheetId="3">#REF!</definedName>
    <definedName name="DHDGHGHGF" localSheetId="5">#REF!</definedName>
    <definedName name="DHDGHGHGF" localSheetId="11">#REF!</definedName>
    <definedName name="DHDGHGHGF">#REF!</definedName>
    <definedName name="DHFGHF" localSheetId="9">#REF!</definedName>
    <definedName name="DHFGHF" localSheetId="8">#REF!</definedName>
    <definedName name="DHFGHF" localSheetId="6">#REF!</definedName>
    <definedName name="DHFGHF" localSheetId="4">#REF!</definedName>
    <definedName name="DHFGHF" localSheetId="10">#REF!</definedName>
    <definedName name="DHFGHF" localSheetId="7">#REF!</definedName>
    <definedName name="DHFGHF" localSheetId="5">#REF!</definedName>
    <definedName name="DHFGHF" localSheetId="11">#REF!</definedName>
    <definedName name="DHFGHF">#REF!</definedName>
    <definedName name="dia">[2]Listas!$L$2:$L$34</definedName>
    <definedName name="elvi1947">[1]Listas!$B$4:$B$97</definedName>
    <definedName name="entidad">[2]Listas!$A$2:$A$35</definedName>
    <definedName name="ESTRATEGIAPND">[1]Listas!$P$4:$P$29</definedName>
    <definedName name="FDGDFG" localSheetId="9">#REF!</definedName>
    <definedName name="FDGDFG" localSheetId="8">#REF!</definedName>
    <definedName name="FDGDFG" localSheetId="6">#REF!</definedName>
    <definedName name="FDGDFG" localSheetId="2">#REF!</definedName>
    <definedName name="FDGDFG" localSheetId="4">#REF!</definedName>
    <definedName name="FDGDFG" localSheetId="10">#REF!</definedName>
    <definedName name="FDGDFG" localSheetId="7">#REF!</definedName>
    <definedName name="FDGDFG" localSheetId="3">#REF!</definedName>
    <definedName name="FDGDFG" localSheetId="5">#REF!</definedName>
    <definedName name="FDGDFG" localSheetId="11">#REF!</definedName>
    <definedName name="FDGDFG">#REF!</definedName>
    <definedName name="FDI" localSheetId="9">#REF!</definedName>
    <definedName name="FDI" localSheetId="8">#REF!</definedName>
    <definedName name="FDI" localSheetId="6">#REF!</definedName>
    <definedName name="FDI" localSheetId="4">#REF!</definedName>
    <definedName name="FDI" localSheetId="10">#REF!</definedName>
    <definedName name="FDI" localSheetId="7">#REF!</definedName>
    <definedName name="FDI" localSheetId="3">#REF!</definedName>
    <definedName name="FDI" localSheetId="5">#REF!</definedName>
    <definedName name="FDI" localSheetId="11">#REF!</definedName>
    <definedName name="FDI">#REF!</definedName>
    <definedName name="Fecha">[5]Listas!$L$2:$L$13</definedName>
    <definedName name="FFFFF" localSheetId="9">#REF!</definedName>
    <definedName name="FFFFF" localSheetId="8">#REF!</definedName>
    <definedName name="FFFFF" localSheetId="6">#REF!</definedName>
    <definedName name="FFFFF" localSheetId="2">#REF!</definedName>
    <definedName name="FFFFF" localSheetId="4">#REF!</definedName>
    <definedName name="FFFFF" localSheetId="10">#REF!</definedName>
    <definedName name="FFFFF" localSheetId="7">#REF!</definedName>
    <definedName name="FFFFF" localSheetId="3">#REF!</definedName>
    <definedName name="FFFFF" localSheetId="5">#REF!</definedName>
    <definedName name="FFFFF" localSheetId="11">#REF!</definedName>
    <definedName name="FFFFF">#REF!</definedName>
    <definedName name="fffffr" localSheetId="9">#REF!</definedName>
    <definedName name="fffffr" localSheetId="8">#REF!</definedName>
    <definedName name="fffffr" localSheetId="6">#REF!</definedName>
    <definedName name="fffffr" localSheetId="4">#REF!</definedName>
    <definedName name="fffffr" localSheetId="10">#REF!</definedName>
    <definedName name="fffffr" localSheetId="7">#REF!</definedName>
    <definedName name="fffffr" localSheetId="3">#REF!</definedName>
    <definedName name="fffffr" localSheetId="5">#REF!</definedName>
    <definedName name="fffffr" localSheetId="11">#REF!</definedName>
    <definedName name="fffffr">#REF!</definedName>
    <definedName name="FGHDFGHDF" localSheetId="9">#REF!</definedName>
    <definedName name="FGHDFGHDF" localSheetId="8">#REF!</definedName>
    <definedName name="FGHDFGHDF" localSheetId="6">#REF!</definedName>
    <definedName name="FGHDFGHDF" localSheetId="4">#REF!</definedName>
    <definedName name="FGHDFGHDF" localSheetId="10">#REF!</definedName>
    <definedName name="FGHDFGHDF" localSheetId="7">#REF!</definedName>
    <definedName name="FGHDFGHDF" localSheetId="3">#REF!</definedName>
    <definedName name="FGHDFGHDF" localSheetId="5">#REF!</definedName>
    <definedName name="FGHDFGHDF" localSheetId="11">#REF!</definedName>
    <definedName name="FGHDFGHDF">#REF!</definedName>
    <definedName name="Fortalecimiento" localSheetId="9">#REF!</definedName>
    <definedName name="Fortalecimiento" localSheetId="8">#REF!</definedName>
    <definedName name="Fortalecimiento" localSheetId="6">#REF!</definedName>
    <definedName name="Fortalecimiento" localSheetId="4">#REF!</definedName>
    <definedName name="Fortalecimiento" localSheetId="10">#REF!</definedName>
    <definedName name="Fortalecimiento" localSheetId="7">#REF!</definedName>
    <definedName name="Fortalecimiento" localSheetId="5">#REF!</definedName>
    <definedName name="Fortalecimiento" localSheetId="11">#REF!</definedName>
    <definedName name="Fortalecimiento">#REF!</definedName>
    <definedName name="Fuentes">[1]Listas!$C$4:$C$11</definedName>
    <definedName name="gali" localSheetId="9">#REF!</definedName>
    <definedName name="gali" localSheetId="8">#REF!</definedName>
    <definedName name="gali" localSheetId="6">#REF!</definedName>
    <definedName name="gali" localSheetId="2">#REF!</definedName>
    <definedName name="gali" localSheetId="4">#REF!</definedName>
    <definedName name="gali" localSheetId="10">#REF!</definedName>
    <definedName name="gali" localSheetId="7">#REF!</definedName>
    <definedName name="gali" localSheetId="3">#REF!</definedName>
    <definedName name="gali" localSheetId="5">#REF!</definedName>
    <definedName name="gali" localSheetId="11">#REF!</definedName>
    <definedName name="gali">#REF!</definedName>
    <definedName name="gali1234" localSheetId="9">#REF!</definedName>
    <definedName name="gali1234" localSheetId="8">#REF!</definedName>
    <definedName name="gali1234" localSheetId="6">#REF!</definedName>
    <definedName name="gali1234" localSheetId="4">#REF!</definedName>
    <definedName name="gali1234" localSheetId="10">#REF!</definedName>
    <definedName name="gali1234" localSheetId="7">#REF!</definedName>
    <definedName name="gali1234" localSheetId="3">#REF!</definedName>
    <definedName name="gali1234" localSheetId="5">#REF!</definedName>
    <definedName name="gali1234" localSheetId="11">#REF!</definedName>
    <definedName name="gali1234">#REF!</definedName>
    <definedName name="GDF" localSheetId="9">#REF!</definedName>
    <definedName name="GDF" localSheetId="8">#REF!</definedName>
    <definedName name="GDF" localSheetId="6">#REF!</definedName>
    <definedName name="GDF" localSheetId="4">#REF!</definedName>
    <definedName name="GDF" localSheetId="10">#REF!</definedName>
    <definedName name="GDF" localSheetId="7">#REF!</definedName>
    <definedName name="GDF" localSheetId="3">#REF!</definedName>
    <definedName name="GDF" localSheetId="5">#REF!</definedName>
    <definedName name="GDF" localSheetId="11">#REF!</definedName>
    <definedName name="GDF">#REF!</definedName>
    <definedName name="gdfh" localSheetId="9">#REF!</definedName>
    <definedName name="gdfh" localSheetId="8">#REF!</definedName>
    <definedName name="gdfh" localSheetId="6">#REF!</definedName>
    <definedName name="gdfh" localSheetId="4">#REF!</definedName>
    <definedName name="gdfh" localSheetId="10">#REF!</definedName>
    <definedName name="gdfh" localSheetId="7">#REF!</definedName>
    <definedName name="gdfh" localSheetId="5">#REF!</definedName>
    <definedName name="gdfh" localSheetId="11">#REF!</definedName>
    <definedName name="gdfh">#REF!</definedName>
    <definedName name="GDJHFGJHFGJ">'[4]Prog y Sub MGMP'!$B$2:$B$86</definedName>
    <definedName name="Generales" localSheetId="9">#REF!</definedName>
    <definedName name="Generales" localSheetId="8">#REF!</definedName>
    <definedName name="Generales" localSheetId="6">#REF!</definedName>
    <definedName name="Generales" localSheetId="2">#REF!</definedName>
    <definedName name="Generales" localSheetId="4">#REF!</definedName>
    <definedName name="Generales" localSheetId="10">#REF!</definedName>
    <definedName name="Generales" localSheetId="7">#REF!</definedName>
    <definedName name="Generales" localSheetId="3">#REF!</definedName>
    <definedName name="Generales" localSheetId="5">#REF!</definedName>
    <definedName name="Generales" localSheetId="11">#REF!</definedName>
    <definedName name="Generales">#REF!</definedName>
    <definedName name="GGGG" localSheetId="9">#REF!</definedName>
    <definedName name="GGGG" localSheetId="8">#REF!</definedName>
    <definedName name="GGGG" localSheetId="6">#REF!</definedName>
    <definedName name="GGGG" localSheetId="4">#REF!</definedName>
    <definedName name="GGGG" localSheetId="10">#REF!</definedName>
    <definedName name="GGGG" localSheetId="7">#REF!</definedName>
    <definedName name="GGGG" localSheetId="3">#REF!</definedName>
    <definedName name="GGGG" localSheetId="5">#REF!</definedName>
    <definedName name="GGGG" localSheetId="11">#REF!</definedName>
    <definedName name="GGGG">#REF!</definedName>
    <definedName name="gp" localSheetId="9">#REF!</definedName>
    <definedName name="gp" localSheetId="8">#REF!</definedName>
    <definedName name="gp" localSheetId="6">#REF!</definedName>
    <definedName name="gp" localSheetId="4">#REF!</definedName>
    <definedName name="gp" localSheetId="10">#REF!</definedName>
    <definedName name="gp" localSheetId="7">#REF!</definedName>
    <definedName name="gp" localSheetId="3">#REF!</definedName>
    <definedName name="gp" localSheetId="5">#REF!</definedName>
    <definedName name="gp" localSheetId="11">#REF!</definedName>
    <definedName name="gp">#REF!</definedName>
    <definedName name="HACIENDA">[1]Listas!$J$4:$J$40</definedName>
    <definedName name="hhhhhhhhhh" localSheetId="9">#REF!</definedName>
    <definedName name="hhhhhhhhhh" localSheetId="8">#REF!</definedName>
    <definedName name="hhhhhhhhhh" localSheetId="6">#REF!</definedName>
    <definedName name="hhhhhhhhhh" localSheetId="2">#REF!</definedName>
    <definedName name="hhhhhhhhhh" localSheetId="4">#REF!</definedName>
    <definedName name="hhhhhhhhhh" localSheetId="10">#REF!</definedName>
    <definedName name="hhhhhhhhhh" localSheetId="7">#REF!</definedName>
    <definedName name="hhhhhhhhhh" localSheetId="3">#REF!</definedName>
    <definedName name="hhhhhhhhhh" localSheetId="5">#REF!</definedName>
    <definedName name="hhhhhhhhhh" localSheetId="11">#REF!</definedName>
    <definedName name="hhhhhhhhhh">#REF!</definedName>
    <definedName name="IN" localSheetId="9">#REF!</definedName>
    <definedName name="IN" localSheetId="8">#REF!</definedName>
    <definedName name="IN" localSheetId="6">#REF!</definedName>
    <definedName name="IN" localSheetId="4">#REF!</definedName>
    <definedName name="IN" localSheetId="10">#REF!</definedName>
    <definedName name="IN" localSheetId="7">#REF!</definedName>
    <definedName name="IN" localSheetId="3">#REF!</definedName>
    <definedName name="IN" localSheetId="5">#REF!</definedName>
    <definedName name="IN" localSheetId="11">#REF!</definedName>
    <definedName name="IN">#REF!</definedName>
    <definedName name="Indice" localSheetId="9">#REF!</definedName>
    <definedName name="Indice" localSheetId="8">#REF!</definedName>
    <definedName name="Indice" localSheetId="6">#REF!</definedName>
    <definedName name="Indice" localSheetId="4">#REF!</definedName>
    <definedName name="Indice" localSheetId="10">#REF!</definedName>
    <definedName name="Indice" localSheetId="7">#REF!</definedName>
    <definedName name="Indice" localSheetId="3">#REF!</definedName>
    <definedName name="Indice" localSheetId="5">#REF!</definedName>
    <definedName name="Indice" localSheetId="11">#REF!</definedName>
    <definedName name="Indice">#REF!</definedName>
    <definedName name="Indice2">[6]Indice_Cod!$D$6:$E$224</definedName>
    <definedName name="INV" localSheetId="9">#REF!</definedName>
    <definedName name="INV" localSheetId="8">#REF!</definedName>
    <definedName name="INV" localSheetId="6">#REF!</definedName>
    <definedName name="INV" localSheetId="2">#REF!</definedName>
    <definedName name="INV" localSheetId="4">#REF!</definedName>
    <definedName name="INV" localSheetId="10">#REF!</definedName>
    <definedName name="INV" localSheetId="7">#REF!</definedName>
    <definedName name="INV" localSheetId="3">#REF!</definedName>
    <definedName name="INV" localSheetId="5">#REF!</definedName>
    <definedName name="INV" localSheetId="11">#REF!</definedName>
    <definedName name="INV">#REF!</definedName>
    <definedName name="ivan" localSheetId="9">#REF!</definedName>
    <definedName name="ivan" localSheetId="8">#REF!</definedName>
    <definedName name="ivan" localSheetId="6">#REF!</definedName>
    <definedName name="ivan" localSheetId="4">#REF!</definedName>
    <definedName name="ivan" localSheetId="10">#REF!</definedName>
    <definedName name="ivan" localSheetId="7">#REF!</definedName>
    <definedName name="ivan" localSheetId="3">#REF!</definedName>
    <definedName name="ivan" localSheetId="5">#REF!</definedName>
    <definedName name="ivan" localSheetId="11">#REF!</definedName>
    <definedName name="ivan">#REF!</definedName>
    <definedName name="jjjjjj">[3]Listas!$D$4:$D$9</definedName>
    <definedName name="jjjjjjjjj" localSheetId="9">#REF!</definedName>
    <definedName name="jjjjjjjjj" localSheetId="8">#REF!</definedName>
    <definedName name="jjjjjjjjj" localSheetId="6">#REF!</definedName>
    <definedName name="jjjjjjjjj" localSheetId="2">#REF!</definedName>
    <definedName name="jjjjjjjjj" localSheetId="4">#REF!</definedName>
    <definedName name="jjjjjjjjj" localSheetId="10">#REF!</definedName>
    <definedName name="jjjjjjjjj" localSheetId="7">#REF!</definedName>
    <definedName name="jjjjjjjjj" localSheetId="3">#REF!</definedName>
    <definedName name="jjjjjjjjj" localSheetId="5">#REF!</definedName>
    <definedName name="jjjjjjjjj" localSheetId="11">#REF!</definedName>
    <definedName name="jjjjjjjjj">#REF!</definedName>
    <definedName name="JKHFJHK" localSheetId="9">#REF!</definedName>
    <definedName name="JKHFJHK" localSheetId="8">#REF!</definedName>
    <definedName name="JKHFJHK" localSheetId="6">#REF!</definedName>
    <definedName name="JKHFJHK" localSheetId="4">#REF!</definedName>
    <definedName name="JKHFJHK" localSheetId="10">#REF!</definedName>
    <definedName name="JKHFJHK" localSheetId="7">#REF!</definedName>
    <definedName name="JKHFJHK" localSheetId="3">#REF!</definedName>
    <definedName name="JKHFJHK" localSheetId="5">#REF!</definedName>
    <definedName name="JKHFJHK" localSheetId="11">#REF!</definedName>
    <definedName name="JKHFJHK">#REF!</definedName>
    <definedName name="jose1" localSheetId="9">#REF!</definedName>
    <definedName name="jose1" localSheetId="8">#REF!</definedName>
    <definedName name="jose1" localSheetId="6">#REF!</definedName>
    <definedName name="jose1" localSheetId="4">#REF!</definedName>
    <definedName name="jose1" localSheetId="10">#REF!</definedName>
    <definedName name="jose1" localSheetId="7">#REF!</definedName>
    <definedName name="jose1" localSheetId="3">#REF!</definedName>
    <definedName name="jose1" localSheetId="5">#REF!</definedName>
    <definedName name="jose1" localSheetId="11">#REF!</definedName>
    <definedName name="jose1">#REF!</definedName>
    <definedName name="JOSE4528" localSheetId="9">#REF!</definedName>
    <definedName name="JOSE4528" localSheetId="8">#REF!</definedName>
    <definedName name="JOSE4528" localSheetId="6">#REF!</definedName>
    <definedName name="JOSE4528" localSheetId="4">#REF!</definedName>
    <definedName name="JOSE4528" localSheetId="10">#REF!</definedName>
    <definedName name="JOSE4528" localSheetId="7">#REF!</definedName>
    <definedName name="JOSE4528" localSheetId="5">#REF!</definedName>
    <definedName name="JOSE4528" localSheetId="11">#REF!</definedName>
    <definedName name="JOSE4528">#REF!</definedName>
    <definedName name="josema12">[3]OBLIGACIONES!$D$4:$D$9</definedName>
    <definedName name="josemana" localSheetId="9">#REF!</definedName>
    <definedName name="josemana" localSheetId="8">#REF!</definedName>
    <definedName name="josemana" localSheetId="6">#REF!</definedName>
    <definedName name="josemana" localSheetId="2">#REF!</definedName>
    <definedName name="josemana" localSheetId="4">#REF!</definedName>
    <definedName name="josemana" localSheetId="10">#REF!</definedName>
    <definedName name="josemana" localSheetId="7">#REF!</definedName>
    <definedName name="josemana" localSheetId="3">#REF!</definedName>
    <definedName name="josemana" localSheetId="5">#REF!</definedName>
    <definedName name="josemana" localSheetId="11">#REF!</definedName>
    <definedName name="josemana">#REF!</definedName>
    <definedName name="josemm">[1]Listas!$D$4:$D$9</definedName>
    <definedName name="JTYSD" localSheetId="9">#REF!</definedName>
    <definedName name="JTYSD" localSheetId="8">#REF!</definedName>
    <definedName name="JTYSD" localSheetId="6">#REF!</definedName>
    <definedName name="JTYSD" localSheetId="2">#REF!</definedName>
    <definedName name="JTYSD" localSheetId="4">#REF!</definedName>
    <definedName name="JTYSD" localSheetId="10">#REF!</definedName>
    <definedName name="JTYSD" localSheetId="7">#REF!</definedName>
    <definedName name="JTYSD" localSheetId="3">#REF!</definedName>
    <definedName name="JTYSD" localSheetId="5">#REF!</definedName>
    <definedName name="JTYSD" localSheetId="11">#REF!</definedName>
    <definedName name="JTYSD">#REF!</definedName>
    <definedName name="KJHFG" localSheetId="9">#REF!</definedName>
    <definedName name="KJHFG" localSheetId="8">#REF!</definedName>
    <definedName name="KJHFG" localSheetId="6">#REF!</definedName>
    <definedName name="KJHFG" localSheetId="4">#REF!</definedName>
    <definedName name="KJHFG" localSheetId="10">#REF!</definedName>
    <definedName name="KJHFG" localSheetId="7">#REF!</definedName>
    <definedName name="KJHFG" localSheetId="3">#REF!</definedName>
    <definedName name="KJHFG" localSheetId="5">#REF!</definedName>
    <definedName name="KJHFG" localSheetId="11">#REF!</definedName>
    <definedName name="KJHFG">#REF!</definedName>
    <definedName name="KKK">[3]OBLIGACIONES!$C$4:$C$11</definedName>
    <definedName name="KKKKKKK" localSheetId="9">#REF!</definedName>
    <definedName name="KKKKKKK" localSheetId="8">#REF!</definedName>
    <definedName name="KKKKKKK" localSheetId="6">#REF!</definedName>
    <definedName name="KKKKKKK" localSheetId="2">#REF!</definedName>
    <definedName name="KKKKKKK" localSheetId="4">#REF!</definedName>
    <definedName name="KKKKKKK" localSheetId="10">#REF!</definedName>
    <definedName name="KKKKKKK" localSheetId="7">#REF!</definedName>
    <definedName name="KKKKKKK" localSheetId="3">#REF!</definedName>
    <definedName name="KKKKKKK" localSheetId="5">#REF!</definedName>
    <definedName name="KKKKKKK" localSheetId="11">#REF!</definedName>
    <definedName name="KKKKKKK">#REF!</definedName>
    <definedName name="KKKKKKKK">[3]OBLIGACIONES!$B$4:$B$97</definedName>
    <definedName name="llllll23" localSheetId="9">#REF!</definedName>
    <definedName name="llllll23" localSheetId="8">#REF!</definedName>
    <definedName name="llllll23" localSheetId="6">#REF!</definedName>
    <definedName name="llllll23" localSheetId="2">#REF!</definedName>
    <definedName name="llllll23" localSheetId="4">#REF!</definedName>
    <definedName name="llllll23" localSheetId="10">#REF!</definedName>
    <definedName name="llllll23" localSheetId="7">#REF!</definedName>
    <definedName name="llllll23" localSheetId="3">#REF!</definedName>
    <definedName name="llllll23" localSheetId="5">#REF!</definedName>
    <definedName name="llllll23" localSheetId="11">#REF!</definedName>
    <definedName name="llllll23">#REF!</definedName>
    <definedName name="luis" localSheetId="9">#REF!</definedName>
    <definedName name="luis" localSheetId="8">#REF!</definedName>
    <definedName name="luis" localSheetId="6">#REF!</definedName>
    <definedName name="luis" localSheetId="4">#REF!</definedName>
    <definedName name="luis" localSheetId="10">#REF!</definedName>
    <definedName name="luis" localSheetId="7">#REF!</definedName>
    <definedName name="luis" localSheetId="3">#REF!</definedName>
    <definedName name="luis" localSheetId="5">#REF!</definedName>
    <definedName name="luis" localSheetId="11">#REF!</definedName>
    <definedName name="luis">#REF!</definedName>
    <definedName name="maria">[3]OBLIGACIONES!$E$4:$E$5</definedName>
    <definedName name="Mensaje">[1]Listas!$H$4:$H$7</definedName>
    <definedName name="Mes">[2]Listas!$G$2:$G$13</definedName>
    <definedName name="mmmmm" localSheetId="9">#REF!</definedName>
    <definedName name="mmmmm" localSheetId="8">#REF!</definedName>
    <definedName name="mmmmm" localSheetId="6">#REF!</definedName>
    <definedName name="mmmmm" localSheetId="2">#REF!</definedName>
    <definedName name="mmmmm" localSheetId="4">#REF!</definedName>
    <definedName name="mmmmm" localSheetId="10">#REF!</definedName>
    <definedName name="mmmmm" localSheetId="7">#REF!</definedName>
    <definedName name="mmmmm" localSheetId="3">#REF!</definedName>
    <definedName name="mmmmm" localSheetId="5">#REF!</definedName>
    <definedName name="mmmmm" localSheetId="11">#REF!</definedName>
    <definedName name="mmmmm">#REF!</definedName>
    <definedName name="mmmmmm" localSheetId="9">#REF!</definedName>
    <definedName name="mmmmmm" localSheetId="8">#REF!</definedName>
    <definedName name="mmmmmm" localSheetId="6">#REF!</definedName>
    <definedName name="mmmmmm" localSheetId="4">#REF!</definedName>
    <definedName name="mmmmmm" localSheetId="10">#REF!</definedName>
    <definedName name="mmmmmm" localSheetId="7">#REF!</definedName>
    <definedName name="mmmmmm" localSheetId="3">#REF!</definedName>
    <definedName name="mmmmmm" localSheetId="5">#REF!</definedName>
    <definedName name="mmmmmm" localSheetId="11">#REF!</definedName>
    <definedName name="mmmmmm">#REF!</definedName>
    <definedName name="mmmmmmjj" localSheetId="9">#REF!</definedName>
    <definedName name="mmmmmmjj" localSheetId="8">#REF!</definedName>
    <definedName name="mmmmmmjj" localSheetId="6">#REF!</definedName>
    <definedName name="mmmmmmjj" localSheetId="4">#REF!</definedName>
    <definedName name="mmmmmmjj" localSheetId="10">#REF!</definedName>
    <definedName name="mmmmmmjj" localSheetId="7">#REF!</definedName>
    <definedName name="mmmmmmjj" localSheetId="3">#REF!</definedName>
    <definedName name="mmmmmmjj" localSheetId="5">#REF!</definedName>
    <definedName name="mmmmmmjj" localSheetId="11">#REF!</definedName>
    <definedName name="mmmmmmjj">#REF!</definedName>
    <definedName name="mmmmmmm">[3]Listas!$D$4:$D$9</definedName>
    <definedName name="MMMMMMMM" localSheetId="9">#REF!</definedName>
    <definedName name="MMMMMMMM" localSheetId="8">#REF!</definedName>
    <definedName name="MMMMMMMM" localSheetId="6">#REF!</definedName>
    <definedName name="MMMMMMMM" localSheetId="2">#REF!</definedName>
    <definedName name="MMMMMMMM" localSheetId="4">#REF!</definedName>
    <definedName name="MMMMMMMM" localSheetId="10">#REF!</definedName>
    <definedName name="MMMMMMMM" localSheetId="7">#REF!</definedName>
    <definedName name="MMMMMMMM" localSheetId="3">#REF!</definedName>
    <definedName name="MMMMMMMM" localSheetId="5">#REF!</definedName>
    <definedName name="MMMMMMMM" localSheetId="11">#REF!</definedName>
    <definedName name="MMMMMMMM">#REF!</definedName>
    <definedName name="MMMMMMMMMM">[3]OBLIGACIONES!$E$4:$E$5</definedName>
    <definedName name="modelos" localSheetId="9">#REF!</definedName>
    <definedName name="modelos" localSheetId="8">#REF!</definedName>
    <definedName name="modelos" localSheetId="6">#REF!</definedName>
    <definedName name="modelos" localSheetId="2">#REF!</definedName>
    <definedName name="modelos" localSheetId="4">#REF!</definedName>
    <definedName name="modelos" localSheetId="10">#REF!</definedName>
    <definedName name="modelos" localSheetId="7">#REF!</definedName>
    <definedName name="modelos" localSheetId="3">#REF!</definedName>
    <definedName name="modelos" localSheetId="5">#REF!</definedName>
    <definedName name="modelos" localSheetId="11">#REF!</definedName>
    <definedName name="modelos">#REF!</definedName>
    <definedName name="no">[3]OBLIGACIONES!$C$4:$C$11</definedName>
    <definedName name="ñññññ" localSheetId="9">#REF!</definedName>
    <definedName name="ñññññ" localSheetId="8">#REF!</definedName>
    <definedName name="ñññññ" localSheetId="6">#REF!</definedName>
    <definedName name="ñññññ" localSheetId="2">#REF!</definedName>
    <definedName name="ñññññ" localSheetId="4">#REF!</definedName>
    <definedName name="ñññññ" localSheetId="10">#REF!</definedName>
    <definedName name="ñññññ" localSheetId="7">#REF!</definedName>
    <definedName name="ñññññ" localSheetId="3">#REF!</definedName>
    <definedName name="ñññññ" localSheetId="5">#REF!</definedName>
    <definedName name="ñññññ" localSheetId="11">#REF!</definedName>
    <definedName name="ñññññ">#REF!</definedName>
    <definedName name="ññññññ" localSheetId="9">#REF!</definedName>
    <definedName name="ññññññ" localSheetId="8">#REF!</definedName>
    <definedName name="ññññññ" localSheetId="6">#REF!</definedName>
    <definedName name="ññññññ" localSheetId="4">#REF!</definedName>
    <definedName name="ññññññ" localSheetId="10">#REF!</definedName>
    <definedName name="ññññññ" localSheetId="7">#REF!</definedName>
    <definedName name="ññññññ" localSheetId="3">#REF!</definedName>
    <definedName name="ññññññ" localSheetId="5">#REF!</definedName>
    <definedName name="ññññññ" localSheetId="11">#REF!</definedName>
    <definedName name="ññññññ">#REF!</definedName>
    <definedName name="ñññññññ" localSheetId="9">#REF!</definedName>
    <definedName name="ñññññññ" localSheetId="8">#REF!</definedName>
    <definedName name="ñññññññ" localSheetId="6">#REF!</definedName>
    <definedName name="ñññññññ" localSheetId="4">#REF!</definedName>
    <definedName name="ñññññññ" localSheetId="10">#REF!</definedName>
    <definedName name="ñññññññ" localSheetId="7">#REF!</definedName>
    <definedName name="ñññññññ" localSheetId="3">#REF!</definedName>
    <definedName name="ñññññññ" localSheetId="5">#REF!</definedName>
    <definedName name="ñññññññ" localSheetId="11">#REF!</definedName>
    <definedName name="ñññññññ">#REF!</definedName>
    <definedName name="objetivospnd">[1]Listas!$O$4:$O$10</definedName>
    <definedName name="ooooooo" localSheetId="9">#REF!</definedName>
    <definedName name="ooooooo" localSheetId="8">#REF!</definedName>
    <definedName name="ooooooo" localSheetId="6">#REF!</definedName>
    <definedName name="ooooooo" localSheetId="2">#REF!</definedName>
    <definedName name="ooooooo" localSheetId="4">#REF!</definedName>
    <definedName name="ooooooo" localSheetId="10">#REF!</definedName>
    <definedName name="ooooooo" localSheetId="7">#REF!</definedName>
    <definedName name="ooooooo" localSheetId="3">#REF!</definedName>
    <definedName name="ooooooo" localSheetId="5">#REF!</definedName>
    <definedName name="ooooooo" localSheetId="11">#REF!</definedName>
    <definedName name="ooooooo">#REF!</definedName>
    <definedName name="OTROS">[7]Datos!$A$31:$A$34</definedName>
    <definedName name="paraco40" localSheetId="9">#REF!</definedName>
    <definedName name="paraco40" localSheetId="8">#REF!</definedName>
    <definedName name="paraco40" localSheetId="6">#REF!</definedName>
    <definedName name="paraco40" localSheetId="2">#REF!</definedName>
    <definedName name="paraco40" localSheetId="4">#REF!</definedName>
    <definedName name="paraco40" localSheetId="10">#REF!</definedName>
    <definedName name="paraco40" localSheetId="7">#REF!</definedName>
    <definedName name="paraco40" localSheetId="3">#REF!</definedName>
    <definedName name="paraco40" localSheetId="5">#REF!</definedName>
    <definedName name="paraco40" localSheetId="11">#REF!</definedName>
    <definedName name="paraco40">#REF!</definedName>
    <definedName name="parate30">[3]Listas!$B$4:$B$97</definedName>
    <definedName name="parate40">[3]Listas!$C$4:$C$11</definedName>
    <definedName name="pppppp">[1]Listas!$B$4:$B$97</definedName>
    <definedName name="programa">'[8]Prog y Sub MGMP'!$B$2:$B$86</definedName>
    <definedName name="qqqqqqqq">[3]OBLIGACIONES!$C$4:$C$11</definedName>
    <definedName name="Respuestas" localSheetId="9">#REF!</definedName>
    <definedName name="Respuestas" localSheetId="8">#REF!</definedName>
    <definedName name="Respuestas" localSheetId="6">#REF!</definedName>
    <definedName name="Respuestas" localSheetId="2">#REF!</definedName>
    <definedName name="Respuestas" localSheetId="4">#REF!</definedName>
    <definedName name="Respuestas" localSheetId="10">#REF!</definedName>
    <definedName name="Respuestas" localSheetId="7">#REF!</definedName>
    <definedName name="Respuestas" localSheetId="3">#REF!</definedName>
    <definedName name="Respuestas" localSheetId="5">#REF!</definedName>
    <definedName name="Respuestas" localSheetId="11">#REF!</definedName>
    <definedName name="Respuestas">#REF!</definedName>
    <definedName name="RFGAERGER" localSheetId="9">#REF!</definedName>
    <definedName name="RFGAERGER" localSheetId="8">#REF!</definedName>
    <definedName name="RFGAERGER" localSheetId="6">#REF!</definedName>
    <definedName name="RFGAERGER" localSheetId="4">#REF!</definedName>
    <definedName name="RFGAERGER" localSheetId="10">#REF!</definedName>
    <definedName name="RFGAERGER" localSheetId="7">#REF!</definedName>
    <definedName name="RFGAERGER" localSheetId="3">#REF!</definedName>
    <definedName name="RFGAERGER" localSheetId="5">#REF!</definedName>
    <definedName name="RFGAERGER" localSheetId="11">#REF!</definedName>
    <definedName name="RFGAERGER">#REF!</definedName>
    <definedName name="rrrrrr" localSheetId="9">#REF!</definedName>
    <definedName name="rrrrrr" localSheetId="8">#REF!</definedName>
    <definedName name="rrrrrr" localSheetId="6">#REF!</definedName>
    <definedName name="rrrrrr" localSheetId="4">#REF!</definedName>
    <definedName name="rrrrrr" localSheetId="10">#REF!</definedName>
    <definedName name="rrrrrr" localSheetId="7">#REF!</definedName>
    <definedName name="rrrrrr" localSheetId="3">#REF!</definedName>
    <definedName name="rrrrrr" localSheetId="5">#REF!</definedName>
    <definedName name="rrrrrr" localSheetId="11">#REF!</definedName>
    <definedName name="rrrrrr">#REF!</definedName>
    <definedName name="SDAFGARGDFG" localSheetId="9">#REF!</definedName>
    <definedName name="SDAFGARGDFG" localSheetId="8">#REF!</definedName>
    <definedName name="SDAFGARGDFG" localSheetId="6">#REF!</definedName>
    <definedName name="SDAFGARGDFG" localSheetId="4">#REF!</definedName>
    <definedName name="SDAFGARGDFG" localSheetId="10">#REF!</definedName>
    <definedName name="SDAFGARGDFG" localSheetId="7">#REF!</definedName>
    <definedName name="SDAFGARGDFG" localSheetId="5">#REF!</definedName>
    <definedName name="SDAFGARGDFG" localSheetId="11">#REF!</definedName>
    <definedName name="SDAFGARGDFG">#REF!</definedName>
    <definedName name="Sector">[1]Listas!$A$4:$A$17</definedName>
    <definedName name="sectoresagregados">[1]Listas!$R$4:$R$11</definedName>
    <definedName name="SG" localSheetId="9">#REF!</definedName>
    <definedName name="SG" localSheetId="8">#REF!</definedName>
    <definedName name="SG" localSheetId="6">#REF!</definedName>
    <definedName name="SG" localSheetId="2">#REF!</definedName>
    <definedName name="SG" localSheetId="4">#REF!</definedName>
    <definedName name="SG" localSheetId="10">#REF!</definedName>
    <definedName name="SG" localSheetId="7">#REF!</definedName>
    <definedName name="SG" localSheetId="3">#REF!</definedName>
    <definedName name="SG" localSheetId="5">#REF!</definedName>
    <definedName name="SG" localSheetId="11">#REF!</definedName>
    <definedName name="SG">#REF!</definedName>
    <definedName name="ssssssss">[3]Listas!$B$4:$B$97</definedName>
    <definedName name="subprograma">'[8]Prog y Sub MGMP'!$C$2:$C$63</definedName>
    <definedName name="Sumar?">[2]Listas!$F$2:$F$3</definedName>
    <definedName name="Tipo_Credito" localSheetId="9">#REF!</definedName>
    <definedName name="Tipo_Credito" localSheetId="8">#REF!</definedName>
    <definedName name="Tipo_Credito" localSheetId="6">#REF!</definedName>
    <definedName name="Tipo_Credito" localSheetId="2">#REF!</definedName>
    <definedName name="Tipo_Credito" localSheetId="4">#REF!</definedName>
    <definedName name="Tipo_Credito" localSheetId="10">#REF!</definedName>
    <definedName name="Tipo_Credito" localSheetId="7">#REF!</definedName>
    <definedName name="Tipo_Credito" localSheetId="3">#REF!</definedName>
    <definedName name="Tipo_Credito" localSheetId="5">#REF!</definedName>
    <definedName name="Tipo_Credito" localSheetId="11">#REF!</definedName>
    <definedName name="Tipo_Credito">#REF!</definedName>
    <definedName name="Tipo_gasto">[2]Listas!$D$2:$D$3</definedName>
    <definedName name="TRYTRY" localSheetId="9">#REF!</definedName>
    <definedName name="TRYTRY" localSheetId="8">#REF!</definedName>
    <definedName name="TRYTRY" localSheetId="6">#REF!</definedName>
    <definedName name="TRYTRY" localSheetId="2">#REF!</definedName>
    <definedName name="TRYTRY" localSheetId="4">#REF!</definedName>
    <definedName name="TRYTRY" localSheetId="10">#REF!</definedName>
    <definedName name="TRYTRY" localSheetId="7">#REF!</definedName>
    <definedName name="TRYTRY" localSheetId="3">#REF!</definedName>
    <definedName name="TRYTRY" localSheetId="5">#REF!</definedName>
    <definedName name="TRYTRY" localSheetId="11">#REF!</definedName>
    <definedName name="TRYTRY">#REF!</definedName>
    <definedName name="TTTTTTT" localSheetId="9">#REF!</definedName>
    <definedName name="TTTTTTT" localSheetId="8">#REF!</definedName>
    <definedName name="TTTTTTT" localSheetId="6">#REF!</definedName>
    <definedName name="TTTTTTT" localSheetId="4">#REF!</definedName>
    <definedName name="TTTTTTT" localSheetId="10">#REF!</definedName>
    <definedName name="TTTTTTT" localSheetId="7">#REF!</definedName>
    <definedName name="TTTTTTT" localSheetId="3">#REF!</definedName>
    <definedName name="TTTTTTT" localSheetId="5">#REF!</definedName>
    <definedName name="TTTTTTT" localSheetId="11">#REF!</definedName>
    <definedName name="TTTTTTT">#REF!</definedName>
    <definedName name="ttttttttt56" localSheetId="9">#REF!</definedName>
    <definedName name="ttttttttt56" localSheetId="8">#REF!</definedName>
    <definedName name="ttttttttt56" localSheetId="6">#REF!</definedName>
    <definedName name="ttttttttt56" localSheetId="4">#REF!</definedName>
    <definedName name="ttttttttt56" localSheetId="10">#REF!</definedName>
    <definedName name="ttttttttt56" localSheetId="7">#REF!</definedName>
    <definedName name="ttttttttt56" localSheetId="3">#REF!</definedName>
    <definedName name="ttttttttt56" localSheetId="5">#REF!</definedName>
    <definedName name="ttttttttt56" localSheetId="11">#REF!</definedName>
    <definedName name="ttttttttt56">#REF!</definedName>
    <definedName name="uhuhuhuh">[3]Listas!$B$4:$B$97</definedName>
    <definedName name="vart">[3]OBLIGACIONES!$B$4:$B$97</definedName>
    <definedName name="vvv" localSheetId="9">#REF!</definedName>
    <definedName name="vvv" localSheetId="8">#REF!</definedName>
    <definedName name="vvv" localSheetId="6">#REF!</definedName>
    <definedName name="vvv" localSheetId="2">#REF!</definedName>
    <definedName name="vvv" localSheetId="4">#REF!</definedName>
    <definedName name="vvv" localSheetId="10">#REF!</definedName>
    <definedName name="vvv" localSheetId="7">#REF!</definedName>
    <definedName name="vvv" localSheetId="3">#REF!</definedName>
    <definedName name="vvv" localSheetId="5">#REF!</definedName>
    <definedName name="vvv" localSheetId="11">#REF!</definedName>
    <definedName name="vvv">#REF!</definedName>
    <definedName name="VVVV" localSheetId="9">#REF!</definedName>
    <definedName name="VVVV" localSheetId="8">#REF!</definedName>
    <definedName name="VVVV" localSheetId="6">#REF!</definedName>
    <definedName name="VVVV" localSheetId="4">#REF!</definedName>
    <definedName name="VVVV" localSheetId="10">#REF!</definedName>
    <definedName name="VVVV" localSheetId="7">#REF!</definedName>
    <definedName name="VVVV" localSheetId="3">#REF!</definedName>
    <definedName name="VVVV" localSheetId="5">#REF!</definedName>
    <definedName name="VVVV" localSheetId="11">#REF!</definedName>
    <definedName name="VVVV">#REF!</definedName>
    <definedName name="wwwww" localSheetId="9">#REF!</definedName>
    <definedName name="wwwww" localSheetId="8">#REF!</definedName>
    <definedName name="wwwww" localSheetId="6">#REF!</definedName>
    <definedName name="wwwww" localSheetId="4">#REF!</definedName>
    <definedName name="wwwww" localSheetId="10">#REF!</definedName>
    <definedName name="wwwww" localSheetId="7">#REF!</definedName>
    <definedName name="wwwww" localSheetId="3">#REF!</definedName>
    <definedName name="wwwww" localSheetId="5">#REF!</definedName>
    <definedName name="wwwww" localSheetId="11">#REF!</definedName>
    <definedName name="wwwww">#REF!</definedName>
    <definedName name="wwwwwww8" localSheetId="9">#REF!</definedName>
    <definedName name="wwwwwww8" localSheetId="8">#REF!</definedName>
    <definedName name="wwwwwww8" localSheetId="6">#REF!</definedName>
    <definedName name="wwwwwww8" localSheetId="4">#REF!</definedName>
    <definedName name="wwwwwww8" localSheetId="10">#REF!</definedName>
    <definedName name="wwwwwww8" localSheetId="7">#REF!</definedName>
    <definedName name="wwwwwww8" localSheetId="5">#REF!</definedName>
    <definedName name="wwwwwww8" localSheetId="11">#REF!</definedName>
    <definedName name="wwwwwww8">#REF!</definedName>
    <definedName name="wwwwwwww">[3]Listas!$C$4:$C$11</definedName>
    <definedName name="xcvfght">[3]OBLIGACIONES!$E$4:$E$5</definedName>
    <definedName name="XXXXXX">[3]Listas!$E$4:$E$5</definedName>
    <definedName name="yhyhyh" localSheetId="9">#REF!</definedName>
    <definedName name="yhyhyh" localSheetId="8">#REF!</definedName>
    <definedName name="yhyhyh" localSheetId="6">#REF!</definedName>
    <definedName name="yhyhyh" localSheetId="2">#REF!</definedName>
    <definedName name="yhyhyh" localSheetId="4">#REF!</definedName>
    <definedName name="yhyhyh" localSheetId="10">#REF!</definedName>
    <definedName name="yhyhyh" localSheetId="7">#REF!</definedName>
    <definedName name="yhyhyh" localSheetId="3">#REF!</definedName>
    <definedName name="yhyhyh" localSheetId="5">#REF!</definedName>
    <definedName name="yhyhyh" localSheetId="11">#REF!</definedName>
    <definedName name="yhyhyh">#REF!</definedName>
    <definedName name="yyyyyy">[1]Listas!$B$4:$B$97</definedName>
    <definedName name="YYYYYY50">[3]Listas!$E$4:$E$5</definedName>
    <definedName name="yyyyyyy">[3]Listas!$D$4:$D$9</definedName>
    <definedName name="yyyyyyy5" localSheetId="9">#REF!</definedName>
    <definedName name="yyyyyyy5" localSheetId="8">#REF!</definedName>
    <definedName name="yyyyyyy5" localSheetId="6">#REF!</definedName>
    <definedName name="yyyyyyy5" localSheetId="2">#REF!</definedName>
    <definedName name="yyyyyyy5" localSheetId="4">#REF!</definedName>
    <definedName name="yyyyyyy5" localSheetId="10">#REF!</definedName>
    <definedName name="yyyyyyy5" localSheetId="7">#REF!</definedName>
    <definedName name="yyyyyyy5" localSheetId="3">#REF!</definedName>
    <definedName name="yyyyyyy5" localSheetId="5">#REF!</definedName>
    <definedName name="yyyyyyy5" localSheetId="11">#REF!</definedName>
    <definedName name="yyyyyyy5">#REF!</definedName>
    <definedName name="yyyyyyyy" localSheetId="9">#REF!</definedName>
    <definedName name="yyyyyyyy" localSheetId="8">#REF!</definedName>
    <definedName name="yyyyyyyy" localSheetId="6">#REF!</definedName>
    <definedName name="yyyyyyyy" localSheetId="4">#REF!</definedName>
    <definedName name="yyyyyyyy" localSheetId="10">#REF!</definedName>
    <definedName name="yyyyyyyy" localSheetId="7">#REF!</definedName>
    <definedName name="yyyyyyyy" localSheetId="3">#REF!</definedName>
    <definedName name="yyyyyyyy" localSheetId="5">#REF!</definedName>
    <definedName name="yyyyyyyy" localSheetId="11">#REF!</definedName>
    <definedName name="yyyyyyyy">#REF!</definedName>
    <definedName name="zzzzzzzzzzzz4" localSheetId="9">#REF!</definedName>
    <definedName name="zzzzzzzzzzzz4" localSheetId="8">#REF!</definedName>
    <definedName name="zzzzzzzzzzzz4" localSheetId="6">#REF!</definedName>
    <definedName name="zzzzzzzzzzzz4" localSheetId="4">#REF!</definedName>
    <definedName name="zzzzzzzzzzzz4" localSheetId="10">#REF!</definedName>
    <definedName name="zzzzzzzzzzzz4" localSheetId="7">#REF!</definedName>
    <definedName name="zzzzzzzzzzzz4" localSheetId="3">#REF!</definedName>
    <definedName name="zzzzzzzzzzzz4" localSheetId="5">#REF!</definedName>
    <definedName name="zzzzzzzzzzzz4" localSheetId="11">#REF!</definedName>
    <definedName name="zzzzzzzzzzzz4">#REF!</definedName>
    <definedName name="zzzzzzzzzzzzzzzzzz" localSheetId="9">#REF!</definedName>
    <definedName name="zzzzzzzzzzzzzzzzzz" localSheetId="8">#REF!</definedName>
    <definedName name="zzzzzzzzzzzzzzzzzz" localSheetId="6">#REF!</definedName>
    <definedName name="zzzzzzzzzzzzzzzzzz" localSheetId="4">#REF!</definedName>
    <definedName name="zzzzzzzzzzzzzzzzzz" localSheetId="10">#REF!</definedName>
    <definedName name="zzzzzzzzzzzzzzzzzz" localSheetId="7">#REF!</definedName>
    <definedName name="zzzzzzzzzzzzzzzzzz" localSheetId="5">#REF!</definedName>
    <definedName name="zzzzzzzzzzzzzzzzzz" localSheetId="11">#REF!</definedName>
    <definedName name="zzzzzzzzzzzzzzzzzz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807" l="1"/>
  <c r="C11" i="807"/>
  <c r="C11" i="808"/>
  <c r="C10" i="808"/>
  <c r="C14" i="806"/>
  <c r="C13" i="806"/>
  <c r="C28" i="804"/>
  <c r="C27" i="804"/>
  <c r="C26" i="804"/>
  <c r="C25" i="804"/>
  <c r="C24" i="804"/>
  <c r="C23" i="804"/>
  <c r="C22" i="804"/>
  <c r="C21" i="804"/>
  <c r="C20" i="804"/>
  <c r="C19" i="804"/>
  <c r="C16" i="804"/>
  <c r="C15" i="804"/>
  <c r="C14" i="804"/>
  <c r="C13" i="804"/>
  <c r="C12" i="804"/>
  <c r="C17" i="804" l="1"/>
  <c r="C18" i="804"/>
  <c r="C11" i="804"/>
  <c r="C10" i="804"/>
  <c r="C9" i="804"/>
  <c r="K13" i="808"/>
  <c r="H13" i="808"/>
  <c r="F13" i="808"/>
  <c r="E13" i="808"/>
  <c r="K12" i="807"/>
  <c r="H12" i="807"/>
  <c r="F12" i="807"/>
  <c r="E12" i="807"/>
  <c r="I21" i="810"/>
  <c r="F21" i="810"/>
  <c r="D21" i="810"/>
  <c r="C21" i="810"/>
  <c r="K14" i="806"/>
  <c r="H14" i="806"/>
  <c r="K13" i="806"/>
  <c r="K15" i="806"/>
  <c r="K16" i="806"/>
  <c r="H16" i="806"/>
  <c r="F16" i="806"/>
  <c r="E16" i="806"/>
  <c r="I29" i="813"/>
  <c r="F29" i="813"/>
  <c r="D29" i="813"/>
  <c r="C29" i="813"/>
  <c r="I11" i="813"/>
  <c r="F11" i="813"/>
  <c r="D11" i="813"/>
  <c r="C11" i="813"/>
  <c r="K28" i="804"/>
  <c r="H28" i="804"/>
  <c r="E28" i="804"/>
  <c r="I22" i="809"/>
  <c r="F22" i="809"/>
  <c r="D22" i="809"/>
  <c r="C22" i="809"/>
  <c r="C12" i="809"/>
  <c r="J32" i="681"/>
  <c r="G32" i="681"/>
  <c r="E32" i="681"/>
  <c r="D32" i="681"/>
  <c r="J31" i="681"/>
  <c r="G31" i="681"/>
  <c r="E31" i="681"/>
  <c r="D31" i="681"/>
  <c r="J27" i="681"/>
  <c r="G27" i="681"/>
  <c r="E27" i="681"/>
  <c r="D27" i="681"/>
  <c r="J26" i="681"/>
  <c r="G26" i="681"/>
  <c r="E26" i="681"/>
  <c r="D26" i="681"/>
  <c r="J22" i="681"/>
  <c r="G22" i="681"/>
  <c r="E22" i="681"/>
  <c r="D22" i="681"/>
  <c r="J21" i="681"/>
  <c r="G21" i="681"/>
  <c r="E21" i="681"/>
  <c r="D21" i="681"/>
  <c r="J17" i="681"/>
  <c r="G17" i="681"/>
  <c r="E17" i="681"/>
  <c r="J16" i="681"/>
  <c r="G16" i="681"/>
  <c r="E16" i="681"/>
  <c r="D17" i="681"/>
  <c r="D16" i="681"/>
  <c r="J12" i="681"/>
  <c r="J11" i="681"/>
  <c r="G12" i="681"/>
  <c r="G11" i="681"/>
  <c r="E12" i="681"/>
  <c r="E11" i="681"/>
  <c r="D12" i="681"/>
  <c r="D11" i="681"/>
  <c r="C12" i="808"/>
  <c r="C13" i="808"/>
  <c r="C15" i="806"/>
  <c r="C16" i="806"/>
  <c r="C17" i="805"/>
  <c r="C12" i="805"/>
  <c r="C13" i="805"/>
  <c r="C14" i="805"/>
  <c r="C15" i="805"/>
  <c r="C16" i="805"/>
  <c r="C11" i="805"/>
  <c r="G29" i="813" l="1"/>
  <c r="E29" i="813"/>
  <c r="H29" i="813" s="1"/>
  <c r="J29" i="813"/>
  <c r="K11" i="808"/>
  <c r="H11" i="808" l="1"/>
  <c r="F11" i="808"/>
  <c r="H10" i="808"/>
  <c r="F10" i="808"/>
  <c r="E10" i="808"/>
  <c r="I13" i="812"/>
  <c r="F14" i="812"/>
  <c r="F13" i="812"/>
  <c r="D20" i="812"/>
  <c r="D14" i="812"/>
  <c r="D13" i="812"/>
  <c r="D19" i="812"/>
  <c r="C19" i="812"/>
  <c r="C14" i="812"/>
  <c r="C13" i="812"/>
  <c r="K11" i="807"/>
  <c r="H11" i="807"/>
  <c r="F11" i="807"/>
  <c r="E11" i="807"/>
  <c r="D18" i="810"/>
  <c r="D17" i="810"/>
  <c r="D16" i="810"/>
  <c r="C16" i="810"/>
  <c r="I10" i="810"/>
  <c r="F10" i="810"/>
  <c r="D10" i="810"/>
  <c r="C10" i="810"/>
  <c r="F14" i="806"/>
  <c r="H13" i="806"/>
  <c r="F13" i="806"/>
  <c r="E13" i="806"/>
  <c r="I12" i="814"/>
  <c r="I11" i="814"/>
  <c r="I10" i="814"/>
  <c r="F12" i="814"/>
  <c r="F11" i="814"/>
  <c r="F10" i="814"/>
  <c r="D22" i="814"/>
  <c r="D21" i="814"/>
  <c r="D20" i="814"/>
  <c r="D19" i="814"/>
  <c r="D18" i="814"/>
  <c r="D17" i="814"/>
  <c r="D16" i="814"/>
  <c r="C19" i="814"/>
  <c r="C18" i="814"/>
  <c r="C17" i="814"/>
  <c r="C16" i="814"/>
  <c r="C10" i="814"/>
  <c r="E11" i="805"/>
  <c r="H13" i="804" l="1"/>
  <c r="D17" i="812" l="1"/>
  <c r="D14" i="810"/>
  <c r="D14" i="814"/>
  <c r="F27" i="804"/>
  <c r="F25" i="804"/>
  <c r="F17" i="804"/>
  <c r="D17" i="809" l="1"/>
  <c r="E12" i="805" l="1"/>
  <c r="E13" i="805"/>
  <c r="E14" i="805"/>
  <c r="E12" i="804"/>
  <c r="E10" i="804"/>
  <c r="E9" i="804"/>
  <c r="F9" i="804" l="1"/>
  <c r="H9" i="804"/>
  <c r="K9" i="804"/>
  <c r="F10" i="804"/>
  <c r="H10" i="804"/>
  <c r="K10" i="804"/>
  <c r="E11" i="804"/>
  <c r="O10" i="804" s="1"/>
  <c r="F11" i="804"/>
  <c r="H11" i="804"/>
  <c r="K11" i="804"/>
  <c r="F12" i="804"/>
  <c r="H12" i="804"/>
  <c r="K12" i="804"/>
  <c r="E13" i="804"/>
  <c r="F13" i="804"/>
  <c r="K13" i="804"/>
  <c r="E14" i="804"/>
  <c r="F14" i="804"/>
  <c r="H14" i="804"/>
  <c r="K14" i="804"/>
  <c r="E15" i="804"/>
  <c r="F15" i="804"/>
  <c r="H15" i="804"/>
  <c r="K15" i="804"/>
  <c r="E16" i="804"/>
  <c r="F16" i="804"/>
  <c r="H16" i="804"/>
  <c r="K16" i="804"/>
  <c r="E17" i="804"/>
  <c r="H17" i="804"/>
  <c r="K17" i="804"/>
  <c r="E18" i="804"/>
  <c r="F18" i="804"/>
  <c r="H18" i="804"/>
  <c r="K18" i="804"/>
  <c r="E19" i="804"/>
  <c r="F19" i="804"/>
  <c r="H19" i="804"/>
  <c r="K19" i="804"/>
  <c r="E20" i="804"/>
  <c r="F20" i="804"/>
  <c r="H20" i="804"/>
  <c r="K20" i="804"/>
  <c r="E21" i="804"/>
  <c r="F21" i="804"/>
  <c r="H21" i="804"/>
  <c r="K21" i="804"/>
  <c r="E22" i="804"/>
  <c r="F22" i="804"/>
  <c r="H22" i="804"/>
  <c r="K22" i="804"/>
  <c r="E23" i="804"/>
  <c r="F23" i="804"/>
  <c r="H23" i="804"/>
  <c r="K23" i="804"/>
  <c r="E24" i="804"/>
  <c r="F24" i="804"/>
  <c r="H24" i="804"/>
  <c r="K24" i="804"/>
  <c r="E25" i="804"/>
  <c r="H25" i="804"/>
  <c r="K25" i="804"/>
  <c r="E26" i="804"/>
  <c r="F26" i="804"/>
  <c r="H26" i="804"/>
  <c r="K26" i="804"/>
  <c r="E27" i="804"/>
  <c r="O27" i="804" s="1"/>
  <c r="H27" i="804"/>
  <c r="P27" i="804" s="1"/>
  <c r="Q27" i="804" s="1"/>
  <c r="K27" i="804"/>
  <c r="R27" i="804" s="1"/>
  <c r="S27" i="804" s="1"/>
  <c r="F28" i="804"/>
  <c r="R25" i="804" l="1"/>
  <c r="P25" i="804"/>
  <c r="O25" i="804"/>
  <c r="R10" i="804"/>
  <c r="S10" i="804" s="1"/>
  <c r="R21" i="804"/>
  <c r="P21" i="804"/>
  <c r="P10" i="804"/>
  <c r="Q10" i="804" s="1"/>
  <c r="O18" i="804"/>
  <c r="O21" i="804"/>
  <c r="R18" i="804"/>
  <c r="P18" i="804"/>
  <c r="L9" i="804"/>
  <c r="L21" i="804"/>
  <c r="L27" i="804"/>
  <c r="I24" i="804"/>
  <c r="L19" i="804"/>
  <c r="I12" i="804"/>
  <c r="L11" i="804"/>
  <c r="I23" i="804"/>
  <c r="L13" i="804"/>
  <c r="L26" i="804"/>
  <c r="L22" i="804"/>
  <c r="L18" i="804"/>
  <c r="L14" i="804"/>
  <c r="I18" i="804"/>
  <c r="I14" i="804"/>
  <c r="I22" i="804"/>
  <c r="L24" i="804"/>
  <c r="G22" i="804"/>
  <c r="J22" i="804" s="1"/>
  <c r="I21" i="804"/>
  <c r="G19" i="804"/>
  <c r="M19" i="804" s="1"/>
  <c r="G18" i="804"/>
  <c r="M18" i="804" s="1"/>
  <c r="I17" i="804"/>
  <c r="L16" i="804"/>
  <c r="I13" i="804"/>
  <c r="G11" i="804"/>
  <c r="J11" i="804" s="1"/>
  <c r="I26" i="804"/>
  <c r="L25" i="804"/>
  <c r="G23" i="804"/>
  <c r="M23" i="804" s="1"/>
  <c r="I16" i="804"/>
  <c r="I25" i="804"/>
  <c r="I10" i="804"/>
  <c r="G13" i="804"/>
  <c r="J13" i="804" s="1"/>
  <c r="G28" i="804"/>
  <c r="M28" i="804" s="1"/>
  <c r="G27" i="804"/>
  <c r="J27" i="804" s="1"/>
  <c r="G25" i="804"/>
  <c r="J25" i="804" s="1"/>
  <c r="G20" i="804"/>
  <c r="M20" i="804" s="1"/>
  <c r="G15" i="804"/>
  <c r="M15" i="804" s="1"/>
  <c r="G14" i="804"/>
  <c r="M14" i="804" s="1"/>
  <c r="G12" i="804"/>
  <c r="M12" i="804" s="1"/>
  <c r="G10" i="804"/>
  <c r="J10" i="804" s="1"/>
  <c r="G9" i="804"/>
  <c r="J9" i="804" s="1"/>
  <c r="I28" i="804"/>
  <c r="L23" i="804"/>
  <c r="G21" i="804"/>
  <c r="M21" i="804" s="1"/>
  <c r="I19" i="804"/>
  <c r="G16" i="804"/>
  <c r="M16" i="804" s="1"/>
  <c r="L12" i="804"/>
  <c r="G24" i="804"/>
  <c r="M24" i="804" s="1"/>
  <c r="L20" i="804"/>
  <c r="G17" i="804"/>
  <c r="L15" i="804"/>
  <c r="F29" i="804"/>
  <c r="I9" i="804"/>
  <c r="I20" i="804"/>
  <c r="I15" i="804"/>
  <c r="L10" i="804"/>
  <c r="L28" i="804"/>
  <c r="I27" i="804"/>
  <c r="G26" i="804"/>
  <c r="J26" i="804" s="1"/>
  <c r="L17" i="804"/>
  <c r="I11" i="804"/>
  <c r="E29" i="804"/>
  <c r="K29" i="804"/>
  <c r="H29" i="804"/>
  <c r="S25" i="804" l="1"/>
  <c r="O29" i="804"/>
  <c r="Q25" i="804"/>
  <c r="Q18" i="804"/>
  <c r="Q21" i="804"/>
  <c r="S21" i="804"/>
  <c r="S18" i="804"/>
  <c r="L29" i="804"/>
  <c r="J18" i="804"/>
  <c r="J23" i="804"/>
  <c r="J20" i="804"/>
  <c r="M9" i="804"/>
  <c r="J12" i="804"/>
  <c r="M22" i="804"/>
  <c r="J21" i="804"/>
  <c r="J19" i="804"/>
  <c r="J15" i="804"/>
  <c r="J28" i="804"/>
  <c r="M26" i="804"/>
  <c r="M11" i="804"/>
  <c r="M13" i="804"/>
  <c r="J14" i="804"/>
  <c r="J17" i="804"/>
  <c r="M17" i="804"/>
  <c r="G29" i="804"/>
  <c r="J16" i="804"/>
  <c r="J24" i="804"/>
  <c r="I29" i="804"/>
  <c r="J29" i="804" l="1"/>
  <c r="M29" i="804"/>
  <c r="K11" i="805" l="1"/>
  <c r="H11" i="805"/>
  <c r="K10" i="808" l="1"/>
  <c r="E11" i="808"/>
  <c r="E12" i="808"/>
  <c r="I12" i="810"/>
  <c r="I19" i="810"/>
  <c r="I18" i="810"/>
  <c r="I17" i="810"/>
  <c r="I16" i="810"/>
  <c r="I14" i="810"/>
  <c r="I11" i="810"/>
  <c r="F19" i="810"/>
  <c r="F18" i="810"/>
  <c r="F17" i="810"/>
  <c r="F16" i="810"/>
  <c r="F14" i="810"/>
  <c r="F12" i="810"/>
  <c r="F11" i="810"/>
  <c r="C14" i="810"/>
  <c r="C12" i="810"/>
  <c r="C11" i="810"/>
  <c r="H15" i="806"/>
  <c r="E15" i="806"/>
  <c r="E14" i="806"/>
  <c r="I14" i="814"/>
  <c r="F14" i="814"/>
  <c r="C14" i="814"/>
  <c r="D12" i="814"/>
  <c r="D11" i="814"/>
  <c r="D10" i="814"/>
  <c r="C12" i="814"/>
  <c r="C11" i="814"/>
  <c r="K17" i="805"/>
  <c r="H17" i="805"/>
  <c r="K16" i="805"/>
  <c r="H16" i="805"/>
  <c r="K15" i="805"/>
  <c r="H15" i="805"/>
  <c r="K14" i="805"/>
  <c r="H14" i="805"/>
  <c r="K13" i="805"/>
  <c r="H13" i="805"/>
  <c r="K12" i="805"/>
  <c r="H12" i="805"/>
  <c r="K18" i="805" l="1"/>
  <c r="I15" i="809" l="1"/>
  <c r="F15" i="809"/>
  <c r="D15" i="809"/>
  <c r="C15" i="809"/>
  <c r="I14" i="809"/>
  <c r="F14" i="809"/>
  <c r="D14" i="809"/>
  <c r="C14" i="809"/>
  <c r="I13" i="809"/>
  <c r="F13" i="809"/>
  <c r="D13" i="809"/>
  <c r="C13" i="809"/>
  <c r="I12" i="809"/>
  <c r="F12" i="809"/>
  <c r="D12" i="809"/>
  <c r="F12" i="681" l="1"/>
  <c r="N37" i="681" l="1"/>
  <c r="N36" i="681"/>
  <c r="K12" i="808"/>
  <c r="H12" i="808"/>
  <c r="F12" i="808"/>
  <c r="I27" i="812"/>
  <c r="F27" i="812"/>
  <c r="D27" i="812"/>
  <c r="C27" i="812"/>
  <c r="C17" i="810"/>
  <c r="F15" i="806"/>
  <c r="I29" i="814"/>
  <c r="F29" i="814"/>
  <c r="D29" i="814"/>
  <c r="C29" i="814"/>
  <c r="C30" i="814"/>
  <c r="D30" i="814"/>
  <c r="F30" i="814"/>
  <c r="I30" i="814"/>
  <c r="E16" i="805"/>
  <c r="F17" i="805"/>
  <c r="E17" i="805"/>
  <c r="F16" i="805"/>
  <c r="F15" i="805"/>
  <c r="E15" i="805"/>
  <c r="F13" i="805"/>
  <c r="F12" i="805"/>
  <c r="F11" i="805"/>
  <c r="F13" i="807" l="1"/>
  <c r="K13" i="807"/>
  <c r="E13" i="807"/>
  <c r="H13" i="807"/>
  <c r="H18" i="805"/>
  <c r="H17" i="806"/>
  <c r="K14" i="808"/>
  <c r="H14" i="808"/>
  <c r="F14" i="808"/>
  <c r="E14" i="808"/>
  <c r="E17" i="806"/>
  <c r="F17" i="806"/>
  <c r="E27" i="812"/>
  <c r="L27" i="812" s="1"/>
  <c r="J27" i="812"/>
  <c r="G27" i="812"/>
  <c r="G11" i="807"/>
  <c r="G17" i="810"/>
  <c r="L11" i="807"/>
  <c r="I11" i="807"/>
  <c r="E17" i="810"/>
  <c r="H17" i="810" s="1"/>
  <c r="J17" i="810"/>
  <c r="E30" i="814"/>
  <c r="J30" i="814" s="1"/>
  <c r="G30" i="814"/>
  <c r="E29" i="814"/>
  <c r="H29" i="814" s="1"/>
  <c r="G29" i="814"/>
  <c r="J29" i="814"/>
  <c r="E18" i="805"/>
  <c r="L18" i="805" s="1"/>
  <c r="L17" i="805"/>
  <c r="I17" i="805"/>
  <c r="G17" i="805"/>
  <c r="M17" i="805" s="1"/>
  <c r="G16" i="805"/>
  <c r="J16" i="805" s="1"/>
  <c r="L16" i="805"/>
  <c r="I16" i="805"/>
  <c r="G15" i="805"/>
  <c r="M15" i="805" s="1"/>
  <c r="L15" i="805"/>
  <c r="I15" i="805"/>
  <c r="G11" i="805"/>
  <c r="J11" i="805" s="1"/>
  <c r="I11" i="805"/>
  <c r="L11" i="805"/>
  <c r="I14" i="808" l="1"/>
  <c r="L14" i="808"/>
  <c r="I17" i="806"/>
  <c r="I13" i="807"/>
  <c r="I18" i="805"/>
  <c r="L13" i="807"/>
  <c r="M11" i="807"/>
  <c r="M16" i="805"/>
  <c r="G17" i="806"/>
  <c r="J17" i="806" s="1"/>
  <c r="J11" i="807"/>
  <c r="K17" i="810"/>
  <c r="J15" i="805"/>
  <c r="K30" i="814"/>
  <c r="H30" i="814"/>
  <c r="K29" i="814"/>
  <c r="J17" i="805"/>
  <c r="M11" i="805"/>
  <c r="F14" i="805" l="1"/>
  <c r="F18" i="805" s="1"/>
  <c r="G18" i="805" s="1"/>
  <c r="J18" i="805" l="1"/>
  <c r="M18" i="805"/>
  <c r="C28" i="813"/>
  <c r="D28" i="813"/>
  <c r="F28" i="813"/>
  <c r="I28" i="813"/>
  <c r="I27" i="813"/>
  <c r="F27" i="813"/>
  <c r="D27" i="813"/>
  <c r="C27" i="813"/>
  <c r="C25" i="813"/>
  <c r="D25" i="813"/>
  <c r="F25" i="813"/>
  <c r="I25" i="813"/>
  <c r="F24" i="813"/>
  <c r="D24" i="813"/>
  <c r="C24" i="813"/>
  <c r="B25" i="809"/>
  <c r="B24" i="809"/>
  <c r="B29" i="809"/>
  <c r="B28" i="809"/>
  <c r="B27" i="809"/>
  <c r="B23" i="809"/>
  <c r="B22" i="809"/>
  <c r="B21" i="809"/>
  <c r="B20" i="809"/>
  <c r="B19" i="809"/>
  <c r="J37" i="681"/>
  <c r="G37" i="681"/>
  <c r="E36" i="681"/>
  <c r="I26" i="813" l="1"/>
  <c r="D26" i="813"/>
  <c r="F26" i="813"/>
  <c r="C26" i="813"/>
  <c r="F11" i="681"/>
  <c r="F13" i="681" s="1"/>
  <c r="D36" i="681"/>
  <c r="E37" i="681"/>
  <c r="D37" i="681"/>
  <c r="E11" i="813"/>
  <c r="H11" i="681"/>
  <c r="E22" i="809"/>
  <c r="K22" i="809" s="1"/>
  <c r="C11" i="809"/>
  <c r="J15" i="809"/>
  <c r="G15" i="809"/>
  <c r="E15" i="809"/>
  <c r="H15" i="809" s="1"/>
  <c r="M37" i="681" l="1"/>
  <c r="H37" i="681"/>
  <c r="K37" i="681"/>
  <c r="K15" i="809"/>
  <c r="C19" i="810"/>
  <c r="C18" i="810"/>
  <c r="I23" i="813"/>
  <c r="F23" i="813"/>
  <c r="D23" i="813"/>
  <c r="C23" i="813"/>
  <c r="J36" i="681"/>
  <c r="K36" i="681" s="1"/>
  <c r="G36" i="681"/>
  <c r="B14" i="809"/>
  <c r="B13" i="809"/>
  <c r="B12" i="809"/>
  <c r="M36" i="681" l="1"/>
  <c r="H36" i="681"/>
  <c r="D20" i="810"/>
  <c r="C29" i="809"/>
  <c r="F17" i="681" l="1"/>
  <c r="O17" i="681" s="1"/>
  <c r="G13" i="805"/>
  <c r="M13" i="805" s="1"/>
  <c r="F16" i="681"/>
  <c r="I16" i="681" s="1"/>
  <c r="I13" i="808"/>
  <c r="L12" i="807"/>
  <c r="I14" i="805"/>
  <c r="G12" i="807"/>
  <c r="G13" i="807" s="1"/>
  <c r="L13" i="808"/>
  <c r="E21" i="810"/>
  <c r="E20" i="810" s="1"/>
  <c r="G13" i="808"/>
  <c r="I13" i="805"/>
  <c r="H17" i="681"/>
  <c r="I12" i="807"/>
  <c r="G21" i="810"/>
  <c r="F20" i="810"/>
  <c r="C20" i="810"/>
  <c r="J21" i="810"/>
  <c r="I20" i="810"/>
  <c r="H16" i="681"/>
  <c r="K31" i="681"/>
  <c r="K12" i="681"/>
  <c r="F26" i="681"/>
  <c r="F27" i="681"/>
  <c r="L27" i="681" s="1"/>
  <c r="F32" i="681"/>
  <c r="O32" i="681" s="1"/>
  <c r="E28" i="681"/>
  <c r="E33" i="681"/>
  <c r="L13" i="805"/>
  <c r="E18" i="681"/>
  <c r="G12" i="805"/>
  <c r="J12" i="805" s="1"/>
  <c r="L14" i="805"/>
  <c r="M11" i="681"/>
  <c r="H12" i="681"/>
  <c r="M22" i="681"/>
  <c r="I12" i="805"/>
  <c r="F22" i="681"/>
  <c r="O22" i="681" s="1"/>
  <c r="G14" i="805"/>
  <c r="J14" i="805" s="1"/>
  <c r="E23" i="681"/>
  <c r="L12" i="805"/>
  <c r="D18" i="681"/>
  <c r="D33" i="681"/>
  <c r="E28" i="813"/>
  <c r="J28" i="813"/>
  <c r="G28" i="813"/>
  <c r="K21" i="681"/>
  <c r="K16" i="681"/>
  <c r="G23" i="681"/>
  <c r="M21" i="681"/>
  <c r="K11" i="681"/>
  <c r="G13" i="681"/>
  <c r="M26" i="681"/>
  <c r="H32" i="681"/>
  <c r="D13" i="681"/>
  <c r="K22" i="681"/>
  <c r="K27" i="681"/>
  <c r="K32" i="681"/>
  <c r="F21" i="681"/>
  <c r="G33" i="681"/>
  <c r="M31" i="681"/>
  <c r="H27" i="681"/>
  <c r="K26" i="681"/>
  <c r="H31" i="681"/>
  <c r="J33" i="681"/>
  <c r="M32" i="681"/>
  <c r="D28" i="681"/>
  <c r="H21" i="681"/>
  <c r="H26" i="681"/>
  <c r="M27" i="681"/>
  <c r="H22" i="681"/>
  <c r="D23" i="681"/>
  <c r="J23" i="681"/>
  <c r="F31" i="681"/>
  <c r="J28" i="681"/>
  <c r="G28" i="681"/>
  <c r="J18" i="681"/>
  <c r="M16" i="681"/>
  <c r="M12" i="681"/>
  <c r="K17" i="681"/>
  <c r="M17" i="681"/>
  <c r="J13" i="681"/>
  <c r="G18" i="681"/>
  <c r="C15" i="810"/>
  <c r="M13" i="681" l="1"/>
  <c r="O12" i="681"/>
  <c r="F37" i="681"/>
  <c r="F36" i="681"/>
  <c r="M13" i="807"/>
  <c r="J13" i="807"/>
  <c r="H28" i="813"/>
  <c r="J39" i="681"/>
  <c r="D39" i="681"/>
  <c r="G39" i="681"/>
  <c r="O27" i="681"/>
  <c r="I27" i="681"/>
  <c r="F18" i="681"/>
  <c r="L18" i="681" s="1"/>
  <c r="J13" i="805"/>
  <c r="I11" i="681"/>
  <c r="I31" i="681"/>
  <c r="F33" i="681"/>
  <c r="O33" i="681" s="1"/>
  <c r="L21" i="681"/>
  <c r="F23" i="681"/>
  <c r="I26" i="681"/>
  <c r="F28" i="681"/>
  <c r="O28" i="681" s="1"/>
  <c r="L26" i="681"/>
  <c r="O16" i="681"/>
  <c r="O18" i="681" s="1"/>
  <c r="I32" i="681"/>
  <c r="L32" i="681"/>
  <c r="L16" i="681"/>
  <c r="J12" i="807"/>
  <c r="H21" i="810"/>
  <c r="M12" i="807"/>
  <c r="M33" i="681"/>
  <c r="L22" i="681"/>
  <c r="M14" i="805"/>
  <c r="K21" i="810"/>
  <c r="M13" i="808"/>
  <c r="J13" i="808"/>
  <c r="L12" i="681"/>
  <c r="H13" i="681"/>
  <c r="K28" i="813"/>
  <c r="J20" i="810"/>
  <c r="K20" i="810"/>
  <c r="H20" i="810"/>
  <c r="G20" i="810"/>
  <c r="M12" i="805"/>
  <c r="O26" i="681"/>
  <c r="M18" i="681"/>
  <c r="I22" i="681"/>
  <c r="O11" i="681"/>
  <c r="L11" i="681"/>
  <c r="I12" i="681"/>
  <c r="M23" i="681"/>
  <c r="K33" i="681"/>
  <c r="O21" i="681"/>
  <c r="H28" i="681"/>
  <c r="K28" i="681"/>
  <c r="I21" i="681"/>
  <c r="O31" i="681"/>
  <c r="L31" i="681"/>
  <c r="M28" i="681"/>
  <c r="K23" i="681"/>
  <c r="H33" i="681"/>
  <c r="H23" i="681"/>
  <c r="H18" i="681"/>
  <c r="K18" i="681"/>
  <c r="I17" i="681"/>
  <c r="K13" i="681"/>
  <c r="L17" i="681"/>
  <c r="I12" i="808"/>
  <c r="L12" i="808"/>
  <c r="G11" i="808"/>
  <c r="J11" i="808" s="1"/>
  <c r="G12" i="808"/>
  <c r="M12" i="808" s="1"/>
  <c r="G10" i="808"/>
  <c r="G26" i="813"/>
  <c r="C22" i="813"/>
  <c r="C21" i="813"/>
  <c r="C20" i="813"/>
  <c r="C19" i="813"/>
  <c r="C18" i="813"/>
  <c r="C16" i="813"/>
  <c r="C14" i="813"/>
  <c r="C13" i="813"/>
  <c r="C12" i="813"/>
  <c r="Q36" i="681" l="1"/>
  <c r="O36" i="681"/>
  <c r="I36" i="681"/>
  <c r="L36" i="681"/>
  <c r="Q37" i="681"/>
  <c r="L37" i="681"/>
  <c r="O37" i="681"/>
  <c r="I37" i="681"/>
  <c r="G14" i="808"/>
  <c r="J14" i="808" s="1"/>
  <c r="C10" i="813"/>
  <c r="F39" i="681"/>
  <c r="O39" i="681" s="1"/>
  <c r="M39" i="681"/>
  <c r="J26" i="813"/>
  <c r="K39" i="681"/>
  <c r="H39" i="681"/>
  <c r="O13" i="681"/>
  <c r="I28" i="681"/>
  <c r="L28" i="681"/>
  <c r="I13" i="681"/>
  <c r="L13" i="681"/>
  <c r="I18" i="681"/>
  <c r="I33" i="681"/>
  <c r="O23" i="681"/>
  <c r="I23" i="681"/>
  <c r="L23" i="681"/>
  <c r="L33" i="681"/>
  <c r="J12" i="808"/>
  <c r="C17" i="809"/>
  <c r="M14" i="808" l="1"/>
  <c r="I39" i="681"/>
  <c r="L39" i="681"/>
  <c r="L10" i="808"/>
  <c r="I17" i="812"/>
  <c r="I15" i="812"/>
  <c r="I14" i="812"/>
  <c r="F17" i="812"/>
  <c r="F15" i="812"/>
  <c r="D15" i="812"/>
  <c r="C17" i="812"/>
  <c r="C16" i="812" s="1"/>
  <c r="C15" i="812"/>
  <c r="D12" i="810"/>
  <c r="D11" i="810"/>
  <c r="K17" i="806"/>
  <c r="L17" i="806" s="1"/>
  <c r="I22" i="814"/>
  <c r="I21" i="814"/>
  <c r="I20" i="814"/>
  <c r="I19" i="814"/>
  <c r="I18" i="814"/>
  <c r="I17" i="814"/>
  <c r="F22" i="814"/>
  <c r="F21" i="814"/>
  <c r="F20" i="814"/>
  <c r="F19" i="814"/>
  <c r="F18" i="814"/>
  <c r="F17" i="814"/>
  <c r="C22" i="814"/>
  <c r="C21" i="814"/>
  <c r="C20" i="814"/>
  <c r="I16" i="814"/>
  <c r="F16" i="814"/>
  <c r="C13" i="814"/>
  <c r="F12" i="813"/>
  <c r="D12" i="813"/>
  <c r="I16" i="813"/>
  <c r="F16" i="813"/>
  <c r="D16" i="813"/>
  <c r="I12" i="813"/>
  <c r="F13" i="813"/>
  <c r="I28" i="809"/>
  <c r="F28" i="809"/>
  <c r="D28" i="809"/>
  <c r="C28" i="809"/>
  <c r="I27" i="809"/>
  <c r="F27" i="809"/>
  <c r="D27" i="809"/>
  <c r="C27" i="809"/>
  <c r="I25" i="809"/>
  <c r="F25" i="809"/>
  <c r="D25" i="809"/>
  <c r="C25" i="809"/>
  <c r="I24" i="809"/>
  <c r="F24" i="809"/>
  <c r="D24" i="809"/>
  <c r="C24" i="809"/>
  <c r="I23" i="809"/>
  <c r="F23" i="809"/>
  <c r="D23" i="809"/>
  <c r="C23" i="809"/>
  <c r="N32" i="681"/>
  <c r="C12" i="812" l="1"/>
  <c r="M17" i="806"/>
  <c r="C9" i="810"/>
  <c r="C15" i="814"/>
  <c r="C9" i="814"/>
  <c r="E23" i="809"/>
  <c r="K23" i="809" s="1"/>
  <c r="E24" i="809"/>
  <c r="E25" i="809"/>
  <c r="E27" i="809"/>
  <c r="E28" i="809"/>
  <c r="C26" i="809"/>
  <c r="E11" i="810"/>
  <c r="E12" i="810"/>
  <c r="C13" i="810"/>
  <c r="E14" i="810"/>
  <c r="E10" i="810"/>
  <c r="L11" i="808"/>
  <c r="I11" i="808"/>
  <c r="I10" i="808"/>
  <c r="G27" i="809"/>
  <c r="J27" i="809"/>
  <c r="G23" i="809"/>
  <c r="J23" i="809"/>
  <c r="I26" i="812"/>
  <c r="F26" i="812"/>
  <c r="C26" i="812"/>
  <c r="F25" i="812"/>
  <c r="C25" i="812"/>
  <c r="I30" i="812"/>
  <c r="F30" i="812"/>
  <c r="C30" i="812"/>
  <c r="I25" i="812"/>
  <c r="I23" i="812"/>
  <c r="F23" i="812"/>
  <c r="C23" i="812"/>
  <c r="I24" i="810"/>
  <c r="F24" i="810"/>
  <c r="C24" i="810"/>
  <c r="I24" i="812" l="1"/>
  <c r="C24" i="812"/>
  <c r="F24" i="812"/>
  <c r="C22" i="810"/>
  <c r="K27" i="809"/>
  <c r="J10" i="808"/>
  <c r="M10" i="808"/>
  <c r="M11" i="808"/>
  <c r="H27" i="809"/>
  <c r="J16" i="814" l="1"/>
  <c r="H16" i="814"/>
  <c r="G16" i="814"/>
  <c r="L11" i="814"/>
  <c r="I14" i="813"/>
  <c r="F14" i="813"/>
  <c r="F10" i="813" s="1"/>
  <c r="D14" i="813"/>
  <c r="I13" i="813"/>
  <c r="D13" i="813"/>
  <c r="I17" i="809"/>
  <c r="F17" i="809"/>
  <c r="E17" i="809"/>
  <c r="E16" i="809" s="1"/>
  <c r="F16" i="809" l="1"/>
  <c r="G14" i="814"/>
  <c r="I26" i="814"/>
  <c r="E18" i="810" l="1"/>
  <c r="I24" i="813"/>
  <c r="G18" i="810" l="1"/>
  <c r="H18" i="810"/>
  <c r="J18" i="810"/>
  <c r="K18" i="810"/>
  <c r="F29" i="812"/>
  <c r="F31" i="812" s="1"/>
  <c r="D30" i="812"/>
  <c r="D29" i="812" s="1"/>
  <c r="D31" i="812" s="1"/>
  <c r="C29" i="812"/>
  <c r="C31" i="812" s="1"/>
  <c r="D26" i="812"/>
  <c r="D25" i="812"/>
  <c r="D23" i="812"/>
  <c r="I22" i="812"/>
  <c r="F22" i="812"/>
  <c r="D22" i="812"/>
  <c r="C22" i="812"/>
  <c r="I21" i="812"/>
  <c r="F21" i="812"/>
  <c r="D21" i="812"/>
  <c r="C21" i="812"/>
  <c r="I20" i="812"/>
  <c r="F20" i="812"/>
  <c r="C20" i="812"/>
  <c r="I19" i="812"/>
  <c r="F19" i="812"/>
  <c r="I23" i="810"/>
  <c r="I25" i="810" s="1"/>
  <c r="F23" i="810"/>
  <c r="F25" i="810" s="1"/>
  <c r="D24" i="810"/>
  <c r="D23" i="810" s="1"/>
  <c r="D25" i="810" s="1"/>
  <c r="C23" i="810"/>
  <c r="C25" i="810" s="1"/>
  <c r="D19" i="810"/>
  <c r="E19" i="810" s="1"/>
  <c r="E16" i="810"/>
  <c r="I28" i="814"/>
  <c r="F28" i="814"/>
  <c r="D28" i="814"/>
  <c r="C28" i="814"/>
  <c r="C27" i="814"/>
  <c r="C18" i="812" l="1"/>
  <c r="C28" i="812" s="1"/>
  <c r="D24" i="812"/>
  <c r="E15" i="810"/>
  <c r="G25" i="810"/>
  <c r="G31" i="812"/>
  <c r="J25" i="810"/>
  <c r="F15" i="810"/>
  <c r="I15" i="810"/>
  <c r="D15" i="810"/>
  <c r="E30" i="812"/>
  <c r="E29" i="812" s="1"/>
  <c r="G30" i="812"/>
  <c r="I29" i="812"/>
  <c r="G29" i="812"/>
  <c r="J30" i="812"/>
  <c r="E26" i="812"/>
  <c r="L26" i="812" s="1"/>
  <c r="G26" i="812"/>
  <c r="E25" i="812"/>
  <c r="G25" i="812"/>
  <c r="J26" i="812"/>
  <c r="J25" i="812"/>
  <c r="E23" i="812"/>
  <c r="L23" i="812" s="1"/>
  <c r="G23" i="812"/>
  <c r="J23" i="812"/>
  <c r="E22" i="812"/>
  <c r="L22" i="812" s="1"/>
  <c r="G22" i="812"/>
  <c r="J22" i="812"/>
  <c r="E21" i="812"/>
  <c r="L21" i="812" s="1"/>
  <c r="G21" i="812"/>
  <c r="J21" i="812"/>
  <c r="E20" i="812"/>
  <c r="L20" i="812" s="1"/>
  <c r="G20" i="812"/>
  <c r="J20" i="812"/>
  <c r="E17" i="812"/>
  <c r="K17" i="812" s="1"/>
  <c r="G17" i="812"/>
  <c r="J17" i="812"/>
  <c r="E15" i="812"/>
  <c r="K15" i="812" s="1"/>
  <c r="G15" i="812"/>
  <c r="E14" i="812"/>
  <c r="K14" i="812" s="1"/>
  <c r="G14" i="812"/>
  <c r="E13" i="812"/>
  <c r="H13" i="812" s="1"/>
  <c r="J15" i="812"/>
  <c r="J14" i="812"/>
  <c r="G13" i="812"/>
  <c r="J13" i="812"/>
  <c r="G24" i="810"/>
  <c r="E24" i="810"/>
  <c r="E23" i="810" s="1"/>
  <c r="J24" i="810"/>
  <c r="J23" i="810"/>
  <c r="G23" i="810"/>
  <c r="E24" i="812" l="1"/>
  <c r="L25" i="812"/>
  <c r="K23" i="810"/>
  <c r="E25" i="810"/>
  <c r="I31" i="812"/>
  <c r="H29" i="812"/>
  <c r="E31" i="812"/>
  <c r="H31" i="812" s="1"/>
  <c r="H24" i="810"/>
  <c r="K30" i="812"/>
  <c r="L29" i="812"/>
  <c r="H23" i="810"/>
  <c r="H30" i="812"/>
  <c r="K24" i="810"/>
  <c r="L30" i="812"/>
  <c r="H15" i="812"/>
  <c r="K29" i="812"/>
  <c r="J29" i="812"/>
  <c r="H17" i="812"/>
  <c r="H14" i="812"/>
  <c r="K13" i="812"/>
  <c r="C26" i="814"/>
  <c r="C25" i="814" s="1"/>
  <c r="I24" i="814"/>
  <c r="F24" i="814"/>
  <c r="D24" i="814"/>
  <c r="C24" i="814"/>
  <c r="I9" i="814"/>
  <c r="I21" i="809"/>
  <c r="F21" i="809"/>
  <c r="D21" i="809"/>
  <c r="C21" i="809"/>
  <c r="I20" i="809"/>
  <c r="F20" i="809"/>
  <c r="D20" i="809"/>
  <c r="C20" i="809"/>
  <c r="D19" i="809"/>
  <c r="C19" i="809"/>
  <c r="I19" i="809"/>
  <c r="F19" i="809"/>
  <c r="D18" i="809" l="1"/>
  <c r="F18" i="809"/>
  <c r="I18" i="809"/>
  <c r="C18" i="809"/>
  <c r="C23" i="814"/>
  <c r="C31" i="814" s="1"/>
  <c r="E19" i="809"/>
  <c r="E20" i="809"/>
  <c r="E21" i="809"/>
  <c r="L31" i="812"/>
  <c r="J31" i="812"/>
  <c r="K31" i="812" s="1"/>
  <c r="H25" i="810"/>
  <c r="K25" i="810"/>
  <c r="G24" i="814"/>
  <c r="D16" i="809"/>
  <c r="C16" i="809"/>
  <c r="G18" i="809" l="1"/>
  <c r="E18" i="809"/>
  <c r="H18" i="809" s="1"/>
  <c r="J18" i="809"/>
  <c r="J17" i="809"/>
  <c r="I16" i="809"/>
  <c r="K18" i="809" l="1"/>
  <c r="E13" i="681"/>
  <c r="E39" i="681" s="1"/>
  <c r="E19" i="812" l="1"/>
  <c r="L19" i="812" s="1"/>
  <c r="G19" i="812"/>
  <c r="I18" i="812"/>
  <c r="J19" i="812"/>
  <c r="F18" i="812"/>
  <c r="I16" i="806"/>
  <c r="G16" i="806"/>
  <c r="J16" i="806" s="1"/>
  <c r="I15" i="806"/>
  <c r="G15" i="806"/>
  <c r="J15" i="806" s="1"/>
  <c r="L16" i="806"/>
  <c r="L15" i="806"/>
  <c r="F9" i="814"/>
  <c r="M16" i="806" l="1"/>
  <c r="M15" i="806"/>
  <c r="D18" i="812" l="1"/>
  <c r="F29" i="809"/>
  <c r="F26" i="809" s="1"/>
  <c r="F11" i="809" l="1"/>
  <c r="G26" i="809"/>
  <c r="F30" i="809" l="1"/>
  <c r="G11" i="809"/>
  <c r="K12" i="810"/>
  <c r="G14" i="806"/>
  <c r="I27" i="814"/>
  <c r="F27" i="814"/>
  <c r="F26" i="814"/>
  <c r="D27" i="814"/>
  <c r="D26" i="814"/>
  <c r="E18" i="814"/>
  <c r="E17" i="814"/>
  <c r="E16" i="814"/>
  <c r="K16" i="814" s="1"/>
  <c r="E14" i="814"/>
  <c r="K14" i="814" s="1"/>
  <c r="E12" i="814"/>
  <c r="K12" i="814" s="1"/>
  <c r="E11" i="814"/>
  <c r="E10" i="814"/>
  <c r="E24" i="814"/>
  <c r="I22" i="813"/>
  <c r="I21" i="813"/>
  <c r="I20" i="813"/>
  <c r="I19" i="813"/>
  <c r="I18" i="813"/>
  <c r="F22" i="813"/>
  <c r="F21" i="813"/>
  <c r="F20" i="813"/>
  <c r="F19" i="813"/>
  <c r="F18" i="813"/>
  <c r="D22" i="813"/>
  <c r="D21" i="813"/>
  <c r="D20" i="813"/>
  <c r="D19" i="813"/>
  <c r="D18" i="813"/>
  <c r="E24" i="813"/>
  <c r="E14" i="813"/>
  <c r="E13" i="813"/>
  <c r="I29" i="809"/>
  <c r="I26" i="809" s="1"/>
  <c r="D29" i="809"/>
  <c r="D11" i="809" l="1"/>
  <c r="I11" i="809"/>
  <c r="I17" i="813"/>
  <c r="F17" i="813"/>
  <c r="E14" i="809"/>
  <c r="H14" i="809" s="1"/>
  <c r="E13" i="809"/>
  <c r="H13" i="809" s="1"/>
  <c r="E12" i="809"/>
  <c r="D26" i="809"/>
  <c r="E29" i="809"/>
  <c r="E26" i="809" s="1"/>
  <c r="J26" i="809"/>
  <c r="C30" i="809"/>
  <c r="G30" i="809" s="1"/>
  <c r="E27" i="813"/>
  <c r="E26" i="813" s="1"/>
  <c r="E28" i="814"/>
  <c r="H28" i="814" s="1"/>
  <c r="E22" i="814"/>
  <c r="H22" i="814" s="1"/>
  <c r="E27" i="814"/>
  <c r="H27" i="814" s="1"/>
  <c r="E18" i="812"/>
  <c r="E19" i="814"/>
  <c r="H19" i="814" s="1"/>
  <c r="E20" i="814"/>
  <c r="H20" i="814" s="1"/>
  <c r="E26" i="814"/>
  <c r="H26" i="814" s="1"/>
  <c r="E22" i="813"/>
  <c r="H22" i="813" s="1"/>
  <c r="E18" i="813"/>
  <c r="H18" i="813" s="1"/>
  <c r="E16" i="813"/>
  <c r="K16" i="813" s="1"/>
  <c r="E20" i="813"/>
  <c r="H20" i="813" s="1"/>
  <c r="E21" i="813"/>
  <c r="K21" i="813" s="1"/>
  <c r="D9" i="814"/>
  <c r="E19" i="813"/>
  <c r="M20" i="813" s="1"/>
  <c r="E23" i="813"/>
  <c r="K23" i="813" s="1"/>
  <c r="E25" i="813"/>
  <c r="H25" i="813" s="1"/>
  <c r="E21" i="814"/>
  <c r="H21" i="814" s="1"/>
  <c r="E12" i="812"/>
  <c r="E9" i="810"/>
  <c r="H13" i="813"/>
  <c r="K13" i="813"/>
  <c r="H11" i="814"/>
  <c r="H24" i="814"/>
  <c r="K11" i="814"/>
  <c r="K24" i="814"/>
  <c r="H10" i="810"/>
  <c r="L13" i="812"/>
  <c r="H12" i="814"/>
  <c r="H17" i="814"/>
  <c r="K17" i="814"/>
  <c r="H11" i="810"/>
  <c r="H16" i="810"/>
  <c r="K14" i="810"/>
  <c r="K19" i="810"/>
  <c r="L14" i="812"/>
  <c r="H24" i="813"/>
  <c r="K24" i="813"/>
  <c r="H14" i="814"/>
  <c r="H18" i="814"/>
  <c r="K18" i="814"/>
  <c r="J14" i="806"/>
  <c r="E13" i="810"/>
  <c r="H12" i="810"/>
  <c r="K10" i="810"/>
  <c r="L15" i="812"/>
  <c r="G11" i="813"/>
  <c r="H11" i="813"/>
  <c r="K11" i="813"/>
  <c r="E12" i="813"/>
  <c r="H10" i="814"/>
  <c r="K10" i="814"/>
  <c r="G13" i="806"/>
  <c r="M13" i="806" s="1"/>
  <c r="M14" i="806"/>
  <c r="H14" i="810"/>
  <c r="H19" i="810"/>
  <c r="K11" i="810"/>
  <c r="K16" i="810"/>
  <c r="E16" i="812"/>
  <c r="L17" i="812"/>
  <c r="J12" i="809"/>
  <c r="G17" i="809"/>
  <c r="G19" i="809"/>
  <c r="K21" i="809"/>
  <c r="G21" i="809"/>
  <c r="K25" i="809"/>
  <c r="G25" i="809"/>
  <c r="G29" i="809"/>
  <c r="G13" i="809"/>
  <c r="G12" i="809"/>
  <c r="G14" i="809"/>
  <c r="H20" i="809"/>
  <c r="G20" i="809"/>
  <c r="K24" i="809"/>
  <c r="G24" i="809"/>
  <c r="G28" i="809"/>
  <c r="G14" i="813"/>
  <c r="G19" i="813"/>
  <c r="I13" i="810"/>
  <c r="J11" i="809" l="1"/>
  <c r="E22" i="810"/>
  <c r="E26" i="810" s="1"/>
  <c r="E28" i="812"/>
  <c r="E32" i="812" s="1"/>
  <c r="H12" i="813"/>
  <c r="E10" i="813"/>
  <c r="E11" i="809"/>
  <c r="K11" i="809" s="1"/>
  <c r="H26" i="813"/>
  <c r="K26" i="813"/>
  <c r="H29" i="809"/>
  <c r="H26" i="809"/>
  <c r="K19" i="813"/>
  <c r="K28" i="809"/>
  <c r="H12" i="809"/>
  <c r="H19" i="809"/>
  <c r="K12" i="809"/>
  <c r="K14" i="809"/>
  <c r="H27" i="813"/>
  <c r="K27" i="813"/>
  <c r="K28" i="814"/>
  <c r="K22" i="814"/>
  <c r="H17" i="809"/>
  <c r="K16" i="809"/>
  <c r="K27" i="814"/>
  <c r="K22" i="813"/>
  <c r="K20" i="814"/>
  <c r="K19" i="814"/>
  <c r="K26" i="814"/>
  <c r="K18" i="813"/>
  <c r="H23" i="813"/>
  <c r="E15" i="813"/>
  <c r="H16" i="813"/>
  <c r="H21" i="813"/>
  <c r="K20" i="813"/>
  <c r="K21" i="814"/>
  <c r="K25" i="813"/>
  <c r="E17" i="813"/>
  <c r="K13" i="810"/>
  <c r="K12" i="813"/>
  <c r="K13" i="809"/>
  <c r="J13" i="806"/>
  <c r="K29" i="809"/>
  <c r="K17" i="809"/>
  <c r="K20" i="809"/>
  <c r="K19" i="809"/>
  <c r="H28" i="809"/>
  <c r="H25" i="809"/>
  <c r="H24" i="809"/>
  <c r="K15" i="810"/>
  <c r="E30" i="813" l="1"/>
  <c r="E30" i="809"/>
  <c r="H11" i="809"/>
  <c r="K26" i="809"/>
  <c r="H16" i="809"/>
  <c r="H15" i="810"/>
  <c r="H30" i="809" l="1"/>
  <c r="G19" i="810"/>
  <c r="G14" i="810"/>
  <c r="G10" i="810" l="1"/>
  <c r="G11" i="810"/>
  <c r="G16" i="810"/>
  <c r="L13" i="806" l="1"/>
  <c r="F13" i="814"/>
  <c r="J24" i="814"/>
  <c r="J22" i="814"/>
  <c r="J17" i="814"/>
  <c r="Q31" i="681"/>
  <c r="Q22" i="681"/>
  <c r="Q12" i="681"/>
  <c r="D23" i="814"/>
  <c r="I23" i="814"/>
  <c r="F13" i="810"/>
  <c r="H13" i="810" s="1"/>
  <c r="Q32" i="681"/>
  <c r="N32" i="812"/>
  <c r="Q27" i="681"/>
  <c r="J14" i="810"/>
  <c r="G28" i="814"/>
  <c r="G26" i="814"/>
  <c r="G21" i="814"/>
  <c r="G20" i="814"/>
  <c r="G18" i="814"/>
  <c r="G12" i="814"/>
  <c r="G11" i="814"/>
  <c r="N17" i="681"/>
  <c r="N11" i="681"/>
  <c r="N12" i="681"/>
  <c r="N16" i="681"/>
  <c r="N18" i="681" s="1"/>
  <c r="N21" i="681"/>
  <c r="N22" i="681"/>
  <c r="N26" i="681"/>
  <c r="N28" i="681" s="1"/>
  <c r="N27" i="681"/>
  <c r="N31" i="681"/>
  <c r="N33" i="681"/>
  <c r="N23" i="681"/>
  <c r="N39" i="681"/>
  <c r="D15" i="813" l="1"/>
  <c r="F15" i="813"/>
  <c r="F30" i="813" s="1"/>
  <c r="J21" i="813"/>
  <c r="G25" i="813"/>
  <c r="C15" i="813"/>
  <c r="J24" i="809"/>
  <c r="I15" i="813"/>
  <c r="K15" i="813" s="1"/>
  <c r="G21" i="813"/>
  <c r="G23" i="813"/>
  <c r="D12" i="812"/>
  <c r="J14" i="813"/>
  <c r="G24" i="813"/>
  <c r="J18" i="813"/>
  <c r="J20" i="813"/>
  <c r="J22" i="813"/>
  <c r="J20" i="814"/>
  <c r="J12" i="810"/>
  <c r="G17" i="814"/>
  <c r="J21" i="814"/>
  <c r="J28" i="809"/>
  <c r="J12" i="814"/>
  <c r="J19" i="810"/>
  <c r="F23" i="814"/>
  <c r="J19" i="813"/>
  <c r="D16" i="812"/>
  <c r="G12" i="813"/>
  <c r="J19" i="809"/>
  <c r="G13" i="813"/>
  <c r="I14" i="806"/>
  <c r="I12" i="812"/>
  <c r="Q16" i="681"/>
  <c r="I13" i="814"/>
  <c r="J20" i="809"/>
  <c r="J13" i="809"/>
  <c r="J14" i="809"/>
  <c r="J16" i="813"/>
  <c r="G22" i="814"/>
  <c r="J18" i="814"/>
  <c r="J26" i="814"/>
  <c r="J14" i="814"/>
  <c r="G16" i="809"/>
  <c r="J11" i="813"/>
  <c r="H18" i="812"/>
  <c r="J16" i="810"/>
  <c r="J25" i="813"/>
  <c r="Q18" i="681"/>
  <c r="H17" i="813"/>
  <c r="G20" i="813"/>
  <c r="G22" i="813"/>
  <c r="G18" i="813"/>
  <c r="Q11" i="681"/>
  <c r="C17" i="813"/>
  <c r="I10" i="813"/>
  <c r="J23" i="813"/>
  <c r="F12" i="812"/>
  <c r="D10" i="813"/>
  <c r="D25" i="814"/>
  <c r="I25" i="814"/>
  <c r="D9" i="810"/>
  <c r="L24" i="812"/>
  <c r="H24" i="812"/>
  <c r="I16" i="812"/>
  <c r="J21" i="809"/>
  <c r="D17" i="813"/>
  <c r="J10" i="814"/>
  <c r="J10" i="810"/>
  <c r="J27" i="813"/>
  <c r="Q21" i="681"/>
  <c r="J15" i="810"/>
  <c r="Q17" i="681"/>
  <c r="J11" i="814"/>
  <c r="J12" i="813"/>
  <c r="F16" i="812"/>
  <c r="L18" i="812"/>
  <c r="K17" i="813"/>
  <c r="D13" i="814"/>
  <c r="D15" i="814"/>
  <c r="G10" i="814"/>
  <c r="F15" i="814"/>
  <c r="F25" i="814"/>
  <c r="I15" i="814"/>
  <c r="L14" i="806"/>
  <c r="D13" i="810"/>
  <c r="G12" i="810"/>
  <c r="I9" i="810"/>
  <c r="I22" i="810" s="1"/>
  <c r="J22" i="810" s="1"/>
  <c r="G27" i="813"/>
  <c r="J28" i="814"/>
  <c r="Q26" i="681"/>
  <c r="G15" i="810"/>
  <c r="J11" i="810"/>
  <c r="J27" i="814"/>
  <c r="J13" i="813"/>
  <c r="J24" i="813"/>
  <c r="F9" i="810"/>
  <c r="F22" i="810" s="1"/>
  <c r="G22" i="810" s="1"/>
  <c r="J29" i="809"/>
  <c r="I13" i="806"/>
  <c r="G16" i="813"/>
  <c r="G27" i="814"/>
  <c r="D30" i="813" l="1"/>
  <c r="I30" i="813"/>
  <c r="C30" i="813"/>
  <c r="G30" i="813" s="1"/>
  <c r="F28" i="812"/>
  <c r="I28" i="812"/>
  <c r="J28" i="812" s="1"/>
  <c r="D28" i="812"/>
  <c r="D32" i="812" s="1"/>
  <c r="D31" i="814"/>
  <c r="H22" i="810"/>
  <c r="K22" i="810"/>
  <c r="D22" i="810"/>
  <c r="D26" i="810" s="1"/>
  <c r="F31" i="814"/>
  <c r="G31" i="814" s="1"/>
  <c r="I31" i="814"/>
  <c r="H15" i="813"/>
  <c r="D30" i="809"/>
  <c r="I30" i="809"/>
  <c r="J30" i="809" s="1"/>
  <c r="K10" i="813"/>
  <c r="H10" i="813"/>
  <c r="C32" i="812"/>
  <c r="F26" i="810"/>
  <c r="H26" i="810" s="1"/>
  <c r="I26" i="810"/>
  <c r="K26" i="810" s="1"/>
  <c r="C26" i="810"/>
  <c r="G23" i="814"/>
  <c r="E13" i="814"/>
  <c r="H13" i="814" s="1"/>
  <c r="G13" i="814"/>
  <c r="K9" i="810"/>
  <c r="L12" i="812"/>
  <c r="H9" i="810"/>
  <c r="H12" i="812"/>
  <c r="E9" i="814"/>
  <c r="G16" i="812"/>
  <c r="H16" i="812"/>
  <c r="J23" i="814"/>
  <c r="E23" i="814"/>
  <c r="K23" i="814" s="1"/>
  <c r="E15" i="814"/>
  <c r="E25" i="814"/>
  <c r="K25" i="814" s="1"/>
  <c r="J16" i="812"/>
  <c r="K16" i="812" s="1"/>
  <c r="L16" i="812"/>
  <c r="N13" i="681"/>
  <c r="G15" i="813"/>
  <c r="J15" i="813"/>
  <c r="G18" i="812"/>
  <c r="J13" i="810"/>
  <c r="J17" i="813"/>
  <c r="Q13" i="681"/>
  <c r="G17" i="813"/>
  <c r="J13" i="814"/>
  <c r="G12" i="812"/>
  <c r="J15" i="814"/>
  <c r="G13" i="810"/>
  <c r="G25" i="814"/>
  <c r="G15" i="814"/>
  <c r="J25" i="814"/>
  <c r="Q28" i="681"/>
  <c r="J18" i="812"/>
  <c r="K18" i="812" s="1"/>
  <c r="J9" i="810"/>
  <c r="J9" i="814"/>
  <c r="G10" i="813"/>
  <c r="Q33" i="681"/>
  <c r="G9" i="810"/>
  <c r="Q23" i="681"/>
  <c r="J10" i="813"/>
  <c r="J24" i="812"/>
  <c r="K24" i="812" s="1"/>
  <c r="G24" i="812"/>
  <c r="J16" i="809"/>
  <c r="J12" i="812"/>
  <c r="K12" i="812" s="1"/>
  <c r="G9" i="814"/>
  <c r="H28" i="812" l="1"/>
  <c r="G28" i="812"/>
  <c r="J30" i="813"/>
  <c r="I32" i="812"/>
  <c r="L32" i="812" s="1"/>
  <c r="L28" i="812"/>
  <c r="H15" i="814"/>
  <c r="E31" i="814"/>
  <c r="K31" i="814" s="1"/>
  <c r="J31" i="814"/>
  <c r="K28" i="812"/>
  <c r="K30" i="809"/>
  <c r="K30" i="813"/>
  <c r="H30" i="813"/>
  <c r="H9" i="814"/>
  <c r="F32" i="812"/>
  <c r="H32" i="812" s="1"/>
  <c r="K9" i="814"/>
  <c r="K13" i="814"/>
  <c r="H23" i="814"/>
  <c r="K15" i="814"/>
  <c r="H25" i="814"/>
  <c r="J26" i="810"/>
  <c r="G26" i="810"/>
  <c r="Q39" i="681"/>
  <c r="J32" i="812" l="1"/>
  <c r="K32" i="812" s="1"/>
  <c r="H31" i="814"/>
  <c r="G32" i="812"/>
</calcChain>
</file>

<file path=xl/sharedStrings.xml><?xml version="1.0" encoding="utf-8"?>
<sst xmlns="http://schemas.openxmlformats.org/spreadsheetml/2006/main" count="1837" uniqueCount="401">
  <si>
    <t>Año Fiscal:</t>
  </si>
  <si>
    <t/>
  </si>
  <si>
    <t>Vigencia:</t>
  </si>
  <si>
    <t>Actual</t>
  </si>
  <si>
    <t>Periodo:</t>
  </si>
  <si>
    <t>Enero-Septiembre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</si>
  <si>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</si>
  <si>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</si>
  <si>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</si>
  <si>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</si>
  <si>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</si>
  <si>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</si>
  <si>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</si>
  <si>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</si>
  <si>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</si>
  <si>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</si>
  <si>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</si>
  <si>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</si>
  <si>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</si>
  <si>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</si>
  <si>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</si>
  <si>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</si>
  <si>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</si>
  <si>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</si>
  <si>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</si>
  <si>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</si>
  <si>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</si>
  <si>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</si>
  <si>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</si>
  <si>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</si>
  <si>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</si>
  <si>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</si>
  <si>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</si>
  <si>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12-01-01</t>
  </si>
  <si>
    <t>MINISTERIO DE JUSTICIA Y DEL DERECHO - GESTION GENERAL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</si>
  <si>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</si>
  <si>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</si>
  <si>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</si>
  <si>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</si>
  <si>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</si>
  <si>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</si>
  <si>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</si>
  <si>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</si>
  <si>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</si>
  <si>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</si>
  <si>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</si>
  <si>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</si>
  <si>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</si>
  <si>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A-01-02-04</t>
  </si>
  <si>
    <t>04</t>
  </si>
  <si>
    <t>OTROS GASTOS DE PERSONAL - DISTRIBUCIÓN PREVIO CONCEPTO DGPPN</t>
  </si>
  <si>
    <t>16</t>
  </si>
  <si>
    <t>A-02</t>
  </si>
  <si>
    <t>ADQUISICIÓN DE BIENES  Y SERVICIOS</t>
  </si>
  <si>
    <t>11</t>
  </si>
  <si>
    <t>SSF</t>
  </si>
  <si>
    <t>A-03-02-02</t>
  </si>
  <si>
    <t>A ORGANIZACIONES INTERNACIONALES</t>
  </si>
  <si>
    <t>A-03-03-01-028</t>
  </si>
  <si>
    <t>028</t>
  </si>
  <si>
    <t>FONDO PARA LA LUCHA CONTRA LAS DROGAS</t>
  </si>
  <si>
    <t>A-03-03-01-063</t>
  </si>
  <si>
    <t>063</t>
  </si>
  <si>
    <t>FONDO PARA LA REHABILITACIÓN, INVERSIÓN SOCIAL Y LUCHA CONTRA EL CRIMEN ORGANIZADO</t>
  </si>
  <si>
    <t>A-03-03-01-065</t>
  </si>
  <si>
    <t>065</t>
  </si>
  <si>
    <t>APOYO A LAS DISPOSICIONES PARA GARANTIZAR EL PLENO EJERCICIO DE LOS DERECHOS DE LAS PERSONAS CON DISCAPACIDAD. LEY 1618 DE 2013</t>
  </si>
  <si>
    <t>A-03-03-01-999</t>
  </si>
  <si>
    <t>999</t>
  </si>
  <si>
    <t>OTRAS TRANSFERENCIAS - DISTRIBUCIÓN PREVIO CONCEPTO DGPPN</t>
  </si>
  <si>
    <t>A-03-04-01-012</t>
  </si>
  <si>
    <t>012</t>
  </si>
  <si>
    <t>ATENCIÓN INTEGRAL A LA POBLACIÓN DESPLAZADA EN CUMPLIMIENTO DE LA SENTENCIA T-025 DE 2004 (NO DE PENSIONES)</t>
  </si>
  <si>
    <t>A-03-04-02-012</t>
  </si>
  <si>
    <t>INCAPACIDADES Y LICENCIAS DE MATERNIDAD Y PATERNIDAD (NO DE PENSIONES)</t>
  </si>
  <si>
    <t>A-03-10</t>
  </si>
  <si>
    <t>SENTENCIAS Y CONCILIACIONES</t>
  </si>
  <si>
    <t>A-08-01</t>
  </si>
  <si>
    <t>08</t>
  </si>
  <si>
    <t>IMPUESTOS</t>
  </si>
  <si>
    <t>A-08-03</t>
  </si>
  <si>
    <t>TASAS Y DERECHOS ADMINISTRATIVOS</t>
  </si>
  <si>
    <t>A-08-04-01</t>
  </si>
  <si>
    <t>CUOTA DE FISCALIZACIÓN Y AUDITAJE</t>
  </si>
  <si>
    <t>C-1201-0800-2-20110C1</t>
  </si>
  <si>
    <t>C</t>
  </si>
  <si>
    <t>1201</t>
  </si>
  <si>
    <t>0800</t>
  </si>
  <si>
    <t>2</t>
  </si>
  <si>
    <t>20110C1</t>
  </si>
  <si>
    <t>2. SEGURIDAD HUMANA Y JUSTICIA SOCIAL / C. RENOVACIÓN DE LA ARQUITECTURA INSTITUCIONAL DEL SISTEMA DE JUSTICIA - ACCESO EFECTIVO A LA JUSTICIA - 20110C1 - RECURSO 16 - OBJ 2</t>
  </si>
  <si>
    <t>C-1202-0800-14-20111D1</t>
  </si>
  <si>
    <t>1202</t>
  </si>
  <si>
    <t>14</t>
  </si>
  <si>
    <t>20111D1</t>
  </si>
  <si>
    <t>15</t>
  </si>
  <si>
    <t>2. SEGURIDAD HUMANA Y JUSTICIA SOCIAL / D. CAPACIDADES Y LA OFERTA DEL SISTEMA DE JUSTICIA - ACCESO EFECTIVO A LA JUSTICIA - 20111D1 - RECURSO 15 - OBJ 14</t>
  </si>
  <si>
    <t>2. SEGURIDAD HUMANA Y JUSTICIA SOCIAL / D. CAPACIDADES Y LA OFERTA DEL SISTEMA DE JUSTICIA - ACCESO EFECTIVO A LA JUSTICIA - 20111D1 - RECURSO 16 - OBJ 14</t>
  </si>
  <si>
    <t>C-1202-0800-15-20110B1</t>
  </si>
  <si>
    <t>20110B1</t>
  </si>
  <si>
    <t>2. SEGURIDAD HUMANA Y JUSTICIA SOCIAL / B. JURISDICCIÓN ESPECIAL INDÍGENA, JUSTICIAS PROPIAS Y COMUNITARIA, Y DESARROLLO DE JUSTICIA AMBIENTAL - ACCESO EFECTIVO A LA JUSTICIA - 20110B1 - RECURSO 16 - OBJ 15</t>
  </si>
  <si>
    <t>C-1202-0800-16-20110C1</t>
  </si>
  <si>
    <t>2. SEGURIDAD HUMANA Y JUSTICIA SOCIAL / C. RENOVACIÓN DE LA ARQUITECTURA INSTITUCIONAL DEL SISTEMA DE JUSTICIA - ACCESO EFECTIVO A LA JUSTICIA - 20110C1 - RECURSO 16 - OBJ 16</t>
  </si>
  <si>
    <t>C-1202-0800-17-20111A1</t>
  </si>
  <si>
    <t>17</t>
  </si>
  <si>
    <t>20111A1</t>
  </si>
  <si>
    <t>2. SEGURIDAD HUMANA Y JUSTICIA SOCIAL / A. POLÍTICA DE ESTADO DE TRANSFORMACIÓN DIGITAL DE LA JUSTICIA DE MEDIANO Y LARGO PLAZO - ACCESO EFECTIVO A LA JUSTICIA - 20111A1 - RECURSO 14 - OBJ 17</t>
  </si>
  <si>
    <t>C-1202-0800-18-20110A1</t>
  </si>
  <si>
    <t>18</t>
  </si>
  <si>
    <t>20110A1</t>
  </si>
  <si>
    <t>2. SEGURIDAD HUMANA Y JUSTICIA SOCIAL / A. PRESTACIÓN EFECTIVA DE JUSTICIA CON ENFOQUE DIFERENCIAL Y MÉTODOS DE RESOLUCIÓN DE CONFLICTOS - ACCESO EFECTIVO A LA JUSTICIA - 20110A1 - RECURSO 16 - OBJ 18</t>
  </si>
  <si>
    <t>C-1203-0800-4-20110A2</t>
  </si>
  <si>
    <t>1203</t>
  </si>
  <si>
    <t>4</t>
  </si>
  <si>
    <t>20110A2</t>
  </si>
  <si>
    <t>2. SEGURIDAD HUMANA Y JUSTICIA SOCIAL / A. PRESTACIÓN EFECTIVA DE JUSTICIA CON ENFOQUE DIFERENCIAL Y MÉTODOS DE RESOLUCIÓN DE CONFLICTOS - ACCESO EFECTIVO A LA JUSTICIA - 20110A2 - RECURSO 16 - OBJ 4</t>
  </si>
  <si>
    <t>C-1204-0800-5-20113B1</t>
  </si>
  <si>
    <t>1204</t>
  </si>
  <si>
    <t>5</t>
  </si>
  <si>
    <t>20113B1</t>
  </si>
  <si>
    <t>2. SEGURIDAD HUMANA Y JUSTICIA SOCIAL / B. OFERTA INSTITUCIONAL Y DE LOS MECANISMOS DE JUSTICIA TRANSICIONAL - ACCESO EFECTIVO A LA JUSTICIA - 20113B1 - RECURSO 11 - OBJ 5</t>
  </si>
  <si>
    <t>C-1207-0800-9-20112B1</t>
  </si>
  <si>
    <t>1207</t>
  </si>
  <si>
    <t>9</t>
  </si>
  <si>
    <t>20112B1</t>
  </si>
  <si>
    <t>2. SEGURIDAD HUMANA Y JUSTICIA SOCIAL / B. JUSTICIA RESTAURATIVA PARA LA RECOMPOSICIÓN DE LOS LAZOS SOCIALES - ACCESO EFECTIVO A LA JUSTICIA - 20112B1 - RECURSO 16 - OBJ 9</t>
  </si>
  <si>
    <t>C-1207-0800-9-20112D1</t>
  </si>
  <si>
    <t>20112D1</t>
  </si>
  <si>
    <t>2. SEGURIDAD HUMANA Y JUSTICIA SOCIAL / D. ROBUSTECIMIENTO DE LA ALTERNATIVIDAD PENAL, TRATAMIENTO DIFERENCIADO Y PREVENCIÓN DEL DELITO - ACCESO EFECTIVO A LA JUSTICIA - 20112D1 - RECURSO 16 - OBJ 9</t>
  </si>
  <si>
    <t>C-1207-0800-9-20112E1</t>
  </si>
  <si>
    <t>20112E1</t>
  </si>
  <si>
    <t>2. SEGURIDAD HUMANA Y JUSTICIA SOCIAL / E. DE UN ENFOQUE REACTIVO DE LA POLÍTICA CRIMINAL Y PENITENCIARIA A UNO SUSTENTADO EN EVIDENCIA EMPÍRICA - ACCESO EFECTIVO A LA JUSTICIA - 20112E1 - RECURSO 16 - OBJ 9</t>
  </si>
  <si>
    <t>C-1207-0800-10-20112A1</t>
  </si>
  <si>
    <t>20112A1</t>
  </si>
  <si>
    <t>2. SEGURIDAD HUMANA Y JUSTICIA SOCIAL / A. TRATAMIENTO PENITENCIARIO, RESOCIALIZACIÓN Y NO REINCIDENCIA PARA UN PROYECTO DE VIDA DIGNO - ACCESO EFECTIVO A LA JUSTICIA - 20112A1 - RECURSO 16 - OBJ 10</t>
  </si>
  <si>
    <t>C-1207-0800-10-20112C1</t>
  </si>
  <si>
    <t>20112C1</t>
  </si>
  <si>
    <t>2. SEGURIDAD HUMANA Y JUSTICIA SOCIAL / C. ATENCIÓN A LA POBLACIÓN CONDENADA, SINDICADA Y POSPENADA EN LOS TERRITORIOS - ACCESO EFECTIVO A LA JUSTICIA - 20112C1 - RECURSO 16 - OBJ 10</t>
  </si>
  <si>
    <t>C-1207-0800-10-20112E1</t>
  </si>
  <si>
    <t>2. SEGURIDAD HUMANA Y JUSTICIA SOCIAL / E. DE UN ENFOQUE REACTIVO DE LA POLÍTICA CRIMINAL Y PENITENCIARIA A UNO SUSTENTADO EN EVIDENCIA EMPÍRICA - ACCESO EFECTIVO A LA JUSTICIA - 20112E1 - RECURSO 16 - OBJ 10</t>
  </si>
  <si>
    <t>C-1299-0800-7-20110D1</t>
  </si>
  <si>
    <t>1299</t>
  </si>
  <si>
    <t>7</t>
  </si>
  <si>
    <t>20110D1</t>
  </si>
  <si>
    <t>2. SEGURIDAD HUMANA Y JUSTICIA SOCIAL / D. TRANSFORMACIÓN DE LA EVIDENCIA PARA EL DISEÑO DE LAS POLÍTICAS DE JUSTICIA - FORTALECIMIENTO DE LA GOBERNANZA E INSTITUCIONALIDAD - 20110D1 - RECURSO 16 - OBJ 7</t>
  </si>
  <si>
    <t>C-1299-0800-8-20110C2</t>
  </si>
  <si>
    <t>8</t>
  </si>
  <si>
    <t>20110C2</t>
  </si>
  <si>
    <t>2. SEGURIDAD HUMANA Y JUSTICIA SOCIAL / C. RENOVACIÓN DE LA ARQUITECTURA INSTITUCIONAL DEL SISTEMA DE JUSTICIA - FORTALECIMIENTO DE LA GOBERNANZA E INSTITUCIONALIDAD - 20110C2 - RECURSO 11 - OBJ 8</t>
  </si>
  <si>
    <t>2. SEGURIDAD HUMANA Y JUSTICIA SOCIAL / C. RENOVACIÓN DE LA ARQUITECTURA INSTITUCIONAL DEL SISTEMA DE JUSTICIA - FORTALECIMIENTO DE LA GOBERNANZA E INSTITUCIONALIDAD - 20110C2 - RECURSO 16 - OBJ 8</t>
  </si>
  <si>
    <t>C-1299-0800-9-20110C2</t>
  </si>
  <si>
    <t>2. SEGURIDAD HUMANA Y JUSTICIA SOCIAL / C. RENOVACIÓN DE LA ARQUITECTURA INSTITUCIONAL DEL SISTEMA DE JUSTICIA - FORTALECIMIENTO DE LA GOBERNANZA E INSTITUCIONALIDAD - 20110C2 - RECURSO 11 - OBJ 9</t>
  </si>
  <si>
    <t>2. SEGURIDAD HUMANA Y JUSTICIA SOCIAL / C. RENOVACIÓN DE LA ARQUITECTURA INSTITUCIONAL DEL SISTEMA DE JUSTICIA - FORTALECIMIENTO DE LA GOBERNANZA E INSTITUCIONALIDAD - 20110C2 - RECURSO 16 - OBJ 9</t>
  </si>
  <si>
    <t>12-04-00</t>
  </si>
  <si>
    <t>SUPERINTENDENCIA DE NOTARIADO Y REGISTRO</t>
  </si>
  <si>
    <t>Propios</t>
  </si>
  <si>
    <t>20</t>
  </si>
  <si>
    <t>A-01-01-04</t>
  </si>
  <si>
    <t>A-01-02-01</t>
  </si>
  <si>
    <t>A-01-02-02</t>
  </si>
  <si>
    <t>A-01-02-03</t>
  </si>
  <si>
    <t>26</t>
  </si>
  <si>
    <t>A-03-03-01-054</t>
  </si>
  <si>
    <t>054</t>
  </si>
  <si>
    <t>FONDO PARA LOS NOTARIOS DE INSUFICIENTES INGRESOS. DECRETO 1672 DE 1997</t>
  </si>
  <si>
    <t>A-03-04-02-001</t>
  </si>
  <si>
    <t>001</t>
  </si>
  <si>
    <t>MESADAS PENSIONALES (DE PENSIONES)</t>
  </si>
  <si>
    <t>A-03-04-02-004</t>
  </si>
  <si>
    <t>004</t>
  </si>
  <si>
    <t>BONOS PENSIONALES (DE PENSIONES)</t>
  </si>
  <si>
    <t>A-03-04-02-014</t>
  </si>
  <si>
    <t>014</t>
  </si>
  <si>
    <t>AUXILIO FUNERARIO (NO DE PENSIONES)</t>
  </si>
  <si>
    <t>A-03-04-02-089</t>
  </si>
  <si>
    <t>089</t>
  </si>
  <si>
    <t>PRESTACIONES ECONÓMICAS FONPRENOR - LEY 1668 DE 1997 (OTRAS PRESTACIONES DE JUBILACIÓN)</t>
  </si>
  <si>
    <t>21</t>
  </si>
  <si>
    <t>A-08-05</t>
  </si>
  <si>
    <t>05</t>
  </si>
  <si>
    <t>MULTAS, SANCIONES E INTERESES DE MORA</t>
  </si>
  <si>
    <t>C-1204-0800-3-10306A</t>
  </si>
  <si>
    <t>3</t>
  </si>
  <si>
    <t>10306A</t>
  </si>
  <si>
    <t>1. ORDENAMIENTO DEL TERRITORIO ALREDEDOR DEL AGUA Y JUSTICIA AMBIENTAL / A. ACCESO Y FORMALIZACIÓN DE LA PROPIEDAD - C-1204-0800-3-10306A</t>
  </si>
  <si>
    <t>C-1209-0800-15-10305B</t>
  </si>
  <si>
    <t>1209</t>
  </si>
  <si>
    <t>10305B</t>
  </si>
  <si>
    <t>1. ORDENAMIENTO DEL TERRITORIO ALREDEDOR DEL AGUA Y JUSTICIA AMBIENTAL / B. ACTUALIZACIÓN CATASTRAL MULTIPROPÓSITO - C-1209-0800-15-10305B - RECURSO 14</t>
  </si>
  <si>
    <t>1. ORDENAMIENTO DEL TERRITORIO ALREDEDOR DEL AGUA Y JUSTICIA AMBIENTAL / B. ACTUALIZACIÓN CATASTRAL MULTIPROPÓSITO - C-1209-0800-15-10305B - RECURSO 20</t>
  </si>
  <si>
    <t>C-1209-0800-17-53105B</t>
  </si>
  <si>
    <t>53105B</t>
  </si>
  <si>
    <t>5. CONVERGENCIA REGIONAL / B. ENTIDADES PÚBLICAS TERRITORIALES Y NACIONALES FORTALECIDAS - C-1209-0800-17-53105B</t>
  </si>
  <si>
    <t>C-1299-0800-8-10305C</t>
  </si>
  <si>
    <t>10305C</t>
  </si>
  <si>
    <t>1. ORDENAMIENTO DEL TERRITORIO ALREDEDOR DEL AGUA Y JUSTICIA AMBIENTAL / C. SISTEMA DE ADMINISTRACIÓN DEL TERRITORIO (SAT) - C-1299-0800-8-10305C</t>
  </si>
  <si>
    <t>C-1299-0800-9-10305C</t>
  </si>
  <si>
    <t>1. ORDENAMIENTO DEL TERRITORIO ALREDEDOR DEL AGUA Y JUSTICIA AMBIENTAL / C. SISTEMA DE ADMINISTRACIÓN DEL TERRITORIO (SAT) - C-1299-0800-9-10305C</t>
  </si>
  <si>
    <t>C-1299-0800-10-53105B</t>
  </si>
  <si>
    <t>5. CONVERGENCIA REGIONAL / B. ENTIDADES PÚBLICAS TERRITORIALES Y NACIONALES FORTALECIDAS - C-1299-0800-10-53105B</t>
  </si>
  <si>
    <t>12-08-00</t>
  </si>
  <si>
    <t>INSTITUTO NACIONAL PENITENCIARIO Y CARCELARIO - INPEC</t>
  </si>
  <si>
    <t>A-03-03-01-017</t>
  </si>
  <si>
    <t>017</t>
  </si>
  <si>
    <t>ATENCIÓN REHABILITACIÓN AL RECLUSO</t>
  </si>
  <si>
    <t>A-03-03-01-018</t>
  </si>
  <si>
    <t>018</t>
  </si>
  <si>
    <t>IMPLEMENTACIÓN Y DESARROLLO DEL SISTEMA INTEGRAL DE TRATAMIENTO PROGRESIVO PENITENCIARIO</t>
  </si>
  <si>
    <t>A-03-03-01-019</t>
  </si>
  <si>
    <t>019</t>
  </si>
  <si>
    <t>SERVICIO POSTPENITENCIARIO LEY 65 DE 1993</t>
  </si>
  <si>
    <t>A-03-04-02-023</t>
  </si>
  <si>
    <t>023</t>
  </si>
  <si>
    <t>INDEMNIZACIÓN POR DISMINUCIÓN DE LA CAPACIDAD PSICOFÍSICA (NO DE PENSIONES)</t>
  </si>
  <si>
    <t>A-05</t>
  </si>
  <si>
    <t>GASTOS DE COMERCIALIZACIÓN Y PRODUCCIÓN</t>
  </si>
  <si>
    <t>A-08-04-03</t>
  </si>
  <si>
    <t>CONTRIBUCIÓN NACIONAL DE VALORIZACIÓN</t>
  </si>
  <si>
    <t>C-1206-0800-11-20112A</t>
  </si>
  <si>
    <t>1206</t>
  </si>
  <si>
    <t>20112A</t>
  </si>
  <si>
    <t>2. SEGURIDAD HUMANA Y JUSTICIA SOCIAL / A. TRATAMIENTO PENITENCIARIO, RESOCIALIZACIÓN Y NO REINCIDENCIA PARA UN PROYECTO DE VIDA DIGNO - C-1206-0800-11-20112A</t>
  </si>
  <si>
    <t>C-1206-0800-12-20112C</t>
  </si>
  <si>
    <t>12</t>
  </si>
  <si>
    <t>20112C</t>
  </si>
  <si>
    <t>2. SEGURIDAD HUMANA Y JUSTICIA SOCIAL / C. ATENCIÓN A LA POBLACIÓN CONDENADA, SINDICADA Y POSPENADA EN LOS TERRITORIOS - C-1206-0800-12-20112C</t>
  </si>
  <si>
    <t>C-1299-0800-6-20112C</t>
  </si>
  <si>
    <t>6</t>
  </si>
  <si>
    <t>2. SEGURIDAD HUMANA Y JUSTICIA SOCIAL / C. ATENCIÓN A LA POBLACIÓN CONDENADA, SINDICADA Y POSPENADA EN LOS TERRITORIOS - C-1299-0800-6-20112C</t>
  </si>
  <si>
    <t>C-1299-0800-7-20112C</t>
  </si>
  <si>
    <t>2. SEGURIDAD HUMANA Y JUSTICIA SOCIAL / C. ATENCIÓN A LA POBLACIÓN CONDENADA, SINDICADA Y POSPENADA EN LOS TERRITORIOS - C-1299-0800-7-20112C</t>
  </si>
  <si>
    <t>12-10-00</t>
  </si>
  <si>
    <t>UNIDAD ADMINISTRATIVA ESPECIAL AGENCIA NACIONAL DE DEFENSA JURÍDICA DEL ESTADO</t>
  </si>
  <si>
    <t>A-03-03-01-078</t>
  </si>
  <si>
    <t>078</t>
  </si>
  <si>
    <t>DEFENSA DE LOS INTERESES DEL ESTADO EN CONTROVERSIAS INTERNACIONALES</t>
  </si>
  <si>
    <t>C-1205-0800-3-20110E</t>
  </si>
  <si>
    <t>1205</t>
  </si>
  <si>
    <t>20110E</t>
  </si>
  <si>
    <t>2. SEGURIDAD HUMANA Y JUSTICIA SOCIAL / E. SISTEMA NACIONAL DE DEFENSA JURÍDICA DEL ESTADO - C-1205-0800-3-20110E - RECURSO 11</t>
  </si>
  <si>
    <t>2. SEGURIDAD HUMANA Y JUSTICIA SOCIAL / E. SISTEMA NACIONAL DE DEFENSA JURÍDICA DEL ESTADO - C-1205-0800-3-20110E - RECURSO 14</t>
  </si>
  <si>
    <t>12-11-00</t>
  </si>
  <si>
    <t>UNIDAD DE SERVICIOS PENITENCIARIOS Y CARCELARIOS - USPEC</t>
  </si>
  <si>
    <t>A-03-04-01-011</t>
  </si>
  <si>
    <t>011</t>
  </si>
  <si>
    <t>IMPLEMENTACIÓN DEL SISTEMA INTEGRAL DE SALUD EN EL SISTEMA PENITENCIARIO (NO DE PENSIONES)</t>
  </si>
  <si>
    <t>A-03-04-01-014</t>
  </si>
  <si>
    <t>ALIMENTACIÓN PARA INTERNOS</t>
  </si>
  <si>
    <t>C-1206-0800-6-20112C</t>
  </si>
  <si>
    <t>2. SEGURIDAD HUMANA Y JUSTICIA SOCIAL / C. ATENCIÓN A LA POBLACIÓN CONDENADA, SINDICADA Y POSPENADA EN LOS TERRITORIOS - C-1206-0800-6-20112C</t>
  </si>
  <si>
    <t>C-1206-0800-7-20112C</t>
  </si>
  <si>
    <t>2. SEGURIDAD HUMANA Y JUSTICIA SOCIAL / C. ATENCIÓN A LA POBLACIÓN CONDENADA, SINDICADA Y POSPENADA EN LOS TERRITORIOS - C-1206-0800-7-20112C</t>
  </si>
  <si>
    <t>C-1206-0800-10-20112C</t>
  </si>
  <si>
    <t>2. SEGURIDAD HUMANA Y JUSTICIA SOCIAL / C. ATENCIÓN A LA POBLACIÓN CONDENADA, SINDICADA Y POSPENADA EN LOS TERRITORIOS - C-1206-0800-10-20112C - RECURSO 10</t>
  </si>
  <si>
    <t>2. SEGURIDAD HUMANA Y JUSTICIA SOCIAL / C. ATENCIÓN A LA POBLACIÓN CONDENADA, SINDICADA Y POSPENADA EN LOS TERRITORIOS - C-1206-0800-10-20112C - RECURSO 16</t>
  </si>
  <si>
    <t>Funcionamiento</t>
  </si>
  <si>
    <t>Inversión</t>
  </si>
  <si>
    <t>Total</t>
  </si>
  <si>
    <t>Corte 31 de octubre de 2024</t>
  </si>
  <si>
    <t xml:space="preserve">MINISTERIO DE JUSTICIA Y DEL DERECHO </t>
  </si>
  <si>
    <t>Descripción</t>
  </si>
  <si>
    <t>Apropiación Vigente</t>
  </si>
  <si>
    <t>Apropiación Bloqueada</t>
  </si>
  <si>
    <t>Apropiación Disponible 
(Menos Bloqueo)</t>
  </si>
  <si>
    <t>Compromisos</t>
  </si>
  <si>
    <t>% Compromisos/
Aprop vigente</t>
  </si>
  <si>
    <t>% Compromisos/
Aprop disponibe</t>
  </si>
  <si>
    <t>Obligaciones</t>
  </si>
  <si>
    <t xml:space="preserve">% Obligados/
Aprop vigente </t>
  </si>
  <si>
    <t>% Obligados/Aprop disponible</t>
  </si>
  <si>
    <t>Saldo sin comprometer Apropiación Vigente</t>
  </si>
  <si>
    <t>Saldo sin comprometer Apropiación Disponible</t>
  </si>
  <si>
    <t xml:space="preserve">SUPERINTENDENCIA DE NOTARIADO Y REGISTRO </t>
  </si>
  <si>
    <t>Apropiación Disponible</t>
  </si>
  <si>
    <t xml:space="preserve">INSTITUTO NACIONAL PENITENCIARIO Y CARCELARIO </t>
  </si>
  <si>
    <t xml:space="preserve">AGENCIA DE DEFENSA JURÍDICA DEL ESTADO </t>
  </si>
  <si>
    <t>UNIDAD DE SERVICIOS PENITENCIARIOS Y CARCELARIOS</t>
  </si>
  <si>
    <t>SECTOR JUSTICIA Y DEL DERECHO</t>
  </si>
  <si>
    <t xml:space="preserve">TOTAL </t>
  </si>
  <si>
    <t xml:space="preserve">MINISTERIO DE JUSTICIA Y DEL DERECHO 
FUNCIONAMIENTO Y SERVICIO DE LA DEUDA - RESUMEN  EJECUTIVO CUMPLIMIENTO DE COMPROMISOS </t>
  </si>
  <si>
    <t>DESCRIPCIÓN</t>
  </si>
  <si>
    <t>APROPIACIÓN VIGENTE</t>
  </si>
  <si>
    <t>APROPIACIÓN BLOQUEADA</t>
  </si>
  <si>
    <t>APROPIACIÓN DISPONIBLE</t>
  </si>
  <si>
    <t xml:space="preserve">COMPROMISOS -SIIF </t>
  </si>
  <si>
    <t>% COMPROMISOS/
APR. VIGENTE</t>
  </si>
  <si>
    <t>% COMPROMISOS/
APR. DISPONIBLE</t>
  </si>
  <si>
    <t xml:space="preserve">OBLIGADOS -SIIF </t>
  </si>
  <si>
    <t>% OBLIGADOS/
APR. VIGENTE</t>
  </si>
  <si>
    <t>% OBLIGADOS/
APR. DISPONIBLE</t>
  </si>
  <si>
    <t>Gastos de Personal</t>
  </si>
  <si>
    <t xml:space="preserve">Adquisición de Bienes y  Servicios </t>
  </si>
  <si>
    <t>ADQUISICION DE BIENES Y SERVICIOS</t>
  </si>
  <si>
    <t>Transferencias Corrientes</t>
  </si>
  <si>
    <t xml:space="preserve">Gastos por tributos multas sanciones e intereses de mora </t>
  </si>
  <si>
    <t>TOTAL FUNCIONAMIENTO</t>
  </si>
  <si>
    <t>MINISTERIO DE JUSTICIA Y DEL DERECHO
 INVERSION - RESUMEN  EJECUCION  - CUMPLIMIENTO  POR  AREAS</t>
  </si>
  <si>
    <t>DEPENDENCIA</t>
  </si>
  <si>
    <t>DESCRIPCIÓN EJECUCIÓN</t>
  </si>
  <si>
    <t xml:space="preserve"> PROYECTOS</t>
  </si>
  <si>
    <t>APROPIACION VIGENTE</t>
  </si>
  <si>
    <t xml:space="preserve">DIRECCIÓN DE ORDENAMIENTO JURIDICO </t>
  </si>
  <si>
    <t>MEJORAMIENTO DE LA APLICACIÓN DEL PRINCIPIO DE SEGURIDAD JURÍDICA A NIVEL NACIONAL</t>
  </si>
  <si>
    <t>DIRECCIÓN DE MÉTODOS ALTERNATIVOS Y SOLUCIÓN DE CONFLICTOS</t>
  </si>
  <si>
    <t>MEJORAMIENTO DEL ACCESO A LA JUSTICIA LOCAL Y RURAL A NIVEL NACIONAL</t>
  </si>
  <si>
    <t>DESARROLLO INTEGRAL DE LOS MÉTODOS DE RESOLUCIÓN DE CONFLICTOS A NIVEL NACIONAL</t>
  </si>
  <si>
    <t>DIRECCION DE JUSTICIA FORMAL</t>
  </si>
  <si>
    <t>FORTALECIMIENTO DE LA JUSTICIA CON ENFOQUE DIFERENCIAL A NIVEL NACIONAL</t>
  </si>
  <si>
    <t>AMPLIACIÓN DE CAPACIDADES PARA LA ARTICULACIÓN Y PROMOCIÓN DE LA JUSTICIA FORMAL A NIVEL NACIONAL</t>
  </si>
  <si>
    <t>IMPLEMENTACION DEL EXPEDIENTE DIGITAL DE LOS SERVICIOS DE JUSTICIA OFRECIDOS POR LAS ENTIDADES CON FUNCIONES JURISDICCIONALES DE LA RAMA EJECUTIVA  NACIONAL</t>
  </si>
  <si>
    <t>FORTALECIMIENTO DE LAS CAPACIDADES INSTITUCIONALES Y CIUDADANAS PARA EL ACCESO EFECTIVO A LA JUSTICIA FAMILIAR  NACIONAL</t>
  </si>
  <si>
    <t xml:space="preserve">DIRECCIÓN DE JUSTICIA TRANSICIONAL </t>
  </si>
  <si>
    <t>FORTALECIMIENTO DE LA ARTICULACIÓN INSTITUCIONAL EN LA APLICACIÓN DE LOS MECANISMOS DE JUSTICIA TRANSICIONAL A NIVEL NACIONAL</t>
  </si>
  <si>
    <t xml:space="preserve">DIRECCIÓN DE POLÍTICA CRIMINAL </t>
  </si>
  <si>
    <t>FORTALECIMIENTO DE LA PREVENCIÓN DEL DELITO EN EL MARCO DE LA POLÍTICA CRIMINAL A NIVEL NACIONAL</t>
  </si>
  <si>
    <t>OPTIMIZACIÓN DE LOS SISTEMAS PENALES EN EL MARCO DE LA POLÍTICA CRIMINAL A NIVEL NACIONAL</t>
  </si>
  <si>
    <t>SECRETARÍA GRAL - OAP</t>
  </si>
  <si>
    <t>MEJORAMIENTO DE LA EFICIENCIA INSTITUCIONAL DEL MJD PARA EL FORTALECIMIENTO DEL ACCESO A LA JUSTICIA A NIVEL  NACIONAL</t>
  </si>
  <si>
    <t>DIRECCIÓN DE TECNOLOGIAS Y SISTEMAS DE INFORMACION</t>
  </si>
  <si>
    <t>FORTALECIMIENTO DE LA GESTIÓN TECNOLÓGICA CON ENFOQUE DE INVESTIGACIÓN, DESARROLLO E INNOVACIÓN PARA EL MEJORAMIENTO DEL ACCESO A LA JUSTICIA A NIVEL NACIONAL</t>
  </si>
  <si>
    <t>GRUPO DE GESTIÓN DOCUMENTAL</t>
  </si>
  <si>
    <t>MEJORAMIENTO DE LA OFERTA DE SERVICIOS DE GESTION DOCUMENTAL DEL MINISTERIO DE JUSTICIA Y DEL DERECHO A NIVEL  NACIONAL</t>
  </si>
  <si>
    <t>TOTAL INVERSION</t>
  </si>
  <si>
    <t xml:space="preserve">SUPERINTENDENCIA DE NOTARIADO Y REGISTRO
FUNCIONAMIENTO Y SERVICIO DE LA DEUDA - RESUMEN  EJECUTIVO CUMPLIMIENTO DE COMPROMISOS </t>
  </si>
  <si>
    <t xml:space="preserve">DESCRIPCIÓN RUBRO PRESUPUESTAL </t>
  </si>
  <si>
    <t>Salario</t>
  </si>
  <si>
    <t>Contribuciones inherentes a la nómina</t>
  </si>
  <si>
    <t>Remuneraciones no constitutivas de factor salarial</t>
  </si>
  <si>
    <t>Otros gastos de personal - distribución previo concepto DGPPN</t>
  </si>
  <si>
    <t xml:space="preserve">Adquisición de Bienes y Servicios </t>
  </si>
  <si>
    <t>Fondo para los notarios de insuficientes ingresos. Decreto 1672 de 1997</t>
  </si>
  <si>
    <t>Otras transferencias - distribución previo concepto DGPPN</t>
  </si>
  <si>
    <t>Mesadas pensionales (de pensiones)</t>
  </si>
  <si>
    <t>Bonos pensionales (de pensiones)</t>
  </si>
  <si>
    <t>Incapacidades y licencias de maternidad y paternidad (no de pensiones)</t>
  </si>
  <si>
    <t>Auxilios funerarios (no de pensiones)</t>
  </si>
  <si>
    <t>Prestaciones económicas fonprenor. decreto 1668 de 1997 (otras prestaciones de jubilación)</t>
  </si>
  <si>
    <t>Sentencias y conciliaciones</t>
  </si>
  <si>
    <t xml:space="preserve">Gastos por Tributos Multas Sanciones e Intereses de Mora </t>
  </si>
  <si>
    <t>Impuestos</t>
  </si>
  <si>
    <t>Cuota de fiscalización y auditaje</t>
  </si>
  <si>
    <t>Multas Sanciones e Intereses de Mora</t>
  </si>
  <si>
    <t>SUBTOTAL FUNCIONAMIENTO</t>
  </si>
  <si>
    <t xml:space="preserve">  </t>
  </si>
  <si>
    <t xml:space="preserve">SUPERINTENDENCIA DE NOTARIADO Y REGISTRO
INVERSION - RESUMEN  EJECUTIVO CUMPLIMIENTO DE COMPROMISOS </t>
  </si>
  <si>
    <t>PROYECTOS</t>
  </si>
  <si>
    <t>MODERNIZACIÓN DE LA INFORMACIÓN INMOBILIARIA</t>
  </si>
  <si>
    <t>FORTALECIMIENTO A LA GESTIÓN REGISTRAL PARA LA POLITICA DE TIERRAS NACIONAL.</t>
  </si>
  <si>
    <t>INTEGRACIÓN DE LA INFORMACIÓN REGISTRAL Y CATASTRAL DE LOS BIENES INMUEBLES EN EL MARCO DE CATASTRO MULTIPROPOSITO A NIVEL NACIONAL.</t>
  </si>
  <si>
    <t>RENOVACIÓN DE LA INFRAESTRUCTURA FISICA DE LA SUPERINTENDENCIA DE NOTARIADO Y REGISTRO A NIVEL NACIONAL.</t>
  </si>
  <si>
    <t>FORTALECIMIENTO DE LA GESTIÓN Y DIRECCIÓN DEL SECTOR JUSTICIA Y DEL DERECHO</t>
  </si>
  <si>
    <t>FORTALECIMIENTO TECNOLOGICO HACIA LA TRANSFORMACIÓN DIGITAL DE LA SNR A NIVEL NACIONAL.</t>
  </si>
  <si>
    <t xml:space="preserve">IMPLEMENTACIÓN DEL SISTEMA DE GESTIÓN DOCUMENTAL DE LA SNR A NIVEL NACIONAL. </t>
  </si>
  <si>
    <t>FORTALECIMIENTO DE LOS SISTEMAS DE PLANEACIÓN Y GESTIÓN INSTITUCIONAL DE LA SNR A NIVEL NACIONAL.</t>
  </si>
  <si>
    <t>TOTAL INVERSIÓN</t>
  </si>
  <si>
    <t xml:space="preserve">INSTITUTO NACIONAL PENITENCIARIO Y CARCELARIO 
FUNCIONAMIENTO Y SERVICIO DE LA DEUDA - RESUMEN  EJECUTIVO CUMPLIMIENTO DE COMPROMISOS </t>
  </si>
  <si>
    <t xml:space="preserve">Gastos de Personal </t>
  </si>
  <si>
    <t>Adquisición de Bienes y servicios</t>
  </si>
  <si>
    <t>Atención rehabilitación al recluso</t>
  </si>
  <si>
    <t>Implementación y desarrollo del sistema integral de tratamiento progresivo penitenciario</t>
  </si>
  <si>
    <t>Servicio pos penitenciario ley 65/93</t>
  </si>
  <si>
    <t>Indemnización por disminución de la Capacidad Psicofísica (No De Pensiones)</t>
  </si>
  <si>
    <t>Gastos de Comercialización y Producción</t>
  </si>
  <si>
    <t>Gastos de Producción y Comercialización</t>
  </si>
  <si>
    <t>Tasas y derechos administrativos</t>
  </si>
  <si>
    <t>Contribución nacional de valorización</t>
  </si>
  <si>
    <t>Multas, sanciones e intereses de mora</t>
  </si>
  <si>
    <t xml:space="preserve">INSTITUTO NACIONAL PENITENCIARIO Y CARCELARIO 
INVERSION - RESUMEN  EJECUTIVO CUMPLIMIENTO DE COMPROMISOS </t>
  </si>
  <si>
    <t>SISTEMA PENITENCIARIO Y CARCELARIO EN EL MARCO DE LOS DERECHOS HUMANOS</t>
  </si>
  <si>
    <t>FORTALECIMIENTO DEL PROCESO DE RESOCIALIZACIÓN EN LOS ERON A NIVEL NACIONAL.</t>
  </si>
  <si>
    <t>FORTALECIMIENTO DE LA INDUSTRIA PENITENCIARIA A NIVEL NACIONAL.</t>
  </si>
  <si>
    <t>FORTALECIMEINTO DE LA GESTIÓN Y DIRECCIÓN DEL SECTOR JUSTICIA Y DEL DERECHO</t>
  </si>
  <si>
    <t>FORTALECIMIENTO EN LA PRESTACIÓN DEL SERVICIO DE FORMACIÓN VIRTUAL AL CUERPO DE CUSTODIA Y VIGILANCIA DEL INPEC A NIVEL NACIONAL.</t>
  </si>
  <si>
    <t>MODERNIZACIÓN INTEGRAL DE LAS CAPACIDADES TECNOLOGICAS DEL INPEC A NIVEL NACIONAL.</t>
  </si>
  <si>
    <t xml:space="preserve">AGENCIA NACIONAL DE DEFENSA JURIDICA DEL ESTADO
FUNCIONAMIENTO Y SERVICIO DE LA DEUDA - RESUMEN  EJECUTIVO CUMPLIMIENTO DE COMPROMISOS </t>
  </si>
  <si>
    <t>Adquisición de Bienes y Servicios</t>
  </si>
  <si>
    <t>Adquisiciones de bienes y servicios</t>
  </si>
  <si>
    <t>Defensa de los intereses del estado en controversias internacionales</t>
  </si>
  <si>
    <t>Incapacidades y licencias de maternidad (no de pensiones)</t>
  </si>
  <si>
    <t>Cuota de Fiscalización y auditaje</t>
  </si>
  <si>
    <t>Servicio de la Deuda</t>
  </si>
  <si>
    <t>Aportes al Fondo de Contingencias</t>
  </si>
  <si>
    <t>TOTAL SERVICIO DE LA DEUDA</t>
  </si>
  <si>
    <t>TOTAL FUNCIONAMIENTO Y SERVICIO DE LA DEUDA</t>
  </si>
  <si>
    <t xml:space="preserve">AGENCIA NACIONAL DE DEFENSA JURIDICA DEL ESTADO
INVERSION - RESUMEN  EJECUTIVO CUMPLIMIENTO DE COMPROMISOS </t>
  </si>
  <si>
    <t>DEPENDENCIAS</t>
  </si>
  <si>
    <t>APROPIACION BLOQUEADA</t>
  </si>
  <si>
    <t>DEFENSA JURIDICA DEL ESTADO</t>
  </si>
  <si>
    <t>IMPLEMENTACIÓN DEL PROGRAMA DE FORTALECIMIENTO DE LA AGENCIA DE DEFENSA JURIDICA A NIVEL NACIONAL.</t>
  </si>
  <si>
    <t xml:space="preserve">UNIDAD DE SERVICIOS PENITENCIARIOS Y CARCELARIOS
FUNCIONAMIENTO Y SERVICIO DE LA DEUDA - RESUMEN  EJECUTIVO CUMPLIMIENTO DE COMPROMISOS </t>
  </si>
  <si>
    <t>APROPIACION  BLOQUEADA</t>
  </si>
  <si>
    <t xml:space="preserve">% OBLIGADOS/
Aprop Disponible </t>
  </si>
  <si>
    <t>META SEPTIEMBRE</t>
  </si>
  <si>
    <t>Adquisición de bienes y servicios</t>
  </si>
  <si>
    <t xml:space="preserve">
Otras Transferencias - Distribución previo concepto DGPPN
</t>
  </si>
  <si>
    <t>Implementación del sistema integral de salud en el sistema penitenciario (no de pensiones)</t>
  </si>
  <si>
    <t>Alimentación para Internos</t>
  </si>
  <si>
    <t>UNIDAD DE SERVICIOS PENITENCIARIOS Y CARCELARIOS
INVERSION - RESUMEN  EJECUTIVO CUMPLIMIENTO DE COMPROMISOS</t>
  </si>
  <si>
    <t>CONSTRUCCIÓN - AMPLIACIÓN DE INFRAESTRUCTURA PARA GENERACIÓN DE CUPOS EN LOS ERON.</t>
  </si>
  <si>
    <t>FORTALECIMIENTO DE LA ESTRUCTURA FISICA DE LOS ERON A CARGO DEL INPEC - NACIONAL.</t>
  </si>
  <si>
    <t>MEJORAMIENTO TECNOLOGICO DE LA SEGURIDAD EN LOS ERON.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</si>
</sst>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_-&quot;$&quot;* #,##0_-;\-&quot;$&quot;* #,##0_-;_-&quot;$&quot;* &quot;-&quot;_-;_-@_-"/>
    <numFmt numFmtId="166" formatCode="_(&quot;$&quot;\ * #,##0.00_);_(&quot;$&quot;\ * \(#,##0.00\);_(&quot;$&quot;\ * &quot;-&quot;??_);_(@_)"/>
    <numFmt numFmtId="167" formatCode="[$-1240A]&quot;$&quot;\ #,##0.00;\(&quot;$&quot;\ #,##0.00\)"/>
    <numFmt numFmtId="168" formatCode="_-* #,##0.00_-;\-* #,##0.00_-;_-* &quot;-&quot;_-;_-@_-"/>
    <numFmt numFmtId="169" formatCode="0.0%"/>
    <numFmt numFmtId="170" formatCode="_-* #,##0.00\ _€_-;\-* #,##0.00\ _€_-;_-* &quot;-&quot;??\ _€_-;_-@_-"/>
    <numFmt numFmtId="171" formatCode="#,##0.00_ ;\-#,##0.00\ "/>
    <numFmt numFmtId="172" formatCode="[$-1240A]&quot;$&quot;\ #,##0.00;\-&quot;$&quot;\ #,##0.00"/>
    <numFmt numFmtId="173" formatCode="_-* #,##0\ _€_-;\-* #,##0\ _€_-;_-* &quot;-&quot;??\ _€_-;_-@_-"/>
    <numFmt numFmtId="174" formatCode="_(* #,##0_);_(* \(#,##0\);_(* &quot;-&quot;??_);_(@_)"/>
  </numFmts>
  <fonts count="64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2"/>
      <name val="Century Gothic"/>
      <family val="2"/>
    </font>
    <font>
      <sz val="11"/>
      <name val="Calibri"/>
      <family val="2"/>
    </font>
    <font>
      <sz val="11"/>
      <name val="Century Gothic"/>
      <family val="2"/>
    </font>
    <font>
      <b/>
      <sz val="16"/>
      <name val="Century Gothic"/>
      <family val="2"/>
    </font>
    <font>
      <b/>
      <sz val="11"/>
      <name val="Calibri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rgb="FF002060"/>
      <name val="Century Gothic"/>
      <family val="2"/>
    </font>
    <font>
      <sz val="11"/>
      <color rgb="FF000000"/>
      <name val="Century Gothic"/>
      <family val="2"/>
    </font>
    <font>
      <sz val="11"/>
      <color theme="1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Times New Roman"/>
      <family val="1"/>
    </font>
    <font>
      <sz val="14"/>
      <color theme="3"/>
      <name val="Century Gothic"/>
      <family val="2"/>
    </font>
    <font>
      <b/>
      <sz val="16"/>
      <color theme="3"/>
      <name val="Century Gothic"/>
      <family val="2"/>
    </font>
    <font>
      <b/>
      <sz val="12"/>
      <color theme="3"/>
      <name val="Century Gothic"/>
      <family val="2"/>
    </font>
    <font>
      <b/>
      <sz val="14"/>
      <color theme="3"/>
      <name val="Century Gothic"/>
      <family val="2"/>
    </font>
    <font>
      <b/>
      <sz val="12"/>
      <color theme="3" tint="-0.249977111117893"/>
      <name val="Century Gothic"/>
      <family val="2"/>
    </font>
    <font>
      <b/>
      <sz val="9"/>
      <color rgb="FF28328A"/>
      <name val="Arial"/>
      <family val="2"/>
    </font>
    <font>
      <b/>
      <sz val="11"/>
      <color rgb="FF003399"/>
      <name val="Century Gothic"/>
      <family val="2"/>
    </font>
    <font>
      <sz val="10"/>
      <name val="Arial"/>
      <family val="2"/>
    </font>
    <font>
      <b/>
      <sz val="12"/>
      <color rgb="FFFFFFFF"/>
      <name val="Calibri"/>
      <family val="2"/>
    </font>
    <font>
      <b/>
      <sz val="12"/>
      <color theme="0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1"/>
      <color rgb="FFFFFFFF"/>
      <name val="Calibri"/>
      <family val="2"/>
    </font>
    <font>
      <b/>
      <sz val="14"/>
      <color rgb="FF002060"/>
      <name val="Calibri"/>
      <family val="2"/>
    </font>
    <font>
      <b/>
      <sz val="20"/>
      <color rgb="FF28328A"/>
      <name val="Century Gothic"/>
      <family val="2"/>
    </font>
    <font>
      <b/>
      <sz val="12"/>
      <color rgb="FF28328A"/>
      <name val="Calibri"/>
      <family val="2"/>
      <scheme val="minor"/>
    </font>
    <font>
      <b/>
      <sz val="16"/>
      <color rgb="FF28328A"/>
      <name val="Calibri"/>
      <family val="2"/>
      <scheme val="minor"/>
    </font>
    <font>
      <sz val="8"/>
      <name val="Arial"/>
      <family val="2"/>
    </font>
    <font>
      <b/>
      <sz val="16"/>
      <color theme="3"/>
      <name val="Century Gothic"/>
      <family val="1"/>
    </font>
    <font>
      <sz val="12"/>
      <color rgb="FF1F497D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</font>
    <font>
      <sz val="12"/>
      <color theme="0"/>
      <name val="Century Gothic"/>
      <family val="2"/>
    </font>
    <font>
      <sz val="12"/>
      <color theme="1"/>
      <name val="Calibri"/>
      <family val="2"/>
      <scheme val="minor"/>
    </font>
    <font>
      <sz val="12"/>
      <name val="Calibri"/>
      <family val="2"/>
    </font>
    <font>
      <b/>
      <sz val="16"/>
      <color rgb="FF28328A"/>
      <name val="Century Gothic"/>
      <family val="2"/>
    </font>
    <font>
      <b/>
      <sz val="14"/>
      <color theme="0"/>
      <name val="Calibri"/>
      <family val="2"/>
      <scheme val="minor"/>
    </font>
    <font>
      <b/>
      <sz val="12"/>
      <color theme="0"/>
      <name val="Arial"/>
      <family val="2"/>
    </font>
    <font>
      <sz val="12"/>
      <color rgb="FF202124"/>
      <name val="Arial"/>
      <family val="2"/>
    </font>
    <font>
      <sz val="12"/>
      <color rgb="FF000000"/>
      <name val="Courier New"/>
      <family val="3"/>
    </font>
    <font>
      <b/>
      <sz val="10"/>
      <color rgb="FF260A00"/>
      <name val="Arial"/>
      <family val="2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b/>
      <sz val="9"/>
      <color rgb="FF000000"/>
      <name val="Times New Roman"/>
      <family val="1"/>
    </font>
    <font>
      <b/>
      <sz val="8"/>
      <color rgb="FF000000"/>
      <name val="Times New Roman"/>
      <family val="1"/>
    </font>
    <font>
      <sz val="12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rgb="FFE9EDF4"/>
        <bgColor indexed="64"/>
      </patternFill>
    </fill>
    <fill>
      <patternFill patternType="solid">
        <fgColor rgb="FFEEF3F8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/>
        <bgColor indexed="64"/>
      </patternFill>
    </fill>
  </fills>
  <borders count="27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medium">
        <color auto="1"/>
      </left>
      <right/>
      <top/>
      <bottom/>
      <diagonal/>
    </border>
    <border>
      <left style="dotted">
        <color rgb="FF0066CC"/>
      </left>
      <right style="dotted">
        <color rgb="FF0066CC"/>
      </right>
      <top style="dotted">
        <color rgb="FF0066CC"/>
      </top>
      <bottom style="dotted">
        <color rgb="FF0066CC"/>
      </bottom>
      <diagonal/>
    </border>
    <border>
      <left style="dotted">
        <color rgb="FF0066CC"/>
      </left>
      <right/>
      <top style="dotted">
        <color rgb="FF0066CC"/>
      </top>
      <bottom style="dotted">
        <color rgb="FF0066CC"/>
      </bottom>
      <diagonal/>
    </border>
    <border>
      <left/>
      <right/>
      <top style="dotted">
        <color rgb="FF0066CC"/>
      </top>
      <bottom style="dotted">
        <color rgb="FF0066CC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theme="0"/>
      </left>
      <right/>
      <top/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/>
      <right style="dotted">
        <color rgb="FF0066CC"/>
      </right>
      <top/>
      <bottom/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 style="medium">
        <color theme="0"/>
      </top>
      <bottom/>
      <diagonal/>
    </border>
    <border>
      <left/>
      <right/>
      <top style="medium">
        <color rgb="FFFFFFFF"/>
      </top>
      <bottom/>
      <diagonal/>
    </border>
  </borders>
  <cellStyleXfs count="48">
    <xf numFmtId="0" fontId="0" fillId="0" borderId="0"/>
    <xf numFmtId="164" fontId="22" fillId="0" borderId="0" applyFont="0" applyFill="0" applyBorder="0" applyAlignment="0" applyProtection="0"/>
    <xf numFmtId="0" fontId="23" fillId="0" borderId="0"/>
    <xf numFmtId="0" fontId="22" fillId="0" borderId="0"/>
    <xf numFmtId="0" fontId="23" fillId="0" borderId="0"/>
    <xf numFmtId="9" fontId="23" fillId="0" borderId="0" applyFont="0" applyFill="0" applyBorder="0" applyAlignment="0" applyProtection="0"/>
    <xf numFmtId="0" fontId="15" fillId="0" borderId="0"/>
    <xf numFmtId="0" fontId="15" fillId="0" borderId="0"/>
    <xf numFmtId="0" fontId="22" fillId="0" borderId="0"/>
    <xf numFmtId="165" fontId="22" fillId="0" borderId="0" applyFont="0" applyFill="0" applyBorder="0" applyAlignment="0" applyProtection="0"/>
    <xf numFmtId="0" fontId="14" fillId="0" borderId="0"/>
    <xf numFmtId="0" fontId="13" fillId="0" borderId="0"/>
    <xf numFmtId="9" fontId="22" fillId="0" borderId="0" applyFont="0" applyFill="0" applyBorder="0" applyAlignment="0" applyProtection="0"/>
    <xf numFmtId="0" fontId="12" fillId="0" borderId="0"/>
    <xf numFmtId="0" fontId="11" fillId="0" borderId="0"/>
    <xf numFmtId="41" fontId="22" fillId="0" borderId="0" applyFont="0" applyFill="0" applyBorder="0" applyAlignment="0" applyProtection="0"/>
    <xf numFmtId="0" fontId="10" fillId="0" borderId="0"/>
    <xf numFmtId="0" fontId="36" fillId="0" borderId="0"/>
    <xf numFmtId="9" fontId="3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166" fontId="22" fillId="0" borderId="0" applyFont="0" applyFill="0" applyBorder="0" applyAlignment="0" applyProtection="0"/>
    <xf numFmtId="164" fontId="45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6" fontId="45" fillId="0" borderId="0" applyFont="0" applyFill="0" applyBorder="0" applyAlignment="0" applyProtection="0"/>
    <xf numFmtId="0" fontId="8" fillId="0" borderId="0"/>
    <xf numFmtId="41" fontId="8" fillId="0" borderId="0" applyFont="0" applyFill="0" applyBorder="0" applyAlignment="0" applyProtection="0"/>
    <xf numFmtId="0" fontId="7" fillId="0" borderId="0"/>
    <xf numFmtId="0" fontId="7" fillId="0" borderId="0"/>
    <xf numFmtId="0" fontId="6" fillId="0" borderId="0"/>
    <xf numFmtId="9" fontId="22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99">
    <xf numFmtId="0" fontId="16" fillId="0" borderId="0" xfId="0" applyFont="1"/>
    <xf numFmtId="0" fontId="18" fillId="0" borderId="0" xfId="0" applyFont="1"/>
    <xf numFmtId="0" fontId="19" fillId="0" borderId="0" xfId="0" applyFont="1"/>
    <xf numFmtId="164" fontId="16" fillId="0" borderId="0" xfId="1" applyFont="1" applyFill="1" applyBorder="1"/>
    <xf numFmtId="0" fontId="16" fillId="0" borderId="0" xfId="8" applyFont="1"/>
    <xf numFmtId="0" fontId="19" fillId="0" borderId="0" xfId="8" applyFont="1"/>
    <xf numFmtId="0" fontId="16" fillId="0" borderId="0" xfId="8" applyFont="1" applyAlignment="1">
      <alignment vertical="center"/>
    </xf>
    <xf numFmtId="41" fontId="16" fillId="0" borderId="0" xfId="15" applyFont="1" applyFill="1" applyBorder="1"/>
    <xf numFmtId="0" fontId="24" fillId="0" borderId="0" xfId="0" applyFont="1" applyAlignment="1">
      <alignment horizontal="center"/>
    </xf>
    <xf numFmtId="0" fontId="16" fillId="0" borderId="0" xfId="8" applyFont="1" applyAlignment="1">
      <alignment horizontal="center" vertical="center"/>
    </xf>
    <xf numFmtId="10" fontId="32" fillId="2" borderId="0" xfId="8" applyNumberFormat="1" applyFont="1" applyFill="1" applyAlignment="1">
      <alignment horizontal="center" vertical="center" wrapText="1"/>
    </xf>
    <xf numFmtId="0" fontId="31" fillId="2" borderId="3" xfId="8" applyFont="1" applyFill="1" applyBorder="1" applyAlignment="1">
      <alignment horizontal="center" vertical="center"/>
    </xf>
    <xf numFmtId="0" fontId="31" fillId="2" borderId="3" xfId="8" applyFont="1" applyFill="1" applyBorder="1" applyAlignment="1">
      <alignment horizontal="center" vertical="center" wrapText="1"/>
    </xf>
    <xf numFmtId="168" fontId="29" fillId="2" borderId="3" xfId="15" applyNumberFormat="1" applyFont="1" applyFill="1" applyBorder="1" applyAlignment="1">
      <alignment horizontal="right" vertical="center"/>
    </xf>
    <xf numFmtId="4" fontId="29" fillId="2" borderId="3" xfId="8" applyNumberFormat="1" applyFont="1" applyFill="1" applyBorder="1" applyAlignment="1">
      <alignment horizontal="right" vertical="center"/>
    </xf>
    <xf numFmtId="10" fontId="29" fillId="2" borderId="3" xfId="12" applyNumberFormat="1" applyFont="1" applyFill="1" applyBorder="1" applyAlignment="1">
      <alignment vertical="center"/>
    </xf>
    <xf numFmtId="168" fontId="29" fillId="2" borderId="3" xfId="15" applyNumberFormat="1" applyFont="1" applyFill="1" applyBorder="1" applyAlignment="1">
      <alignment vertical="center"/>
    </xf>
    <xf numFmtId="4" fontId="29" fillId="2" borderId="3" xfId="8" applyNumberFormat="1" applyFont="1" applyFill="1" applyBorder="1" applyAlignment="1">
      <alignment vertical="center"/>
    </xf>
    <xf numFmtId="0" fontId="30" fillId="2" borderId="3" xfId="8" applyFont="1" applyFill="1" applyBorder="1" applyAlignment="1">
      <alignment vertical="center"/>
    </xf>
    <xf numFmtId="4" fontId="30" fillId="2" borderId="3" xfId="8" applyNumberFormat="1" applyFont="1" applyFill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9" fillId="0" borderId="5" xfId="8" applyFont="1" applyBorder="1"/>
    <xf numFmtId="41" fontId="29" fillId="2" borderId="3" xfId="15" applyFont="1" applyFill="1" applyBorder="1" applyAlignment="1">
      <alignment horizontal="center" vertical="center"/>
    </xf>
    <xf numFmtId="41" fontId="30" fillId="2" borderId="3" xfId="15" applyFont="1" applyFill="1" applyBorder="1" applyAlignment="1">
      <alignment vertical="center"/>
    </xf>
    <xf numFmtId="41" fontId="29" fillId="2" borderId="0" xfId="15" applyFont="1" applyFill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34" fillId="0" borderId="0" xfId="0" applyFont="1" applyAlignment="1">
      <alignment horizontal="center" vertical="center" wrapText="1"/>
    </xf>
    <xf numFmtId="0" fontId="9" fillId="0" borderId="0" xfId="23"/>
    <xf numFmtId="39" fontId="39" fillId="8" borderId="12" xfId="19" applyNumberFormat="1" applyFont="1" applyFill="1" applyBorder="1" applyAlignment="1">
      <alignment horizontal="right" vertical="center" wrapText="1" readingOrder="1"/>
    </xf>
    <xf numFmtId="0" fontId="33" fillId="0" borderId="0" xfId="0" applyFont="1" applyAlignment="1">
      <alignment horizontal="center" vertical="center"/>
    </xf>
    <xf numFmtId="10" fontId="9" fillId="0" borderId="0" xfId="12" applyNumberFormat="1" applyFont="1"/>
    <xf numFmtId="10" fontId="38" fillId="5" borderId="8" xfId="12" applyNumberFormat="1" applyFont="1" applyFill="1" applyBorder="1" applyAlignment="1">
      <alignment horizontal="center" vertical="center" wrapText="1"/>
    </xf>
    <xf numFmtId="10" fontId="39" fillId="8" borderId="14" xfId="12" applyNumberFormat="1" applyFont="1" applyFill="1" applyBorder="1" applyAlignment="1">
      <alignment horizontal="center" vertical="center" wrapText="1" readingOrder="1"/>
    </xf>
    <xf numFmtId="0" fontId="37" fillId="7" borderId="7" xfId="0" applyFont="1" applyFill="1" applyBorder="1" applyAlignment="1">
      <alignment horizontal="center" vertical="center" wrapText="1" readingOrder="1"/>
    </xf>
    <xf numFmtId="0" fontId="37" fillId="7" borderId="6" xfId="0" applyFont="1" applyFill="1" applyBorder="1" applyAlignment="1">
      <alignment horizontal="center" vertical="center" wrapText="1" readingOrder="1"/>
    </xf>
    <xf numFmtId="10" fontId="38" fillId="5" borderId="8" xfId="18" applyNumberFormat="1" applyFont="1" applyFill="1" applyBorder="1" applyAlignment="1">
      <alignment horizontal="center" vertical="center" wrapText="1"/>
    </xf>
    <xf numFmtId="41" fontId="9" fillId="0" borderId="0" xfId="23" applyNumberFormat="1"/>
    <xf numFmtId="0" fontId="25" fillId="0" borderId="0" xfId="8" applyFont="1" applyAlignment="1">
      <alignment horizontal="right" vertical="center" wrapText="1"/>
    </xf>
    <xf numFmtId="4" fontId="26" fillId="0" borderId="0" xfId="8" applyNumberFormat="1" applyFont="1" applyAlignment="1">
      <alignment vertical="center"/>
    </xf>
    <xf numFmtId="10" fontId="19" fillId="0" borderId="0" xfId="8" applyNumberFormat="1" applyFont="1" applyAlignment="1">
      <alignment vertical="center"/>
    </xf>
    <xf numFmtId="0" fontId="8" fillId="0" borderId="0" xfId="31"/>
    <xf numFmtId="10" fontId="8" fillId="0" borderId="0" xfId="19" applyNumberFormat="1" applyFont="1"/>
    <xf numFmtId="0" fontId="37" fillId="7" borderId="7" xfId="8" applyFont="1" applyFill="1" applyBorder="1" applyAlignment="1">
      <alignment horizontal="center" vertical="center" wrapText="1" readingOrder="1"/>
    </xf>
    <xf numFmtId="0" fontId="37" fillId="7" borderId="6" xfId="8" applyFont="1" applyFill="1" applyBorder="1" applyAlignment="1">
      <alignment horizontal="center" vertical="center" wrapText="1" readingOrder="1"/>
    </xf>
    <xf numFmtId="3" fontId="39" fillId="8" borderId="7" xfId="31" applyNumberFormat="1" applyFont="1" applyFill="1" applyBorder="1" applyAlignment="1">
      <alignment horizontal="justify" vertical="center" wrapText="1" readingOrder="1"/>
    </xf>
    <xf numFmtId="3" fontId="39" fillId="8" borderId="6" xfId="31" applyNumberFormat="1" applyFont="1" applyFill="1" applyBorder="1" applyAlignment="1">
      <alignment horizontal="justify" vertical="center" wrapText="1" readingOrder="1"/>
    </xf>
    <xf numFmtId="41" fontId="8" fillId="0" borderId="0" xfId="31" applyNumberFormat="1"/>
    <xf numFmtId="10" fontId="8" fillId="0" borderId="0" xfId="12" applyNumberFormat="1" applyFont="1"/>
    <xf numFmtId="3" fontId="39" fillId="8" borderId="15" xfId="31" applyNumberFormat="1" applyFont="1" applyFill="1" applyBorder="1" applyAlignment="1">
      <alignment horizontal="justify" vertical="center" wrapText="1" readingOrder="1"/>
    </xf>
    <xf numFmtId="3" fontId="39" fillId="8" borderId="8" xfId="31" applyNumberFormat="1" applyFont="1" applyFill="1" applyBorder="1" applyAlignment="1">
      <alignment horizontal="justify" vertical="center" wrapText="1" readingOrder="1"/>
    </xf>
    <xf numFmtId="10" fontId="46" fillId="2" borderId="3" xfId="12" applyNumberFormat="1" applyFont="1" applyFill="1" applyBorder="1" applyAlignment="1">
      <alignment vertical="center"/>
    </xf>
    <xf numFmtId="10" fontId="19" fillId="0" borderId="18" xfId="0" applyNumberFormat="1" applyFont="1" applyBorder="1" applyAlignment="1">
      <alignment horizontal="center" vertical="center"/>
    </xf>
    <xf numFmtId="0" fontId="39" fillId="8" borderId="17" xfId="0" applyFont="1" applyFill="1" applyBorder="1" applyAlignment="1">
      <alignment horizontal="justify" vertical="center" wrapText="1"/>
    </xf>
    <xf numFmtId="0" fontId="39" fillId="8" borderId="12" xfId="0" applyFont="1" applyFill="1" applyBorder="1" applyAlignment="1">
      <alignment horizontal="justify" vertical="center" wrapText="1"/>
    </xf>
    <xf numFmtId="0" fontId="39" fillId="8" borderId="10" xfId="0" applyFont="1" applyFill="1" applyBorder="1" applyAlignment="1">
      <alignment horizontal="justify" vertical="center" wrapText="1"/>
    </xf>
    <xf numFmtId="0" fontId="39" fillId="8" borderId="20" xfId="0" applyFont="1" applyFill="1" applyBorder="1" applyAlignment="1">
      <alignment horizontal="justify" vertical="center" wrapText="1"/>
    </xf>
    <xf numFmtId="10" fontId="43" fillId="0" borderId="0" xfId="12" applyNumberFormat="1" applyFont="1" applyAlignment="1">
      <alignment vertical="center" wrapText="1"/>
    </xf>
    <xf numFmtId="10" fontId="47" fillId="8" borderId="14" xfId="12" applyNumberFormat="1" applyFont="1" applyFill="1" applyBorder="1" applyAlignment="1">
      <alignment horizontal="center" vertical="center" wrapText="1" readingOrder="1"/>
    </xf>
    <xf numFmtId="39" fontId="47" fillId="8" borderId="12" xfId="19" applyNumberFormat="1" applyFont="1" applyFill="1" applyBorder="1" applyAlignment="1">
      <alignment horizontal="right" vertical="center" wrapText="1" readingOrder="1"/>
    </xf>
    <xf numFmtId="10" fontId="38" fillId="10" borderId="14" xfId="12" applyNumberFormat="1" applyFont="1" applyFill="1" applyBorder="1" applyAlignment="1">
      <alignment horizontal="center" vertical="center" wrapText="1" readingOrder="1"/>
    </xf>
    <xf numFmtId="10" fontId="50" fillId="0" borderId="18" xfId="0" applyNumberFormat="1" applyFont="1" applyBorder="1" applyAlignment="1">
      <alignment horizontal="center" vertical="center"/>
    </xf>
    <xf numFmtId="0" fontId="48" fillId="0" borderId="0" xfId="31" applyFont="1"/>
    <xf numFmtId="170" fontId="38" fillId="10" borderId="10" xfId="19" applyNumberFormat="1" applyFont="1" applyFill="1" applyBorder="1" applyAlignment="1">
      <alignment horizontal="right" vertical="center" wrapText="1" readingOrder="1"/>
    </xf>
    <xf numFmtId="170" fontId="39" fillId="8" borderId="9" xfId="19" applyNumberFormat="1" applyFont="1" applyFill="1" applyBorder="1" applyAlignment="1">
      <alignment horizontal="right" vertical="center" wrapText="1" readingOrder="1"/>
    </xf>
    <xf numFmtId="170" fontId="39" fillId="8" borderId="11" xfId="19" applyNumberFormat="1" applyFont="1" applyFill="1" applyBorder="1" applyAlignment="1">
      <alignment horizontal="right" vertical="center" wrapText="1" readingOrder="1"/>
    </xf>
    <xf numFmtId="170" fontId="39" fillId="8" borderId="10" xfId="19" applyNumberFormat="1" applyFont="1" applyFill="1" applyBorder="1" applyAlignment="1">
      <alignment horizontal="right" vertical="center" wrapText="1" readingOrder="1"/>
    </xf>
    <xf numFmtId="3" fontId="38" fillId="10" borderId="19" xfId="31" applyNumberFormat="1" applyFont="1" applyFill="1" applyBorder="1" applyAlignment="1">
      <alignment vertical="center" wrapText="1" readingOrder="1"/>
    </xf>
    <xf numFmtId="4" fontId="38" fillId="10" borderId="0" xfId="31" applyNumberFormat="1" applyFont="1" applyFill="1" applyAlignment="1">
      <alignment vertical="center" wrapText="1" readingOrder="1"/>
    </xf>
    <xf numFmtId="4" fontId="39" fillId="8" borderId="9" xfId="19" applyNumberFormat="1" applyFont="1" applyFill="1" applyBorder="1" applyAlignment="1">
      <alignment horizontal="right" vertical="center" wrapText="1" readingOrder="1"/>
    </xf>
    <xf numFmtId="4" fontId="39" fillId="8" borderId="10" xfId="19" applyNumberFormat="1" applyFont="1" applyFill="1" applyBorder="1" applyAlignment="1">
      <alignment horizontal="right" vertical="center" wrapText="1" readingOrder="1"/>
    </xf>
    <xf numFmtId="4" fontId="39" fillId="8" borderId="11" xfId="19" applyNumberFormat="1" applyFont="1" applyFill="1" applyBorder="1" applyAlignment="1">
      <alignment horizontal="right" vertical="center" wrapText="1" readingOrder="1"/>
    </xf>
    <xf numFmtId="4" fontId="39" fillId="8" borderId="12" xfId="19" applyNumberFormat="1" applyFont="1" applyFill="1" applyBorder="1" applyAlignment="1">
      <alignment horizontal="right" vertical="center" wrapText="1" readingOrder="1"/>
    </xf>
    <xf numFmtId="0" fontId="37" fillId="7" borderId="16" xfId="31" applyFont="1" applyFill="1" applyBorder="1" applyAlignment="1">
      <alignment horizontal="center" vertical="center" wrapText="1" readingOrder="1"/>
    </xf>
    <xf numFmtId="0" fontId="51" fillId="0" borderId="0" xfId="23" applyFont="1"/>
    <xf numFmtId="3" fontId="47" fillId="8" borderId="6" xfId="23" applyNumberFormat="1" applyFont="1" applyFill="1" applyBorder="1" applyAlignment="1">
      <alignment horizontal="justify" vertical="center" wrapText="1" readingOrder="1"/>
    </xf>
    <xf numFmtId="170" fontId="47" fillId="8" borderId="10" xfId="19" applyNumberFormat="1" applyFont="1" applyFill="1" applyBorder="1" applyAlignment="1">
      <alignment horizontal="right" vertical="center" wrapText="1" readingOrder="1"/>
    </xf>
    <xf numFmtId="3" fontId="47" fillId="8" borderId="7" xfId="23" applyNumberFormat="1" applyFont="1" applyFill="1" applyBorder="1" applyAlignment="1">
      <alignment horizontal="justify" vertical="center" wrapText="1" readingOrder="1"/>
    </xf>
    <xf numFmtId="168" fontId="37" fillId="7" borderId="17" xfId="25" applyNumberFormat="1" applyFont="1" applyFill="1" applyBorder="1" applyAlignment="1">
      <alignment horizontal="right" vertical="center" wrapText="1" readingOrder="1"/>
    </xf>
    <xf numFmtId="0" fontId="47" fillId="8" borderId="17" xfId="0" applyFont="1" applyFill="1" applyBorder="1" applyAlignment="1">
      <alignment horizontal="justify" vertical="center" wrapText="1"/>
    </xf>
    <xf numFmtId="10" fontId="43" fillId="0" borderId="0" xfId="19" applyNumberFormat="1" applyFont="1" applyAlignment="1">
      <alignment vertical="center" wrapText="1"/>
    </xf>
    <xf numFmtId="170" fontId="47" fillId="8" borderId="9" xfId="19" applyNumberFormat="1" applyFont="1" applyFill="1" applyBorder="1" applyAlignment="1">
      <alignment horizontal="right" vertical="center" wrapText="1" readingOrder="1"/>
    </xf>
    <xf numFmtId="0" fontId="42" fillId="0" borderId="0" xfId="0" applyFont="1" applyAlignment="1">
      <alignment horizontal="center"/>
    </xf>
    <xf numFmtId="0" fontId="31" fillId="2" borderId="4" xfId="8" applyFont="1" applyFill="1" applyBorder="1" applyAlignment="1">
      <alignment horizontal="center" vertical="center" wrapText="1"/>
    </xf>
    <xf numFmtId="170" fontId="8" fillId="0" borderId="0" xfId="31" applyNumberFormat="1"/>
    <xf numFmtId="0" fontId="49" fillId="10" borderId="6" xfId="31" applyFont="1" applyFill="1" applyBorder="1" applyAlignment="1">
      <alignment vertical="center" wrapText="1" readingOrder="1"/>
    </xf>
    <xf numFmtId="170" fontId="49" fillId="10" borderId="6" xfId="31" applyNumberFormat="1" applyFont="1" applyFill="1" applyBorder="1" applyAlignment="1">
      <alignment vertical="center" wrapText="1" readingOrder="1"/>
    </xf>
    <xf numFmtId="10" fontId="38" fillId="10" borderId="6" xfId="12" applyNumberFormat="1" applyFont="1" applyFill="1" applyBorder="1" applyAlignment="1">
      <alignment horizontal="center" vertical="center" wrapText="1" readingOrder="1"/>
    </xf>
    <xf numFmtId="164" fontId="9" fillId="0" borderId="0" xfId="23" applyNumberFormat="1"/>
    <xf numFmtId="164" fontId="9" fillId="0" borderId="0" xfId="23" applyNumberFormat="1" applyAlignment="1">
      <alignment vertical="center"/>
    </xf>
    <xf numFmtId="164" fontId="9" fillId="0" borderId="0" xfId="23" applyNumberFormat="1" applyAlignment="1">
      <alignment horizontal="center" vertical="center"/>
    </xf>
    <xf numFmtId="0" fontId="37" fillId="7" borderId="8" xfId="31" applyFont="1" applyFill="1" applyBorder="1" applyAlignment="1">
      <alignment horizontal="center" vertical="center" wrapText="1" readingOrder="1"/>
    </xf>
    <xf numFmtId="170" fontId="37" fillId="7" borderId="8" xfId="31" applyNumberFormat="1" applyFont="1" applyFill="1" applyBorder="1" applyAlignment="1">
      <alignment horizontal="center" vertical="center" wrapText="1" readingOrder="1"/>
    </xf>
    <xf numFmtId="0" fontId="32" fillId="0" borderId="0" xfId="8" applyFont="1"/>
    <xf numFmtId="10" fontId="32" fillId="0" borderId="0" xfId="8" applyNumberFormat="1" applyFont="1" applyAlignment="1">
      <alignment vertical="center" wrapText="1"/>
    </xf>
    <xf numFmtId="41" fontId="8" fillId="0" borderId="0" xfId="15" applyFont="1"/>
    <xf numFmtId="41" fontId="48" fillId="0" borderId="0" xfId="15" applyFont="1"/>
    <xf numFmtId="10" fontId="44" fillId="0" borderId="0" xfId="12" applyNumberFormat="1" applyFont="1" applyAlignment="1">
      <alignment vertical="center"/>
    </xf>
    <xf numFmtId="0" fontId="21" fillId="0" borderId="0" xfId="8" applyFont="1"/>
    <xf numFmtId="0" fontId="20" fillId="0" borderId="0" xfId="8" applyFont="1"/>
    <xf numFmtId="0" fontId="44" fillId="0" borderId="0" xfId="23" applyFont="1" applyAlignment="1">
      <alignment vertical="center"/>
    </xf>
    <xf numFmtId="4" fontId="38" fillId="10" borderId="0" xfId="31" applyNumberFormat="1" applyFont="1" applyFill="1" applyAlignment="1">
      <alignment horizontal="right" vertical="center" wrapText="1" readingOrder="1"/>
    </xf>
    <xf numFmtId="170" fontId="47" fillId="8" borderId="11" xfId="19" applyNumberFormat="1" applyFont="1" applyFill="1" applyBorder="1" applyAlignment="1">
      <alignment horizontal="right" vertical="center" wrapText="1" readingOrder="1"/>
    </xf>
    <xf numFmtId="3" fontId="39" fillId="8" borderId="6" xfId="23" applyNumberFormat="1" applyFont="1" applyFill="1" applyBorder="1" applyAlignment="1">
      <alignment horizontal="justify" vertical="center" wrapText="1" readingOrder="1"/>
    </xf>
    <xf numFmtId="170" fontId="47" fillId="8" borderId="6" xfId="19" applyNumberFormat="1" applyFont="1" applyFill="1" applyBorder="1" applyAlignment="1">
      <alignment horizontal="right" vertical="center" wrapText="1" readingOrder="1"/>
    </xf>
    <xf numFmtId="39" fontId="47" fillId="8" borderId="6" xfId="19" applyNumberFormat="1" applyFont="1" applyFill="1" applyBorder="1" applyAlignment="1">
      <alignment horizontal="right" vertical="center" wrapText="1" readingOrder="1"/>
    </xf>
    <xf numFmtId="170" fontId="49" fillId="10" borderId="6" xfId="31" applyNumberFormat="1" applyFont="1" applyFill="1" applyBorder="1" applyAlignment="1">
      <alignment horizontal="right" vertical="center" wrapText="1" readingOrder="1"/>
    </xf>
    <xf numFmtId="9" fontId="19" fillId="0" borderId="0" xfId="12" applyFont="1" applyFill="1" applyBorder="1"/>
    <xf numFmtId="41" fontId="32" fillId="2" borderId="3" xfId="15" applyFont="1" applyFill="1" applyBorder="1" applyAlignment="1">
      <alignment horizontal="center" vertical="center"/>
    </xf>
    <xf numFmtId="0" fontId="41" fillId="0" borderId="0" xfId="0" applyFont="1" applyAlignment="1">
      <alignment vertical="center" wrapText="1"/>
    </xf>
    <xf numFmtId="0" fontId="34" fillId="0" borderId="0" xfId="0" applyFont="1" applyAlignment="1">
      <alignment horizontal="center" wrapText="1"/>
    </xf>
    <xf numFmtId="169" fontId="34" fillId="0" borderId="0" xfId="0" applyNumberFormat="1" applyFont="1" applyAlignment="1">
      <alignment horizontal="center" wrapText="1"/>
    </xf>
    <xf numFmtId="9" fontId="34" fillId="0" borderId="0" xfId="0" applyNumberFormat="1" applyFont="1" applyAlignment="1">
      <alignment horizontal="center" wrapText="1"/>
    </xf>
    <xf numFmtId="0" fontId="34" fillId="0" borderId="0" xfId="8" applyFont="1" applyAlignment="1">
      <alignment horizontal="center" wrapText="1"/>
    </xf>
    <xf numFmtId="169" fontId="34" fillId="0" borderId="0" xfId="8" applyNumberFormat="1" applyFont="1" applyAlignment="1">
      <alignment horizontal="center" wrapText="1"/>
    </xf>
    <xf numFmtId="9" fontId="34" fillId="0" borderId="0" xfId="8" applyNumberFormat="1" applyFont="1" applyAlignment="1">
      <alignment horizontal="center" wrapText="1"/>
    </xf>
    <xf numFmtId="167" fontId="28" fillId="0" borderId="0" xfId="0" applyNumberFormat="1" applyFont="1" applyAlignment="1">
      <alignment horizontal="right" vertical="center" wrapText="1" readingOrder="1"/>
    </xf>
    <xf numFmtId="167" fontId="8" fillId="0" borderId="0" xfId="31" applyNumberFormat="1"/>
    <xf numFmtId="41" fontId="16" fillId="0" borderId="0" xfId="0" applyNumberFormat="1" applyFont="1"/>
    <xf numFmtId="168" fontId="37" fillId="7" borderId="17" xfId="32" applyNumberFormat="1" applyFont="1" applyFill="1" applyBorder="1" applyAlignment="1">
      <alignment horizontal="right" vertical="center" wrapText="1" readingOrder="1"/>
    </xf>
    <xf numFmtId="170" fontId="37" fillId="7" borderId="17" xfId="25" applyNumberFormat="1" applyFont="1" applyFill="1" applyBorder="1" applyAlignment="1">
      <alignment horizontal="right" vertical="center" wrapText="1" readingOrder="1"/>
    </xf>
    <xf numFmtId="0" fontId="8" fillId="3" borderId="0" xfId="31" applyFill="1"/>
    <xf numFmtId="0" fontId="48" fillId="3" borderId="0" xfId="31" applyFont="1" applyFill="1"/>
    <xf numFmtId="170" fontId="8" fillId="3" borderId="0" xfId="31" applyNumberFormat="1" applyFill="1"/>
    <xf numFmtId="10" fontId="44" fillId="3" borderId="0" xfId="12" applyNumberFormat="1" applyFont="1" applyFill="1" applyAlignment="1">
      <alignment horizontal="center" vertical="center"/>
    </xf>
    <xf numFmtId="10" fontId="43" fillId="3" borderId="0" xfId="12" applyNumberFormat="1" applyFont="1" applyFill="1" applyAlignment="1">
      <alignment vertical="center" wrapText="1"/>
    </xf>
    <xf numFmtId="170" fontId="43" fillId="3" borderId="0" xfId="12" applyNumberFormat="1" applyFont="1" applyFill="1" applyAlignment="1">
      <alignment vertical="center" wrapText="1"/>
    </xf>
    <xf numFmtId="164" fontId="43" fillId="3" borderId="0" xfId="1" applyFont="1" applyFill="1" applyAlignment="1">
      <alignment vertical="center" wrapText="1"/>
    </xf>
    <xf numFmtId="41" fontId="8" fillId="3" borderId="0" xfId="31" applyNumberFormat="1" applyFill="1"/>
    <xf numFmtId="4" fontId="8" fillId="3" borderId="0" xfId="31" applyNumberFormat="1" applyFill="1"/>
    <xf numFmtId="0" fontId="16" fillId="0" borderId="0" xfId="8" applyFont="1" applyAlignment="1">
      <alignment horizontal="center"/>
    </xf>
    <xf numFmtId="3" fontId="39" fillId="8" borderId="13" xfId="23" applyNumberFormat="1" applyFont="1" applyFill="1" applyBorder="1" applyAlignment="1">
      <alignment horizontal="center" vertical="center" wrapText="1" readingOrder="1"/>
    </xf>
    <xf numFmtId="171" fontId="49" fillId="10" borderId="6" xfId="31" applyNumberFormat="1" applyFont="1" applyFill="1" applyBorder="1" applyAlignment="1">
      <alignment horizontal="right" vertical="center" wrapText="1" readingOrder="1"/>
    </xf>
    <xf numFmtId="171" fontId="37" fillId="7" borderId="17" xfId="25" applyNumberFormat="1" applyFont="1" applyFill="1" applyBorder="1" applyAlignment="1">
      <alignment horizontal="right" vertical="center" wrapText="1" readingOrder="1"/>
    </xf>
    <xf numFmtId="171" fontId="39" fillId="8" borderId="12" xfId="19" applyNumberFormat="1" applyFont="1" applyFill="1" applyBorder="1" applyAlignment="1">
      <alignment horizontal="right" vertical="center" wrapText="1" readingOrder="1"/>
    </xf>
    <xf numFmtId="171" fontId="49" fillId="10" borderId="6" xfId="31" applyNumberFormat="1" applyFont="1" applyFill="1" applyBorder="1" applyAlignment="1">
      <alignment vertical="center" wrapText="1" readingOrder="1"/>
    </xf>
    <xf numFmtId="171" fontId="38" fillId="10" borderId="10" xfId="19" applyNumberFormat="1" applyFont="1" applyFill="1" applyBorder="1" applyAlignment="1">
      <alignment horizontal="right" vertical="center" wrapText="1" readingOrder="1"/>
    </xf>
    <xf numFmtId="4" fontId="30" fillId="2" borderId="3" xfId="8" applyNumberFormat="1" applyFont="1" applyFill="1" applyBorder="1" applyAlignment="1">
      <alignment horizontal="right" vertical="center"/>
    </xf>
    <xf numFmtId="10" fontId="47" fillId="9" borderId="6" xfId="12" applyNumberFormat="1" applyFont="1" applyFill="1" applyBorder="1" applyAlignment="1">
      <alignment horizontal="center" vertical="center" wrapText="1" readingOrder="1"/>
    </xf>
    <xf numFmtId="10" fontId="47" fillId="9" borderId="14" xfId="12" applyNumberFormat="1" applyFont="1" applyFill="1" applyBorder="1" applyAlignment="1">
      <alignment horizontal="center" vertical="center" wrapText="1" readingOrder="1"/>
    </xf>
    <xf numFmtId="10" fontId="39" fillId="9" borderId="14" xfId="19" applyNumberFormat="1" applyFont="1" applyFill="1" applyBorder="1" applyAlignment="1">
      <alignment horizontal="center" vertical="center" wrapText="1" readingOrder="1"/>
    </xf>
    <xf numFmtId="0" fontId="27" fillId="0" borderId="0" xfId="31" applyFont="1"/>
    <xf numFmtId="0" fontId="37" fillId="7" borderId="8" xfId="23" applyFont="1" applyFill="1" applyBorder="1" applyAlignment="1">
      <alignment horizontal="center" vertical="center" wrapText="1" readingOrder="1"/>
    </xf>
    <xf numFmtId="10" fontId="32" fillId="2" borderId="3" xfId="12" applyNumberFormat="1" applyFont="1" applyFill="1" applyBorder="1" applyAlignment="1">
      <alignment vertical="center"/>
    </xf>
    <xf numFmtId="10" fontId="39" fillId="8" borderId="14" xfId="12" applyNumberFormat="1" applyFont="1" applyFill="1" applyBorder="1" applyAlignment="1">
      <alignment horizontal="right" vertical="center" wrapText="1" readingOrder="1"/>
    </xf>
    <xf numFmtId="10" fontId="47" fillId="8" borderId="6" xfId="12" applyNumberFormat="1" applyFont="1" applyFill="1" applyBorder="1" applyAlignment="1">
      <alignment horizontal="center" vertical="center" wrapText="1" readingOrder="1"/>
    </xf>
    <xf numFmtId="10" fontId="39" fillId="8" borderId="14" xfId="19" applyNumberFormat="1" applyFont="1" applyFill="1" applyBorder="1" applyAlignment="1">
      <alignment horizontal="center" vertical="center" wrapText="1" readingOrder="1"/>
    </xf>
    <xf numFmtId="0" fontId="32" fillId="2" borderId="3" xfId="8" applyFont="1" applyFill="1" applyBorder="1" applyAlignment="1">
      <alignment vertical="center"/>
    </xf>
    <xf numFmtId="164" fontId="32" fillId="0" borderId="0" xfId="1" applyFont="1" applyFill="1" applyBorder="1" applyAlignment="1">
      <alignment vertical="center" wrapText="1"/>
    </xf>
    <xf numFmtId="164" fontId="32" fillId="0" borderId="0" xfId="1" applyFont="1" applyFill="1" applyBorder="1" applyAlignment="1">
      <alignment horizontal="center" vertical="center" wrapText="1"/>
    </xf>
    <xf numFmtId="164" fontId="35" fillId="0" borderId="0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3" fillId="0" borderId="0" xfId="0" applyFont="1"/>
    <xf numFmtId="0" fontId="30" fillId="3" borderId="0" xfId="8" applyFont="1" applyFill="1"/>
    <xf numFmtId="168" fontId="37" fillId="7" borderId="17" xfId="15" applyNumberFormat="1" applyFont="1" applyFill="1" applyBorder="1" applyAlignment="1">
      <alignment horizontal="right" vertical="center" wrapText="1" readingOrder="1"/>
    </xf>
    <xf numFmtId="0" fontId="37" fillId="7" borderId="8" xfId="0" applyFont="1" applyFill="1" applyBorder="1" applyAlignment="1">
      <alignment horizontal="center" vertical="center" wrapText="1" readingOrder="1"/>
    </xf>
    <xf numFmtId="0" fontId="37" fillId="7" borderId="15" xfId="0" applyFont="1" applyFill="1" applyBorder="1" applyAlignment="1">
      <alignment horizontal="center" vertical="center" wrapText="1" readingOrder="1"/>
    </xf>
    <xf numFmtId="0" fontId="37" fillId="7" borderId="15" xfId="31" applyFont="1" applyFill="1" applyBorder="1" applyAlignment="1">
      <alignment horizontal="center" vertical="center" wrapText="1" readingOrder="1"/>
    </xf>
    <xf numFmtId="0" fontId="37" fillId="7" borderId="15" xfId="23" applyFont="1" applyFill="1" applyBorder="1" applyAlignment="1">
      <alignment horizontal="center" vertical="center" wrapText="1" readingOrder="1"/>
    </xf>
    <xf numFmtId="10" fontId="38" fillId="10" borderId="23" xfId="12" applyNumberFormat="1" applyFont="1" applyFill="1" applyBorder="1" applyAlignment="1">
      <alignment horizontal="center" vertical="center" wrapText="1" readingOrder="1"/>
    </xf>
    <xf numFmtId="10" fontId="55" fillId="7" borderId="18" xfId="12" applyNumberFormat="1" applyFont="1" applyFill="1" applyBorder="1" applyAlignment="1">
      <alignment vertical="center"/>
    </xf>
    <xf numFmtId="0" fontId="41" fillId="0" borderId="0" xfId="0" applyFont="1" applyAlignment="1">
      <alignment horizontal="center" vertical="center" wrapText="1"/>
    </xf>
    <xf numFmtId="4" fontId="54" fillId="4" borderId="0" xfId="8" applyNumberFormat="1" applyFont="1" applyFill="1" applyAlignment="1">
      <alignment horizontal="center" vertical="center"/>
    </xf>
    <xf numFmtId="10" fontId="54" fillId="6" borderId="0" xfId="18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/>
    </xf>
    <xf numFmtId="0" fontId="17" fillId="0" borderId="0" xfId="0" applyFont="1"/>
    <xf numFmtId="4" fontId="52" fillId="0" borderId="0" xfId="0" applyNumberFormat="1" applyFont="1"/>
    <xf numFmtId="0" fontId="52" fillId="0" borderId="0" xfId="0" applyFont="1"/>
    <xf numFmtId="39" fontId="47" fillId="8" borderId="10" xfId="19" applyNumberFormat="1" applyFont="1" applyFill="1" applyBorder="1" applyAlignment="1">
      <alignment horizontal="right" vertical="center" wrapText="1" readingOrder="1"/>
    </xf>
    <xf numFmtId="0" fontId="37" fillId="7" borderId="8" xfId="8" applyFont="1" applyFill="1" applyBorder="1" applyAlignment="1">
      <alignment horizontal="center" vertical="center" wrapText="1" readingOrder="1"/>
    </xf>
    <xf numFmtId="0" fontId="32" fillId="2" borderId="3" xfId="8" applyFont="1" applyFill="1" applyBorder="1" applyAlignment="1">
      <alignment horizontal="justify" vertical="center" wrapText="1"/>
    </xf>
    <xf numFmtId="0" fontId="56" fillId="0" borderId="0" xfId="0" applyFont="1"/>
    <xf numFmtId="0" fontId="57" fillId="0" borderId="0" xfId="0" applyFont="1"/>
    <xf numFmtId="171" fontId="37" fillId="7" borderId="17" xfId="32" applyNumberFormat="1" applyFont="1" applyFill="1" applyBorder="1" applyAlignment="1">
      <alignment horizontal="right" vertical="center" wrapText="1" readingOrder="1"/>
    </xf>
    <xf numFmtId="10" fontId="17" fillId="0" borderId="18" xfId="0" applyNumberFormat="1" applyFont="1" applyBorder="1" applyAlignment="1">
      <alignment horizontal="center" vertical="center"/>
    </xf>
    <xf numFmtId="4" fontId="38" fillId="7" borderId="12" xfId="19" applyNumberFormat="1" applyFont="1" applyFill="1" applyBorder="1" applyAlignment="1">
      <alignment horizontal="right" vertical="center" wrapText="1" readingOrder="1"/>
    </xf>
    <xf numFmtId="43" fontId="9" fillId="0" borderId="0" xfId="23" applyNumberFormat="1"/>
    <xf numFmtId="0" fontId="37" fillId="5" borderId="6" xfId="31" applyFont="1" applyFill="1" applyBorder="1" applyAlignment="1">
      <alignment horizontal="center" vertical="center" wrapText="1" readingOrder="1"/>
    </xf>
    <xf numFmtId="168" fontId="37" fillId="5" borderId="6" xfId="32" applyNumberFormat="1" applyFont="1" applyFill="1" applyBorder="1" applyAlignment="1">
      <alignment horizontal="right" vertical="center" wrapText="1" readingOrder="1"/>
    </xf>
    <xf numFmtId="10" fontId="55" fillId="5" borderId="18" xfId="12" applyNumberFormat="1" applyFont="1" applyFill="1" applyBorder="1" applyAlignment="1">
      <alignment vertical="center"/>
    </xf>
    <xf numFmtId="0" fontId="37" fillId="5" borderId="16" xfId="31" applyFont="1" applyFill="1" applyBorder="1" applyAlignment="1">
      <alignment horizontal="center" vertical="center" wrapText="1" readingOrder="1"/>
    </xf>
    <xf numFmtId="168" fontId="37" fillId="5" borderId="17" xfId="32" applyNumberFormat="1" applyFont="1" applyFill="1" applyBorder="1" applyAlignment="1">
      <alignment horizontal="right" vertical="center" wrapText="1" readingOrder="1"/>
    </xf>
    <xf numFmtId="168" fontId="37" fillId="5" borderId="17" xfId="25" applyNumberFormat="1" applyFont="1" applyFill="1" applyBorder="1" applyAlignment="1">
      <alignment horizontal="right" vertical="center" wrapText="1" readingOrder="1"/>
    </xf>
    <xf numFmtId="171" fontId="37" fillId="5" borderId="17" xfId="32" applyNumberFormat="1" applyFont="1" applyFill="1" applyBorder="1" applyAlignment="1">
      <alignment horizontal="right" vertical="center" wrapText="1" readingOrder="1"/>
    </xf>
    <xf numFmtId="10" fontId="17" fillId="5" borderId="18" xfId="0" applyNumberFormat="1" applyFont="1" applyFill="1" applyBorder="1" applyAlignment="1">
      <alignment horizontal="center" vertical="center"/>
    </xf>
    <xf numFmtId="0" fontId="40" fillId="5" borderId="16" xfId="31" applyFont="1" applyFill="1" applyBorder="1" applyAlignment="1">
      <alignment horizontal="center" vertical="center" wrapText="1" readingOrder="1"/>
    </xf>
    <xf numFmtId="170" fontId="40" fillId="5" borderId="17" xfId="32" applyNumberFormat="1" applyFont="1" applyFill="1" applyBorder="1" applyAlignment="1">
      <alignment horizontal="right" vertical="center" wrapText="1" readingOrder="1"/>
    </xf>
    <xf numFmtId="168" fontId="40" fillId="5" borderId="17" xfId="32" applyNumberFormat="1" applyFont="1" applyFill="1" applyBorder="1" applyAlignment="1">
      <alignment horizontal="right" vertical="center" wrapText="1" readingOrder="1"/>
    </xf>
    <xf numFmtId="0" fontId="37" fillId="11" borderId="16" xfId="31" applyFont="1" applyFill="1" applyBorder="1" applyAlignment="1">
      <alignment horizontal="center" vertical="center" wrapText="1" readingOrder="1"/>
    </xf>
    <xf numFmtId="168" fontId="37" fillId="11" borderId="17" xfId="25" applyNumberFormat="1" applyFont="1" applyFill="1" applyBorder="1" applyAlignment="1">
      <alignment horizontal="right" vertical="center" wrapText="1" readingOrder="1"/>
    </xf>
    <xf numFmtId="10" fontId="55" fillId="11" borderId="18" xfId="12" applyNumberFormat="1" applyFont="1" applyFill="1" applyBorder="1" applyAlignment="1">
      <alignment vertical="center"/>
    </xf>
    <xf numFmtId="0" fontId="32" fillId="3" borderId="0" xfId="8" applyFont="1" applyFill="1"/>
    <xf numFmtId="0" fontId="58" fillId="0" borderId="0" xfId="0" applyFont="1"/>
    <xf numFmtId="2" fontId="37" fillId="7" borderId="17" xfId="25" applyNumberFormat="1" applyFont="1" applyFill="1" applyBorder="1" applyAlignment="1">
      <alignment horizontal="right" vertical="center" wrapText="1" readingOrder="1"/>
    </xf>
    <xf numFmtId="172" fontId="28" fillId="0" borderId="1" xfId="0" applyNumberFormat="1" applyFont="1" applyBorder="1" applyAlignment="1">
      <alignment horizontal="right" vertical="center" wrapText="1" readingOrder="1"/>
    </xf>
    <xf numFmtId="4" fontId="16" fillId="0" borderId="0" xfId="0" applyNumberFormat="1" applyFont="1"/>
    <xf numFmtId="168" fontId="8" fillId="0" borderId="0" xfId="31" applyNumberFormat="1"/>
    <xf numFmtId="0" fontId="39" fillId="8" borderId="9" xfId="0" applyFont="1" applyFill="1" applyBorder="1" applyAlignment="1">
      <alignment horizontal="justify" vertical="center" wrapText="1"/>
    </xf>
    <xf numFmtId="0" fontId="39" fillId="8" borderId="11" xfId="0" applyFont="1" applyFill="1" applyBorder="1" applyAlignment="1">
      <alignment horizontal="justify" vertical="center" wrapText="1"/>
    </xf>
    <xf numFmtId="0" fontId="39" fillId="8" borderId="11" xfId="0" applyFont="1" applyFill="1" applyBorder="1" applyAlignment="1">
      <alignment horizontal="center" vertical="center" wrapText="1"/>
    </xf>
    <xf numFmtId="0" fontId="39" fillId="8" borderId="22" xfId="0" applyFont="1" applyFill="1" applyBorder="1" applyAlignment="1">
      <alignment horizontal="justify" vertical="center" wrapText="1"/>
    </xf>
    <xf numFmtId="3" fontId="39" fillId="8" borderId="0" xfId="31" applyNumberFormat="1" applyFont="1" applyFill="1" applyAlignment="1">
      <alignment horizontal="justify" vertical="center" wrapText="1" readingOrder="1"/>
    </xf>
    <xf numFmtId="170" fontId="39" fillId="8" borderId="9" xfId="19" applyNumberFormat="1" applyFont="1" applyFill="1" applyBorder="1" applyAlignment="1">
      <alignment horizontal="left" vertical="center" wrapText="1" readingOrder="1"/>
    </xf>
    <xf numFmtId="10" fontId="38" fillId="5" borderId="6" xfId="12" applyNumberFormat="1" applyFont="1" applyFill="1" applyBorder="1" applyAlignment="1">
      <alignment horizontal="right" vertical="center" wrapText="1" readingOrder="1"/>
    </xf>
    <xf numFmtId="10" fontId="38" fillId="7" borderId="6" xfId="12" applyNumberFormat="1" applyFont="1" applyFill="1" applyBorder="1" applyAlignment="1">
      <alignment horizontal="right" vertical="center" wrapText="1" readingOrder="1"/>
    </xf>
    <xf numFmtId="10" fontId="54" fillId="7" borderId="14" xfId="12" applyNumberFormat="1" applyFont="1" applyFill="1" applyBorder="1" applyAlignment="1">
      <alignment horizontal="right" vertical="center" wrapText="1" readingOrder="1"/>
    </xf>
    <xf numFmtId="0" fontId="39" fillId="8" borderId="9" xfId="0" applyFont="1" applyFill="1" applyBorder="1" applyAlignment="1">
      <alignment horizontal="center" vertical="center" wrapText="1"/>
    </xf>
    <xf numFmtId="0" fontId="39" fillId="8" borderId="10" xfId="0" applyFont="1" applyFill="1" applyBorder="1" applyAlignment="1">
      <alignment horizontal="center" vertical="center" wrapText="1"/>
    </xf>
    <xf numFmtId="9" fontId="37" fillId="7" borderId="17" xfId="12" applyFont="1" applyFill="1" applyBorder="1" applyAlignment="1">
      <alignment horizontal="center" vertical="center" wrapText="1" readingOrder="1"/>
    </xf>
    <xf numFmtId="10" fontId="30" fillId="2" borderId="3" xfId="12" applyNumberFormat="1" applyFont="1" applyFill="1" applyBorder="1" applyAlignment="1">
      <alignment vertical="center"/>
    </xf>
    <xf numFmtId="0" fontId="28" fillId="0" borderId="1" xfId="0" applyFont="1" applyBorder="1" applyAlignment="1">
      <alignment horizontal="left" vertical="center" wrapText="1" readingOrder="1"/>
    </xf>
    <xf numFmtId="9" fontId="63" fillId="0" borderId="0" xfId="12" applyFont="1"/>
    <xf numFmtId="4" fontId="19" fillId="0" borderId="0" xfId="8" applyNumberFormat="1" applyFont="1"/>
    <xf numFmtId="173" fontId="47" fillId="8" borderId="9" xfId="19" applyNumberFormat="1" applyFont="1" applyFill="1" applyBorder="1" applyAlignment="1">
      <alignment horizontal="right" vertical="center" wrapText="1" readingOrder="1"/>
    </xf>
    <xf numFmtId="173" fontId="47" fillId="8" borderId="12" xfId="19" applyNumberFormat="1" applyFont="1" applyFill="1" applyBorder="1" applyAlignment="1">
      <alignment horizontal="right" vertical="center" wrapText="1" readingOrder="1"/>
    </xf>
    <xf numFmtId="173" fontId="37" fillId="7" borderId="17" xfId="25" applyNumberFormat="1" applyFont="1" applyFill="1" applyBorder="1" applyAlignment="1">
      <alignment horizontal="right" vertical="center" wrapText="1" readingOrder="1"/>
    </xf>
    <xf numFmtId="3" fontId="47" fillId="8" borderId="12" xfId="19" applyNumberFormat="1" applyFont="1" applyFill="1" applyBorder="1" applyAlignment="1">
      <alignment horizontal="right" vertical="center" wrapText="1" readingOrder="1"/>
    </xf>
    <xf numFmtId="3" fontId="37" fillId="7" borderId="17" xfId="25" applyNumberFormat="1" applyFont="1" applyFill="1" applyBorder="1" applyAlignment="1">
      <alignment horizontal="right" vertical="center" wrapText="1" readingOrder="1"/>
    </xf>
    <xf numFmtId="173" fontId="39" fillId="8" borderId="9" xfId="19" applyNumberFormat="1" applyFont="1" applyFill="1" applyBorder="1" applyAlignment="1">
      <alignment horizontal="right" vertical="center" wrapText="1" readingOrder="1"/>
    </xf>
    <xf numFmtId="173" fontId="39" fillId="8" borderId="12" xfId="19" applyNumberFormat="1" applyFont="1" applyFill="1" applyBorder="1" applyAlignment="1">
      <alignment horizontal="right" vertical="center" wrapText="1" readingOrder="1"/>
    </xf>
    <xf numFmtId="173" fontId="37" fillId="7" borderId="17" xfId="1" applyNumberFormat="1" applyFont="1" applyFill="1" applyBorder="1" applyAlignment="1">
      <alignment horizontal="right" vertical="center" wrapText="1" readingOrder="1"/>
    </xf>
    <xf numFmtId="3" fontId="38" fillId="10" borderId="0" xfId="31" applyNumberFormat="1" applyFont="1" applyFill="1" applyAlignment="1">
      <alignment vertical="center" wrapText="1" readingOrder="1"/>
    </xf>
    <xf numFmtId="3" fontId="47" fillId="8" borderId="11" xfId="19" applyNumberFormat="1" applyFont="1" applyFill="1" applyBorder="1" applyAlignment="1">
      <alignment horizontal="right" vertical="center" wrapText="1" readingOrder="1"/>
    </xf>
    <xf numFmtId="3" fontId="39" fillId="8" borderId="9" xfId="19" applyNumberFormat="1" applyFont="1" applyFill="1" applyBorder="1" applyAlignment="1">
      <alignment horizontal="right" vertical="center" wrapText="1" readingOrder="1"/>
    </xf>
    <xf numFmtId="3" fontId="39" fillId="8" borderId="10" xfId="19" applyNumberFormat="1" applyFont="1" applyFill="1" applyBorder="1" applyAlignment="1">
      <alignment horizontal="right" vertical="center" wrapText="1" readingOrder="1"/>
    </xf>
    <xf numFmtId="3" fontId="37" fillId="11" borderId="17" xfId="32" applyNumberFormat="1" applyFont="1" applyFill="1" applyBorder="1" applyAlignment="1">
      <alignment horizontal="right" vertical="center" wrapText="1" readingOrder="1"/>
    </xf>
    <xf numFmtId="0" fontId="61" fillId="0" borderId="1" xfId="0" applyFont="1" applyBorder="1" applyAlignment="1">
      <alignment horizontal="center" vertical="center" wrapText="1" readingOrder="1"/>
    </xf>
    <xf numFmtId="0" fontId="61" fillId="0" borderId="0" xfId="0" applyFont="1" applyAlignment="1">
      <alignment horizontal="center" vertical="center" wrapText="1" readingOrder="1"/>
    </xf>
    <xf numFmtId="0" fontId="28" fillId="0" borderId="1" xfId="0" applyFont="1" applyBorder="1" applyAlignment="1">
      <alignment horizontal="center" vertical="center" wrapText="1" readingOrder="1"/>
    </xf>
    <xf numFmtId="0" fontId="28" fillId="0" borderId="1" xfId="0" applyFont="1" applyBorder="1" applyAlignment="1">
      <alignment vertical="center" wrapText="1" readingOrder="1"/>
    </xf>
    <xf numFmtId="0" fontId="61" fillId="0" borderId="1" xfId="0" applyFont="1" applyBorder="1" applyAlignment="1">
      <alignment horizontal="left" vertical="center" wrapText="1" readingOrder="1"/>
    </xf>
    <xf numFmtId="0" fontId="62" fillId="0" borderId="1" xfId="0" applyFont="1" applyBorder="1" applyAlignment="1">
      <alignment horizontal="right" vertical="center" wrapText="1" readingOrder="1"/>
    </xf>
    <xf numFmtId="173" fontId="9" fillId="0" borderId="0" xfId="23" applyNumberFormat="1"/>
    <xf numFmtId="3" fontId="9" fillId="0" borderId="0" xfId="23" applyNumberFormat="1"/>
    <xf numFmtId="10" fontId="9" fillId="0" borderId="0" xfId="23" applyNumberFormat="1"/>
    <xf numFmtId="43" fontId="63" fillId="0" borderId="0" xfId="31" applyNumberFormat="1" applyFont="1"/>
    <xf numFmtId="43" fontId="59" fillId="0" borderId="0" xfId="31" applyNumberFormat="1" applyFont="1"/>
    <xf numFmtId="43" fontId="16" fillId="0" borderId="0" xfId="8" applyNumberFormat="1" applyFont="1"/>
    <xf numFmtId="164" fontId="16" fillId="0" borderId="0" xfId="1" applyFont="1"/>
    <xf numFmtId="174" fontId="16" fillId="0" borderId="0" xfId="1" applyNumberFormat="1" applyFont="1"/>
    <xf numFmtId="171" fontId="16" fillId="0" borderId="0" xfId="8" applyNumberFormat="1" applyFont="1"/>
    <xf numFmtId="0" fontId="28" fillId="8" borderId="1" xfId="0" applyFont="1" applyFill="1" applyBorder="1" applyAlignment="1">
      <alignment horizontal="center" vertical="center" wrapText="1" readingOrder="1"/>
    </xf>
    <xf numFmtId="0" fontId="28" fillId="3" borderId="1" xfId="0" applyFont="1" applyFill="1" applyBorder="1" applyAlignment="1">
      <alignment horizontal="center" vertical="center" wrapText="1" readingOrder="1"/>
    </xf>
    <xf numFmtId="10" fontId="1" fillId="0" borderId="0" xfId="12" applyNumberFormat="1" applyFont="1"/>
    <xf numFmtId="10" fontId="1" fillId="3" borderId="0" xfId="12" applyNumberFormat="1" applyFont="1" applyFill="1"/>
    <xf numFmtId="170" fontId="1" fillId="3" borderId="0" xfId="1" applyNumberFormat="1" applyFont="1" applyFill="1"/>
    <xf numFmtId="0" fontId="1" fillId="0" borderId="0" xfId="23" applyFont="1"/>
    <xf numFmtId="0" fontId="1" fillId="0" borderId="0" xfId="31" applyFont="1"/>
    <xf numFmtId="10" fontId="1" fillId="0" borderId="0" xfId="19" applyNumberFormat="1" applyFont="1"/>
    <xf numFmtId="41" fontId="1" fillId="0" borderId="0" xfId="15" applyFont="1"/>
    <xf numFmtId="41" fontId="1" fillId="0" borderId="0" xfId="15" applyFont="1" applyAlignment="1">
      <alignment horizontal="center" vertical="center"/>
    </xf>
    <xf numFmtId="0" fontId="39" fillId="8" borderId="16" xfId="0" applyFont="1" applyFill="1" applyBorder="1" applyAlignment="1">
      <alignment horizontal="justify" vertical="center" wrapText="1"/>
    </xf>
    <xf numFmtId="10" fontId="39" fillId="8" borderId="0" xfId="12" applyNumberFormat="1" applyFont="1" applyFill="1" applyBorder="1" applyAlignment="1">
      <alignment horizontal="center" vertical="center" wrapText="1" readingOrder="1"/>
    </xf>
    <xf numFmtId="10" fontId="38" fillId="5" borderId="6" xfId="12" applyNumberFormat="1" applyFont="1" applyFill="1" applyBorder="1" applyAlignment="1">
      <alignment horizontal="center" vertical="center" wrapText="1" readingOrder="1"/>
    </xf>
    <xf numFmtId="10" fontId="55" fillId="11" borderId="18" xfId="12" applyNumberFormat="1" applyFont="1" applyFill="1" applyBorder="1" applyAlignment="1">
      <alignment horizontal="center" vertical="center"/>
    </xf>
    <xf numFmtId="164" fontId="35" fillId="0" borderId="0" xfId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10" fontId="32" fillId="2" borderId="21" xfId="8" applyNumberFormat="1" applyFont="1" applyFill="1" applyBorder="1" applyAlignment="1">
      <alignment horizontal="center" vertical="center" wrapText="1"/>
    </xf>
    <xf numFmtId="10" fontId="32" fillId="2" borderId="0" xfId="8" applyNumberFormat="1" applyFont="1" applyFill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4" fontId="54" fillId="4" borderId="0" xfId="8" applyNumberFormat="1" applyFont="1" applyFill="1" applyAlignment="1">
      <alignment horizontal="center" vertical="center" wrapText="1"/>
    </xf>
    <xf numFmtId="4" fontId="54" fillId="4" borderId="0" xfId="8" applyNumberFormat="1" applyFont="1" applyFill="1" applyAlignment="1">
      <alignment horizontal="center" vertical="center"/>
    </xf>
    <xf numFmtId="0" fontId="53" fillId="0" borderId="0" xfId="0" applyFont="1" applyAlignment="1">
      <alignment horizontal="center"/>
    </xf>
    <xf numFmtId="0" fontId="9" fillId="0" borderId="0" xfId="23"/>
    <xf numFmtId="10" fontId="54" fillId="6" borderId="0" xfId="18" applyNumberFormat="1" applyFont="1" applyFill="1" applyBorder="1" applyAlignment="1">
      <alignment horizontal="center" vertical="center" wrapText="1"/>
    </xf>
    <xf numFmtId="3" fontId="39" fillId="8" borderId="17" xfId="23" applyNumberFormat="1" applyFont="1" applyFill="1" applyBorder="1" applyAlignment="1">
      <alignment horizontal="center" vertical="center" wrapText="1" readingOrder="1"/>
    </xf>
    <xf numFmtId="3" fontId="39" fillId="8" borderId="20" xfId="23" applyNumberFormat="1" applyFont="1" applyFill="1" applyBorder="1" applyAlignment="1">
      <alignment horizontal="center" vertical="center" wrapText="1" readingOrder="1"/>
    </xf>
    <xf numFmtId="3" fontId="39" fillId="8" borderId="10" xfId="23" applyNumberFormat="1" applyFont="1" applyFill="1" applyBorder="1" applyAlignment="1">
      <alignment horizontal="center" vertical="center" wrapText="1" readingOrder="1"/>
    </xf>
    <xf numFmtId="0" fontId="37" fillId="7" borderId="2" xfId="23" applyFont="1" applyFill="1" applyBorder="1" applyAlignment="1">
      <alignment horizontal="center" vertical="center" wrapText="1" readingOrder="1"/>
    </xf>
    <xf numFmtId="0" fontId="37" fillId="7" borderId="0" xfId="23" applyFont="1" applyFill="1" applyAlignment="1">
      <alignment horizontal="center" vertical="center" wrapText="1" readingOrder="1"/>
    </xf>
    <xf numFmtId="0" fontId="37" fillId="7" borderId="16" xfId="23" applyFont="1" applyFill="1" applyBorder="1" applyAlignment="1">
      <alignment horizontal="center" vertical="center" wrapText="1" readingOrder="1"/>
    </xf>
    <xf numFmtId="0" fontId="39" fillId="8" borderId="22" xfId="0" applyFont="1" applyFill="1" applyBorder="1" applyAlignment="1">
      <alignment horizontal="center" vertical="center" wrapText="1"/>
    </xf>
    <xf numFmtId="0" fontId="39" fillId="8" borderId="16" xfId="0" applyFont="1" applyFill="1" applyBorder="1" applyAlignment="1">
      <alignment horizontal="center" vertical="center" wrapText="1"/>
    </xf>
    <xf numFmtId="0" fontId="39" fillId="8" borderId="9" xfId="0" applyFont="1" applyFill="1" applyBorder="1" applyAlignment="1">
      <alignment horizontal="center" vertical="center" wrapText="1"/>
    </xf>
    <xf numFmtId="0" fontId="39" fillId="8" borderId="17" xfId="0" applyFont="1" applyFill="1" applyBorder="1" applyAlignment="1">
      <alignment horizontal="center" vertical="center" wrapText="1"/>
    </xf>
    <xf numFmtId="0" fontId="39" fillId="8" borderId="20" xfId="0" applyFont="1" applyFill="1" applyBorder="1" applyAlignment="1">
      <alignment horizontal="center" vertical="center" wrapText="1"/>
    </xf>
    <xf numFmtId="0" fontId="39" fillId="8" borderId="10" xfId="0" applyFont="1" applyFill="1" applyBorder="1" applyAlignment="1">
      <alignment horizontal="center" vertical="center" wrapText="1"/>
    </xf>
    <xf numFmtId="3" fontId="39" fillId="8" borderId="22" xfId="23" applyNumberFormat="1" applyFont="1" applyFill="1" applyBorder="1" applyAlignment="1">
      <alignment horizontal="center" vertical="center" wrapText="1" readingOrder="1"/>
    </xf>
    <xf numFmtId="3" fontId="39" fillId="8" borderId="16" xfId="23" applyNumberFormat="1" applyFont="1" applyFill="1" applyBorder="1" applyAlignment="1">
      <alignment horizontal="center" vertical="center" wrapText="1" readingOrder="1"/>
    </xf>
    <xf numFmtId="3" fontId="39" fillId="8" borderId="9" xfId="23" applyNumberFormat="1" applyFont="1" applyFill="1" applyBorder="1" applyAlignment="1">
      <alignment horizontal="center" vertical="center" wrapText="1" readingOrder="1"/>
    </xf>
    <xf numFmtId="10" fontId="43" fillId="0" borderId="0" xfId="12" applyNumberFormat="1" applyFont="1" applyBorder="1" applyAlignment="1">
      <alignment horizontal="center" vertical="center" wrapText="1"/>
    </xf>
    <xf numFmtId="10" fontId="54" fillId="6" borderId="24" xfId="18" applyNumberFormat="1" applyFont="1" applyFill="1" applyBorder="1" applyAlignment="1">
      <alignment horizontal="center" vertical="center" wrapText="1"/>
    </xf>
    <xf numFmtId="0" fontId="8" fillId="0" borderId="25" xfId="31" applyBorder="1" applyAlignment="1">
      <alignment horizontal="center"/>
    </xf>
    <xf numFmtId="0" fontId="8" fillId="0" borderId="0" xfId="31" applyAlignment="1">
      <alignment horizontal="center"/>
    </xf>
    <xf numFmtId="10" fontId="53" fillId="0" borderId="0" xfId="19" applyNumberFormat="1" applyFont="1" applyAlignment="1">
      <alignment horizontal="center" vertical="center"/>
    </xf>
    <xf numFmtId="10" fontId="43" fillId="0" borderId="0" xfId="12" applyNumberFormat="1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9" fillId="8" borderId="17" xfId="0" applyFont="1" applyFill="1" applyBorder="1" applyAlignment="1">
      <alignment horizontal="left" vertical="center" wrapText="1"/>
    </xf>
    <xf numFmtId="0" fontId="39" fillId="8" borderId="10" xfId="0" applyFont="1" applyFill="1" applyBorder="1" applyAlignment="1">
      <alignment horizontal="left" vertical="center" wrapText="1"/>
    </xf>
    <xf numFmtId="0" fontId="40" fillId="7" borderId="26" xfId="23" applyFont="1" applyFill="1" applyBorder="1" applyAlignment="1">
      <alignment horizontal="center" vertical="center" wrapText="1" readingOrder="1"/>
    </xf>
    <xf numFmtId="0" fontId="40" fillId="7" borderId="22" xfId="23" applyFont="1" applyFill="1" applyBorder="1" applyAlignment="1">
      <alignment horizontal="center" vertical="center" wrapText="1" readingOrder="1"/>
    </xf>
    <xf numFmtId="0" fontId="40" fillId="7" borderId="0" xfId="23" applyFont="1" applyFill="1" applyAlignment="1">
      <alignment horizontal="center" vertical="center" wrapText="1" readingOrder="1"/>
    </xf>
    <xf numFmtId="0" fontId="40" fillId="7" borderId="16" xfId="23" applyFont="1" applyFill="1" applyBorder="1" applyAlignment="1">
      <alignment horizontal="center" vertical="center" wrapText="1" readingOrder="1"/>
    </xf>
    <xf numFmtId="10" fontId="54" fillId="6" borderId="2" xfId="18" applyNumberFormat="1" applyFont="1" applyFill="1" applyBorder="1" applyAlignment="1">
      <alignment horizontal="center" vertical="center" wrapText="1"/>
    </xf>
    <xf numFmtId="0" fontId="47" fillId="8" borderId="17" xfId="0" applyFont="1" applyFill="1" applyBorder="1" applyAlignment="1">
      <alignment horizontal="center" vertical="center" wrapText="1"/>
    </xf>
    <xf numFmtId="0" fontId="47" fillId="8" borderId="20" xfId="0" applyFont="1" applyFill="1" applyBorder="1" applyAlignment="1">
      <alignment horizontal="center" vertical="center" wrapText="1"/>
    </xf>
    <xf numFmtId="0" fontId="34" fillId="0" borderId="0" xfId="8" applyFont="1" applyAlignment="1">
      <alignment horizontal="center" wrapText="1"/>
    </xf>
    <xf numFmtId="10" fontId="43" fillId="0" borderId="0" xfId="19" applyNumberFormat="1" applyFont="1" applyAlignment="1">
      <alignment horizontal="center" vertical="center" wrapText="1"/>
    </xf>
    <xf numFmtId="0" fontId="32" fillId="0" borderId="0" xfId="8" applyFont="1" applyAlignment="1">
      <alignment horizontal="left"/>
    </xf>
    <xf numFmtId="0" fontId="32" fillId="3" borderId="0" xfId="8" applyFont="1" applyFill="1" applyAlignment="1">
      <alignment horizontal="center"/>
    </xf>
  </cellXfs>
  <cellStyles count="48">
    <cellStyle name="Millares" xfId="1" builtinId="3"/>
    <cellStyle name="Millares [0]" xfId="15" builtinId="6"/>
    <cellStyle name="Millares [0] 2" xfId="21"/>
    <cellStyle name="Millares [0] 3" xfId="25"/>
    <cellStyle name="Millares [0] 3 2" xfId="32"/>
    <cellStyle name="Millares 2" xfId="27"/>
    <cellStyle name="Millares 2 2" xfId="28"/>
    <cellStyle name="Millares 3" xfId="29"/>
    <cellStyle name="Millares 4" xfId="37"/>
    <cellStyle name="Millares 4 2" xfId="39"/>
    <cellStyle name="Millares 4 3" xfId="41"/>
    <cellStyle name="Millares 4 4" xfId="43"/>
    <cellStyle name="Millares 4 5" xfId="45"/>
    <cellStyle name="Millares 4 6" xfId="47"/>
    <cellStyle name="Moneda [0] 2" xfId="9"/>
    <cellStyle name="Moneda [0] 3" xfId="22"/>
    <cellStyle name="Moneda 2" xfId="26"/>
    <cellStyle name="Moneda 3" xfId="30"/>
    <cellStyle name="Normal" xfId="0" builtinId="0"/>
    <cellStyle name="Normal 2" xfId="2"/>
    <cellStyle name="Normal 2 2" xfId="6"/>
    <cellStyle name="Normal 2 2 2" xfId="10"/>
    <cellStyle name="Normal 2 2 3" xfId="13"/>
    <cellStyle name="Normal 2 2 3 2" xfId="33"/>
    <cellStyle name="Normal 2 2 4" xfId="14"/>
    <cellStyle name="Normal 2 2 4 2" xfId="34"/>
    <cellStyle name="Normal 2 2 5" xfId="17"/>
    <cellStyle name="Normal 2 3" xfId="8"/>
    <cellStyle name="Normal 3" xfId="3"/>
    <cellStyle name="Normal 4" xfId="4"/>
    <cellStyle name="Normal 4 2" xfId="7"/>
    <cellStyle name="Normal 4 2 2" xfId="11"/>
    <cellStyle name="Normal 5" xfId="16"/>
    <cellStyle name="Normal 6" xfId="23"/>
    <cellStyle name="Normal 6 2" xfId="31"/>
    <cellStyle name="Normal 6 3" xfId="35"/>
    <cellStyle name="Normal 6 3 2" xfId="38"/>
    <cellStyle name="Normal 6 3 3" xfId="40"/>
    <cellStyle name="Normal 6 3 4" xfId="42"/>
    <cellStyle name="Normal 6 3 5" xfId="44"/>
    <cellStyle name="Normal 6 3 6" xfId="46"/>
    <cellStyle name="Porcentaje" xfId="12" builtinId="5"/>
    <cellStyle name="Porcentaje 2" xfId="5"/>
    <cellStyle name="Porcentaje 2 2" xfId="19"/>
    <cellStyle name="Porcentaje 2 2 2" xfId="36"/>
    <cellStyle name="Porcentaje 3" xfId="20"/>
    <cellStyle name="Porcentaje 4" xfId="24"/>
    <cellStyle name="Porcentaje 7" xfId="1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9EDF4"/>
      <color rgb="FF1F497D"/>
      <color rgb="FF0000FF"/>
      <color rgb="FFEEF3F8"/>
      <color rgb="FF003399"/>
      <color rgb="FF28328A"/>
      <color rgb="FF66FF33"/>
      <color rgb="FFFF3300"/>
      <color rgb="FF0066CC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0" Type="http://schemas.openxmlformats.org/officeDocument/2006/relationships/externalLink" Target="externalLinks/externalLink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1468678</xdr:colOff>
      <xdr:row>2</xdr:row>
      <xdr:rowOff>34675</xdr:rowOff>
    </xdr:from>
    <xdr:ext cx="7810498" cy="662780"/>
    <xdr:sp macro="" textlink="">
      <xdr:nvSpPr>
        <xdr:cNvPr id="9" name="3 Rectángulo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/>
      </xdr:nvSpPr>
      <xdr:spPr>
        <a:xfrm>
          <a:off x="5822964" y="538139"/>
          <a:ext cx="7810498" cy="662780"/>
        </a:xfrm>
        <a:prstGeom prst="rect">
          <a:avLst/>
        </a:prstGeom>
        <a:noFill/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txBody>
        <a:bodyPr wrap="square" lIns="91440" tIns="45720" rIns="91440" bIns="45720">
          <a:noAutofit/>
        </a:bodyPr>
        <a:lstStyle/>
        <a:p>
          <a:pPr algn="ctr"/>
          <a:r>
            <a:rPr lang="es-ES" sz="2800" b="0" u="sng" cap="none" spc="0">
              <a:ln w="0"/>
              <a:solidFill>
                <a:srgbClr val="002060"/>
              </a:solidFill>
              <a:effectLst>
                <a:outerShdw blurRad="38100" dist="25400" dir="5400000" algn="ctr" rotWithShape="0">
                  <a:srgbClr val="6E747A">
                    <a:alpha val="43000"/>
                  </a:srgbClr>
                </a:outerShdw>
              </a:effectLst>
              <a:latin typeface="Century Gothic" panose="020B0502020202020204" pitchFamily="34" charset="0"/>
            </a:rPr>
            <a:t>Consolidado Sector Justicia y del Derecho </a:t>
          </a:r>
        </a:p>
      </xdr:txBody>
    </xdr:sp>
    <xdr:clientData/>
  </xdr:oneCellAnchor>
  <xdr:twoCellAnchor editAs="oneCell">
    <xdr:from>
      <xdr:col>2</xdr:col>
      <xdr:colOff>1329788</xdr:colOff>
      <xdr:row>1</xdr:row>
      <xdr:rowOff>93169</xdr:rowOff>
    </xdr:from>
    <xdr:to>
      <xdr:col>3</xdr:col>
      <xdr:colOff>663348</xdr:colOff>
      <xdr:row>4</xdr:row>
      <xdr:rowOff>71706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96788" y="297276"/>
          <a:ext cx="1401846" cy="740537"/>
        </a:xfrm>
        <a:prstGeom prst="rect">
          <a:avLst/>
        </a:prstGeom>
      </xdr:spPr>
    </xdr:pic>
    <xdr:clientData/>
  </xdr:twoCellAnchor>
  <xdr:twoCellAnchor>
    <xdr:from>
      <xdr:col>12</xdr:col>
      <xdr:colOff>1007644</xdr:colOff>
      <xdr:row>39</xdr:row>
      <xdr:rowOff>286585</xdr:rowOff>
    </xdr:from>
    <xdr:to>
      <xdr:col>12</xdr:col>
      <xdr:colOff>1809749</xdr:colOff>
      <xdr:row>43</xdr:row>
      <xdr:rowOff>173791</xdr:rowOff>
    </xdr:to>
    <xdr:sp macro="" textlink="">
      <xdr:nvSpPr>
        <xdr:cNvPr id="8" name="7 Rectángulo redondeado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>
        <a:xfrm>
          <a:off x="19375019" y="15272585"/>
          <a:ext cx="802105" cy="458706"/>
        </a:xfrm>
        <a:prstGeom prst="roundRect">
          <a:avLst/>
        </a:prstGeom>
        <a:solidFill>
          <a:srgbClr val="0066CC"/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horzOverflow="clip" rtlCol="0" anchor="ctr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CO" sz="20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01 </a:t>
          </a:r>
        </a:p>
      </xdr:txBody>
    </xdr:sp>
    <xdr:clientData/>
  </xdr:twoCellAnchor>
  <xdr:twoCellAnchor editAs="oneCell">
    <xdr:from>
      <xdr:col>1</xdr:col>
      <xdr:colOff>968375</xdr:colOff>
      <xdr:row>0</xdr:row>
      <xdr:rowOff>95250</xdr:rowOff>
    </xdr:from>
    <xdr:to>
      <xdr:col>2</xdr:col>
      <xdr:colOff>523875</xdr:colOff>
      <xdr:row>5</xdr:row>
      <xdr:rowOff>111125</xdr:rowOff>
    </xdr:to>
    <xdr:pic>
      <xdr:nvPicPr>
        <xdr:cNvPr id="3" name="image_0">
          <a:extLst>
            <a:ext uri="{FF2B5EF4-FFF2-40B4-BE49-F238E27FC236}">
              <a16:creationId xmlns:a16="http://schemas.microsoft.com/office/drawing/2014/main" id="{577D8BB3-3246-36B6-DDFE-375B4C73727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69" r="11291" b="17242"/>
        <a:stretch/>
      </xdr:blipFill>
      <xdr:spPr bwMode="auto">
        <a:xfrm>
          <a:off x="1174750" y="95250"/>
          <a:ext cx="2016125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83343</xdr:colOff>
      <xdr:row>32</xdr:row>
      <xdr:rowOff>139171</xdr:rowOff>
    </xdr:from>
    <xdr:to>
      <xdr:col>9</xdr:col>
      <xdr:colOff>850143</xdr:colOff>
      <xdr:row>35</xdr:row>
      <xdr:rowOff>24871</xdr:rowOff>
    </xdr:to>
    <xdr:sp macro="" textlink="">
      <xdr:nvSpPr>
        <xdr:cNvPr id="4" name="7 Rectángulo redondeado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/>
      </xdr:nvSpPr>
      <xdr:spPr>
        <a:xfrm>
          <a:off x="14597062" y="8973609"/>
          <a:ext cx="766800" cy="457200"/>
        </a:xfrm>
        <a:prstGeom prst="roundRect">
          <a:avLst/>
        </a:prstGeom>
        <a:solidFill>
          <a:srgbClr val="0066CC"/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horzOverflow="clip" rtlCol="0" anchor="ctr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CO" sz="20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10 </a:t>
          </a:r>
        </a:p>
      </xdr:txBody>
    </xdr:sp>
    <xdr:clientData/>
  </xdr:twoCellAnchor>
  <xdr:twoCellAnchor editAs="oneCell">
    <xdr:from>
      <xdr:col>1</xdr:col>
      <xdr:colOff>226218</xdr:colOff>
      <xdr:row>2</xdr:row>
      <xdr:rowOff>0</xdr:rowOff>
    </xdr:from>
    <xdr:to>
      <xdr:col>1</xdr:col>
      <xdr:colOff>2963559</xdr:colOff>
      <xdr:row>7</xdr:row>
      <xdr:rowOff>64473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2" y="345281"/>
          <a:ext cx="2737341" cy="969348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408781</xdr:colOff>
      <xdr:row>15</xdr:row>
      <xdr:rowOff>66867</xdr:rowOff>
    </xdr:from>
    <xdr:to>
      <xdr:col>11</xdr:col>
      <xdr:colOff>1227668</xdr:colOff>
      <xdr:row>16</xdr:row>
      <xdr:rowOff>201083</xdr:rowOff>
    </xdr:to>
    <xdr:sp macro="" textlink="">
      <xdr:nvSpPr>
        <xdr:cNvPr id="4" name="7 Rectángulo redondeado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/>
      </xdr:nvSpPr>
      <xdr:spPr>
        <a:xfrm>
          <a:off x="15585281" y="6819034"/>
          <a:ext cx="818887" cy="324716"/>
        </a:xfrm>
        <a:prstGeom prst="roundRect">
          <a:avLst/>
        </a:prstGeom>
        <a:solidFill>
          <a:srgbClr val="0066CC"/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horzOverflow="clip" rtlCol="0" anchor="ctr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CO" sz="20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11 </a:t>
          </a:r>
        </a:p>
      </xdr:txBody>
    </xdr:sp>
    <xdr:clientData/>
  </xdr:twoCellAnchor>
  <xdr:twoCellAnchor editAs="oneCell">
    <xdr:from>
      <xdr:col>2</xdr:col>
      <xdr:colOff>162622</xdr:colOff>
      <xdr:row>1</xdr:row>
      <xdr:rowOff>58079</xdr:rowOff>
    </xdr:from>
    <xdr:to>
      <xdr:col>3</xdr:col>
      <xdr:colOff>121838</xdr:colOff>
      <xdr:row>6</xdr:row>
      <xdr:rowOff>40079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012" y="209085"/>
          <a:ext cx="2737341" cy="9693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2907505</xdr:colOff>
      <xdr:row>2</xdr:row>
      <xdr:rowOff>166687</xdr:rowOff>
    </xdr:from>
    <xdr:to>
      <xdr:col>2</xdr:col>
      <xdr:colOff>409333</xdr:colOff>
      <xdr:row>6</xdr:row>
      <xdr:rowOff>76730</xdr:rowOff>
    </xdr:to>
    <xdr:pic>
      <xdr:nvPicPr>
        <xdr:cNvPr id="5" name="Imagen 6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07530" y="566737"/>
          <a:ext cx="1178478" cy="652463"/>
        </a:xfrm>
        <a:prstGeom prst="rect">
          <a:avLst/>
        </a:prstGeom>
      </xdr:spPr>
    </xdr:pic>
    <xdr:clientData/>
  </xdr:twoCellAnchor>
  <xdr:twoCellAnchor>
    <xdr:from>
      <xdr:col>9</xdr:col>
      <xdr:colOff>299358</xdr:colOff>
      <xdr:row>30</xdr:row>
      <xdr:rowOff>179497</xdr:rowOff>
    </xdr:from>
    <xdr:to>
      <xdr:col>9</xdr:col>
      <xdr:colOff>1066158</xdr:colOff>
      <xdr:row>31</xdr:row>
      <xdr:rowOff>362853</xdr:rowOff>
    </xdr:to>
    <xdr:sp macro="" textlink="">
      <xdr:nvSpPr>
        <xdr:cNvPr id="6" name="7 Rectángulo redondeado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/>
      </xdr:nvSpPr>
      <xdr:spPr>
        <a:xfrm>
          <a:off x="12981215" y="10915533"/>
          <a:ext cx="766800" cy="455499"/>
        </a:xfrm>
        <a:prstGeom prst="roundRect">
          <a:avLst/>
        </a:prstGeom>
        <a:solidFill>
          <a:srgbClr val="0066CC"/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horzOverflow="clip" rtlCol="0" anchor="ctr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CO" sz="18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02 </a:t>
          </a:r>
        </a:p>
      </xdr:txBody>
    </xdr:sp>
    <xdr:clientData/>
  </xdr:twoCellAnchor>
  <xdr:twoCellAnchor editAs="oneCell">
    <xdr:from>
      <xdr:col>1</xdr:col>
      <xdr:colOff>326571</xdr:colOff>
      <xdr:row>0</xdr:row>
      <xdr:rowOff>13607</xdr:rowOff>
    </xdr:from>
    <xdr:to>
      <xdr:col>1</xdr:col>
      <xdr:colOff>2342696</xdr:colOff>
      <xdr:row>6</xdr:row>
      <xdr:rowOff>306161</xdr:rowOff>
    </xdr:to>
    <xdr:pic>
      <xdr:nvPicPr>
        <xdr:cNvPr id="2" name="image_0">
          <a:extLst>
            <a:ext uri="{FF2B5EF4-FFF2-40B4-BE49-F238E27FC236}">
              <a16:creationId xmlns:a16="http://schemas.microsoft.com/office/drawing/2014/main" id="{FC6A5FB4-A81C-4BDF-84B8-E246EF60BB9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69" r="11291" b="17242"/>
        <a:stretch/>
      </xdr:blipFill>
      <xdr:spPr bwMode="auto">
        <a:xfrm>
          <a:off x="530678" y="13607"/>
          <a:ext cx="2016125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527844</xdr:colOff>
      <xdr:row>30</xdr:row>
      <xdr:rowOff>158750</xdr:rowOff>
    </xdr:from>
    <xdr:to>
      <xdr:col>11</xdr:col>
      <xdr:colOff>1294644</xdr:colOff>
      <xdr:row>33</xdr:row>
      <xdr:rowOff>44450</xdr:rowOff>
    </xdr:to>
    <xdr:sp macro="" textlink="">
      <xdr:nvSpPr>
        <xdr:cNvPr id="6" name="7 Rectángulo redondeado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/>
      </xdr:nvSpPr>
      <xdr:spPr>
        <a:xfrm>
          <a:off x="21244719" y="23923625"/>
          <a:ext cx="766800" cy="457200"/>
        </a:xfrm>
        <a:prstGeom prst="roundRect">
          <a:avLst/>
        </a:prstGeom>
        <a:solidFill>
          <a:srgbClr val="0066CC"/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horzOverflow="clip" rtlCol="0" anchor="ctr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CO" sz="20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03 </a:t>
          </a:r>
        </a:p>
      </xdr:txBody>
    </xdr:sp>
    <xdr:clientData/>
  </xdr:twoCellAnchor>
  <xdr:twoCellAnchor editAs="oneCell">
    <xdr:from>
      <xdr:col>1</xdr:col>
      <xdr:colOff>79375</xdr:colOff>
      <xdr:row>0</xdr:row>
      <xdr:rowOff>0</xdr:rowOff>
    </xdr:from>
    <xdr:to>
      <xdr:col>2</xdr:col>
      <xdr:colOff>269875</xdr:colOff>
      <xdr:row>5</xdr:row>
      <xdr:rowOff>158750</xdr:rowOff>
    </xdr:to>
    <xdr:pic>
      <xdr:nvPicPr>
        <xdr:cNvPr id="2" name="image_0">
          <a:extLst>
            <a:ext uri="{FF2B5EF4-FFF2-40B4-BE49-F238E27FC236}">
              <a16:creationId xmlns:a16="http://schemas.microsoft.com/office/drawing/2014/main" id="{03D4E50F-096C-46C7-8B90-5D5CFED6F7B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69" r="11291" b="17242"/>
        <a:stretch/>
      </xdr:blipFill>
      <xdr:spPr bwMode="auto">
        <a:xfrm>
          <a:off x="476250" y="0"/>
          <a:ext cx="2016125" cy="1190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330145</xdr:colOff>
      <xdr:row>1</xdr:row>
      <xdr:rowOff>65610</xdr:rowOff>
    </xdr:from>
    <xdr:to>
      <xdr:col>1</xdr:col>
      <xdr:colOff>2406595</xdr:colOff>
      <xdr:row>5</xdr:row>
      <xdr:rowOff>23813</xdr:rowOff>
    </xdr:to>
    <xdr:pic>
      <xdr:nvPicPr>
        <xdr:cNvPr id="7" name="3 Imagen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9219" t="18069" r="64684" b="67476"/>
        <a:stretch>
          <a:fillRect/>
        </a:stretch>
      </xdr:blipFill>
      <xdr:spPr bwMode="auto">
        <a:xfrm>
          <a:off x="580176" y="220391"/>
          <a:ext cx="2076450" cy="7559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300962</xdr:colOff>
      <xdr:row>30</xdr:row>
      <xdr:rowOff>169334</xdr:rowOff>
    </xdr:from>
    <xdr:to>
      <xdr:col>9</xdr:col>
      <xdr:colOff>1006246</xdr:colOff>
      <xdr:row>32</xdr:row>
      <xdr:rowOff>1985</xdr:rowOff>
    </xdr:to>
    <xdr:sp macro="" textlink="">
      <xdr:nvSpPr>
        <xdr:cNvPr id="8" name="7 Rectángulo redondeado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SpPr/>
      </xdr:nvSpPr>
      <xdr:spPr>
        <a:xfrm>
          <a:off x="13508962" y="10276417"/>
          <a:ext cx="705284" cy="467651"/>
        </a:xfrm>
        <a:prstGeom prst="roundRect">
          <a:avLst/>
        </a:prstGeom>
        <a:solidFill>
          <a:srgbClr val="0066CC"/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horzOverflow="clip" rtlCol="0" anchor="ctr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CO" sz="20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04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228072</xdr:colOff>
      <xdr:row>19</xdr:row>
      <xdr:rowOff>67467</xdr:rowOff>
    </xdr:from>
    <xdr:to>
      <xdr:col>11</xdr:col>
      <xdr:colOff>1319780</xdr:colOff>
      <xdr:row>21</xdr:row>
      <xdr:rowOff>37834</xdr:rowOff>
    </xdr:to>
    <xdr:sp macro="" textlink="">
      <xdr:nvSpPr>
        <xdr:cNvPr id="7" name="7 Rectángulo redondeado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/>
      </xdr:nvSpPr>
      <xdr:spPr>
        <a:xfrm>
          <a:off x="18949989" y="8565884"/>
          <a:ext cx="1091708" cy="457200"/>
        </a:xfrm>
        <a:prstGeom prst="roundRect">
          <a:avLst/>
        </a:prstGeom>
        <a:solidFill>
          <a:srgbClr val="0066CC"/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horzOverflow="clip" rtlCol="0" anchor="ctr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CO" sz="20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05 </a:t>
          </a:r>
        </a:p>
      </xdr:txBody>
    </xdr:sp>
    <xdr:clientData/>
  </xdr:twoCellAnchor>
  <xdr:twoCellAnchor editAs="oneCell">
    <xdr:from>
      <xdr:col>2</xdr:col>
      <xdr:colOff>95250</xdr:colOff>
      <xdr:row>1</xdr:row>
      <xdr:rowOff>137582</xdr:rowOff>
    </xdr:from>
    <xdr:to>
      <xdr:col>2</xdr:col>
      <xdr:colOff>3302000</xdr:colOff>
      <xdr:row>6</xdr:row>
      <xdr:rowOff>121939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0" y="285749"/>
          <a:ext cx="3206750" cy="96860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338085</xdr:colOff>
      <xdr:row>31</xdr:row>
      <xdr:rowOff>186170</xdr:rowOff>
    </xdr:from>
    <xdr:to>
      <xdr:col>9</xdr:col>
      <xdr:colOff>1104885</xdr:colOff>
      <xdr:row>34</xdr:row>
      <xdr:rowOff>71870</xdr:rowOff>
    </xdr:to>
    <xdr:sp macro="" textlink="">
      <xdr:nvSpPr>
        <xdr:cNvPr id="8" name="7 Rectángulo redondeado">
          <a:extLst>
            <a:ext uri="{FF2B5EF4-FFF2-40B4-BE49-F238E27FC236}">
              <a16:creationId xmlns:a16="http://schemas.microsoft.com/office/drawing/2014/main" id="{00000000-0008-0000-0A00-000008000000}"/>
            </a:ext>
          </a:extLst>
        </xdr:cNvPr>
        <xdr:cNvSpPr/>
      </xdr:nvSpPr>
      <xdr:spPr>
        <a:xfrm>
          <a:off x="14740722" y="10349659"/>
          <a:ext cx="766800" cy="450920"/>
        </a:xfrm>
        <a:prstGeom prst="roundRect">
          <a:avLst/>
        </a:prstGeom>
        <a:solidFill>
          <a:srgbClr val="0066CC"/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horzOverflow="clip" rtlCol="0" anchor="ctr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CO" sz="20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06 </a:t>
          </a:r>
        </a:p>
      </xdr:txBody>
    </xdr:sp>
    <xdr:clientData/>
  </xdr:twoCellAnchor>
  <xdr:twoCellAnchor>
    <xdr:from>
      <xdr:col>1</xdr:col>
      <xdr:colOff>334946</xdr:colOff>
      <xdr:row>2</xdr:row>
      <xdr:rowOff>115138</xdr:rowOff>
    </xdr:from>
    <xdr:to>
      <xdr:col>1</xdr:col>
      <xdr:colOff>1915468</xdr:colOff>
      <xdr:row>5</xdr:row>
      <xdr:rowOff>10467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/>
      </xdr:nvSpPr>
      <xdr:spPr>
        <a:xfrm>
          <a:off x="785028" y="512885"/>
          <a:ext cx="1580522" cy="617555"/>
        </a:xfrm>
        <a:prstGeom prst="roundRect">
          <a:avLst>
            <a:gd name="adj" fmla="val 10000"/>
          </a:avLst>
        </a:prstGeom>
        <a:blipFill rotWithShape="1">
          <a:blip xmlns:r="http://schemas.openxmlformats.org/officeDocument/2006/relationships" r:embed="rId1"/>
          <a:stretch>
            <a:fillRect/>
          </a:stretch>
        </a:blipFill>
      </xdr:spPr>
      <xdr:style>
        <a:lnRef idx="1">
          <a:schemeClr val="lt1">
            <a:hueOff val="0"/>
            <a:satOff val="0"/>
            <a:lumOff val="0"/>
            <a:alphaOff val="0"/>
          </a:schemeClr>
        </a:lnRef>
        <a:fillRef idx="1">
          <a:scrgbClr r="0" g="0" b="0"/>
        </a:fillRef>
        <a:effectRef idx="1">
          <a:schemeClr val="accent1">
            <a:tint val="50000"/>
            <a:alpha val="90000"/>
            <a:hueOff val="28935"/>
            <a:satOff val="-1112"/>
            <a:lumOff val="3908"/>
            <a:alphaOff val="-16000"/>
          </a:schemeClr>
        </a:effectRef>
        <a:fontRef idx="minor">
          <a:schemeClr val="lt1">
            <a:hueOff val="0"/>
            <a:satOff val="0"/>
            <a:lumOff val="0"/>
            <a:alphaOff val="0"/>
          </a:schemeClr>
        </a:fontRef>
      </xdr:style>
      <xdr:txBody>
        <a:bodyPr wrap="square"/>
        <a:lstStyle/>
        <a:p>
          <a:endParaRPr lang="es-CO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250031</xdr:colOff>
      <xdr:row>18</xdr:row>
      <xdr:rowOff>47625</xdr:rowOff>
    </xdr:from>
    <xdr:to>
      <xdr:col>11</xdr:col>
      <xdr:colOff>1016831</xdr:colOff>
      <xdr:row>20</xdr:row>
      <xdr:rowOff>111919</xdr:rowOff>
    </xdr:to>
    <xdr:sp macro="" textlink="">
      <xdr:nvSpPr>
        <xdr:cNvPr id="4" name="7 Rectángulo redondeado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/>
      </xdr:nvSpPr>
      <xdr:spPr>
        <a:xfrm>
          <a:off x="18371344" y="6786563"/>
          <a:ext cx="766800" cy="457200"/>
        </a:xfrm>
        <a:prstGeom prst="roundRect">
          <a:avLst/>
        </a:prstGeom>
        <a:solidFill>
          <a:srgbClr val="0066CC"/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horzOverflow="clip" rtlCol="0" anchor="ctr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CO" sz="20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07 </a:t>
          </a:r>
        </a:p>
      </xdr:txBody>
    </xdr:sp>
    <xdr:clientData/>
  </xdr:twoCellAnchor>
  <xdr:twoCellAnchor editAs="oneCell">
    <xdr:from>
      <xdr:col>2</xdr:col>
      <xdr:colOff>202406</xdr:colOff>
      <xdr:row>3</xdr:row>
      <xdr:rowOff>119063</xdr:rowOff>
    </xdr:from>
    <xdr:to>
      <xdr:col>2</xdr:col>
      <xdr:colOff>1878951</xdr:colOff>
      <xdr:row>7</xdr:row>
      <xdr:rowOff>129888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5781" y="583407"/>
          <a:ext cx="1676545" cy="71329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305650</xdr:colOff>
      <xdr:row>27</xdr:row>
      <xdr:rowOff>30426</xdr:rowOff>
    </xdr:from>
    <xdr:to>
      <xdr:col>9</xdr:col>
      <xdr:colOff>1072450</xdr:colOff>
      <xdr:row>29</xdr:row>
      <xdr:rowOff>106626</xdr:rowOff>
    </xdr:to>
    <xdr:sp macro="" textlink="">
      <xdr:nvSpPr>
        <xdr:cNvPr id="4" name="7 Rectángulo redondeado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13575410" y="8955221"/>
          <a:ext cx="766800" cy="467638"/>
        </a:xfrm>
        <a:prstGeom prst="roundRect">
          <a:avLst/>
        </a:prstGeom>
        <a:solidFill>
          <a:srgbClr val="0066CC"/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horzOverflow="clip" rtlCol="0" anchor="ctr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CO" sz="20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08 </a:t>
          </a:r>
        </a:p>
      </xdr:txBody>
    </xdr:sp>
    <xdr:clientData/>
  </xdr:twoCellAnchor>
  <xdr:twoCellAnchor editAs="oneCell">
    <xdr:from>
      <xdr:col>1</xdr:col>
      <xdr:colOff>91336</xdr:colOff>
      <xdr:row>0</xdr:row>
      <xdr:rowOff>247911</xdr:rowOff>
    </xdr:from>
    <xdr:to>
      <xdr:col>2</xdr:col>
      <xdr:colOff>29241</xdr:colOff>
      <xdr:row>3</xdr:row>
      <xdr:rowOff>227955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1439" y="247911"/>
          <a:ext cx="2560542" cy="74987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83340</xdr:colOff>
      <xdr:row>14</xdr:row>
      <xdr:rowOff>52917</xdr:rowOff>
    </xdr:from>
    <xdr:to>
      <xdr:col>11</xdr:col>
      <xdr:colOff>857249</xdr:colOff>
      <xdr:row>16</xdr:row>
      <xdr:rowOff>121180</xdr:rowOff>
    </xdr:to>
    <xdr:sp macro="" textlink="">
      <xdr:nvSpPr>
        <xdr:cNvPr id="7" name="7 Rectángulo redondeado">
          <a:extLst>
            <a:ext uri="{FF2B5EF4-FFF2-40B4-BE49-F238E27FC236}">
              <a16:creationId xmlns:a16="http://schemas.microsoft.com/office/drawing/2014/main" id="{00000000-0008-0000-0D00-000007000000}"/>
            </a:ext>
          </a:extLst>
        </xdr:cNvPr>
        <xdr:cNvSpPr/>
      </xdr:nvSpPr>
      <xdr:spPr>
        <a:xfrm>
          <a:off x="14251778" y="5398823"/>
          <a:ext cx="773909" cy="449263"/>
        </a:xfrm>
        <a:prstGeom prst="roundRect">
          <a:avLst/>
        </a:prstGeom>
        <a:solidFill>
          <a:srgbClr val="0066CC"/>
        </a:solidFill>
        <a:ln>
          <a:noFill/>
        </a:ln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xdr:spPr>
      <xdr:txBody>
        <a:bodyPr vertOverflow="clip" horzOverflow="clip" rtlCol="0" anchor="ctr" anchorCtr="0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s-CO" sz="20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entury Gothic" panose="020B0502020202020204" pitchFamily="34" charset="0"/>
              <a:ea typeface="+mn-ea"/>
              <a:cs typeface="+mn-cs"/>
            </a:rPr>
            <a:t>09 </a:t>
          </a:r>
        </a:p>
      </xdr:txBody>
    </xdr:sp>
    <xdr:clientData/>
  </xdr:twoCellAnchor>
  <xdr:twoCellAnchor editAs="oneCell">
    <xdr:from>
      <xdr:col>2</xdr:col>
      <xdr:colOff>266140</xdr:colOff>
      <xdr:row>2</xdr:row>
      <xdr:rowOff>0</xdr:rowOff>
    </xdr:from>
    <xdr:to>
      <xdr:col>2</xdr:col>
      <xdr:colOff>2826682</xdr:colOff>
      <xdr:row>5</xdr:row>
      <xdr:rowOff>35498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0331" y="392206"/>
          <a:ext cx="2560542" cy="74987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PI\SPSC\Espacios%2520Fiscales\Espacios%2520Fiscales%2520v.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JECUCION%20MINISTERIO%20DEL%20INTERIOR%2013%20ABRIL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PI\SPSC\Espacios%2520Fiscales\Espacios%2520Fiscal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injusticiagovco.sharepoint.com/C79F369C/MGMP2008-2012%20Abril%201%20Ricardo%2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NASAKIWE-Junio-def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injusticiagovco.sharepoint.com/ctorrado/METAS%20SECTOR%202006-2010/Presupuesto_2003/ejecucion/01022004_TOTAL_PND_2003_20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Plan%2520de%2520Inversiones\Formato%2520Plan%2520de%2520Inversiones%2520y%2520Meta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Anteproyecto%25202009\GASTOS%25202009\MGMP2008-2012%2520Abril%25201%2520Ricardo%25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Supuestos"/>
      <sheetName val="Basico"/>
    </sheetNames>
    <sheetDataSet>
      <sheetData sheetId="0">
        <row r="3">
          <cell r="F3" t="str">
            <v>ACTUALIZACIÓN CATASTRAL Y CARTOGRÁFICA</v>
          </cell>
        </row>
        <row r="4">
          <cell r="A4" t="str">
            <v>AGROPECUARIO</v>
          </cell>
          <cell r="B4" t="str">
            <v>ACCION SOCIAL</v>
          </cell>
          <cell r="C4" t="str">
            <v>FONDO ESPECIAL</v>
          </cell>
          <cell r="D4" t="str">
            <v>VIGENCIA FUTURA</v>
          </cell>
          <cell r="E4" t="str">
            <v>NACIÓN</v>
          </cell>
          <cell r="F4" t="str">
            <v>ADECUACIÓN DE TIERRAS</v>
          </cell>
          <cell r="H4" t="str">
            <v>Defensa y Seguridad</v>
          </cell>
          <cell r="I4" t="str">
            <v>CAPITAL HUMANO</v>
          </cell>
          <cell r="J4" t="str">
            <v>Fosyga - Régimen Subsidiado Salud</v>
          </cell>
          <cell r="O4" t="str">
            <v>1. Desarrollo para todos</v>
          </cell>
          <cell r="P4" t="str">
            <v>2.1 Consolidación de la política de seguridad democrática</v>
          </cell>
          <cell r="R4" t="str">
            <v>Acción Social</v>
          </cell>
        </row>
        <row r="5">
          <cell r="A5" t="str">
            <v>ACCIÓN SOCIAL</v>
          </cell>
          <cell r="B5" t="str">
            <v>AEROCIVIL</v>
          </cell>
          <cell r="C5" t="str">
            <v>RENTA ESPECIFICA</v>
          </cell>
          <cell r="D5" t="str">
            <v>LEY</v>
          </cell>
          <cell r="E5" t="str">
            <v>PROPIOS</v>
          </cell>
          <cell r="F5" t="str">
            <v>ADMINISTRACIÓN Y EFICIENCIA DEL SECTOR CULTURAL</v>
          </cell>
          <cell r="H5" t="str">
            <v>Infraestructura Física</v>
          </cell>
          <cell r="I5" t="str">
            <v>CAPITAL SOCIAL</v>
          </cell>
          <cell r="J5" t="str">
            <v xml:space="preserve"> Subsidios de Vivienda Rural</v>
          </cell>
          <cell r="O5" t="str">
            <v>2. Seguridad democrática</v>
          </cell>
          <cell r="P5" t="str">
            <v>2.2 Desplazamiento, DH y reconciliación</v>
          </cell>
          <cell r="R5" t="str">
            <v>Administración General del Estado</v>
          </cell>
        </row>
        <row r="6">
          <cell r="A6" t="str">
            <v>AMBIENTE, VIV. Y DLLO TERR</v>
          </cell>
          <cell r="B6" t="str">
            <v>AGENCIA LOGÍSTICA</v>
          </cell>
          <cell r="C6" t="str">
            <v>CRÉDITO</v>
          </cell>
          <cell r="D6" t="str">
            <v>CRÉDITO</v>
          </cell>
          <cell r="F6" t="str">
            <v xml:space="preserve">ADQUISICIÓN DE EQUIPOS, MATERIALES </v>
          </cell>
          <cell r="H6" t="str">
            <v>Sector Social</v>
          </cell>
          <cell r="I6" t="str">
            <v>CAPITAL FISICO</v>
          </cell>
          <cell r="J6" t="str">
            <v>Adquisición y Reposición de Equipo Operacional</v>
          </cell>
          <cell r="O6" t="str">
            <v>3. Promoción de la equidad</v>
          </cell>
          <cell r="P6" t="str">
            <v>3.1 Red de Pobreza Extrema y Vulnerabilidad</v>
          </cell>
          <cell r="R6" t="str">
            <v>Agropecuario</v>
          </cell>
        </row>
        <row r="7">
          <cell r="A7" t="str">
            <v>AUDITORÍA</v>
          </cell>
          <cell r="B7" t="str">
            <v>ANH</v>
          </cell>
          <cell r="C7" t="str">
            <v>PARAFISCAL</v>
          </cell>
          <cell r="D7" t="str">
            <v>CONTRAPARTIDA</v>
          </cell>
          <cell r="H7" t="str">
            <v>Fortalecimiento Institucional</v>
          </cell>
          <cell r="I7" t="str">
            <v>SEGURIDAD DEMOCRÁTICA</v>
          </cell>
          <cell r="J7" t="str">
            <v>Adquisición, Reposición y Mantenimiento de Equipos</v>
          </cell>
          <cell r="O7" t="str">
            <v>4. Sostenibilidad del crecimiento</v>
          </cell>
          <cell r="P7" t="str">
            <v>3.2 Mercado y relaciones laborales</v>
          </cell>
          <cell r="R7" t="str">
            <v>Comercio y Competitividad</v>
          </cell>
        </row>
        <row r="8">
          <cell r="A8" t="str">
            <v>AUDIENCIA</v>
          </cell>
          <cell r="B8" t="str">
            <v>ANTROPOLOGIA E HISTORIA</v>
          </cell>
          <cell r="C8" t="str">
            <v>DONACION</v>
          </cell>
          <cell r="D8" t="str">
            <v>FONDO ESPECIAL</v>
          </cell>
          <cell r="F8" t="str">
            <v>ADQUISICIÓN DE TERRENOS</v>
          </cell>
          <cell r="I8" t="str">
            <v>FORTALECIMIENTO INSTITUCIONAL</v>
          </cell>
          <cell r="J8" t="str">
            <v>Agro Ingreso Seguro AIS</v>
          </cell>
          <cell r="O8" t="str">
            <v>5. Mejor Estado</v>
          </cell>
          <cell r="P8" t="str">
            <v>3.3 Sistema de Protección Social</v>
          </cell>
          <cell r="R8" t="str">
            <v>Defensa y Seguridad</v>
          </cell>
        </row>
        <row r="9">
          <cell r="A9" t="str">
            <v>COMERCIO, IND. Y TURISMO</v>
          </cell>
          <cell r="B9" t="str">
            <v>ARCHIVO GENERAL</v>
          </cell>
          <cell r="C9" t="str">
            <v>OTROS PROPIOS</v>
          </cell>
          <cell r="D9" t="str">
            <v>FLEXIBLE</v>
          </cell>
          <cell r="F9" t="str">
            <v>ADQUISICIÓN Y ADJUDICACIÓN DE TIERRAS</v>
          </cell>
          <cell r="J9" t="str">
            <v>Agua Potable y Saneamiento Básico</v>
          </cell>
          <cell r="O9" t="str">
            <v>6. Dimensiones transversales del desarrollo</v>
          </cell>
          <cell r="P9" t="str">
            <v>3.4 Banca de oportunidades</v>
          </cell>
          <cell r="R9" t="str">
            <v>Infraestructura</v>
          </cell>
        </row>
        <row r="10">
          <cell r="A10" t="str">
            <v>COMUNICACIONES</v>
          </cell>
          <cell r="B10" t="str">
            <v>ARMADA</v>
          </cell>
          <cell r="C10" t="str">
            <v>NUEVO IMPUESTO</v>
          </cell>
          <cell r="F10" t="str">
            <v>AGUA POTABLE Y SANEAMIENTO BÁSICO</v>
          </cell>
          <cell r="J10" t="str">
            <v>Alianzas Productivas, Pademer, KFW, Transición</v>
          </cell>
          <cell r="O10" t="str">
            <v>7. Cuentas fiscales</v>
          </cell>
          <cell r="P10" t="str">
            <v>3.5 Ciudades amables</v>
          </cell>
          <cell r="R10" t="str">
            <v>Justicia</v>
          </cell>
        </row>
        <row r="11">
          <cell r="A11" t="str">
            <v>CONGRESO</v>
          </cell>
          <cell r="B11" t="str">
            <v>ARTESANIAS DE COLOMBIA S.A.</v>
          </cell>
          <cell r="C11" t="str">
            <v>OTROS NACIÓN</v>
          </cell>
          <cell r="F11" t="str">
            <v>APORTES A UNIVERSIDADES</v>
          </cell>
          <cell r="J11" t="str">
            <v>Ampliación cobertura educación básica y media</v>
          </cell>
          <cell r="P11" t="str">
            <v>3.6 Equidad y desarrollo rural</v>
          </cell>
          <cell r="R11" t="str">
            <v>Social</v>
          </cell>
        </row>
        <row r="12">
          <cell r="A12" t="str">
            <v>CONTRALORÍA</v>
          </cell>
          <cell r="B12" t="str">
            <v xml:space="preserve">AUDITORIA </v>
          </cell>
          <cell r="F12" t="str">
            <v>APOYO A LA GESTIÓN DEL ESTADO</v>
          </cell>
          <cell r="J12" t="str">
            <v>Ampliación cobertura educación superior</v>
          </cell>
          <cell r="P12" t="str">
            <v>3.7 Infraestructura para el desarrollo</v>
          </cell>
        </row>
        <row r="13">
          <cell r="A13" t="str">
            <v>CULTURA</v>
          </cell>
          <cell r="B13" t="str">
            <v>BANCO AGRARIO</v>
          </cell>
          <cell r="F13" t="str">
            <v>APOYO A LA PRODUCCIÓN Y COMERCIALIZACIÓN</v>
          </cell>
          <cell r="J13" t="str">
            <v>Armamento y Material de Guerra</v>
          </cell>
          <cell r="P13" t="str">
            <v>3.8 Otros</v>
          </cell>
        </row>
        <row r="14">
          <cell r="A14" t="str">
            <v>DANE</v>
          </cell>
          <cell r="B14" t="str">
            <v>BIBLIOTECA DE MEDELLIN</v>
          </cell>
          <cell r="F14" t="str">
            <v>APOYO Y FOMENTO A LAS MICRO, PEQUEÑAS Y MEDIANAS EMPRESAS</v>
          </cell>
          <cell r="J14" t="str">
            <v xml:space="preserve">Atención a Desplazados </v>
          </cell>
          <cell r="P14" t="str">
            <v>4.1 Condiciones Macroeconómicas</v>
          </cell>
        </row>
        <row r="15">
          <cell r="A15" t="str">
            <v>DEFENSA</v>
          </cell>
          <cell r="B15" t="str">
            <v>C.D.A.</v>
          </cell>
          <cell r="F15" t="str">
            <v>ASEGURAMIENTO</v>
          </cell>
          <cell r="J15" t="str">
            <v xml:space="preserve">Atención de Emergencias </v>
          </cell>
          <cell r="P15" t="str">
            <v>4.2 Productividad y Competitividad</v>
          </cell>
        </row>
        <row r="16">
          <cell r="A16" t="str">
            <v>DEFENSORÍA</v>
          </cell>
          <cell r="B16" t="str">
            <v>C.S.B.</v>
          </cell>
          <cell r="F16" t="str">
            <v>ASISTENCIA SOCIAL</v>
          </cell>
          <cell r="J16" t="str">
            <v>Banco de las Oportunidades</v>
          </cell>
          <cell r="P16" t="str">
            <v>5.1. Los requisitos del Estado Comunitario</v>
          </cell>
        </row>
        <row r="17">
          <cell r="A17" t="str">
            <v>EDUCACIÓN</v>
          </cell>
          <cell r="B17" t="str">
            <v>CAMARA</v>
          </cell>
          <cell r="F17" t="str">
            <v>ATENCIÓN A VICTIMAS DE LA VIOLENCIA</v>
          </cell>
          <cell r="J17" t="str">
            <v>Calidad educación preescolar básica y media</v>
          </cell>
          <cell r="P17" t="str">
            <v>5.2. Los retos del Estado Comunitario</v>
          </cell>
        </row>
        <row r="18">
          <cell r="B18" t="str">
            <v>CORPOURABA</v>
          </cell>
          <cell r="F18" t="str">
            <v>CONTROL Y VIGILANCIA</v>
          </cell>
          <cell r="J18" t="str">
            <v>Infraestructura Educativa - Ley 21</v>
          </cell>
          <cell r="P18" t="str">
            <v>6.1 Equidad de genero</v>
          </cell>
        </row>
        <row r="19">
          <cell r="P19" t="str">
            <v>6.2 Juventud</v>
          </cell>
        </row>
        <row r="20">
          <cell r="B20" t="str">
            <v>CREG</v>
          </cell>
          <cell r="F20" t="str">
            <v>CREACIÓN ARTÍSTICA Y CULTURAL</v>
          </cell>
          <cell r="J20" t="str">
            <v>Interventoría Regalías</v>
          </cell>
          <cell r="P20" t="str">
            <v>6.3 Grupos etnicos y relaciones interculturales</v>
          </cell>
        </row>
        <row r="21">
          <cell r="B21" t="str">
            <v xml:space="preserve">DANSOCIAL </v>
          </cell>
          <cell r="F21" t="str">
            <v>DIVULGACION Y PROMOCION</v>
          </cell>
          <cell r="J21" t="str">
            <v>Medicina Legal - Sistema Penal Acusatorio</v>
          </cell>
          <cell r="P21" t="str">
            <v>6.4 Dimensión regional</v>
          </cell>
        </row>
        <row r="22">
          <cell r="B22" t="str">
            <v>DEFENSA CIVIL</v>
          </cell>
          <cell r="F22" t="str">
            <v>EFICIENCIA</v>
          </cell>
          <cell r="J22" t="str">
            <v>Mininterior y Justicia - Cárceles</v>
          </cell>
          <cell r="P22" t="str">
            <v>6.5 Gestión ambiental</v>
          </cell>
        </row>
        <row r="23">
          <cell r="B23" t="str">
            <v>DEFENSORIA</v>
          </cell>
          <cell r="F23" t="str">
            <v>ELABORACIÓN DE DOCUMENTO DE IDENTIFICACIÓN CIUDADANO</v>
          </cell>
          <cell r="J23" t="str">
            <v>Obras Hidráulicas de La Mojana</v>
          </cell>
          <cell r="P23" t="str">
            <v>6.6 Ciencia y tecnología</v>
          </cell>
        </row>
        <row r="24">
          <cell r="B24" t="str">
            <v>DIR. GRAL. COMERCIO EXTERIOR</v>
          </cell>
          <cell r="F24" t="str">
            <v>FOMENTO A CADENAS PRODUCTIVAS</v>
          </cell>
          <cell r="J24" t="str">
            <v>Plan Maestro de Información Básica - PLANIB</v>
          </cell>
          <cell r="P24" t="str">
            <v>6.7 Cultura y desarrollo</v>
          </cell>
        </row>
        <row r="25">
          <cell r="B25" t="str">
            <v>DNP</v>
          </cell>
          <cell r="F25" t="str">
            <v>FOMENTO A LA RECREACIÓN Y EL DEPORTE</v>
          </cell>
          <cell r="J25" t="str">
            <v>Plan Nacional de Lecturas y Bibliotecas</v>
          </cell>
          <cell r="P25" t="str">
            <v>6.8 Demografia y desarrollo</v>
          </cell>
        </row>
        <row r="26">
          <cell r="B26" t="str">
            <v>EJERCITO</v>
          </cell>
          <cell r="F26" t="str">
            <v>FOMENTO AL TURISMO</v>
          </cell>
          <cell r="J26" t="str">
            <v xml:space="preserve">Plan Nacional de Música </v>
          </cell>
          <cell r="P26" t="str">
            <v>6.9 Economía solidaria</v>
          </cell>
        </row>
        <row r="27">
          <cell r="P27" t="str">
            <v>6.10 Dimensión internacional</v>
          </cell>
        </row>
        <row r="29">
          <cell r="B29" t="str">
            <v>ESAP</v>
          </cell>
          <cell r="F29" t="str">
            <v>FOMENTO FORESTAL Y SILVICULTURA</v>
          </cell>
          <cell r="J29" t="str">
            <v>Programa 2500 Km</v>
          </cell>
        </row>
        <row r="30">
          <cell r="B30" t="str">
            <v>FONDO CONGRESO-PENSIONES</v>
          </cell>
          <cell r="F30" t="str">
            <v>INFRAESTRUCTURA  FÉRREA POR CONCESIÓN</v>
          </cell>
          <cell r="J30" t="str">
            <v>Resto</v>
          </cell>
        </row>
        <row r="31">
          <cell r="B31" t="str">
            <v>FONDO NAL. REGALIAS</v>
          </cell>
          <cell r="F31" t="str">
            <v>INFRAESTRUCTURA  FLUVIAL Y MARÍTIMA POR CONCESIÓN</v>
          </cell>
          <cell r="J31" t="str">
            <v>Resto</v>
          </cell>
        </row>
        <row r="32">
          <cell r="B32" t="str">
            <v>FONFAC</v>
          </cell>
          <cell r="F32" t="str">
            <v>INFRAESTRUCTURA  VIAL POR CONCESIÓN</v>
          </cell>
          <cell r="J32" t="str">
            <v>Salud Pública - Vacunas</v>
          </cell>
        </row>
        <row r="33">
          <cell r="B33" t="str">
            <v>FONREGISTRADURIA</v>
          </cell>
          <cell r="F33" t="str">
            <v>INFRAESTRUCTURA FLUVIAL Y MARÍTIMA</v>
          </cell>
          <cell r="J33" t="str">
            <v>Sistema Penal Acusatorio (Rama, Fiscalía, Medicina Legal, Defensoría)</v>
          </cell>
        </row>
        <row r="34">
          <cell r="B34" t="str">
            <v>FONRELACIONES</v>
          </cell>
          <cell r="F34" t="str">
            <v>INFRAESTRUCTURA OPERATIVA</v>
          </cell>
          <cell r="J34" t="str">
            <v>SITM</v>
          </cell>
        </row>
        <row r="35">
          <cell r="B35" t="str">
            <v>FONVIVIENDA</v>
          </cell>
          <cell r="F35" t="str">
            <v>INVESTIGACIÓN, ESTUDIOS Y DESARROLLO TECNOLÓGICO</v>
          </cell>
          <cell r="J35" t="str">
            <v>Subsidios Eléctricos y Gas</v>
          </cell>
        </row>
        <row r="36">
          <cell r="B36" t="str">
            <v>FUERZA AEREA</v>
          </cell>
          <cell r="F36" t="str">
            <v>LEVANTAMIENTO DE INFORMACIÓN Y ENCUESTAS</v>
          </cell>
          <cell r="J36" t="str">
            <v>Subsidios Vivienda Urbana</v>
          </cell>
        </row>
        <row r="37">
          <cell r="B37" t="str">
            <v>FUNPUBLICA</v>
          </cell>
          <cell r="F37" t="str">
            <v>MATERIAL DE GUERRA ARMAMENTO Y MUNICIÓN</v>
          </cell>
          <cell r="J37" t="str">
            <v>Titulación, Adquisición y Adjudicación Tierras</v>
          </cell>
        </row>
        <row r="38">
          <cell r="B38" t="str">
            <v>HOSPITAL MILITAR</v>
          </cell>
          <cell r="F38" t="str">
            <v>MEJORAMIENTO Y MANTENIMIENTO DE INFRAESTRUCTURA</v>
          </cell>
          <cell r="J38" t="str">
            <v>Túnel Segundo Centenario (Túnel de la Línea)</v>
          </cell>
        </row>
        <row r="39">
          <cell r="B39" t="str">
            <v>ICA</v>
          </cell>
          <cell r="F39" t="str">
            <v>MEJORAMIENTO Y MANTENIMIENTO INFRAESTRUCTURA AEROPORTUARIA</v>
          </cell>
          <cell r="J39" t="str">
            <v>Turismo</v>
          </cell>
        </row>
        <row r="40">
          <cell r="B40" t="str">
            <v>ICBF</v>
          </cell>
          <cell r="F40" t="str">
            <v>MEJORAMIENTO Y MANTENIMIENTO VIAL</v>
          </cell>
          <cell r="J40" t="str">
            <v>Universidades-Ley 30/93</v>
          </cell>
        </row>
        <row r="41">
          <cell r="B41" t="str">
            <v>ICETEX</v>
          </cell>
          <cell r="F41" t="str">
            <v>ORGANIZACIÓN DE PROCESOS ELECTORALES</v>
          </cell>
        </row>
        <row r="42">
          <cell r="B42" t="str">
            <v>ICFES</v>
          </cell>
          <cell r="F42" t="str">
            <v>OTRAS ESTRATEGIAS</v>
          </cell>
        </row>
        <row r="43">
          <cell r="B43" t="str">
            <v>IDEAM</v>
          </cell>
          <cell r="F43" t="str">
            <v>PENSIONES</v>
          </cell>
        </row>
        <row r="44">
          <cell r="B44" t="str">
            <v>IGAC</v>
          </cell>
          <cell r="F44" t="str">
            <v>POLÍTICA AMBIENTAL</v>
          </cell>
        </row>
        <row r="45">
          <cell r="B45" t="str">
            <v>INCI</v>
          </cell>
          <cell r="F45" t="str">
            <v>POLÍTICA DE VIVIENDA RURAL</v>
          </cell>
        </row>
        <row r="46">
          <cell r="B46" t="str">
            <v>INCO</v>
          </cell>
          <cell r="F46" t="str">
            <v>POLÍTICA DE VIVIENDA Y GESTIÓN URBANA</v>
          </cell>
        </row>
        <row r="47">
          <cell r="B47" t="str">
            <v>INCODER</v>
          </cell>
          <cell r="F47" t="str">
            <v>PREVENCIÓN EN SALUD</v>
          </cell>
        </row>
        <row r="48">
          <cell r="B48" t="str">
            <v>INGEOMINAS</v>
          </cell>
          <cell r="F48" t="str">
            <v>PREVENCIÓN, MITIGACIÓN, ATENCIÓN DE DESASTRES</v>
          </cell>
        </row>
        <row r="49">
          <cell r="B49" t="str">
            <v>INPEC</v>
          </cell>
          <cell r="F49" t="str">
            <v>PROGRAMAS ESPECIALES</v>
          </cell>
        </row>
        <row r="50">
          <cell r="B50" t="str">
            <v>INS</v>
          </cell>
          <cell r="F50" t="str">
            <v>PROMOCIÓN DE LA INVESTIGACIÓN</v>
          </cell>
        </row>
        <row r="51">
          <cell r="B51" t="str">
            <v>INSOR</v>
          </cell>
          <cell r="F51" t="str">
            <v>PROMOCIÓN Y DEFENSA DE LOS DERECHOS HUMANOS</v>
          </cell>
        </row>
        <row r="52">
          <cell r="B52" t="str">
            <v>INST. CANCEROLOGIA</v>
          </cell>
          <cell r="F52" t="str">
            <v>PROTECCIÓN Y BIENESTAR SOCIAL</v>
          </cell>
        </row>
        <row r="53">
          <cell r="B53" t="str">
            <v>INST. DEL CESAR</v>
          </cell>
          <cell r="F53" t="str">
            <v>PROTECCION Y PROMOCIÓN LABORAL</v>
          </cell>
        </row>
        <row r="54">
          <cell r="B54" t="str">
            <v>INSTITUTO ESTUDIOS MINPUBLICO</v>
          </cell>
          <cell r="F54" t="str">
            <v>REESTRUCTURACIÓN DE HOSPITALES</v>
          </cell>
        </row>
        <row r="55">
          <cell r="B55" t="str">
            <v>INVIAS</v>
          </cell>
          <cell r="F55" t="str">
            <v>RED DE COLOMBIANOS EN EL EXTERIOR</v>
          </cell>
        </row>
        <row r="56">
          <cell r="B56" t="str">
            <v>INVIMA</v>
          </cell>
          <cell r="F56" t="str">
            <v>RED PÚBLICA HOSPITALARIA</v>
          </cell>
        </row>
        <row r="57">
          <cell r="B57" t="str">
            <v>IPSE</v>
          </cell>
          <cell r="F57" t="str">
            <v>REGALÍAS</v>
          </cell>
        </row>
        <row r="58">
          <cell r="B58" t="str">
            <v>ITSA</v>
          </cell>
          <cell r="F58" t="str">
            <v>REGULACIÓN, CONTROL Y VIGILANCIA</v>
          </cell>
        </row>
        <row r="59">
          <cell r="B59" t="str">
            <v>MEDICINA LEGAL</v>
          </cell>
          <cell r="F59" t="str">
            <v>SALUD PÚBLICA</v>
          </cell>
        </row>
        <row r="60">
          <cell r="B60" t="str">
            <v>MINAGRICULTURA</v>
          </cell>
          <cell r="F60" t="str">
            <v>SANIDAD AGROPECUARIA</v>
          </cell>
        </row>
        <row r="61">
          <cell r="B61" t="str">
            <v>MINAMBIENTE</v>
          </cell>
          <cell r="F61" t="str">
            <v>SEGURIDAD SISTEMAS DE TRANSPORTE</v>
          </cell>
        </row>
        <row r="62">
          <cell r="B62" t="str">
            <v>MINCOMERCIO</v>
          </cell>
          <cell r="F62" t="str">
            <v>SERVICIOS INTEGRALES DE SALUD</v>
          </cell>
        </row>
        <row r="63">
          <cell r="B63" t="str">
            <v xml:space="preserve">MINCULTURA </v>
          </cell>
          <cell r="F63" t="str">
            <v>SISTEMAS DE INFORMACIÓN</v>
          </cell>
        </row>
        <row r="64">
          <cell r="B64" t="str">
            <v>MINDEFENSA</v>
          </cell>
          <cell r="F64" t="str">
            <v>SUBSIDIOS</v>
          </cell>
        </row>
        <row r="65">
          <cell r="B65" t="str">
            <v>MINEDUCACION</v>
          </cell>
          <cell r="F65" t="str">
            <v>TELECOMUNICACIONES SOCIALES</v>
          </cell>
        </row>
        <row r="66">
          <cell r="B66" t="str">
            <v>MINHACIENDA</v>
          </cell>
          <cell r="F66" t="str">
            <v>TRANSFERENCIAS</v>
          </cell>
        </row>
        <row r="67">
          <cell r="B67" t="str">
            <v>MININTERIOR</v>
          </cell>
          <cell r="F67" t="str">
            <v>ZONAS CONECTADAS</v>
          </cell>
        </row>
        <row r="68">
          <cell r="B68" t="str">
            <v xml:space="preserve">MINMINAS </v>
          </cell>
          <cell r="F68" t="str">
            <v>ZONAS NO CONECTADAS</v>
          </cell>
        </row>
        <row r="69">
          <cell r="B69" t="str">
            <v>MINPROTECCIÓN</v>
          </cell>
        </row>
        <row r="70">
          <cell r="B70" t="str">
            <v xml:space="preserve">MINPUBLICO </v>
          </cell>
        </row>
        <row r="71">
          <cell r="B71" t="str">
            <v>MINTRANSPORTE</v>
          </cell>
        </row>
        <row r="72">
          <cell r="B72" t="str">
            <v>NASA KI WE</v>
          </cell>
        </row>
        <row r="73">
          <cell r="B73" t="str">
            <v>OTRAS ENTIDADES DEL SECTOR</v>
          </cell>
        </row>
        <row r="74">
          <cell r="B74" t="str">
            <v>PARQUES NALES NATURALES</v>
          </cell>
        </row>
        <row r="75">
          <cell r="B75" t="str">
            <v>PASCUAL BRAVO</v>
          </cell>
        </row>
        <row r="76">
          <cell r="B76" t="str">
            <v>POLICIA NACIONAL (SALUD)</v>
          </cell>
        </row>
        <row r="77">
          <cell r="B77" t="str">
            <v xml:space="preserve">POLICIA NACIONAL  </v>
          </cell>
        </row>
        <row r="78">
          <cell r="B78" t="str">
            <v>PRESIDENCIA</v>
          </cell>
        </row>
        <row r="79">
          <cell r="B79" t="str">
            <v xml:space="preserve">REGISTRADURIA </v>
          </cell>
        </row>
        <row r="80">
          <cell r="B80" t="str">
            <v>SALUD - FFMM</v>
          </cell>
        </row>
        <row r="81">
          <cell r="B81" t="str">
            <v>SANATORIO AGUA DE DIOS</v>
          </cell>
        </row>
        <row r="82">
          <cell r="B82" t="str">
            <v>SENA</v>
          </cell>
        </row>
        <row r="83">
          <cell r="B83" t="str">
            <v xml:space="preserve">SENADO </v>
          </cell>
        </row>
        <row r="84">
          <cell r="B84" t="str">
            <v>SUPERBANCARIA</v>
          </cell>
        </row>
        <row r="85">
          <cell r="B85" t="str">
            <v>SUPERINDUSTRIA Y COMERCIO</v>
          </cell>
        </row>
        <row r="86">
          <cell r="B86" t="str">
            <v>SUPERFINANCIERA</v>
          </cell>
        </row>
        <row r="87">
          <cell r="B87" t="str">
            <v>SUPERNOTARIADO</v>
          </cell>
        </row>
        <row r="88">
          <cell r="B88" t="str">
            <v>SUPERSALUD</v>
          </cell>
        </row>
        <row r="89">
          <cell r="B89" t="str">
            <v>SUPERSERVIPUBLICOS</v>
          </cell>
        </row>
        <row r="90">
          <cell r="B90" t="str">
            <v>SUPERSOCIEDADES</v>
          </cell>
        </row>
        <row r="91">
          <cell r="B91" t="str">
            <v>SUPERSOLIDARIA</v>
          </cell>
        </row>
        <row r="92">
          <cell r="B92" t="str">
            <v>SUPERSUBSIDIO</v>
          </cell>
        </row>
        <row r="93">
          <cell r="B93" t="str">
            <v>TECNICO CENTRAL</v>
          </cell>
        </row>
        <row r="94">
          <cell r="B94" t="str">
            <v>UAE - DIAN</v>
          </cell>
        </row>
        <row r="95">
          <cell r="B95" t="str">
            <v>UAE AGUA POTABLE SANEAMIENTO</v>
          </cell>
        </row>
        <row r="96">
          <cell r="B96" t="str">
            <v>UNAD</v>
          </cell>
        </row>
        <row r="97">
          <cell r="B97" t="str">
            <v>UPME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Apropiación"/>
      <sheetName val="Compromisos"/>
      <sheetName val="Graficos"/>
      <sheetName val="DIRJURIDICA"/>
      <sheetName val="INFRAESTRUCTURA"/>
      <sheetName val="GAS GEN"/>
      <sheetName val="OFISISTEMAS"/>
      <sheetName val="SECREGRAL"/>
      <sheetName val="AFROS"/>
      <sheetName val="INDIGENAS"/>
      <sheetName val="DEMOCRACIA"/>
      <sheetName val="GOBERNABI"/>
      <sheetName val="CONSULPREVIA"/>
      <sheetName val="DERHUMANOS"/>
      <sheetName val="Reporte"/>
      <sheetName val="TOTAL"/>
      <sheetName val="GAS_GEN"/>
    </sheetNames>
    <sheetDataSet>
      <sheetData sheetId="0">
        <row r="2">
          <cell r="A2" t="str">
            <v>COOPERACION</v>
          </cell>
          <cell r="D2" t="str">
            <v>Inversión</v>
          </cell>
          <cell r="E2" t="str">
            <v>Vice Ministerio Interior</v>
          </cell>
          <cell r="F2" t="str">
            <v>Si</v>
          </cell>
          <cell r="G2" t="str">
            <v>Ene</v>
          </cell>
          <cell r="I2" t="str">
            <v>Gastos de Personal</v>
          </cell>
          <cell r="L2">
            <v>1</v>
          </cell>
          <cell r="M2">
            <v>2010</v>
          </cell>
        </row>
        <row r="3">
          <cell r="A3" t="str">
            <v>DACN</v>
          </cell>
          <cell r="D3" t="str">
            <v>Funcionamiento</v>
          </cell>
          <cell r="E3" t="str">
            <v>Vice Ministerio Justicia</v>
          </cell>
          <cell r="G3" t="str">
            <v>Feb</v>
          </cell>
          <cell r="I3" t="str">
            <v>Gastos Generales</v>
          </cell>
          <cell r="L3">
            <v>2</v>
          </cell>
          <cell r="M3">
            <v>2011</v>
          </cell>
        </row>
        <row r="4">
          <cell r="A4" t="str">
            <v>DAI</v>
          </cell>
          <cell r="E4" t="str">
            <v>Secretaría General</v>
          </cell>
          <cell r="G4" t="str">
            <v>Mar</v>
          </cell>
          <cell r="I4" t="str">
            <v>Transferencias</v>
          </cell>
          <cell r="L4">
            <v>3</v>
          </cell>
          <cell r="M4">
            <v>2012</v>
          </cell>
        </row>
        <row r="5">
          <cell r="A5" t="str">
            <v>DAJ</v>
          </cell>
          <cell r="G5" t="str">
            <v>Abr</v>
          </cell>
          <cell r="I5" t="str">
            <v>Inversión</v>
          </cell>
          <cell r="L5">
            <v>4</v>
          </cell>
          <cell r="M5">
            <v>2013</v>
          </cell>
        </row>
        <row r="6">
          <cell r="A6" t="str">
            <v>DDPC</v>
          </cell>
          <cell r="G6" t="str">
            <v>May</v>
          </cell>
          <cell r="L6">
            <v>5</v>
          </cell>
          <cell r="M6">
            <v>2014</v>
          </cell>
        </row>
        <row r="7">
          <cell r="A7" t="str">
            <v>DGR</v>
          </cell>
          <cell r="G7" t="str">
            <v>Jun</v>
          </cell>
          <cell r="L7">
            <v>6</v>
          </cell>
          <cell r="M7">
            <v>2015</v>
          </cell>
        </row>
        <row r="8">
          <cell r="A8" t="str">
            <v>DGT</v>
          </cell>
          <cell r="G8" t="str">
            <v>Jul</v>
          </cell>
          <cell r="L8">
            <v>7</v>
          </cell>
          <cell r="M8">
            <v>2016</v>
          </cell>
        </row>
        <row r="9">
          <cell r="A9" t="str">
            <v>DHH</v>
          </cell>
          <cell r="G9" t="str">
            <v>Ago</v>
          </cell>
          <cell r="L9">
            <v>8</v>
          </cell>
        </row>
        <row r="10">
          <cell r="A10" t="str">
            <v>DIJ</v>
          </cell>
          <cell r="G10" t="str">
            <v>Sep</v>
          </cell>
          <cell r="L10">
            <v>9</v>
          </cell>
        </row>
        <row r="11">
          <cell r="A11" t="str">
            <v>DIN</v>
          </cell>
          <cell r="G11" t="str">
            <v>Oct</v>
          </cell>
          <cell r="L11">
            <v>10</v>
          </cell>
        </row>
        <row r="12">
          <cell r="A12" t="str">
            <v>DJE</v>
          </cell>
          <cell r="G12" t="str">
            <v>Nov</v>
          </cell>
          <cell r="L12">
            <v>11</v>
          </cell>
        </row>
        <row r="13">
          <cell r="A13" t="str">
            <v>DJFD</v>
          </cell>
          <cell r="G13" t="str">
            <v>Dic</v>
          </cell>
          <cell r="L13">
            <v>12</v>
          </cell>
        </row>
        <row r="14">
          <cell r="A14" t="str">
            <v>DJT</v>
          </cell>
          <cell r="L14">
            <v>13</v>
          </cell>
        </row>
        <row r="15">
          <cell r="A15" t="str">
            <v>DNDA</v>
          </cell>
          <cell r="L15">
            <v>14</v>
          </cell>
        </row>
        <row r="16">
          <cell r="A16" t="str">
            <v>DNE</v>
          </cell>
          <cell r="L16">
            <v>15</v>
          </cell>
        </row>
        <row r="17">
          <cell r="A17" t="str">
            <v>DOJ</v>
          </cell>
          <cell r="L17">
            <v>16</v>
          </cell>
        </row>
        <row r="18">
          <cell r="A18" t="str">
            <v>DPCP</v>
          </cell>
          <cell r="L18">
            <v>17</v>
          </cell>
        </row>
        <row r="19">
          <cell r="A19" t="str">
            <v>DPLD</v>
          </cell>
          <cell r="L19">
            <v>18</v>
          </cell>
        </row>
        <row r="20">
          <cell r="A20" t="str">
            <v>FPFD</v>
          </cell>
          <cell r="L20">
            <v>19</v>
          </cell>
        </row>
        <row r="21">
          <cell r="A21" t="str">
            <v>GGA</v>
          </cell>
          <cell r="L21">
            <v>20</v>
          </cell>
        </row>
        <row r="22">
          <cell r="A22" t="str">
            <v>GCP</v>
          </cell>
        </row>
        <row r="23">
          <cell r="A23" t="str">
            <v>GGH</v>
          </cell>
          <cell r="L23">
            <v>21</v>
          </cell>
        </row>
        <row r="24">
          <cell r="A24" t="str">
            <v>IMPRENTA</v>
          </cell>
          <cell r="L24">
            <v>22</v>
          </cell>
        </row>
        <row r="25">
          <cell r="A25" t="str">
            <v>INPEC</v>
          </cell>
          <cell r="L25">
            <v>23</v>
          </cell>
        </row>
        <row r="26">
          <cell r="A26" t="str">
            <v>NASAKIWE</v>
          </cell>
          <cell r="L26">
            <v>24</v>
          </cell>
        </row>
        <row r="27">
          <cell r="A27" t="str">
            <v>OAL</v>
          </cell>
          <cell r="L27">
            <v>25</v>
          </cell>
        </row>
        <row r="28">
          <cell r="A28" t="str">
            <v>OAP</v>
          </cell>
          <cell r="L28">
            <v>26</v>
          </cell>
        </row>
        <row r="29">
          <cell r="A29" t="str">
            <v>OIP</v>
          </cell>
        </row>
        <row r="30">
          <cell r="A30" t="str">
            <v>OCI</v>
          </cell>
          <cell r="L30">
            <v>27</v>
          </cell>
        </row>
        <row r="31">
          <cell r="A31" t="str">
            <v>ORGINT</v>
          </cell>
          <cell r="L31">
            <v>28</v>
          </cell>
        </row>
        <row r="32">
          <cell r="A32" t="str">
            <v>OSI</v>
          </cell>
          <cell r="L32">
            <v>29</v>
          </cell>
        </row>
        <row r="33">
          <cell r="A33" t="str">
            <v>Programa</v>
          </cell>
          <cell r="L33">
            <v>30</v>
          </cell>
        </row>
        <row r="34">
          <cell r="A34" t="str">
            <v>SECGRAL</v>
          </cell>
          <cell r="L34">
            <v>31</v>
          </cell>
        </row>
        <row r="35">
          <cell r="A35" t="str">
            <v>SNR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Supuestos"/>
      <sheetName val="Basico"/>
      <sheetName val="Solicitudes Filtradas"/>
      <sheetName val="OBLIGACIONES"/>
      <sheetName val="TRASLADOS Y MODIFICACIONES"/>
      <sheetName val="EJEC REGIONAL"/>
      <sheetName val="RESERVA"/>
      <sheetName val="resumen"/>
      <sheetName val="resumen general"/>
      <sheetName val="resumen %"/>
      <sheetName val="x programas presup"/>
      <sheetName val="x programas"/>
      <sheetName val="por areas"/>
      <sheetName val="X PROGRAMA DNP"/>
      <sheetName val="ejec mensual"/>
      <sheetName val="obligaciones mensual"/>
      <sheetName val="PARA PUBLICAR"/>
      <sheetName val="TECHOS"/>
      <sheetName val="Recorte"/>
    </sheetNames>
    <sheetDataSet>
      <sheetData sheetId="0" refreshError="1">
        <row r="4">
          <cell r="B4" t="str">
            <v>ACCION SOCIAL</v>
          </cell>
          <cell r="C4" t="str">
            <v>FONDO ESPECIAL</v>
          </cell>
          <cell r="D4" t="str">
            <v>VIGENCIA FUTURA</v>
          </cell>
          <cell r="E4" t="str">
            <v>NACIÓN</v>
          </cell>
        </row>
        <row r="5">
          <cell r="B5" t="str">
            <v>AEROCIVIL</v>
          </cell>
          <cell r="C5" t="str">
            <v>RENTA ESPECIFICA</v>
          </cell>
          <cell r="D5" t="str">
            <v>LEY</v>
          </cell>
          <cell r="E5" t="str">
            <v>PROPIOS</v>
          </cell>
        </row>
        <row r="6">
          <cell r="B6" t="str">
            <v>AGENCIA LOGÍSTICA</v>
          </cell>
          <cell r="C6" t="str">
            <v>CRÉDITO</v>
          </cell>
          <cell r="D6" t="str">
            <v>CRÉDITO</v>
          </cell>
        </row>
        <row r="7">
          <cell r="B7" t="str">
            <v>ANH</v>
          </cell>
          <cell r="C7" t="str">
            <v>PARAFISCAL</v>
          </cell>
          <cell r="D7" t="str">
            <v>CONTRAPARTIDA</v>
          </cell>
        </row>
        <row r="8">
          <cell r="B8" t="str">
            <v>ANTROPOLOGIA E HISTORIA</v>
          </cell>
          <cell r="C8" t="str">
            <v>DONACION</v>
          </cell>
          <cell r="D8" t="str">
            <v>FONDO ESPECIAL</v>
          </cell>
        </row>
        <row r="9">
          <cell r="B9" t="str">
            <v>ARCHIVO GENERAL</v>
          </cell>
          <cell r="C9" t="str">
            <v>OTROS PROPIOS</v>
          </cell>
          <cell r="D9" t="str">
            <v>FLEXIBLE</v>
          </cell>
        </row>
        <row r="10">
          <cell r="B10" t="str">
            <v>ARMADA</v>
          </cell>
          <cell r="C10" t="str">
            <v>NUEVO IMPUESTO</v>
          </cell>
        </row>
        <row r="11">
          <cell r="B11" t="str">
            <v>ARTESANIAS DE COLOMBIA S.A.</v>
          </cell>
          <cell r="C11" t="str">
            <v>OTROS NACIÓN</v>
          </cell>
        </row>
        <row r="12">
          <cell r="B12" t="str">
            <v xml:space="preserve">AUDITORIA </v>
          </cell>
        </row>
        <row r="13">
          <cell r="B13" t="str">
            <v>BANCO AGRARIO</v>
          </cell>
        </row>
        <row r="14">
          <cell r="B14" t="str">
            <v>BIBLIOTECA DE MEDELLIN</v>
          </cell>
        </row>
        <row r="15">
          <cell r="B15" t="str">
            <v>C.D.A.</v>
          </cell>
        </row>
        <row r="16">
          <cell r="B16" t="str">
            <v>C.S.B.</v>
          </cell>
        </row>
        <row r="17">
          <cell r="B17" t="str">
            <v>CAMARA</v>
          </cell>
        </row>
        <row r="18">
          <cell r="B18" t="str">
            <v>CORPOURABA</v>
          </cell>
        </row>
        <row r="19">
          <cell r="B19" t="str">
            <v xml:space="preserve">DANSOCIAL </v>
          </cell>
        </row>
        <row r="20">
          <cell r="B20" t="str">
            <v>CREG</v>
          </cell>
        </row>
        <row r="21">
          <cell r="B21" t="str">
            <v xml:space="preserve">DANSOCIAL </v>
          </cell>
        </row>
        <row r="22">
          <cell r="B22" t="str">
            <v>DEFENSA CIVIL</v>
          </cell>
        </row>
        <row r="23">
          <cell r="B23" t="str">
            <v>DEFENSORIA</v>
          </cell>
        </row>
        <row r="24">
          <cell r="B24" t="str">
            <v>DIR. GRAL. COMERCIO EXTERIOR</v>
          </cell>
        </row>
        <row r="25">
          <cell r="B25" t="str">
            <v>DNP</v>
          </cell>
        </row>
        <row r="26">
          <cell r="B26" t="str">
            <v>EJERCITO</v>
          </cell>
        </row>
        <row r="27">
          <cell r="B27" t="str">
            <v>FONDO NAL. REGALIAS</v>
          </cell>
        </row>
        <row r="28">
          <cell r="B28" t="str">
            <v>FONFAC</v>
          </cell>
        </row>
        <row r="29">
          <cell r="B29" t="str">
            <v>ESAP</v>
          </cell>
        </row>
        <row r="30">
          <cell r="B30" t="str">
            <v>FONDO CONGRESO-PENSIONES</v>
          </cell>
        </row>
        <row r="31">
          <cell r="B31" t="str">
            <v>FONDO NAL. REGALIAS</v>
          </cell>
        </row>
        <row r="32">
          <cell r="B32" t="str">
            <v>FONFAC</v>
          </cell>
        </row>
        <row r="33">
          <cell r="B33" t="str">
            <v>FONREGISTRADURIA</v>
          </cell>
        </row>
        <row r="34">
          <cell r="B34" t="str">
            <v>FONRELACIONES</v>
          </cell>
        </row>
        <row r="35">
          <cell r="B35" t="str">
            <v>FONVIVIENDA</v>
          </cell>
        </row>
        <row r="36">
          <cell r="B36" t="str">
            <v>FUERZA AEREA</v>
          </cell>
        </row>
        <row r="37">
          <cell r="B37" t="str">
            <v>FUNPUBLICA</v>
          </cell>
        </row>
        <row r="38">
          <cell r="B38" t="str">
            <v>HOSPITAL MILITAR</v>
          </cell>
        </row>
        <row r="39">
          <cell r="B39" t="str">
            <v>ICA</v>
          </cell>
        </row>
        <row r="40">
          <cell r="B40" t="str">
            <v>ICBF</v>
          </cell>
        </row>
        <row r="41">
          <cell r="B41" t="str">
            <v>ICETEX</v>
          </cell>
        </row>
        <row r="42">
          <cell r="B42" t="str">
            <v>ICFES</v>
          </cell>
        </row>
        <row r="43">
          <cell r="B43" t="str">
            <v>IDEAM</v>
          </cell>
        </row>
        <row r="44">
          <cell r="B44" t="str">
            <v>IGAC</v>
          </cell>
        </row>
        <row r="45">
          <cell r="B45" t="str">
            <v>INCI</v>
          </cell>
        </row>
        <row r="46">
          <cell r="B46" t="str">
            <v>INCO</v>
          </cell>
        </row>
        <row r="47">
          <cell r="B47" t="str">
            <v>INCODER</v>
          </cell>
        </row>
        <row r="48">
          <cell r="B48" t="str">
            <v>INGEOMINAS</v>
          </cell>
        </row>
        <row r="49">
          <cell r="B49" t="str">
            <v>INPEC</v>
          </cell>
        </row>
        <row r="50">
          <cell r="B50" t="str">
            <v>INS</v>
          </cell>
        </row>
        <row r="51">
          <cell r="B51" t="str">
            <v>INSOR</v>
          </cell>
        </row>
        <row r="52">
          <cell r="B52" t="str">
            <v>INST. CANCEROLOGIA</v>
          </cell>
        </row>
        <row r="53">
          <cell r="B53" t="str">
            <v>INST. DEL CESAR</v>
          </cell>
        </row>
        <row r="54">
          <cell r="B54" t="str">
            <v>INSTITUTO ESTUDIOS MINPUBLICO</v>
          </cell>
        </row>
        <row r="55">
          <cell r="B55" t="str">
            <v>INVIAS</v>
          </cell>
        </row>
        <row r="56">
          <cell r="B56" t="str">
            <v>INVIMA</v>
          </cell>
        </row>
        <row r="57">
          <cell r="B57" t="str">
            <v>IPSE</v>
          </cell>
        </row>
        <row r="58">
          <cell r="B58" t="str">
            <v>ITSA</v>
          </cell>
        </row>
        <row r="59">
          <cell r="B59" t="str">
            <v>MEDICINA LEGAL</v>
          </cell>
        </row>
        <row r="60">
          <cell r="B60" t="str">
            <v>MINAGRICULTURA</v>
          </cell>
        </row>
        <row r="61">
          <cell r="B61" t="str">
            <v>MINAMBIENTE</v>
          </cell>
        </row>
        <row r="62">
          <cell r="B62" t="str">
            <v>MINCOMERCIO</v>
          </cell>
        </row>
        <row r="63">
          <cell r="B63" t="str">
            <v xml:space="preserve">MINCULTURA </v>
          </cell>
        </row>
        <row r="64">
          <cell r="B64" t="str">
            <v>MINDEFENSA</v>
          </cell>
        </row>
        <row r="65">
          <cell r="B65" t="str">
            <v>MINEDUCACION</v>
          </cell>
        </row>
        <row r="66">
          <cell r="B66" t="str">
            <v>MINHACIENDA</v>
          </cell>
        </row>
        <row r="67">
          <cell r="B67" t="str">
            <v>MININTERIOR</v>
          </cell>
        </row>
        <row r="68">
          <cell r="B68" t="str">
            <v xml:space="preserve">MINMINAS </v>
          </cell>
        </row>
        <row r="69">
          <cell r="B69" t="str">
            <v>MINPROTECCIÓN</v>
          </cell>
        </row>
        <row r="70">
          <cell r="B70" t="str">
            <v xml:space="preserve">MINPUBLICO </v>
          </cell>
        </row>
        <row r="71">
          <cell r="B71" t="str">
            <v>MINTRANSPORTE</v>
          </cell>
        </row>
        <row r="72">
          <cell r="B72" t="str">
            <v>NASA KI WE</v>
          </cell>
        </row>
        <row r="73">
          <cell r="B73" t="str">
            <v>OTRAS ENTIDADES DEL SECTOR</v>
          </cell>
        </row>
        <row r="74">
          <cell r="B74" t="str">
            <v>PARQUES NALES NATURALES</v>
          </cell>
        </row>
        <row r="75">
          <cell r="B75" t="str">
            <v>PASCUAL BRAVO</v>
          </cell>
        </row>
        <row r="76">
          <cell r="B76" t="str">
            <v>POLICIA NACIONAL (SALUD)</v>
          </cell>
        </row>
        <row r="77">
          <cell r="B77" t="str">
            <v xml:space="preserve">POLICIA NACIONAL  </v>
          </cell>
        </row>
        <row r="78">
          <cell r="B78" t="str">
            <v>PRESIDENCIA</v>
          </cell>
        </row>
        <row r="79">
          <cell r="B79" t="str">
            <v xml:space="preserve">REGISTRADURIA </v>
          </cell>
        </row>
        <row r="80">
          <cell r="B80" t="str">
            <v>SALUD - FFMM</v>
          </cell>
        </row>
        <row r="81">
          <cell r="B81" t="str">
            <v>SANATORIO AGUA DE DIOS</v>
          </cell>
        </row>
        <row r="82">
          <cell r="B82" t="str">
            <v>SENA</v>
          </cell>
        </row>
        <row r="83">
          <cell r="B83" t="str">
            <v xml:space="preserve">SENADO </v>
          </cell>
        </row>
        <row r="84">
          <cell r="B84" t="str">
            <v>SUPERBANCARIA</v>
          </cell>
        </row>
        <row r="85">
          <cell r="B85" t="str">
            <v>SUPERINDUSTRIA Y COMERCIO</v>
          </cell>
        </row>
        <row r="86">
          <cell r="B86" t="str">
            <v>SUPERFINANCIERA</v>
          </cell>
        </row>
        <row r="87">
          <cell r="B87" t="str">
            <v>SUPERNOTARIADO</v>
          </cell>
        </row>
        <row r="88">
          <cell r="B88" t="str">
            <v>SUPERSALUD</v>
          </cell>
        </row>
        <row r="89">
          <cell r="B89" t="str">
            <v>SUPERSERVIPUBLICOS</v>
          </cell>
        </row>
        <row r="90">
          <cell r="B90" t="str">
            <v>SUPERSOCIEDADES</v>
          </cell>
        </row>
        <row r="91">
          <cell r="B91" t="str">
            <v>SUPERSOLIDARIA</v>
          </cell>
        </row>
        <row r="92">
          <cell r="B92" t="str">
            <v>SUPERSUBSIDIO</v>
          </cell>
        </row>
        <row r="93">
          <cell r="B93" t="str">
            <v>TECNICO CENTRAL</v>
          </cell>
        </row>
        <row r="94">
          <cell r="B94" t="str">
            <v>UAE - DIAN</v>
          </cell>
        </row>
        <row r="95">
          <cell r="B95" t="str">
            <v>UAE AGUA POTABLE SANEAMIENTO</v>
          </cell>
        </row>
        <row r="96">
          <cell r="B96" t="str">
            <v>UNAD</v>
          </cell>
        </row>
        <row r="97">
          <cell r="B97" t="str">
            <v>UPME</v>
          </cell>
        </row>
      </sheetData>
      <sheetData sheetId="1" refreshError="1"/>
      <sheetData sheetId="2" refreshError="1"/>
      <sheetData sheetId="3" refreshError="1"/>
      <sheetData sheetId="4" refreshError="1">
        <row r="4">
          <cell r="B4" t="str">
            <v>ACCION SOCIAL</v>
          </cell>
          <cell r="C4" t="str">
            <v>FONDO ESPECIAL</v>
          </cell>
          <cell r="D4" t="str">
            <v>VIGENCIA FUTURA</v>
          </cell>
          <cell r="E4" t="str">
            <v>NACIÓN</v>
          </cell>
        </row>
        <row r="5">
          <cell r="B5" t="str">
            <v>AEROCIVIL</v>
          </cell>
          <cell r="C5" t="str">
            <v>RENTA ESPECIFICA</v>
          </cell>
          <cell r="D5" t="str">
            <v>LEY</v>
          </cell>
          <cell r="E5" t="str">
            <v>PROPIOS</v>
          </cell>
        </row>
        <row r="6">
          <cell r="B6" t="str">
            <v>AGENCIA LOGÍSTICA</v>
          </cell>
          <cell r="C6" t="str">
            <v>CRÉDITO</v>
          </cell>
          <cell r="D6" t="str">
            <v>CRÉDITO</v>
          </cell>
        </row>
        <row r="7">
          <cell r="B7" t="str">
            <v>ANH</v>
          </cell>
          <cell r="C7" t="str">
            <v>PARAFISCAL</v>
          </cell>
          <cell r="D7" t="str">
            <v>CONTRAPARTIDA</v>
          </cell>
        </row>
        <row r="8">
          <cell r="B8" t="str">
            <v>ANTROPOLOGIA E HISTORIA</v>
          </cell>
          <cell r="C8" t="str">
            <v>DONACION</v>
          </cell>
          <cell r="D8" t="str">
            <v>FONDO ESPECIAL</v>
          </cell>
        </row>
        <row r="9">
          <cell r="B9" t="str">
            <v>ARCHIVO GENERAL</v>
          </cell>
          <cell r="C9" t="str">
            <v>OTROS PROPIOS</v>
          </cell>
          <cell r="D9" t="str">
            <v>FLEXIBLE</v>
          </cell>
        </row>
        <row r="10">
          <cell r="B10" t="str">
            <v>ARMADA</v>
          </cell>
          <cell r="C10" t="str">
            <v>NUEVO IMPUESTO</v>
          </cell>
        </row>
        <row r="11">
          <cell r="B11" t="str">
            <v>ARTESANIAS DE COLOMBIA S.A.</v>
          </cell>
          <cell r="C11" t="str">
            <v>OTROS NACIÓN</v>
          </cell>
        </row>
        <row r="12">
          <cell r="B12" t="str">
            <v xml:space="preserve">AUDITORIA </v>
          </cell>
        </row>
        <row r="13">
          <cell r="B13" t="str">
            <v>BANCO AGRARIO</v>
          </cell>
        </row>
        <row r="14">
          <cell r="B14" t="str">
            <v>BIBLIOTECA DE MEDELLIN</v>
          </cell>
        </row>
        <row r="15">
          <cell r="B15" t="str">
            <v>C.D.A.</v>
          </cell>
        </row>
        <row r="16">
          <cell r="B16" t="str">
            <v>C.S.B.</v>
          </cell>
        </row>
        <row r="17">
          <cell r="B17" t="str">
            <v>CAMARA</v>
          </cell>
        </row>
        <row r="18">
          <cell r="B18" t="str">
            <v>CORPOURABA</v>
          </cell>
        </row>
        <row r="19">
          <cell r="B19" t="str">
            <v xml:space="preserve">DANSOCIAL </v>
          </cell>
        </row>
        <row r="20">
          <cell r="B20" t="str">
            <v>CREG</v>
          </cell>
        </row>
        <row r="21">
          <cell r="B21" t="str">
            <v xml:space="preserve">DANSOCIAL </v>
          </cell>
        </row>
        <row r="22">
          <cell r="B22" t="str">
            <v>DEFENSA CIVIL</v>
          </cell>
        </row>
        <row r="23">
          <cell r="B23" t="str">
            <v>DEFENSORIA</v>
          </cell>
        </row>
        <row r="24">
          <cell r="B24" t="str">
            <v>DIR. GRAL. COMERCIO EXTERIOR</v>
          </cell>
        </row>
        <row r="25">
          <cell r="B25" t="str">
            <v>DNP</v>
          </cell>
        </row>
        <row r="26">
          <cell r="B26" t="str">
            <v>EJERCITO</v>
          </cell>
        </row>
        <row r="27">
          <cell r="B27" t="str">
            <v>FONDO NAL. REGALIAS</v>
          </cell>
        </row>
        <row r="28">
          <cell r="B28" t="str">
            <v>FONFAC</v>
          </cell>
        </row>
        <row r="29">
          <cell r="B29" t="str">
            <v>ESAP</v>
          </cell>
        </row>
        <row r="30">
          <cell r="B30" t="str">
            <v>FONDO CONGRESO-PENSIONES</v>
          </cell>
        </row>
        <row r="31">
          <cell r="B31" t="str">
            <v>FONDO NAL. REGALIAS</v>
          </cell>
        </row>
        <row r="32">
          <cell r="B32" t="str">
            <v>FONFAC</v>
          </cell>
        </row>
        <row r="33">
          <cell r="B33" t="str">
            <v>FONREGISTRADURIA</v>
          </cell>
        </row>
        <row r="34">
          <cell r="B34" t="str">
            <v>FONRELACIONES</v>
          </cell>
        </row>
        <row r="35">
          <cell r="B35" t="str">
            <v>FONVIVIENDA</v>
          </cell>
        </row>
        <row r="36">
          <cell r="B36" t="str">
            <v>FUERZA AEREA</v>
          </cell>
        </row>
        <row r="37">
          <cell r="B37" t="str">
            <v>FUNPUBLICA</v>
          </cell>
        </row>
        <row r="38">
          <cell r="B38" t="str">
            <v>HOSPITAL MILITAR</v>
          </cell>
        </row>
        <row r="39">
          <cell r="B39" t="str">
            <v>ICA</v>
          </cell>
        </row>
        <row r="40">
          <cell r="B40" t="str">
            <v>ICBF</v>
          </cell>
        </row>
        <row r="41">
          <cell r="B41" t="str">
            <v>ICETEX</v>
          </cell>
        </row>
        <row r="42">
          <cell r="B42" t="str">
            <v>ICFES</v>
          </cell>
        </row>
        <row r="43">
          <cell r="B43" t="str">
            <v>IDEAM</v>
          </cell>
        </row>
        <row r="44">
          <cell r="B44" t="str">
            <v>IGAC</v>
          </cell>
        </row>
        <row r="45">
          <cell r="B45" t="str">
            <v>INCI</v>
          </cell>
        </row>
        <row r="46">
          <cell r="B46" t="str">
            <v>INCO</v>
          </cell>
        </row>
        <row r="47">
          <cell r="B47" t="str">
            <v>INCODER</v>
          </cell>
        </row>
        <row r="48">
          <cell r="B48" t="str">
            <v>INGEOMINAS</v>
          </cell>
        </row>
        <row r="49">
          <cell r="B49" t="str">
            <v>INPEC</v>
          </cell>
        </row>
        <row r="50">
          <cell r="B50" t="str">
            <v>INS</v>
          </cell>
        </row>
        <row r="51">
          <cell r="B51" t="str">
            <v>INSOR</v>
          </cell>
        </row>
        <row r="52">
          <cell r="B52" t="str">
            <v>INST. CANCEROLOGIA</v>
          </cell>
        </row>
        <row r="53">
          <cell r="B53" t="str">
            <v>INST. DEL CESAR</v>
          </cell>
        </row>
        <row r="54">
          <cell r="B54" t="str">
            <v>INSTITUTO ESTUDIOS MINPUBLICO</v>
          </cell>
        </row>
        <row r="55">
          <cell r="B55" t="str">
            <v>INVIAS</v>
          </cell>
        </row>
        <row r="56">
          <cell r="B56" t="str">
            <v>INVIMA</v>
          </cell>
        </row>
        <row r="57">
          <cell r="B57" t="str">
            <v>IPSE</v>
          </cell>
        </row>
        <row r="58">
          <cell r="B58" t="str">
            <v>ITSA</v>
          </cell>
        </row>
        <row r="59">
          <cell r="B59" t="str">
            <v>MEDICINA LEGAL</v>
          </cell>
        </row>
        <row r="60">
          <cell r="B60" t="str">
            <v>MINAGRICULTURA</v>
          </cell>
        </row>
        <row r="61">
          <cell r="B61" t="str">
            <v>MINAMBIENTE</v>
          </cell>
        </row>
        <row r="62">
          <cell r="B62" t="str">
            <v>MINCOMERCIO</v>
          </cell>
        </row>
        <row r="63">
          <cell r="B63" t="str">
            <v xml:space="preserve">MINCULTURA </v>
          </cell>
        </row>
        <row r="64">
          <cell r="B64" t="str">
            <v>MINDEFENSA</v>
          </cell>
        </row>
        <row r="65">
          <cell r="B65" t="str">
            <v>MINEDUCACION</v>
          </cell>
        </row>
        <row r="66">
          <cell r="B66" t="str">
            <v>MINHACIENDA</v>
          </cell>
        </row>
        <row r="67">
          <cell r="B67" t="str">
            <v>MININTERIOR</v>
          </cell>
        </row>
        <row r="68">
          <cell r="B68" t="str">
            <v xml:space="preserve">MINMINAS </v>
          </cell>
        </row>
        <row r="69">
          <cell r="B69" t="str">
            <v>MINPROTECCIÓN</v>
          </cell>
        </row>
        <row r="70">
          <cell r="B70" t="str">
            <v xml:space="preserve">MINPUBLICO </v>
          </cell>
        </row>
        <row r="71">
          <cell r="B71" t="str">
            <v>MINTRANSPORTE</v>
          </cell>
        </row>
        <row r="72">
          <cell r="B72" t="str">
            <v>NASA KI WE</v>
          </cell>
        </row>
        <row r="73">
          <cell r="B73" t="str">
            <v>OTRAS ENTIDADES DEL SECTOR</v>
          </cell>
        </row>
        <row r="74">
          <cell r="B74" t="str">
            <v>PARQUES NALES NATURALES</v>
          </cell>
        </row>
        <row r="75">
          <cell r="B75" t="str">
            <v>PASCUAL BRAVO</v>
          </cell>
        </row>
        <row r="76">
          <cell r="B76" t="str">
            <v>POLICIA NACIONAL (SALUD)</v>
          </cell>
        </row>
        <row r="77">
          <cell r="B77" t="str">
            <v xml:space="preserve">POLICIA NACIONAL  </v>
          </cell>
        </row>
        <row r="78">
          <cell r="B78" t="str">
            <v>PRESIDENCIA</v>
          </cell>
        </row>
        <row r="79">
          <cell r="B79" t="str">
            <v xml:space="preserve">REGISTRADURIA </v>
          </cell>
        </row>
        <row r="80">
          <cell r="B80" t="str">
            <v>SALUD - FFMM</v>
          </cell>
        </row>
        <row r="81">
          <cell r="B81" t="str">
            <v>SANATORIO AGUA DE DIOS</v>
          </cell>
        </row>
        <row r="82">
          <cell r="B82" t="str">
            <v>SENA</v>
          </cell>
        </row>
        <row r="83">
          <cell r="B83" t="str">
            <v xml:space="preserve">SENADO </v>
          </cell>
        </row>
        <row r="84">
          <cell r="B84" t="str">
            <v>SUPERBANCARIA</v>
          </cell>
        </row>
        <row r="85">
          <cell r="B85" t="str">
            <v>SUPERINDUSTRIA Y COMERCIO</v>
          </cell>
        </row>
        <row r="86">
          <cell r="B86" t="str">
            <v>SUPERFINANCIERA</v>
          </cell>
        </row>
        <row r="87">
          <cell r="B87" t="str">
            <v>SUPERNOTARIADO</v>
          </cell>
        </row>
        <row r="88">
          <cell r="B88" t="str">
            <v>SUPERSALUD</v>
          </cell>
        </row>
        <row r="89">
          <cell r="B89" t="str">
            <v>SUPERSERVIPUBLICOS</v>
          </cell>
        </row>
        <row r="90">
          <cell r="B90" t="str">
            <v>SUPERSOCIEDADES</v>
          </cell>
        </row>
        <row r="91">
          <cell r="B91" t="str">
            <v>SUPERSOLIDARIA</v>
          </cell>
        </row>
        <row r="92">
          <cell r="B92" t="str">
            <v>SUPERSUBSIDIO</v>
          </cell>
        </row>
        <row r="93">
          <cell r="B93" t="str">
            <v>TECNICO CENTRAL</v>
          </cell>
        </row>
        <row r="94">
          <cell r="B94" t="str">
            <v>UAE - DIAN</v>
          </cell>
        </row>
        <row r="95">
          <cell r="B95" t="str">
            <v>UAE AGUA POTABLE SANEAMIENTO</v>
          </cell>
        </row>
        <row r="96">
          <cell r="B96" t="str">
            <v>UNAD</v>
          </cell>
        </row>
        <row r="97">
          <cell r="B97" t="str">
            <v>UPME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 y Sub MGMP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s"/>
      <sheetName val="Dependencia o entidad"/>
    </sheetNames>
    <sheetDataSet>
      <sheetData sheetId="0" refreshError="1">
        <row r="2">
          <cell r="L2">
            <v>40209</v>
          </cell>
        </row>
        <row r="3">
          <cell r="L3">
            <v>40237</v>
          </cell>
        </row>
        <row r="4">
          <cell r="L4">
            <v>40268</v>
          </cell>
        </row>
        <row r="5">
          <cell r="L5">
            <v>40298</v>
          </cell>
        </row>
        <row r="6">
          <cell r="L6">
            <v>40329</v>
          </cell>
        </row>
        <row r="7">
          <cell r="L7">
            <v>40359</v>
          </cell>
        </row>
        <row r="8">
          <cell r="L8">
            <v>40390</v>
          </cell>
        </row>
        <row r="9">
          <cell r="L9">
            <v>40421</v>
          </cell>
        </row>
        <row r="10">
          <cell r="L10">
            <v>40451</v>
          </cell>
        </row>
        <row r="11">
          <cell r="L11">
            <v>40482</v>
          </cell>
        </row>
        <row r="12">
          <cell r="L12">
            <v>40512</v>
          </cell>
        </row>
        <row r="13">
          <cell r="L13">
            <v>40543</v>
          </cell>
        </row>
      </sheetData>
      <sheetData sheetId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_Cod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jemplo"/>
      <sheetName val="ACCION SOCIAL"/>
      <sheetName val="EDUCACIÓN"/>
      <sheetName val="PLANEACION"/>
      <sheetName val="PRESIDENCIA"/>
      <sheetName val="PROTECCIÓN"/>
      <sheetName val="HACIENDA"/>
      <sheetName val="CULTURA"/>
      <sheetName val="DANSOCIAL"/>
      <sheetName val="DEFENSA"/>
      <sheetName val="JUSTICIA "/>
      <sheetName val="MINAS"/>
      <sheetName val="AGROPECUARIO"/>
      <sheetName val="TRANSPORTE"/>
      <sheetName val="COMUNICACIONES"/>
      <sheetName val="AMBIENTE"/>
      <sheetName val="COMERCIO"/>
      <sheetName val="ESTADISTICAS"/>
      <sheetName val="CONGRESO"/>
      <sheetName val="REL.EXTERIORES"/>
      <sheetName val="ORGANISMOS DE CONTROL"/>
      <sheetName val="FUNPUBLICA"/>
    </sheetNames>
    <sheetDataSet>
      <sheetData sheetId="0">
        <row r="31">
          <cell r="A31" t="str">
            <v>Cooperación</v>
          </cell>
        </row>
        <row r="32">
          <cell r="A32" t="str">
            <v>Entidades Terrioriales</v>
          </cell>
        </row>
        <row r="33">
          <cell r="A33" t="str">
            <v>Regalías Directas</v>
          </cell>
        </row>
        <row r="34">
          <cell r="A34" t="str">
            <v>Sector Privado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LLE MGMP"/>
      <sheetName val="CONSOLIDADO"/>
      <sheetName val="Prog y Sub MGMP"/>
    </sheetNames>
    <sheetDataSet>
      <sheetData sheetId="0"/>
      <sheetData sheetId="1"/>
      <sheetData sheetId="2">
        <row r="2">
          <cell r="B2" t="str">
            <v>Construcción Infraestructura Aeroportuaria</v>
          </cell>
          <cell r="C2" t="str">
            <v>Adecuación Infra Portuaria - Contraprestaciones Portuarias</v>
          </cell>
        </row>
        <row r="3">
          <cell r="B3" t="str">
            <v>Construcción Infraestructura Red Principal</v>
          </cell>
          <cell r="C3" t="str">
            <v>Adecuación Red Fluvial Nacional Y Rehabilitación De Muelles</v>
          </cell>
        </row>
        <row r="4">
          <cell r="B4" t="str">
            <v>Construcción Infraestructura Red Terciaria y Secundaria</v>
          </cell>
          <cell r="C4" t="str">
            <v>Adquisición Mantenimiento Vehículos y control de Inversiones para Supervisión</v>
          </cell>
        </row>
        <row r="5">
          <cell r="B5" t="str">
            <v>Construcción Red Férrea</v>
          </cell>
          <cell r="C5" t="str">
            <v>Adquisición terrenos para Construcción Infraestructura Aeroportuaria</v>
          </cell>
        </row>
        <row r="6">
          <cell r="B6" t="str">
            <v>Construcción, Mejoramiento y Mantenimiento Férreo  - Concesiones</v>
          </cell>
          <cell r="C6" t="str">
            <v>Aeropuertos Comunitarios</v>
          </cell>
        </row>
        <row r="7">
          <cell r="B7" t="str">
            <v>Construcción, Mejoramiento y Mantenimiento Vial  - Concesiones</v>
          </cell>
          <cell r="C7" t="str">
            <v>Alo</v>
          </cell>
        </row>
        <row r="8">
          <cell r="B8" t="str">
            <v>Estudios y Apoyo Técnico</v>
          </cell>
          <cell r="C8" t="str">
            <v>Apoyo Cormagdalena</v>
          </cell>
        </row>
        <row r="9">
          <cell r="B9" t="str">
            <v>Fortalecimiento Institucional</v>
          </cell>
          <cell r="C9" t="str">
            <v>Apoyo y Gestion Institucional</v>
          </cell>
        </row>
        <row r="10">
          <cell r="B10" t="str">
            <v>Mantenimiento y Mejoramiento Infraestructura Red Principal</v>
          </cell>
          <cell r="C10" t="str">
            <v>Asistencia Técnica Crédito Municipios</v>
          </cell>
        </row>
        <row r="11">
          <cell r="B11" t="str">
            <v>Mantenimiento y Mejoramiento Infraestructura Red Terciaria y Secundaria</v>
          </cell>
          <cell r="C11" t="str">
            <v>Asistencia Técnica Stms</v>
          </cell>
        </row>
        <row r="12">
          <cell r="B12" t="str">
            <v>Mantenimiento y Mejoramiento Red Férrea</v>
          </cell>
          <cell r="C12" t="str">
            <v>Briceño - Tunja - Sogamoso</v>
          </cell>
        </row>
        <row r="13">
          <cell r="B13" t="str">
            <v>Mejoramiento y Mantenimiento Infraestructura Aeroportuaria</v>
          </cell>
          <cell r="C13" t="str">
            <v>Briceño - Tunja - Sogamoso (Contrato Inicial)</v>
          </cell>
        </row>
        <row r="14">
          <cell r="B14" t="str">
            <v>Mejoramiento y Mantenimiento Red Fluvial</v>
          </cell>
          <cell r="C14" t="str">
            <v>Calle De Rodaje Y Conexiones Primera Etapa Aeropuerto El Dorado</v>
          </cell>
        </row>
        <row r="15">
          <cell r="B15" t="str">
            <v>Seguridad Aérea y Aeroportuaria</v>
          </cell>
          <cell r="C15" t="str">
            <v>Capacitación y asistencia técnica a funcionarios del Estado</v>
          </cell>
        </row>
        <row r="16">
          <cell r="B16" t="str">
            <v>Seguridad y Señalización Vial</v>
          </cell>
          <cell r="C16" t="str">
            <v>Concesiones Tercera Generación</v>
          </cell>
        </row>
        <row r="17">
          <cell r="C17" t="str">
            <v>Conservación A Través De Microempresas Y Administradores Viales</v>
          </cell>
        </row>
        <row r="18">
          <cell r="C18" t="str">
            <v>Construcción  Rehabilitación Puentes Red Terciaria</v>
          </cell>
        </row>
        <row r="19">
          <cell r="C19" t="str">
            <v>Construcción de la Variante de Caldas - Ancon Sur</v>
          </cell>
        </row>
        <row r="20">
          <cell r="C20" t="str">
            <v>Construcción Infraestructura Aeroportuaria</v>
          </cell>
        </row>
        <row r="21">
          <cell r="C21" t="str">
            <v xml:space="preserve">Construcción Puentes Red Troncal </v>
          </cell>
        </row>
        <row r="22">
          <cell r="C22" t="str">
            <v>Corredores De Mantenimiento Integral</v>
          </cell>
        </row>
        <row r="23">
          <cell r="C23" t="str">
            <v>Doble calzada Bucaramanga - Cúcuta</v>
          </cell>
        </row>
        <row r="24">
          <cell r="C24" t="str">
            <v>Emergencias</v>
          </cell>
        </row>
        <row r="25">
          <cell r="C25" t="str">
            <v xml:space="preserve">Estudio Diseño obras de Protección Golfo de Morrosquillo </v>
          </cell>
        </row>
        <row r="26">
          <cell r="C26" t="str">
            <v>Estudios Estructuración Concesiones</v>
          </cell>
        </row>
        <row r="27">
          <cell r="C27" t="str">
            <v>Estudios Levantamiento De Información Vial Y Gestión Predial Invias</v>
          </cell>
        </row>
        <row r="28">
          <cell r="C28" t="str">
            <v>Infraestructura Administrativa</v>
          </cell>
        </row>
        <row r="29">
          <cell r="C29" t="str">
            <v>Intercambiador de Acevedo</v>
          </cell>
        </row>
        <row r="30">
          <cell r="C30" t="str">
            <v>Investigaciones y estudios</v>
          </cell>
        </row>
        <row r="31">
          <cell r="C31" t="str">
            <v>Las Animas - Nuqui</v>
          </cell>
        </row>
        <row r="32">
          <cell r="C32" t="str">
            <v>Mantenimiento Infraestructura Aeroportuaria</v>
          </cell>
        </row>
        <row r="33">
          <cell r="C33" t="str">
            <v xml:space="preserve">Mantenimiento Vial </v>
          </cell>
        </row>
        <row r="34">
          <cell r="C34" t="str">
            <v>Mantenimiento Vial - Fondo Gasolina</v>
          </cell>
        </row>
        <row r="35">
          <cell r="C35" t="str">
            <v>Mejoramiento de la Vía Simón Bolívar - Anchicayà</v>
          </cell>
        </row>
        <row r="36">
          <cell r="C36" t="str">
            <v>Mejoramiento Red vial Departamental, Municipal y Competitividad</v>
          </cell>
        </row>
        <row r="37">
          <cell r="C37" t="str">
            <v>Mejoramiento Tumaco - Pasto - Mocoa (incluye variante San Francisco)</v>
          </cell>
        </row>
        <row r="38">
          <cell r="C38" t="str">
            <v>Mejoramiento vías Departamentales</v>
          </cell>
        </row>
        <row r="39">
          <cell r="C39" t="str">
            <v>Navegabilidad Río Meta</v>
          </cell>
        </row>
        <row r="40">
          <cell r="C40" t="str">
            <v>Obras Complementarias</v>
          </cell>
        </row>
        <row r="41">
          <cell r="C41" t="str">
            <v>Obras Hidráulicas De La Mojana</v>
          </cell>
        </row>
        <row r="42">
          <cell r="C42" t="str">
            <v>Plan de Repavimentación vial</v>
          </cell>
        </row>
        <row r="43">
          <cell r="C43" t="str">
            <v>Programa 2500 Km</v>
          </cell>
        </row>
        <row r="44">
          <cell r="C44" t="str">
            <v>Red Terciaria</v>
          </cell>
        </row>
        <row r="45">
          <cell r="C45" t="str">
            <v xml:space="preserve">Rehabilitación De Vías Férreas </v>
          </cell>
        </row>
        <row r="46">
          <cell r="C46" t="str">
            <v>Rehabilitación De Vías Férreas - Concesiones</v>
          </cell>
        </row>
        <row r="47">
          <cell r="C47" t="str">
            <v xml:space="preserve">Rehabilitación Puentes Red Troncal </v>
          </cell>
        </row>
        <row r="48">
          <cell r="C48" t="str">
            <v xml:space="preserve">Rumichaca - Pasto </v>
          </cell>
        </row>
        <row r="49">
          <cell r="C49" t="str">
            <v>Segundo Túnel II CENTENARIO</v>
          </cell>
        </row>
        <row r="50">
          <cell r="C50" t="str">
            <v>Seguridad Aérea</v>
          </cell>
        </row>
        <row r="51">
          <cell r="C51" t="str">
            <v>Seguridad Aeroportuaria</v>
          </cell>
        </row>
        <row r="52">
          <cell r="C52" t="str">
            <v>Seguridad Vial</v>
          </cell>
        </row>
        <row r="53">
          <cell r="C53" t="str">
            <v>Señalización vial</v>
          </cell>
        </row>
        <row r="54">
          <cell r="C54" t="str">
            <v>Sistemas de información</v>
          </cell>
        </row>
        <row r="55">
          <cell r="C55" t="str">
            <v>Túnel II CENTENARIO Primera Etapa</v>
          </cell>
        </row>
        <row r="56">
          <cell r="C56" t="str">
            <v>Variante de Santa Marta</v>
          </cell>
        </row>
        <row r="57">
          <cell r="C57" t="str">
            <v>Vía Bogota - Girardot</v>
          </cell>
        </row>
        <row r="58">
          <cell r="C58" t="str">
            <v>Vía Buga - Buenaventura</v>
          </cell>
        </row>
        <row r="59">
          <cell r="C59" t="str">
            <v>Vías para la Competitividad</v>
          </cell>
        </row>
        <row r="60">
          <cell r="C60" t="str">
            <v>Vias para la Competitividad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AA126"/>
  <sheetViews>
    <sheetView showGridLines="0" zoomScaleNormal="100" workbookViewId="0">
      <pane xSplit="16" ySplit="4" topLeftCell="Q9" activePane="bottomRight" state="frozen"/>
      <selection pane="topRight" activeCell="P16" sqref="P16"/>
      <selection pane="bottomLeft" activeCell="P16" sqref="P16"/>
      <selection pane="bottomRight" activeCell="T16" sqref="T16"/>
    </sheetView>
  </sheetViews>
  <sheetFormatPr baseColWidth="10" defaultColWidth="11.42578125" defaultRowHeight="15" x14ac:dyDescent="0.25"/>
  <cols>
    <col min="1" max="1" width="13.42578125" customWidth="1"/>
    <col min="2" max="2" width="27" customWidth="1"/>
    <col min="3" max="3" width="21.5703125" customWidth="1"/>
    <col min="4" max="4" width="5.42578125" customWidth="1"/>
    <col min="5" max="11" width="5.42578125" hidden="1" customWidth="1"/>
    <col min="12" max="12" width="7" hidden="1" customWidth="1"/>
    <col min="13" max="13" width="9.5703125" hidden="1" customWidth="1"/>
    <col min="14" max="14" width="8" customWidth="1"/>
    <col min="15" max="15" width="9.5703125" customWidth="1"/>
    <col min="16" max="16" width="27.5703125" customWidth="1"/>
    <col min="17" max="17" width="21.140625" customWidth="1"/>
    <col min="18" max="19" width="18.85546875" customWidth="1"/>
    <col min="20" max="20" width="20.5703125" customWidth="1"/>
    <col min="21" max="21" width="18.85546875" customWidth="1"/>
    <col min="22" max="22" width="23.28515625" customWidth="1"/>
    <col min="23" max="23" width="18.85546875" customWidth="1"/>
    <col min="24" max="24" width="21" customWidth="1"/>
    <col min="25" max="25" width="20.7109375" customWidth="1"/>
    <col min="26" max="27" width="18.85546875" customWidth="1"/>
    <col min="28" max="28" width="0" hidden="1" customWidth="1"/>
    <col min="29" max="29" width="6.42578125" customWidth="1"/>
  </cols>
  <sheetData>
    <row r="1" spans="1:27" x14ac:dyDescent="0.25">
      <c r="A1" s="225" t="s">
        <v>0</v>
      </c>
      <c r="B1" s="225">
        <v>2024</v>
      </c>
      <c r="C1" s="226" t="s">
        <v>1</v>
      </c>
      <c r="D1" s="226" t="s">
        <v>1</v>
      </c>
      <c r="E1" s="226" t="s">
        <v>1</v>
      </c>
      <c r="F1" s="226" t="s">
        <v>1</v>
      </c>
      <c r="G1" s="226" t="s">
        <v>1</v>
      </c>
      <c r="H1" s="226" t="s">
        <v>1</v>
      </c>
      <c r="I1" s="226" t="s">
        <v>1</v>
      </c>
      <c r="J1" s="226" t="s">
        <v>1</v>
      </c>
      <c r="K1" s="226" t="s">
        <v>1</v>
      </c>
      <c r="L1" s="226" t="s">
        <v>1</v>
      </c>
      <c r="M1" s="226" t="s">
        <v>1</v>
      </c>
      <c r="N1" s="226" t="s">
        <v>1</v>
      </c>
      <c r="O1" s="226" t="s">
        <v>1</v>
      </c>
      <c r="P1" s="226" t="s">
        <v>1</v>
      </c>
      <c r="Q1" s="226" t="s">
        <v>1</v>
      </c>
      <c r="R1" s="226" t="s">
        <v>1</v>
      </c>
      <c r="S1" s="226" t="s">
        <v>1</v>
      </c>
      <c r="T1" s="226" t="s">
        <v>1</v>
      </c>
      <c r="U1" s="226" t="s">
        <v>1</v>
      </c>
      <c r="V1" s="226" t="s">
        <v>1</v>
      </c>
      <c r="W1" s="226" t="s">
        <v>1</v>
      </c>
      <c r="X1" s="226" t="s">
        <v>1</v>
      </c>
      <c r="Y1" s="226" t="s">
        <v>1</v>
      </c>
      <c r="Z1" s="226" t="s">
        <v>1</v>
      </c>
      <c r="AA1" s="226" t="s">
        <v>1</v>
      </c>
    </row>
    <row r="2" spans="1:27" x14ac:dyDescent="0.25">
      <c r="A2" s="225" t="s">
        <v>2</v>
      </c>
      <c r="B2" s="225" t="s">
        <v>3</v>
      </c>
      <c r="C2" s="226" t="s">
        <v>1</v>
      </c>
      <c r="D2" s="226" t="s">
        <v>1</v>
      </c>
      <c r="E2" s="226" t="s">
        <v>1</v>
      </c>
      <c r="F2" s="226" t="s">
        <v>1</v>
      </c>
      <c r="G2" s="226" t="s">
        <v>1</v>
      </c>
      <c r="H2" s="226" t="s">
        <v>1</v>
      </c>
      <c r="I2" s="226" t="s">
        <v>1</v>
      </c>
      <c r="J2" s="226" t="s">
        <v>1</v>
      </c>
      <c r="K2" s="226" t="s">
        <v>1</v>
      </c>
      <c r="L2" s="226" t="s">
        <v>1</v>
      </c>
      <c r="M2" s="226" t="s">
        <v>1</v>
      </c>
      <c r="N2" s="226" t="s">
        <v>1</v>
      </c>
      <c r="O2" s="226" t="s">
        <v>1</v>
      </c>
      <c r="P2" s="226" t="s">
        <v>1</v>
      </c>
      <c r="Q2" s="226" t="s">
        <v>1</v>
      </c>
      <c r="R2" s="226" t="s">
        <v>1</v>
      </c>
      <c r="S2" s="226" t="s">
        <v>1</v>
      </c>
      <c r="T2" s="226" t="s">
        <v>1</v>
      </c>
      <c r="U2" s="226" t="s">
        <v>1</v>
      </c>
      <c r="V2" s="226" t="s">
        <v>1</v>
      </c>
      <c r="W2" s="226" t="s">
        <v>1</v>
      </c>
      <c r="X2" s="226" t="s">
        <v>1</v>
      </c>
      <c r="Y2" s="226" t="s">
        <v>1</v>
      </c>
      <c r="Z2" s="226" t="s">
        <v>1</v>
      </c>
      <c r="AA2" s="226" t="s">
        <v>1</v>
      </c>
    </row>
    <row r="3" spans="1:27" x14ac:dyDescent="0.25">
      <c r="A3" s="225" t="s">
        <v>4</v>
      </c>
      <c r="B3" s="225" t="s">
        <v>5</v>
      </c>
      <c r="C3" s="226" t="s">
        <v>1</v>
      </c>
      <c r="D3" s="226" t="s">
        <v>1</v>
      </c>
      <c r="E3" s="226" t="s">
        <v>1</v>
      </c>
      <c r="F3" s="226" t="s">
        <v>1</v>
      </c>
      <c r="G3" s="226" t="s">
        <v>1</v>
      </c>
      <c r="H3" s="226" t="s">
        <v>1</v>
      </c>
      <c r="I3" s="226" t="s">
        <v>1</v>
      </c>
      <c r="J3" s="226" t="s">
        <v>1</v>
      </c>
      <c r="K3" s="226" t="s">
        <v>1</v>
      </c>
      <c r="L3" s="226" t="s">
        <v>1</v>
      </c>
      <c r="M3" s="226" t="s">
        <v>1</v>
      </c>
      <c r="N3" s="226" t="s">
        <v>1</v>
      </c>
      <c r="O3" s="226" t="s">
        <v>1</v>
      </c>
      <c r="P3" s="226" t="s">
        <v>1</v>
      </c>
      <c r="Q3" s="226" t="s">
        <v>1</v>
      </c>
      <c r="R3" s="226" t="s">
        <v>1</v>
      </c>
      <c r="S3" s="226" t="s">
        <v>1</v>
      </c>
      <c r="T3" s="226" t="s">
        <v>1</v>
      </c>
      <c r="U3" s="226" t="s">
        <v>1</v>
      </c>
      <c r="V3" s="226" t="s">
        <v>1</v>
      </c>
      <c r="W3" s="226" t="s">
        <v>1</v>
      </c>
      <c r="X3" s="226" t="s">
        <v>1</v>
      </c>
      <c r="Y3" s="226" t="s">
        <v>1</v>
      </c>
      <c r="Z3" s="226" t="s">
        <v>1</v>
      </c>
      <c r="AA3" s="226" t="s">
        <v>1</v>
      </c>
    </row>
    <row r="4" spans="1:27" ht="24" x14ac:dyDescent="0.25">
      <c r="A4" s="225" t="s">
        <v>6</v>
      </c>
      <c r="B4" s="225" t="s">
        <v>7</v>
      </c>
      <c r="C4" s="225" t="s">
        <v>8</v>
      </c>
      <c r="D4" s="225" t="s">
        <v>9</v>
      </c>
      <c r="E4" s="225" t="s">
        <v>10</v>
      </c>
      <c r="F4" s="225" t="s">
        <v>11</v>
      </c>
      <c r="G4" s="225" t="s">
        <v>12</v>
      </c>
      <c r="H4" s="225" t="s">
        <v>13</v>
      </c>
      <c r="I4" s="225" t="s">
        <v>14</v>
      </c>
      <c r="J4" s="225" t="s">
        <v>15</v>
      </c>
      <c r="K4" s="225" t="s">
        <v>16</v>
      </c>
      <c r="L4" s="225" t="s">
        <v>17</v>
      </c>
      <c r="M4" s="225" t="s">
        <v>18</v>
      </c>
      <c r="N4" s="225" t="s">
        <v>19</v>
      </c>
      <c r="O4" s="225" t="s">
        <v>20</v>
      </c>
      <c r="P4" s="225" t="s">
        <v>21</v>
      </c>
      <c r="Q4" s="225" t="s">
        <v>22</v>
      </c>
      <c r="R4" s="225" t="s">
        <v>23</v>
      </c>
      <c r="S4" s="225" t="s">
        <v>24</v>
      </c>
      <c r="T4" s="225" t="s">
        <v>25</v>
      </c>
      <c r="U4" s="225" t="s">
        <v>26</v>
      </c>
      <c r="V4" s="225" t="s">
        <v>27</v>
      </c>
      <c r="W4" s="225" t="s">
        <v>28</v>
      </c>
      <c r="X4" s="225" t="s">
        <v>29</v>
      </c>
      <c r="Y4" s="225" t="s">
        <v>30</v>
      </c>
      <c r="Z4" s="225" t="s">
        <v>31</v>
      </c>
      <c r="AA4" s="225" t="s">
        <v>32</v>
      </c>
    </row>
    <row r="5" spans="1:27" ht="22.5" x14ac:dyDescent="0.25">
      <c r="A5" s="227" t="s">
        <v>33</v>
      </c>
      <c r="B5" s="209" t="s">
        <v>34</v>
      </c>
      <c r="C5" s="228" t="s">
        <v>35</v>
      </c>
      <c r="D5" s="227" t="s">
        <v>36</v>
      </c>
      <c r="E5" s="227" t="s">
        <v>37</v>
      </c>
      <c r="F5" s="227" t="s">
        <v>37</v>
      </c>
      <c r="G5" s="227" t="s">
        <v>37</v>
      </c>
      <c r="H5" s="227"/>
      <c r="I5" s="227"/>
      <c r="J5" s="227"/>
      <c r="K5" s="227"/>
      <c r="L5" s="227"/>
      <c r="M5" s="227" t="s">
        <v>38</v>
      </c>
      <c r="N5" s="227" t="s">
        <v>39</v>
      </c>
      <c r="O5" s="227" t="s">
        <v>40</v>
      </c>
      <c r="P5" s="209" t="s">
        <v>41</v>
      </c>
      <c r="Q5" s="193">
        <v>29207200000</v>
      </c>
      <c r="R5" s="193">
        <v>1006000000</v>
      </c>
      <c r="S5" s="193">
        <v>1203000000</v>
      </c>
      <c r="T5" s="193">
        <v>29010200000</v>
      </c>
      <c r="U5" s="193">
        <v>0</v>
      </c>
      <c r="V5" s="193">
        <v>28004200000</v>
      </c>
      <c r="W5" s="193">
        <v>1006000000</v>
      </c>
      <c r="X5" s="193">
        <v>22649615599</v>
      </c>
      <c r="Y5" s="193">
        <v>22649615599</v>
      </c>
      <c r="Z5" s="193">
        <v>22649615599</v>
      </c>
      <c r="AA5" s="193">
        <v>22649615599</v>
      </c>
    </row>
    <row r="6" spans="1:27" ht="22.5" x14ac:dyDescent="0.25">
      <c r="A6" s="227" t="s">
        <v>33</v>
      </c>
      <c r="B6" s="209" t="s">
        <v>34</v>
      </c>
      <c r="C6" s="228" t="s">
        <v>42</v>
      </c>
      <c r="D6" s="227" t="s">
        <v>36</v>
      </c>
      <c r="E6" s="227" t="s">
        <v>37</v>
      </c>
      <c r="F6" s="227" t="s">
        <v>37</v>
      </c>
      <c r="G6" s="227" t="s">
        <v>43</v>
      </c>
      <c r="H6" s="227"/>
      <c r="I6" s="227"/>
      <c r="J6" s="227"/>
      <c r="K6" s="227"/>
      <c r="L6" s="227"/>
      <c r="M6" s="227" t="s">
        <v>38</v>
      </c>
      <c r="N6" s="227" t="s">
        <v>39</v>
      </c>
      <c r="O6" s="227" t="s">
        <v>40</v>
      </c>
      <c r="P6" s="209" t="s">
        <v>44</v>
      </c>
      <c r="Q6" s="193">
        <v>10441700000</v>
      </c>
      <c r="R6" s="193">
        <v>637000000</v>
      </c>
      <c r="S6" s="193">
        <v>0</v>
      </c>
      <c r="T6" s="193">
        <v>11078700000</v>
      </c>
      <c r="U6" s="193">
        <v>0</v>
      </c>
      <c r="V6" s="193">
        <v>10441700000</v>
      </c>
      <c r="W6" s="193">
        <v>637000000</v>
      </c>
      <c r="X6" s="193">
        <v>8606622879</v>
      </c>
      <c r="Y6" s="193">
        <v>8606622879</v>
      </c>
      <c r="Z6" s="193">
        <v>8606622879</v>
      </c>
      <c r="AA6" s="193">
        <v>8606622879</v>
      </c>
    </row>
    <row r="7" spans="1:27" ht="33.75" x14ac:dyDescent="0.25">
      <c r="A7" s="227" t="s">
        <v>33</v>
      </c>
      <c r="B7" s="209" t="s">
        <v>34</v>
      </c>
      <c r="C7" s="228" t="s">
        <v>45</v>
      </c>
      <c r="D7" s="227" t="s">
        <v>36</v>
      </c>
      <c r="E7" s="227" t="s">
        <v>37</v>
      </c>
      <c r="F7" s="227" t="s">
        <v>37</v>
      </c>
      <c r="G7" s="227" t="s">
        <v>46</v>
      </c>
      <c r="H7" s="227"/>
      <c r="I7" s="227"/>
      <c r="J7" s="227"/>
      <c r="K7" s="227"/>
      <c r="L7" s="227"/>
      <c r="M7" s="227" t="s">
        <v>38</v>
      </c>
      <c r="N7" s="227" t="s">
        <v>39</v>
      </c>
      <c r="O7" s="227" t="s">
        <v>40</v>
      </c>
      <c r="P7" s="209" t="s">
        <v>47</v>
      </c>
      <c r="Q7" s="193">
        <v>3888500000</v>
      </c>
      <c r="R7" s="193">
        <v>1674000000</v>
      </c>
      <c r="S7" s="193">
        <v>0</v>
      </c>
      <c r="T7" s="193">
        <v>5562500000</v>
      </c>
      <c r="U7" s="193">
        <v>0</v>
      </c>
      <c r="V7" s="193">
        <v>3888500000</v>
      </c>
      <c r="W7" s="193">
        <v>1674000000</v>
      </c>
      <c r="X7" s="193">
        <v>3750075323</v>
      </c>
      <c r="Y7" s="193">
        <v>3750075323</v>
      </c>
      <c r="Z7" s="193">
        <v>3750075323</v>
      </c>
      <c r="AA7" s="193">
        <v>3750075323</v>
      </c>
    </row>
    <row r="8" spans="1:27" ht="33.75" x14ac:dyDescent="0.25">
      <c r="A8" s="227" t="s">
        <v>33</v>
      </c>
      <c r="B8" s="209" t="s">
        <v>34</v>
      </c>
      <c r="C8" s="228" t="s">
        <v>48</v>
      </c>
      <c r="D8" s="227" t="s">
        <v>36</v>
      </c>
      <c r="E8" s="227" t="s">
        <v>37</v>
      </c>
      <c r="F8" s="227" t="s">
        <v>43</v>
      </c>
      <c r="G8" s="227" t="s">
        <v>49</v>
      </c>
      <c r="H8" s="227"/>
      <c r="I8" s="227"/>
      <c r="J8" s="227"/>
      <c r="K8" s="227"/>
      <c r="L8" s="227"/>
      <c r="M8" s="227" t="s">
        <v>38</v>
      </c>
      <c r="N8" s="227" t="s">
        <v>39</v>
      </c>
      <c r="O8" s="227" t="s">
        <v>40</v>
      </c>
      <c r="P8" s="209" t="s">
        <v>50</v>
      </c>
      <c r="Q8" s="193">
        <v>2432100000</v>
      </c>
      <c r="R8" s="193">
        <v>0</v>
      </c>
      <c r="S8" s="193">
        <v>538292164</v>
      </c>
      <c r="T8" s="193">
        <v>1893807836</v>
      </c>
      <c r="U8" s="193">
        <v>1893807836</v>
      </c>
      <c r="V8" s="193">
        <v>0</v>
      </c>
      <c r="W8" s="193">
        <v>0</v>
      </c>
      <c r="X8" s="193">
        <v>0</v>
      </c>
      <c r="Y8" s="193">
        <v>0</v>
      </c>
      <c r="Z8" s="193">
        <v>0</v>
      </c>
      <c r="AA8" s="193">
        <v>0</v>
      </c>
    </row>
    <row r="9" spans="1:27" ht="33.75" x14ac:dyDescent="0.25">
      <c r="A9" s="227" t="s">
        <v>33</v>
      </c>
      <c r="B9" s="209" t="s">
        <v>34</v>
      </c>
      <c r="C9" s="228" t="s">
        <v>48</v>
      </c>
      <c r="D9" s="227" t="s">
        <v>36</v>
      </c>
      <c r="E9" s="227" t="s">
        <v>37</v>
      </c>
      <c r="F9" s="227" t="s">
        <v>43</v>
      </c>
      <c r="G9" s="227" t="s">
        <v>49</v>
      </c>
      <c r="H9" s="227"/>
      <c r="I9" s="227"/>
      <c r="J9" s="227"/>
      <c r="K9" s="227"/>
      <c r="L9" s="227"/>
      <c r="M9" s="227" t="s">
        <v>38</v>
      </c>
      <c r="N9" s="227" t="s">
        <v>51</v>
      </c>
      <c r="O9" s="227" t="s">
        <v>40</v>
      </c>
      <c r="P9" s="209" t="s">
        <v>50</v>
      </c>
      <c r="Q9" s="193">
        <v>594100000</v>
      </c>
      <c r="R9" s="193">
        <v>0</v>
      </c>
      <c r="S9" s="193">
        <v>594100000</v>
      </c>
      <c r="T9" s="193">
        <v>0</v>
      </c>
      <c r="U9" s="193">
        <v>0</v>
      </c>
      <c r="V9" s="193">
        <v>0</v>
      </c>
      <c r="W9" s="193">
        <v>0</v>
      </c>
      <c r="X9" s="193">
        <v>0</v>
      </c>
      <c r="Y9" s="193">
        <v>0</v>
      </c>
      <c r="Z9" s="193">
        <v>0</v>
      </c>
      <c r="AA9" s="193">
        <v>0</v>
      </c>
    </row>
    <row r="10" spans="1:27" ht="22.5" x14ac:dyDescent="0.25">
      <c r="A10" s="227" t="s">
        <v>33</v>
      </c>
      <c r="B10" s="209" t="s">
        <v>34</v>
      </c>
      <c r="C10" s="228" t="s">
        <v>52</v>
      </c>
      <c r="D10" s="227" t="s">
        <v>36</v>
      </c>
      <c r="E10" s="227" t="s">
        <v>43</v>
      </c>
      <c r="F10" s="227"/>
      <c r="G10" s="227"/>
      <c r="H10" s="227"/>
      <c r="I10" s="227"/>
      <c r="J10" s="227"/>
      <c r="K10" s="227"/>
      <c r="L10" s="227"/>
      <c r="M10" s="227" t="s">
        <v>38</v>
      </c>
      <c r="N10" s="227" t="s">
        <v>39</v>
      </c>
      <c r="O10" s="227" t="s">
        <v>40</v>
      </c>
      <c r="P10" s="209" t="s">
        <v>53</v>
      </c>
      <c r="Q10" s="193">
        <v>20620000000</v>
      </c>
      <c r="R10" s="193">
        <v>12738392164</v>
      </c>
      <c r="S10" s="193">
        <v>0</v>
      </c>
      <c r="T10" s="193">
        <v>33358392164</v>
      </c>
      <c r="U10" s="193">
        <v>2716257518.9099998</v>
      </c>
      <c r="V10" s="193">
        <v>29248034845.16</v>
      </c>
      <c r="W10" s="193">
        <v>1394099799.9300001</v>
      </c>
      <c r="X10" s="193">
        <v>25120700828.07</v>
      </c>
      <c r="Y10" s="193">
        <v>16291315977.870001</v>
      </c>
      <c r="Z10" s="193">
        <v>15993194935.74</v>
      </c>
      <c r="AA10" s="193">
        <v>15993194935.74</v>
      </c>
    </row>
    <row r="11" spans="1:27" ht="22.5" x14ac:dyDescent="0.25">
      <c r="A11" s="227" t="s">
        <v>33</v>
      </c>
      <c r="B11" s="209" t="s">
        <v>34</v>
      </c>
      <c r="C11" s="228" t="s">
        <v>52</v>
      </c>
      <c r="D11" s="227" t="s">
        <v>36</v>
      </c>
      <c r="E11" s="227" t="s">
        <v>43</v>
      </c>
      <c r="F11" s="227"/>
      <c r="G11" s="227"/>
      <c r="H11" s="227"/>
      <c r="I11" s="227"/>
      <c r="J11" s="227"/>
      <c r="K11" s="227"/>
      <c r="L11" s="227"/>
      <c r="M11" s="227" t="s">
        <v>38</v>
      </c>
      <c r="N11" s="227" t="s">
        <v>54</v>
      </c>
      <c r="O11" s="227" t="s">
        <v>55</v>
      </c>
      <c r="P11" s="209" t="s">
        <v>53</v>
      </c>
      <c r="Q11" s="193">
        <v>0</v>
      </c>
      <c r="R11" s="193">
        <v>198900000</v>
      </c>
      <c r="S11" s="193">
        <v>0</v>
      </c>
      <c r="T11" s="193">
        <v>198900000</v>
      </c>
      <c r="U11" s="193">
        <v>0</v>
      </c>
      <c r="V11" s="193">
        <v>198900000</v>
      </c>
      <c r="W11" s="193">
        <v>0</v>
      </c>
      <c r="X11" s="193">
        <v>115160741</v>
      </c>
      <c r="Y11" s="193">
        <v>28067644</v>
      </c>
      <c r="Z11" s="193">
        <v>16951552</v>
      </c>
      <c r="AA11" s="193">
        <v>16951552</v>
      </c>
    </row>
    <row r="12" spans="1:27" ht="22.5" x14ac:dyDescent="0.25">
      <c r="A12" s="227" t="s">
        <v>33</v>
      </c>
      <c r="B12" s="209" t="s">
        <v>34</v>
      </c>
      <c r="C12" s="228" t="s">
        <v>52</v>
      </c>
      <c r="D12" s="227" t="s">
        <v>36</v>
      </c>
      <c r="E12" s="227" t="s">
        <v>43</v>
      </c>
      <c r="F12" s="227"/>
      <c r="G12" s="227"/>
      <c r="H12" s="227"/>
      <c r="I12" s="227"/>
      <c r="J12" s="227"/>
      <c r="K12" s="227"/>
      <c r="L12" s="227"/>
      <c r="M12" s="227" t="s">
        <v>38</v>
      </c>
      <c r="N12" s="227" t="s">
        <v>51</v>
      </c>
      <c r="O12" s="227" t="s">
        <v>40</v>
      </c>
      <c r="P12" s="209" t="s">
        <v>53</v>
      </c>
      <c r="Q12" s="193">
        <v>2154100000</v>
      </c>
      <c r="R12" s="193">
        <v>594100000</v>
      </c>
      <c r="S12" s="193">
        <v>0</v>
      </c>
      <c r="T12" s="193">
        <v>2748200000</v>
      </c>
      <c r="U12" s="193">
        <v>0</v>
      </c>
      <c r="V12" s="193">
        <v>2631750502</v>
      </c>
      <c r="W12" s="193">
        <v>116449498</v>
      </c>
      <c r="X12" s="193">
        <v>2580663713</v>
      </c>
      <c r="Y12" s="193">
        <v>1768020978.48</v>
      </c>
      <c r="Z12" s="193">
        <v>1768020978.48</v>
      </c>
      <c r="AA12" s="193">
        <v>1768020978.48</v>
      </c>
    </row>
    <row r="13" spans="1:27" ht="22.5" x14ac:dyDescent="0.25">
      <c r="A13" s="227" t="s">
        <v>33</v>
      </c>
      <c r="B13" s="209" t="s">
        <v>34</v>
      </c>
      <c r="C13" s="228" t="s">
        <v>56</v>
      </c>
      <c r="D13" s="227" t="s">
        <v>36</v>
      </c>
      <c r="E13" s="227" t="s">
        <v>46</v>
      </c>
      <c r="F13" s="227" t="s">
        <v>43</v>
      </c>
      <c r="G13" s="227" t="s">
        <v>43</v>
      </c>
      <c r="H13" s="227"/>
      <c r="I13" s="227"/>
      <c r="J13" s="227"/>
      <c r="K13" s="227"/>
      <c r="L13" s="227"/>
      <c r="M13" s="227" t="s">
        <v>38</v>
      </c>
      <c r="N13" s="227" t="s">
        <v>39</v>
      </c>
      <c r="O13" s="227" t="s">
        <v>40</v>
      </c>
      <c r="P13" s="209" t="s">
        <v>57</v>
      </c>
      <c r="Q13" s="193">
        <v>342000000</v>
      </c>
      <c r="R13" s="193">
        <v>0</v>
      </c>
      <c r="S13" s="193">
        <v>0</v>
      </c>
      <c r="T13" s="193">
        <v>342000000</v>
      </c>
      <c r="U13" s="193">
        <v>67277948.099999994</v>
      </c>
      <c r="V13" s="193">
        <v>256455755.90000001</v>
      </c>
      <c r="W13" s="193">
        <v>18266296</v>
      </c>
      <c r="X13" s="193">
        <v>256455755.90000001</v>
      </c>
      <c r="Y13" s="193">
        <v>254955755.90000001</v>
      </c>
      <c r="Z13" s="193">
        <v>254955755.90000001</v>
      </c>
      <c r="AA13" s="193">
        <v>254955755.90000001</v>
      </c>
    </row>
    <row r="14" spans="1:27" ht="22.5" x14ac:dyDescent="0.25">
      <c r="A14" s="227" t="s">
        <v>33</v>
      </c>
      <c r="B14" s="209" t="s">
        <v>34</v>
      </c>
      <c r="C14" s="228" t="s">
        <v>58</v>
      </c>
      <c r="D14" s="227" t="s">
        <v>36</v>
      </c>
      <c r="E14" s="227" t="s">
        <v>46</v>
      </c>
      <c r="F14" s="227" t="s">
        <v>46</v>
      </c>
      <c r="G14" s="227" t="s">
        <v>37</v>
      </c>
      <c r="H14" s="227" t="s">
        <v>59</v>
      </c>
      <c r="I14" s="227"/>
      <c r="J14" s="227"/>
      <c r="K14" s="227"/>
      <c r="L14" s="227"/>
      <c r="M14" s="227" t="s">
        <v>38</v>
      </c>
      <c r="N14" s="227" t="s">
        <v>39</v>
      </c>
      <c r="O14" s="227" t="s">
        <v>40</v>
      </c>
      <c r="P14" s="209" t="s">
        <v>60</v>
      </c>
      <c r="Q14" s="193">
        <v>11991400000</v>
      </c>
      <c r="R14" s="193">
        <v>0</v>
      </c>
      <c r="S14" s="193">
        <v>240000000</v>
      </c>
      <c r="T14" s="193">
        <v>11751400000</v>
      </c>
      <c r="U14" s="193">
        <v>3235269</v>
      </c>
      <c r="V14" s="193">
        <v>11443068531</v>
      </c>
      <c r="W14" s="193">
        <v>305096200</v>
      </c>
      <c r="X14" s="193">
        <v>11076465075</v>
      </c>
      <c r="Y14" s="193">
        <v>8429512806.2799997</v>
      </c>
      <c r="Z14" s="193">
        <v>8429512806.2799997</v>
      </c>
      <c r="AA14" s="193">
        <v>8429512806.2799997</v>
      </c>
    </row>
    <row r="15" spans="1:27" ht="45" x14ac:dyDescent="0.25">
      <c r="A15" s="227" t="s">
        <v>33</v>
      </c>
      <c r="B15" s="209" t="s">
        <v>34</v>
      </c>
      <c r="C15" s="228" t="s">
        <v>61</v>
      </c>
      <c r="D15" s="227" t="s">
        <v>36</v>
      </c>
      <c r="E15" s="227" t="s">
        <v>46</v>
      </c>
      <c r="F15" s="227" t="s">
        <v>46</v>
      </c>
      <c r="G15" s="227" t="s">
        <v>37</v>
      </c>
      <c r="H15" s="227" t="s">
        <v>62</v>
      </c>
      <c r="I15" s="227"/>
      <c r="J15" s="227"/>
      <c r="K15" s="227"/>
      <c r="L15" s="227"/>
      <c r="M15" s="227" t="s">
        <v>38</v>
      </c>
      <c r="N15" s="227" t="s">
        <v>54</v>
      </c>
      <c r="O15" s="227" t="s">
        <v>40</v>
      </c>
      <c r="P15" s="209" t="s">
        <v>63</v>
      </c>
      <c r="Q15" s="193">
        <v>42273500000</v>
      </c>
      <c r="R15" s="193">
        <v>0</v>
      </c>
      <c r="S15" s="193">
        <v>0</v>
      </c>
      <c r="T15" s="193">
        <v>42273500000</v>
      </c>
      <c r="U15" s="193">
        <v>14231861354</v>
      </c>
      <c r="V15" s="193">
        <v>25616412905</v>
      </c>
      <c r="W15" s="193">
        <v>2425225741</v>
      </c>
      <c r="X15" s="193">
        <v>25616412905</v>
      </c>
      <c r="Y15" s="193">
        <v>17535477957</v>
      </c>
      <c r="Z15" s="193">
        <v>17535477957</v>
      </c>
      <c r="AA15" s="193">
        <v>17535477957</v>
      </c>
    </row>
    <row r="16" spans="1:27" ht="56.25" x14ac:dyDescent="0.25">
      <c r="A16" s="227" t="s">
        <v>33</v>
      </c>
      <c r="B16" s="209" t="s">
        <v>34</v>
      </c>
      <c r="C16" s="228" t="s">
        <v>64</v>
      </c>
      <c r="D16" s="227" t="s">
        <v>36</v>
      </c>
      <c r="E16" s="227" t="s">
        <v>46</v>
      </c>
      <c r="F16" s="227" t="s">
        <v>46</v>
      </c>
      <c r="G16" s="227" t="s">
        <v>37</v>
      </c>
      <c r="H16" s="227" t="s">
        <v>65</v>
      </c>
      <c r="I16" s="227"/>
      <c r="J16" s="227"/>
      <c r="K16" s="227"/>
      <c r="L16" s="227"/>
      <c r="M16" s="227" t="s">
        <v>38</v>
      </c>
      <c r="N16" s="227" t="s">
        <v>39</v>
      </c>
      <c r="O16" s="227" t="s">
        <v>40</v>
      </c>
      <c r="P16" s="209" t="s">
        <v>66</v>
      </c>
      <c r="Q16" s="193">
        <v>0</v>
      </c>
      <c r="R16" s="193">
        <v>300000000</v>
      </c>
      <c r="S16" s="193">
        <v>0</v>
      </c>
      <c r="T16" s="193">
        <v>300000000</v>
      </c>
      <c r="U16" s="193">
        <v>0</v>
      </c>
      <c r="V16" s="193">
        <v>300000000</v>
      </c>
      <c r="W16" s="193">
        <v>0</v>
      </c>
      <c r="X16" s="193">
        <v>0</v>
      </c>
      <c r="Y16" s="193">
        <v>0</v>
      </c>
      <c r="Z16" s="193">
        <v>0</v>
      </c>
      <c r="AA16" s="193">
        <v>0</v>
      </c>
    </row>
    <row r="17" spans="1:27" ht="33.75" x14ac:dyDescent="0.25">
      <c r="A17" s="227" t="s">
        <v>33</v>
      </c>
      <c r="B17" s="209" t="s">
        <v>34</v>
      </c>
      <c r="C17" s="228" t="s">
        <v>67</v>
      </c>
      <c r="D17" s="227" t="s">
        <v>36</v>
      </c>
      <c r="E17" s="227" t="s">
        <v>46</v>
      </c>
      <c r="F17" s="227" t="s">
        <v>46</v>
      </c>
      <c r="G17" s="227" t="s">
        <v>37</v>
      </c>
      <c r="H17" s="227" t="s">
        <v>68</v>
      </c>
      <c r="I17" s="227"/>
      <c r="J17" s="227"/>
      <c r="K17" s="227"/>
      <c r="L17" s="227"/>
      <c r="M17" s="227" t="s">
        <v>38</v>
      </c>
      <c r="N17" s="227" t="s">
        <v>39</v>
      </c>
      <c r="O17" s="227" t="s">
        <v>40</v>
      </c>
      <c r="P17" s="209" t="s">
        <v>69</v>
      </c>
      <c r="Q17" s="193">
        <v>11960100000</v>
      </c>
      <c r="R17" s="193">
        <v>0</v>
      </c>
      <c r="S17" s="193">
        <v>11960100000</v>
      </c>
      <c r="T17" s="193">
        <v>0</v>
      </c>
      <c r="U17" s="193">
        <v>0</v>
      </c>
      <c r="V17" s="193">
        <v>0</v>
      </c>
      <c r="W17" s="193">
        <v>0</v>
      </c>
      <c r="X17" s="193">
        <v>0</v>
      </c>
      <c r="Y17" s="193">
        <v>0</v>
      </c>
      <c r="Z17" s="193">
        <v>0</v>
      </c>
      <c r="AA17" s="193">
        <v>0</v>
      </c>
    </row>
    <row r="18" spans="1:27" ht="33.75" x14ac:dyDescent="0.25">
      <c r="A18" s="227" t="s">
        <v>33</v>
      </c>
      <c r="B18" s="209" t="s">
        <v>34</v>
      </c>
      <c r="C18" s="228" t="s">
        <v>67</v>
      </c>
      <c r="D18" s="227" t="s">
        <v>36</v>
      </c>
      <c r="E18" s="227" t="s">
        <v>46</v>
      </c>
      <c r="F18" s="227" t="s">
        <v>46</v>
      </c>
      <c r="G18" s="227" t="s">
        <v>37</v>
      </c>
      <c r="H18" s="227" t="s">
        <v>68</v>
      </c>
      <c r="I18" s="227"/>
      <c r="J18" s="227"/>
      <c r="K18" s="227"/>
      <c r="L18" s="227"/>
      <c r="M18" s="227" t="s">
        <v>38</v>
      </c>
      <c r="N18" s="227" t="s">
        <v>54</v>
      </c>
      <c r="O18" s="227" t="s">
        <v>55</v>
      </c>
      <c r="P18" s="209" t="s">
        <v>69</v>
      </c>
      <c r="Q18" s="193">
        <v>198900000</v>
      </c>
      <c r="R18" s="193">
        <v>0</v>
      </c>
      <c r="S18" s="193">
        <v>198900000</v>
      </c>
      <c r="T18" s="193">
        <v>0</v>
      </c>
      <c r="U18" s="193">
        <v>0</v>
      </c>
      <c r="V18" s="193">
        <v>0</v>
      </c>
      <c r="W18" s="193">
        <v>0</v>
      </c>
      <c r="X18" s="193">
        <v>0</v>
      </c>
      <c r="Y18" s="193">
        <v>0</v>
      </c>
      <c r="Z18" s="193">
        <v>0</v>
      </c>
      <c r="AA18" s="193">
        <v>0</v>
      </c>
    </row>
    <row r="19" spans="1:27" ht="56.25" x14ac:dyDescent="0.25">
      <c r="A19" s="227" t="s">
        <v>33</v>
      </c>
      <c r="B19" s="209" t="s">
        <v>34</v>
      </c>
      <c r="C19" s="228" t="s">
        <v>70</v>
      </c>
      <c r="D19" s="227" t="s">
        <v>36</v>
      </c>
      <c r="E19" s="227" t="s">
        <v>46</v>
      </c>
      <c r="F19" s="227" t="s">
        <v>49</v>
      </c>
      <c r="G19" s="227" t="s">
        <v>37</v>
      </c>
      <c r="H19" s="227" t="s">
        <v>71</v>
      </c>
      <c r="I19" s="227"/>
      <c r="J19" s="227"/>
      <c r="K19" s="227"/>
      <c r="L19" s="227"/>
      <c r="M19" s="227" t="s">
        <v>38</v>
      </c>
      <c r="N19" s="227" t="s">
        <v>39</v>
      </c>
      <c r="O19" s="227" t="s">
        <v>40</v>
      </c>
      <c r="P19" s="209" t="s">
        <v>72</v>
      </c>
      <c r="Q19" s="193">
        <v>7392500000</v>
      </c>
      <c r="R19" s="193">
        <v>0</v>
      </c>
      <c r="S19" s="193">
        <v>0</v>
      </c>
      <c r="T19" s="193">
        <v>7392500000</v>
      </c>
      <c r="U19" s="193">
        <v>12783852</v>
      </c>
      <c r="V19" s="193">
        <v>7379716147</v>
      </c>
      <c r="W19" s="193">
        <v>1</v>
      </c>
      <c r="X19" s="193">
        <v>7346924342</v>
      </c>
      <c r="Y19" s="193">
        <v>4210752196</v>
      </c>
      <c r="Z19" s="193">
        <v>4210752196</v>
      </c>
      <c r="AA19" s="193">
        <v>4210752196</v>
      </c>
    </row>
    <row r="20" spans="1:27" ht="33.75" x14ac:dyDescent="0.25">
      <c r="A20" s="227" t="s">
        <v>33</v>
      </c>
      <c r="B20" s="209" t="s">
        <v>34</v>
      </c>
      <c r="C20" s="228" t="s">
        <v>73</v>
      </c>
      <c r="D20" s="227" t="s">
        <v>36</v>
      </c>
      <c r="E20" s="227" t="s">
        <v>46</v>
      </c>
      <c r="F20" s="227" t="s">
        <v>49</v>
      </c>
      <c r="G20" s="227" t="s">
        <v>43</v>
      </c>
      <c r="H20" s="227" t="s">
        <v>71</v>
      </c>
      <c r="I20" s="227"/>
      <c r="J20" s="227"/>
      <c r="K20" s="227"/>
      <c r="L20" s="227"/>
      <c r="M20" s="227" t="s">
        <v>38</v>
      </c>
      <c r="N20" s="227" t="s">
        <v>39</v>
      </c>
      <c r="O20" s="227" t="s">
        <v>40</v>
      </c>
      <c r="P20" s="209" t="s">
        <v>74</v>
      </c>
      <c r="Q20" s="193">
        <v>169300000</v>
      </c>
      <c r="R20" s="193">
        <v>0</v>
      </c>
      <c r="S20" s="193">
        <v>0</v>
      </c>
      <c r="T20" s="193">
        <v>169300000</v>
      </c>
      <c r="U20" s="193">
        <v>0</v>
      </c>
      <c r="V20" s="193">
        <v>169300000</v>
      </c>
      <c r="W20" s="193">
        <v>0</v>
      </c>
      <c r="X20" s="193">
        <v>63034326</v>
      </c>
      <c r="Y20" s="193">
        <v>36268487</v>
      </c>
      <c r="Z20" s="193">
        <v>36268487</v>
      </c>
      <c r="AA20" s="193">
        <v>36268487</v>
      </c>
    </row>
    <row r="21" spans="1:27" ht="22.5" x14ac:dyDescent="0.25">
      <c r="A21" s="227" t="s">
        <v>33</v>
      </c>
      <c r="B21" s="209" t="s">
        <v>34</v>
      </c>
      <c r="C21" s="228" t="s">
        <v>75</v>
      </c>
      <c r="D21" s="227" t="s">
        <v>36</v>
      </c>
      <c r="E21" s="227" t="s">
        <v>46</v>
      </c>
      <c r="F21" s="227" t="s">
        <v>39</v>
      </c>
      <c r="G21" s="227"/>
      <c r="H21" s="227"/>
      <c r="I21" s="227"/>
      <c r="J21" s="227"/>
      <c r="K21" s="227"/>
      <c r="L21" s="227"/>
      <c r="M21" s="227" t="s">
        <v>38</v>
      </c>
      <c r="N21" s="227" t="s">
        <v>39</v>
      </c>
      <c r="O21" s="227" t="s">
        <v>40</v>
      </c>
      <c r="P21" s="209" t="s">
        <v>76</v>
      </c>
      <c r="Q21" s="193">
        <v>4211000000</v>
      </c>
      <c r="R21" s="193">
        <v>0</v>
      </c>
      <c r="S21" s="193">
        <v>0</v>
      </c>
      <c r="T21" s="193">
        <v>4211000000</v>
      </c>
      <c r="U21" s="193">
        <v>3000000000</v>
      </c>
      <c r="V21" s="193">
        <v>686424983</v>
      </c>
      <c r="W21" s="193">
        <v>524575017</v>
      </c>
      <c r="X21" s="193">
        <v>71569134.340000004</v>
      </c>
      <c r="Y21" s="193">
        <v>71569134.340000004</v>
      </c>
      <c r="Z21" s="193">
        <v>71569134.340000004</v>
      </c>
      <c r="AA21" s="193">
        <v>71569134.340000004</v>
      </c>
    </row>
    <row r="22" spans="1:27" ht="22.5" x14ac:dyDescent="0.25">
      <c r="A22" s="227" t="s">
        <v>33</v>
      </c>
      <c r="B22" s="209" t="s">
        <v>34</v>
      </c>
      <c r="C22" s="228" t="s">
        <v>77</v>
      </c>
      <c r="D22" s="227" t="s">
        <v>36</v>
      </c>
      <c r="E22" s="227" t="s">
        <v>78</v>
      </c>
      <c r="F22" s="227" t="s">
        <v>37</v>
      </c>
      <c r="G22" s="227"/>
      <c r="H22" s="227"/>
      <c r="I22" s="227"/>
      <c r="J22" s="227"/>
      <c r="K22" s="227"/>
      <c r="L22" s="227"/>
      <c r="M22" s="227" t="s">
        <v>38</v>
      </c>
      <c r="N22" s="227" t="s">
        <v>39</v>
      </c>
      <c r="O22" s="227" t="s">
        <v>40</v>
      </c>
      <c r="P22" s="209" t="s">
        <v>79</v>
      </c>
      <c r="Q22" s="193">
        <v>126031000</v>
      </c>
      <c r="R22" s="193">
        <v>1435000</v>
      </c>
      <c r="S22" s="193">
        <v>0</v>
      </c>
      <c r="T22" s="193">
        <v>127466000</v>
      </c>
      <c r="U22" s="193">
        <v>52662</v>
      </c>
      <c r="V22" s="193">
        <v>122827338</v>
      </c>
      <c r="W22" s="193">
        <v>4586000</v>
      </c>
      <c r="X22" s="193">
        <v>122827338</v>
      </c>
      <c r="Y22" s="193">
        <v>122827338</v>
      </c>
      <c r="Z22" s="193">
        <v>122827338</v>
      </c>
      <c r="AA22" s="193">
        <v>122827338</v>
      </c>
    </row>
    <row r="23" spans="1:27" ht="22.5" x14ac:dyDescent="0.25">
      <c r="A23" s="227" t="s">
        <v>33</v>
      </c>
      <c r="B23" s="209" t="s">
        <v>34</v>
      </c>
      <c r="C23" s="228" t="s">
        <v>80</v>
      </c>
      <c r="D23" s="227" t="s">
        <v>36</v>
      </c>
      <c r="E23" s="227" t="s">
        <v>78</v>
      </c>
      <c r="F23" s="227" t="s">
        <v>46</v>
      </c>
      <c r="G23" s="227"/>
      <c r="H23" s="227"/>
      <c r="I23" s="227"/>
      <c r="J23" s="227"/>
      <c r="K23" s="227"/>
      <c r="L23" s="227"/>
      <c r="M23" s="227" t="s">
        <v>38</v>
      </c>
      <c r="N23" s="227" t="s">
        <v>39</v>
      </c>
      <c r="O23" s="227" t="s">
        <v>40</v>
      </c>
      <c r="P23" s="209" t="s">
        <v>81</v>
      </c>
      <c r="Q23" s="193">
        <v>11102000</v>
      </c>
      <c r="R23" s="193">
        <v>0</v>
      </c>
      <c r="S23" s="193">
        <v>1435000</v>
      </c>
      <c r="T23" s="193">
        <v>9667000</v>
      </c>
      <c r="U23" s="193">
        <v>9667000</v>
      </c>
      <c r="V23" s="193">
        <v>0</v>
      </c>
      <c r="W23" s="193">
        <v>0</v>
      </c>
      <c r="X23" s="193">
        <v>0</v>
      </c>
      <c r="Y23" s="193">
        <v>0</v>
      </c>
      <c r="Z23" s="193">
        <v>0</v>
      </c>
      <c r="AA23" s="193">
        <v>0</v>
      </c>
    </row>
    <row r="24" spans="1:27" ht="22.5" x14ac:dyDescent="0.25">
      <c r="A24" s="227" t="s">
        <v>33</v>
      </c>
      <c r="B24" s="209" t="s">
        <v>34</v>
      </c>
      <c r="C24" s="228" t="s">
        <v>82</v>
      </c>
      <c r="D24" s="227" t="s">
        <v>36</v>
      </c>
      <c r="E24" s="227" t="s">
        <v>78</v>
      </c>
      <c r="F24" s="227" t="s">
        <v>49</v>
      </c>
      <c r="G24" s="227" t="s">
        <v>37</v>
      </c>
      <c r="H24" s="227"/>
      <c r="I24" s="227"/>
      <c r="J24" s="227"/>
      <c r="K24" s="227"/>
      <c r="L24" s="227"/>
      <c r="M24" s="227" t="s">
        <v>38</v>
      </c>
      <c r="N24" s="227" t="s">
        <v>54</v>
      </c>
      <c r="O24" s="227" t="s">
        <v>55</v>
      </c>
      <c r="P24" s="209" t="s">
        <v>83</v>
      </c>
      <c r="Q24" s="193">
        <v>432436000</v>
      </c>
      <c r="R24" s="193">
        <v>0</v>
      </c>
      <c r="S24" s="193">
        <v>0</v>
      </c>
      <c r="T24" s="193">
        <v>432436000</v>
      </c>
      <c r="U24" s="193">
        <v>0</v>
      </c>
      <c r="V24" s="193">
        <v>317257226</v>
      </c>
      <c r="W24" s="193">
        <v>115178774</v>
      </c>
      <c r="X24" s="193">
        <v>317257226</v>
      </c>
      <c r="Y24" s="193">
        <v>0</v>
      </c>
      <c r="Z24" s="193">
        <v>0</v>
      </c>
      <c r="AA24" s="193">
        <v>0</v>
      </c>
    </row>
    <row r="25" spans="1:27" ht="78.75" x14ac:dyDescent="0.25">
      <c r="A25" s="227" t="s">
        <v>33</v>
      </c>
      <c r="B25" s="209" t="s">
        <v>34</v>
      </c>
      <c r="C25" s="228" t="s">
        <v>84</v>
      </c>
      <c r="D25" s="227" t="s">
        <v>85</v>
      </c>
      <c r="E25" s="227" t="s">
        <v>86</v>
      </c>
      <c r="F25" s="227" t="s">
        <v>87</v>
      </c>
      <c r="G25" s="227" t="s">
        <v>88</v>
      </c>
      <c r="H25" s="227" t="s">
        <v>89</v>
      </c>
      <c r="I25" s="227"/>
      <c r="J25" s="227"/>
      <c r="K25" s="227"/>
      <c r="L25" s="227"/>
      <c r="M25" s="227" t="s">
        <v>38</v>
      </c>
      <c r="N25" s="227" t="s">
        <v>51</v>
      </c>
      <c r="O25" s="227" t="s">
        <v>40</v>
      </c>
      <c r="P25" s="209" t="s">
        <v>90</v>
      </c>
      <c r="Q25" s="193">
        <v>1000000000</v>
      </c>
      <c r="R25" s="193">
        <v>0</v>
      </c>
      <c r="S25" s="193">
        <v>0</v>
      </c>
      <c r="T25" s="193">
        <v>1000000000</v>
      </c>
      <c r="U25" s="193">
        <v>0</v>
      </c>
      <c r="V25" s="193">
        <v>999693333</v>
      </c>
      <c r="W25" s="193">
        <v>306667</v>
      </c>
      <c r="X25" s="193">
        <v>998127048</v>
      </c>
      <c r="Y25" s="193">
        <v>753943546</v>
      </c>
      <c r="Z25" s="193">
        <v>753943546</v>
      </c>
      <c r="AA25" s="193">
        <v>753943546</v>
      </c>
    </row>
    <row r="26" spans="1:27" ht="67.5" x14ac:dyDescent="0.25">
      <c r="A26" s="227" t="s">
        <v>33</v>
      </c>
      <c r="B26" s="209" t="s">
        <v>34</v>
      </c>
      <c r="C26" s="228" t="s">
        <v>91</v>
      </c>
      <c r="D26" s="227" t="s">
        <v>85</v>
      </c>
      <c r="E26" s="227" t="s">
        <v>92</v>
      </c>
      <c r="F26" s="227" t="s">
        <v>87</v>
      </c>
      <c r="G26" s="227" t="s">
        <v>93</v>
      </c>
      <c r="H26" s="227" t="s">
        <v>94</v>
      </c>
      <c r="I26" s="227"/>
      <c r="J26" s="227"/>
      <c r="K26" s="227"/>
      <c r="L26" s="227"/>
      <c r="M26" s="227" t="s">
        <v>38</v>
      </c>
      <c r="N26" s="227" t="s">
        <v>95</v>
      </c>
      <c r="O26" s="227" t="s">
        <v>55</v>
      </c>
      <c r="P26" s="209" t="s">
        <v>96</v>
      </c>
      <c r="Q26" s="193">
        <v>905264500</v>
      </c>
      <c r="R26" s="193">
        <v>0</v>
      </c>
      <c r="S26" s="193">
        <v>0</v>
      </c>
      <c r="T26" s="193">
        <v>905264500</v>
      </c>
      <c r="U26" s="193">
        <v>0</v>
      </c>
      <c r="V26" s="193">
        <v>789976065</v>
      </c>
      <c r="W26" s="193">
        <v>115288435</v>
      </c>
      <c r="X26" s="193">
        <v>731750000</v>
      </c>
      <c r="Y26" s="193">
        <v>332042600</v>
      </c>
      <c r="Z26" s="193">
        <v>332042600</v>
      </c>
      <c r="AA26" s="193">
        <v>332042600</v>
      </c>
    </row>
    <row r="27" spans="1:27" ht="67.5" x14ac:dyDescent="0.25">
      <c r="A27" s="227" t="s">
        <v>33</v>
      </c>
      <c r="B27" s="209" t="s">
        <v>34</v>
      </c>
      <c r="C27" s="228" t="s">
        <v>91</v>
      </c>
      <c r="D27" s="227" t="s">
        <v>85</v>
      </c>
      <c r="E27" s="227" t="s">
        <v>92</v>
      </c>
      <c r="F27" s="227" t="s">
        <v>87</v>
      </c>
      <c r="G27" s="227" t="s">
        <v>93</v>
      </c>
      <c r="H27" s="227" t="s">
        <v>94</v>
      </c>
      <c r="I27" s="227"/>
      <c r="J27" s="227"/>
      <c r="K27" s="227"/>
      <c r="L27" s="227"/>
      <c r="M27" s="227" t="s">
        <v>38</v>
      </c>
      <c r="N27" s="227" t="s">
        <v>51</v>
      </c>
      <c r="O27" s="227" t="s">
        <v>40</v>
      </c>
      <c r="P27" s="209" t="s">
        <v>97</v>
      </c>
      <c r="Q27" s="193">
        <v>5500000000</v>
      </c>
      <c r="R27" s="193">
        <v>0</v>
      </c>
      <c r="S27" s="193">
        <v>0</v>
      </c>
      <c r="T27" s="193">
        <v>5500000000</v>
      </c>
      <c r="U27" s="193">
        <v>0</v>
      </c>
      <c r="V27" s="193">
        <v>5417819872.7399998</v>
      </c>
      <c r="W27" s="193">
        <v>82180127.260000005</v>
      </c>
      <c r="X27" s="193">
        <v>5297819872.7399998</v>
      </c>
      <c r="Y27" s="193">
        <v>1164572454.5</v>
      </c>
      <c r="Z27" s="193">
        <v>1164572454.5</v>
      </c>
      <c r="AA27" s="193">
        <v>1164572454.5</v>
      </c>
    </row>
    <row r="28" spans="1:27" ht="90" x14ac:dyDescent="0.25">
      <c r="A28" s="227" t="s">
        <v>33</v>
      </c>
      <c r="B28" s="209" t="s">
        <v>34</v>
      </c>
      <c r="C28" s="228" t="s">
        <v>98</v>
      </c>
      <c r="D28" s="227" t="s">
        <v>85</v>
      </c>
      <c r="E28" s="227" t="s">
        <v>92</v>
      </c>
      <c r="F28" s="227" t="s">
        <v>87</v>
      </c>
      <c r="G28" s="227" t="s">
        <v>95</v>
      </c>
      <c r="H28" s="227" t="s">
        <v>99</v>
      </c>
      <c r="I28" s="227"/>
      <c r="J28" s="227"/>
      <c r="K28" s="227"/>
      <c r="L28" s="227"/>
      <c r="M28" s="227" t="s">
        <v>38</v>
      </c>
      <c r="N28" s="227" t="s">
        <v>51</v>
      </c>
      <c r="O28" s="227" t="s">
        <v>40</v>
      </c>
      <c r="P28" s="209" t="s">
        <v>100</v>
      </c>
      <c r="Q28" s="193">
        <v>9000000000</v>
      </c>
      <c r="R28" s="193">
        <v>0</v>
      </c>
      <c r="S28" s="193">
        <v>0</v>
      </c>
      <c r="T28" s="193">
        <v>9000000000</v>
      </c>
      <c r="U28" s="193">
        <v>0</v>
      </c>
      <c r="V28" s="193">
        <v>9000000000</v>
      </c>
      <c r="W28" s="193">
        <v>0</v>
      </c>
      <c r="X28" s="193">
        <v>8998664790</v>
      </c>
      <c r="Y28" s="193">
        <v>3642797609.4000001</v>
      </c>
      <c r="Z28" s="193">
        <v>3642797609.4000001</v>
      </c>
      <c r="AA28" s="193">
        <v>3642797609.4000001</v>
      </c>
    </row>
    <row r="29" spans="1:27" ht="78.75" x14ac:dyDescent="0.25">
      <c r="A29" s="227" t="s">
        <v>33</v>
      </c>
      <c r="B29" s="209" t="s">
        <v>34</v>
      </c>
      <c r="C29" s="228" t="s">
        <v>101</v>
      </c>
      <c r="D29" s="227" t="s">
        <v>85</v>
      </c>
      <c r="E29" s="227" t="s">
        <v>92</v>
      </c>
      <c r="F29" s="227" t="s">
        <v>87</v>
      </c>
      <c r="G29" s="227" t="s">
        <v>51</v>
      </c>
      <c r="H29" s="227" t="s">
        <v>89</v>
      </c>
      <c r="I29" s="227"/>
      <c r="J29" s="227"/>
      <c r="K29" s="227"/>
      <c r="L29" s="227"/>
      <c r="M29" s="227" t="s">
        <v>38</v>
      </c>
      <c r="N29" s="227" t="s">
        <v>51</v>
      </c>
      <c r="O29" s="227" t="s">
        <v>40</v>
      </c>
      <c r="P29" s="209" t="s">
        <v>102</v>
      </c>
      <c r="Q29" s="193">
        <v>3040000000</v>
      </c>
      <c r="R29" s="193">
        <v>0</v>
      </c>
      <c r="S29" s="193">
        <v>0</v>
      </c>
      <c r="T29" s="193">
        <v>3040000000</v>
      </c>
      <c r="U29" s="193">
        <v>0</v>
      </c>
      <c r="V29" s="193">
        <v>3038353147</v>
      </c>
      <c r="W29" s="193">
        <v>1646853</v>
      </c>
      <c r="X29" s="193">
        <v>3015634790</v>
      </c>
      <c r="Y29" s="193">
        <v>1637868166.24</v>
      </c>
      <c r="Z29" s="193">
        <v>1637868166.24</v>
      </c>
      <c r="AA29" s="193">
        <v>1637868166.24</v>
      </c>
    </row>
    <row r="30" spans="1:27" ht="90" x14ac:dyDescent="0.25">
      <c r="A30" s="227" t="s">
        <v>33</v>
      </c>
      <c r="B30" s="209" t="s">
        <v>34</v>
      </c>
      <c r="C30" s="228" t="s">
        <v>103</v>
      </c>
      <c r="D30" s="227" t="s">
        <v>85</v>
      </c>
      <c r="E30" s="227" t="s">
        <v>92</v>
      </c>
      <c r="F30" s="227" t="s">
        <v>87</v>
      </c>
      <c r="G30" s="227" t="s">
        <v>104</v>
      </c>
      <c r="H30" s="227" t="s">
        <v>105</v>
      </c>
      <c r="I30" s="227"/>
      <c r="J30" s="227"/>
      <c r="K30" s="227"/>
      <c r="L30" s="227"/>
      <c r="M30" s="227" t="s">
        <v>38</v>
      </c>
      <c r="N30" s="227" t="s">
        <v>93</v>
      </c>
      <c r="O30" s="227" t="s">
        <v>40</v>
      </c>
      <c r="P30" s="209" t="s">
        <v>106</v>
      </c>
      <c r="Q30" s="193">
        <v>10886133544</v>
      </c>
      <c r="R30" s="193">
        <v>0</v>
      </c>
      <c r="S30" s="193">
        <v>0</v>
      </c>
      <c r="T30" s="193">
        <v>10886133544</v>
      </c>
      <c r="U30" s="193">
        <v>0</v>
      </c>
      <c r="V30" s="193">
        <v>10886133544</v>
      </c>
      <c r="W30" s="193">
        <v>0</v>
      </c>
      <c r="X30" s="193">
        <v>10876839283</v>
      </c>
      <c r="Y30" s="193">
        <v>3667724800</v>
      </c>
      <c r="Z30" s="193">
        <v>3629931087</v>
      </c>
      <c r="AA30" s="193">
        <v>3629931087</v>
      </c>
    </row>
    <row r="31" spans="1:27" ht="90" x14ac:dyDescent="0.25">
      <c r="A31" s="227" t="s">
        <v>33</v>
      </c>
      <c r="B31" s="209" t="s">
        <v>34</v>
      </c>
      <c r="C31" s="228" t="s">
        <v>107</v>
      </c>
      <c r="D31" s="227" t="s">
        <v>85</v>
      </c>
      <c r="E31" s="227" t="s">
        <v>92</v>
      </c>
      <c r="F31" s="227" t="s">
        <v>87</v>
      </c>
      <c r="G31" s="227" t="s">
        <v>108</v>
      </c>
      <c r="H31" s="227" t="s">
        <v>109</v>
      </c>
      <c r="I31" s="227"/>
      <c r="J31" s="227"/>
      <c r="K31" s="227"/>
      <c r="L31" s="227"/>
      <c r="M31" s="227" t="s">
        <v>38</v>
      </c>
      <c r="N31" s="227" t="s">
        <v>51</v>
      </c>
      <c r="O31" s="227" t="s">
        <v>40</v>
      </c>
      <c r="P31" s="209" t="s">
        <v>110</v>
      </c>
      <c r="Q31" s="193">
        <v>4000000000</v>
      </c>
      <c r="R31" s="193">
        <v>0</v>
      </c>
      <c r="S31" s="193">
        <v>0</v>
      </c>
      <c r="T31" s="193">
        <v>4000000000</v>
      </c>
      <c r="U31" s="193">
        <v>0</v>
      </c>
      <c r="V31" s="193">
        <v>3987066662</v>
      </c>
      <c r="W31" s="193">
        <v>12933338</v>
      </c>
      <c r="X31" s="193">
        <v>3917122311</v>
      </c>
      <c r="Y31" s="193">
        <v>1885957736</v>
      </c>
      <c r="Z31" s="193">
        <v>1885957736</v>
      </c>
      <c r="AA31" s="193">
        <v>1885957736</v>
      </c>
    </row>
    <row r="32" spans="1:27" ht="90" x14ac:dyDescent="0.25">
      <c r="A32" s="227" t="s">
        <v>33</v>
      </c>
      <c r="B32" s="209" t="s">
        <v>34</v>
      </c>
      <c r="C32" s="228" t="s">
        <v>111</v>
      </c>
      <c r="D32" s="227" t="s">
        <v>85</v>
      </c>
      <c r="E32" s="227" t="s">
        <v>112</v>
      </c>
      <c r="F32" s="227" t="s">
        <v>87</v>
      </c>
      <c r="G32" s="227" t="s">
        <v>113</v>
      </c>
      <c r="H32" s="227" t="s">
        <v>114</v>
      </c>
      <c r="I32" s="227"/>
      <c r="J32" s="227"/>
      <c r="K32" s="227"/>
      <c r="L32" s="227"/>
      <c r="M32" s="227" t="s">
        <v>38</v>
      </c>
      <c r="N32" s="227" t="s">
        <v>51</v>
      </c>
      <c r="O32" s="227" t="s">
        <v>40</v>
      </c>
      <c r="P32" s="209" t="s">
        <v>115</v>
      </c>
      <c r="Q32" s="193">
        <v>4689000000</v>
      </c>
      <c r="R32" s="193">
        <v>0</v>
      </c>
      <c r="S32" s="193">
        <v>0</v>
      </c>
      <c r="T32" s="193">
        <v>4689000000</v>
      </c>
      <c r="U32" s="193">
        <v>0</v>
      </c>
      <c r="V32" s="193">
        <v>4594251789</v>
      </c>
      <c r="W32" s="193">
        <v>94748211</v>
      </c>
      <c r="X32" s="193">
        <v>4594251789</v>
      </c>
      <c r="Y32" s="193">
        <v>3104846832.5999999</v>
      </c>
      <c r="Z32" s="193">
        <v>3104846832.5999999</v>
      </c>
      <c r="AA32" s="193">
        <v>3104846832.5999999</v>
      </c>
    </row>
    <row r="33" spans="1:27" ht="78.75" x14ac:dyDescent="0.25">
      <c r="A33" s="227" t="s">
        <v>33</v>
      </c>
      <c r="B33" s="209" t="s">
        <v>34</v>
      </c>
      <c r="C33" s="228" t="s">
        <v>116</v>
      </c>
      <c r="D33" s="227" t="s">
        <v>85</v>
      </c>
      <c r="E33" s="227" t="s">
        <v>117</v>
      </c>
      <c r="F33" s="227" t="s">
        <v>87</v>
      </c>
      <c r="G33" s="227" t="s">
        <v>118</v>
      </c>
      <c r="H33" s="240" t="s">
        <v>119</v>
      </c>
      <c r="I33" s="227"/>
      <c r="J33" s="227"/>
      <c r="K33" s="227"/>
      <c r="L33" s="227"/>
      <c r="M33" s="227" t="s">
        <v>38</v>
      </c>
      <c r="N33" s="227" t="s">
        <v>54</v>
      </c>
      <c r="O33" s="227" t="s">
        <v>40</v>
      </c>
      <c r="P33" s="209" t="s">
        <v>120</v>
      </c>
      <c r="Q33" s="193">
        <v>5157723695</v>
      </c>
      <c r="R33" s="193">
        <v>0</v>
      </c>
      <c r="S33" s="193">
        <v>0</v>
      </c>
      <c r="T33" s="193">
        <v>5157723695</v>
      </c>
      <c r="U33" s="193">
        <v>131200291</v>
      </c>
      <c r="V33" s="193">
        <v>5026523404</v>
      </c>
      <c r="W33" s="193">
        <v>0</v>
      </c>
      <c r="X33" s="193">
        <v>5026523404</v>
      </c>
      <c r="Y33" s="193">
        <v>4158321790.0700002</v>
      </c>
      <c r="Z33" s="193">
        <v>4158321790.0700002</v>
      </c>
      <c r="AA33" s="193">
        <v>4158321790.0700002</v>
      </c>
    </row>
    <row r="34" spans="1:27" ht="78.75" x14ac:dyDescent="0.25">
      <c r="A34" s="227" t="s">
        <v>33</v>
      </c>
      <c r="B34" s="209" t="s">
        <v>34</v>
      </c>
      <c r="C34" s="228" t="s">
        <v>121</v>
      </c>
      <c r="D34" s="227" t="s">
        <v>85</v>
      </c>
      <c r="E34" s="227" t="s">
        <v>122</v>
      </c>
      <c r="F34" s="227" t="s">
        <v>87</v>
      </c>
      <c r="G34" s="227" t="s">
        <v>123</v>
      </c>
      <c r="H34" s="241" t="s">
        <v>124</v>
      </c>
      <c r="I34" s="227"/>
      <c r="J34" s="227"/>
      <c r="K34" s="227"/>
      <c r="L34" s="227"/>
      <c r="M34" s="227" t="s">
        <v>38</v>
      </c>
      <c r="N34" s="227" t="s">
        <v>51</v>
      </c>
      <c r="O34" s="227" t="s">
        <v>40</v>
      </c>
      <c r="P34" s="209" t="s">
        <v>125</v>
      </c>
      <c r="Q34" s="193">
        <v>1470000000</v>
      </c>
      <c r="R34" s="193">
        <v>0</v>
      </c>
      <c r="S34" s="193">
        <v>0</v>
      </c>
      <c r="T34" s="193">
        <v>1470000000</v>
      </c>
      <c r="U34" s="193">
        <v>0</v>
      </c>
      <c r="V34" s="193">
        <v>1470000000</v>
      </c>
      <c r="W34" s="193">
        <v>0</v>
      </c>
      <c r="X34" s="193">
        <v>1448883333</v>
      </c>
      <c r="Y34" s="193">
        <v>970883333</v>
      </c>
      <c r="Z34" s="193">
        <v>970883333</v>
      </c>
      <c r="AA34" s="193">
        <v>970883333</v>
      </c>
    </row>
    <row r="35" spans="1:27" ht="90" x14ac:dyDescent="0.25">
      <c r="A35" s="227" t="s">
        <v>33</v>
      </c>
      <c r="B35" s="209" t="s">
        <v>34</v>
      </c>
      <c r="C35" s="228" t="s">
        <v>126</v>
      </c>
      <c r="D35" s="227" t="s">
        <v>85</v>
      </c>
      <c r="E35" s="227" t="s">
        <v>122</v>
      </c>
      <c r="F35" s="227" t="s">
        <v>87</v>
      </c>
      <c r="G35" s="227" t="s">
        <v>123</v>
      </c>
      <c r="H35" s="227" t="s">
        <v>127</v>
      </c>
      <c r="I35" s="227"/>
      <c r="J35" s="227"/>
      <c r="K35" s="227"/>
      <c r="L35" s="227"/>
      <c r="M35" s="227" t="s">
        <v>38</v>
      </c>
      <c r="N35" s="227" t="s">
        <v>51</v>
      </c>
      <c r="O35" s="227" t="s">
        <v>40</v>
      </c>
      <c r="P35" s="209" t="s">
        <v>128</v>
      </c>
      <c r="Q35" s="193">
        <v>1955000000</v>
      </c>
      <c r="R35" s="193">
        <v>0</v>
      </c>
      <c r="S35" s="193">
        <v>0</v>
      </c>
      <c r="T35" s="193">
        <v>1955000000</v>
      </c>
      <c r="U35" s="193">
        <v>0</v>
      </c>
      <c r="V35" s="193">
        <v>1955000000</v>
      </c>
      <c r="W35" s="193">
        <v>0</v>
      </c>
      <c r="X35" s="193">
        <v>1845346046</v>
      </c>
      <c r="Y35" s="193">
        <v>1661678112.3299999</v>
      </c>
      <c r="Z35" s="193">
        <v>1661678112.3299999</v>
      </c>
      <c r="AA35" s="193">
        <v>1661678112.3299999</v>
      </c>
    </row>
    <row r="36" spans="1:27" ht="101.25" x14ac:dyDescent="0.25">
      <c r="A36" s="227" t="s">
        <v>33</v>
      </c>
      <c r="B36" s="209" t="s">
        <v>34</v>
      </c>
      <c r="C36" s="228" t="s">
        <v>129</v>
      </c>
      <c r="D36" s="227" t="s">
        <v>85</v>
      </c>
      <c r="E36" s="227" t="s">
        <v>122</v>
      </c>
      <c r="F36" s="227" t="s">
        <v>87</v>
      </c>
      <c r="G36" s="227" t="s">
        <v>123</v>
      </c>
      <c r="H36" s="227" t="s">
        <v>130</v>
      </c>
      <c r="I36" s="227"/>
      <c r="J36" s="227"/>
      <c r="K36" s="227"/>
      <c r="L36" s="227"/>
      <c r="M36" s="227" t="s">
        <v>38</v>
      </c>
      <c r="N36" s="227" t="s">
        <v>51</v>
      </c>
      <c r="O36" s="227" t="s">
        <v>40</v>
      </c>
      <c r="P36" s="209" t="s">
        <v>131</v>
      </c>
      <c r="Q36" s="193">
        <v>575000000</v>
      </c>
      <c r="R36" s="193">
        <v>0</v>
      </c>
      <c r="S36" s="193">
        <v>0</v>
      </c>
      <c r="T36" s="193">
        <v>575000000</v>
      </c>
      <c r="U36" s="193">
        <v>0</v>
      </c>
      <c r="V36" s="193">
        <v>575000000</v>
      </c>
      <c r="W36" s="193">
        <v>0</v>
      </c>
      <c r="X36" s="193">
        <v>551100000</v>
      </c>
      <c r="Y36" s="193">
        <v>497100000</v>
      </c>
      <c r="Z36" s="193">
        <v>497100000</v>
      </c>
      <c r="AA36" s="193">
        <v>497100000</v>
      </c>
    </row>
    <row r="37" spans="1:27" ht="90" x14ac:dyDescent="0.25">
      <c r="A37" s="227" t="s">
        <v>33</v>
      </c>
      <c r="B37" s="209" t="s">
        <v>34</v>
      </c>
      <c r="C37" s="228" t="s">
        <v>132</v>
      </c>
      <c r="D37" s="227" t="s">
        <v>85</v>
      </c>
      <c r="E37" s="227" t="s">
        <v>122</v>
      </c>
      <c r="F37" s="227" t="s">
        <v>87</v>
      </c>
      <c r="G37" s="227" t="s">
        <v>39</v>
      </c>
      <c r="H37" s="227" t="s">
        <v>133</v>
      </c>
      <c r="I37" s="227"/>
      <c r="J37" s="227"/>
      <c r="K37" s="227"/>
      <c r="L37" s="227"/>
      <c r="M37" s="227" t="s">
        <v>38</v>
      </c>
      <c r="N37" s="227" t="s">
        <v>51</v>
      </c>
      <c r="O37" s="227" t="s">
        <v>40</v>
      </c>
      <c r="P37" s="209" t="s">
        <v>134</v>
      </c>
      <c r="Q37" s="193">
        <v>4625000000</v>
      </c>
      <c r="R37" s="193">
        <v>0</v>
      </c>
      <c r="S37" s="193">
        <v>0</v>
      </c>
      <c r="T37" s="193">
        <v>4625000000</v>
      </c>
      <c r="U37" s="193">
        <v>0</v>
      </c>
      <c r="V37" s="193">
        <v>4612333334</v>
      </c>
      <c r="W37" s="193">
        <v>12666666</v>
      </c>
      <c r="X37" s="193">
        <v>4301024742</v>
      </c>
      <c r="Y37" s="193">
        <v>2665722907.0799999</v>
      </c>
      <c r="Z37" s="193">
        <v>2665722907.0799999</v>
      </c>
      <c r="AA37" s="193">
        <v>2665722907.0799999</v>
      </c>
    </row>
    <row r="38" spans="1:27" ht="78.75" x14ac:dyDescent="0.25">
      <c r="A38" s="227" t="s">
        <v>33</v>
      </c>
      <c r="B38" s="209" t="s">
        <v>34</v>
      </c>
      <c r="C38" s="228" t="s">
        <v>135</v>
      </c>
      <c r="D38" s="227" t="s">
        <v>85</v>
      </c>
      <c r="E38" s="227" t="s">
        <v>122</v>
      </c>
      <c r="F38" s="227" t="s">
        <v>87</v>
      </c>
      <c r="G38" s="227" t="s">
        <v>39</v>
      </c>
      <c r="H38" s="227" t="s">
        <v>136</v>
      </c>
      <c r="I38" s="227"/>
      <c r="J38" s="227"/>
      <c r="K38" s="227"/>
      <c r="L38" s="227"/>
      <c r="M38" s="227" t="s">
        <v>38</v>
      </c>
      <c r="N38" s="227" t="s">
        <v>51</v>
      </c>
      <c r="O38" s="227" t="s">
        <v>40</v>
      </c>
      <c r="P38" s="209" t="s">
        <v>137</v>
      </c>
      <c r="Q38" s="193">
        <v>1015000000</v>
      </c>
      <c r="R38" s="193">
        <v>0</v>
      </c>
      <c r="S38" s="193">
        <v>0</v>
      </c>
      <c r="T38" s="193">
        <v>1015000000</v>
      </c>
      <c r="U38" s="193">
        <v>0</v>
      </c>
      <c r="V38" s="193">
        <v>1015000000</v>
      </c>
      <c r="W38" s="193">
        <v>0</v>
      </c>
      <c r="X38" s="193">
        <v>1003606810</v>
      </c>
      <c r="Y38" s="193">
        <v>694850001</v>
      </c>
      <c r="Z38" s="193">
        <v>694850001</v>
      </c>
      <c r="AA38" s="193">
        <v>694850001</v>
      </c>
    </row>
    <row r="39" spans="1:27" ht="101.25" x14ac:dyDescent="0.25">
      <c r="A39" s="227" t="s">
        <v>33</v>
      </c>
      <c r="B39" s="209" t="s">
        <v>34</v>
      </c>
      <c r="C39" s="228" t="s">
        <v>138</v>
      </c>
      <c r="D39" s="227" t="s">
        <v>85</v>
      </c>
      <c r="E39" s="227" t="s">
        <v>122</v>
      </c>
      <c r="F39" s="227" t="s">
        <v>87</v>
      </c>
      <c r="G39" s="227" t="s">
        <v>39</v>
      </c>
      <c r="H39" s="227" t="s">
        <v>130</v>
      </c>
      <c r="I39" s="227"/>
      <c r="J39" s="227"/>
      <c r="K39" s="227"/>
      <c r="L39" s="227"/>
      <c r="M39" s="227" t="s">
        <v>38</v>
      </c>
      <c r="N39" s="227" t="s">
        <v>51</v>
      </c>
      <c r="O39" s="227" t="s">
        <v>40</v>
      </c>
      <c r="P39" s="209" t="s">
        <v>139</v>
      </c>
      <c r="Q39" s="193">
        <v>360000000</v>
      </c>
      <c r="R39" s="193">
        <v>0</v>
      </c>
      <c r="S39" s="193">
        <v>0</v>
      </c>
      <c r="T39" s="193">
        <v>360000000</v>
      </c>
      <c r="U39" s="193">
        <v>0</v>
      </c>
      <c r="V39" s="193">
        <v>360000000</v>
      </c>
      <c r="W39" s="193">
        <v>0</v>
      </c>
      <c r="X39" s="193">
        <v>356696726</v>
      </c>
      <c r="Y39" s="193">
        <v>275783011</v>
      </c>
      <c r="Z39" s="193">
        <v>275783011</v>
      </c>
      <c r="AA39" s="193">
        <v>275783011</v>
      </c>
    </row>
    <row r="40" spans="1:27" ht="101.25" x14ac:dyDescent="0.25">
      <c r="A40" s="227" t="s">
        <v>33</v>
      </c>
      <c r="B40" s="209" t="s">
        <v>34</v>
      </c>
      <c r="C40" s="228" t="s">
        <v>140</v>
      </c>
      <c r="D40" s="227" t="s">
        <v>85</v>
      </c>
      <c r="E40" s="227" t="s">
        <v>141</v>
      </c>
      <c r="F40" s="227" t="s">
        <v>87</v>
      </c>
      <c r="G40" s="227" t="s">
        <v>142</v>
      </c>
      <c r="H40" s="227" t="s">
        <v>143</v>
      </c>
      <c r="I40" s="227"/>
      <c r="J40" s="227"/>
      <c r="K40" s="227"/>
      <c r="L40" s="227"/>
      <c r="M40" s="227" t="s">
        <v>38</v>
      </c>
      <c r="N40" s="227" t="s">
        <v>51</v>
      </c>
      <c r="O40" s="227" t="s">
        <v>40</v>
      </c>
      <c r="P40" s="209" t="s">
        <v>144</v>
      </c>
      <c r="Q40" s="193">
        <v>3700000000</v>
      </c>
      <c r="R40" s="193">
        <v>0</v>
      </c>
      <c r="S40" s="193">
        <v>0</v>
      </c>
      <c r="T40" s="193">
        <v>3700000000</v>
      </c>
      <c r="U40" s="193">
        <v>0</v>
      </c>
      <c r="V40" s="193">
        <v>3678439008</v>
      </c>
      <c r="W40" s="193">
        <v>21560992</v>
      </c>
      <c r="X40" s="193">
        <v>3111466028</v>
      </c>
      <c r="Y40" s="193">
        <v>2291301053.6799998</v>
      </c>
      <c r="Z40" s="193">
        <v>2283301053.6799998</v>
      </c>
      <c r="AA40" s="193">
        <v>2283301053.6799998</v>
      </c>
    </row>
    <row r="41" spans="1:27" ht="101.25" x14ac:dyDescent="0.25">
      <c r="A41" s="227" t="s">
        <v>33</v>
      </c>
      <c r="B41" s="209" t="s">
        <v>34</v>
      </c>
      <c r="C41" s="228" t="s">
        <v>145</v>
      </c>
      <c r="D41" s="227" t="s">
        <v>85</v>
      </c>
      <c r="E41" s="227" t="s">
        <v>141</v>
      </c>
      <c r="F41" s="227" t="s">
        <v>87</v>
      </c>
      <c r="G41" s="227" t="s">
        <v>146</v>
      </c>
      <c r="H41" s="227" t="s">
        <v>147</v>
      </c>
      <c r="I41" s="227"/>
      <c r="J41" s="227"/>
      <c r="K41" s="227"/>
      <c r="L41" s="227"/>
      <c r="M41" s="227" t="s">
        <v>38</v>
      </c>
      <c r="N41" s="227" t="s">
        <v>54</v>
      </c>
      <c r="O41" s="227" t="s">
        <v>40</v>
      </c>
      <c r="P41" s="209" t="s">
        <v>148</v>
      </c>
      <c r="Q41" s="193">
        <v>3700000000</v>
      </c>
      <c r="R41" s="193">
        <v>0</v>
      </c>
      <c r="S41" s="193">
        <v>0</v>
      </c>
      <c r="T41" s="193">
        <v>3700000000</v>
      </c>
      <c r="U41" s="193">
        <v>699840228</v>
      </c>
      <c r="V41" s="193">
        <v>2995265016</v>
      </c>
      <c r="W41" s="193">
        <v>4894756</v>
      </c>
      <c r="X41" s="193">
        <v>2995265016</v>
      </c>
      <c r="Y41" s="193">
        <v>1979372790</v>
      </c>
      <c r="Z41" s="193">
        <v>1979372790</v>
      </c>
      <c r="AA41" s="193">
        <v>1979372790</v>
      </c>
    </row>
    <row r="42" spans="1:27" ht="101.25" x14ac:dyDescent="0.25">
      <c r="A42" s="227" t="s">
        <v>33</v>
      </c>
      <c r="B42" s="209" t="s">
        <v>34</v>
      </c>
      <c r="C42" s="228" t="s">
        <v>145</v>
      </c>
      <c r="D42" s="227" t="s">
        <v>85</v>
      </c>
      <c r="E42" s="227" t="s">
        <v>141</v>
      </c>
      <c r="F42" s="227" t="s">
        <v>87</v>
      </c>
      <c r="G42" s="227" t="s">
        <v>146</v>
      </c>
      <c r="H42" s="227" t="s">
        <v>147</v>
      </c>
      <c r="I42" s="227"/>
      <c r="J42" s="227"/>
      <c r="K42" s="227"/>
      <c r="L42" s="227"/>
      <c r="M42" s="227" t="s">
        <v>38</v>
      </c>
      <c r="N42" s="227" t="s">
        <v>51</v>
      </c>
      <c r="O42" s="227" t="s">
        <v>40</v>
      </c>
      <c r="P42" s="209" t="s">
        <v>149</v>
      </c>
      <c r="Q42" s="193">
        <v>662906240</v>
      </c>
      <c r="R42" s="193">
        <v>0</v>
      </c>
      <c r="S42" s="193">
        <v>0</v>
      </c>
      <c r="T42" s="193">
        <v>662906240</v>
      </c>
      <c r="U42" s="193">
        <v>0</v>
      </c>
      <c r="V42" s="193">
        <v>662906211</v>
      </c>
      <c r="W42" s="193">
        <v>29</v>
      </c>
      <c r="X42" s="193">
        <v>660964400</v>
      </c>
      <c r="Y42" s="193">
        <v>514404802</v>
      </c>
      <c r="Z42" s="193">
        <v>508134248</v>
      </c>
      <c r="AA42" s="193">
        <v>508134248</v>
      </c>
    </row>
    <row r="43" spans="1:27" ht="101.25" x14ac:dyDescent="0.25">
      <c r="A43" s="227" t="s">
        <v>33</v>
      </c>
      <c r="B43" s="209" t="s">
        <v>34</v>
      </c>
      <c r="C43" s="228" t="s">
        <v>150</v>
      </c>
      <c r="D43" s="227" t="s">
        <v>85</v>
      </c>
      <c r="E43" s="227" t="s">
        <v>141</v>
      </c>
      <c r="F43" s="227" t="s">
        <v>87</v>
      </c>
      <c r="G43" s="227" t="s">
        <v>123</v>
      </c>
      <c r="H43" s="227" t="s">
        <v>147</v>
      </c>
      <c r="I43" s="227"/>
      <c r="J43" s="227"/>
      <c r="K43" s="227"/>
      <c r="L43" s="227"/>
      <c r="M43" s="227" t="s">
        <v>38</v>
      </c>
      <c r="N43" s="227" t="s">
        <v>54</v>
      </c>
      <c r="O43" s="227" t="s">
        <v>40</v>
      </c>
      <c r="P43" s="209" t="s">
        <v>151</v>
      </c>
      <c r="Q43" s="193">
        <v>694906240</v>
      </c>
      <c r="R43" s="193">
        <v>0</v>
      </c>
      <c r="S43" s="193">
        <v>0</v>
      </c>
      <c r="T43" s="193">
        <v>694906240</v>
      </c>
      <c r="U43" s="193">
        <v>700000</v>
      </c>
      <c r="V43" s="193">
        <v>693889842</v>
      </c>
      <c r="W43" s="193">
        <v>316398</v>
      </c>
      <c r="X43" s="193">
        <v>693889842</v>
      </c>
      <c r="Y43" s="193">
        <v>423183012</v>
      </c>
      <c r="Z43" s="193">
        <v>423183012</v>
      </c>
      <c r="AA43" s="193">
        <v>423183012</v>
      </c>
    </row>
    <row r="44" spans="1:27" ht="101.25" x14ac:dyDescent="0.25">
      <c r="A44" s="227" t="s">
        <v>33</v>
      </c>
      <c r="B44" s="209" t="s">
        <v>34</v>
      </c>
      <c r="C44" s="228" t="s">
        <v>150</v>
      </c>
      <c r="D44" s="227" t="s">
        <v>85</v>
      </c>
      <c r="E44" s="227" t="s">
        <v>141</v>
      </c>
      <c r="F44" s="227" t="s">
        <v>87</v>
      </c>
      <c r="G44" s="227" t="s">
        <v>123</v>
      </c>
      <c r="H44" s="227" t="s">
        <v>147</v>
      </c>
      <c r="I44" s="227"/>
      <c r="J44" s="227"/>
      <c r="K44" s="227"/>
      <c r="L44" s="227"/>
      <c r="M44" s="227" t="s">
        <v>38</v>
      </c>
      <c r="N44" s="227" t="s">
        <v>51</v>
      </c>
      <c r="O44" s="227" t="s">
        <v>40</v>
      </c>
      <c r="P44" s="209" t="s">
        <v>152</v>
      </c>
      <c r="Q44" s="193">
        <v>105093760</v>
      </c>
      <c r="R44" s="193">
        <v>0</v>
      </c>
      <c r="S44" s="193">
        <v>0</v>
      </c>
      <c r="T44" s="193">
        <v>105093760</v>
      </c>
      <c r="U44" s="193">
        <v>0</v>
      </c>
      <c r="V44" s="193">
        <v>105093760</v>
      </c>
      <c r="W44" s="193">
        <v>0</v>
      </c>
      <c r="X44" s="193">
        <v>105093760</v>
      </c>
      <c r="Y44" s="193">
        <v>75938265</v>
      </c>
      <c r="Z44" s="193">
        <v>75938265</v>
      </c>
      <c r="AA44" s="193">
        <v>75938265</v>
      </c>
    </row>
    <row r="45" spans="1:27" ht="22.5" x14ac:dyDescent="0.25">
      <c r="A45" s="227" t="s">
        <v>153</v>
      </c>
      <c r="B45" s="209" t="s">
        <v>154</v>
      </c>
      <c r="C45" s="228" t="s">
        <v>35</v>
      </c>
      <c r="D45" s="227" t="s">
        <v>36</v>
      </c>
      <c r="E45" s="227" t="s">
        <v>37</v>
      </c>
      <c r="F45" s="227" t="s">
        <v>37</v>
      </c>
      <c r="G45" s="227" t="s">
        <v>37</v>
      </c>
      <c r="H45" s="227"/>
      <c r="I45" s="227"/>
      <c r="J45" s="227"/>
      <c r="K45" s="227"/>
      <c r="L45" s="227"/>
      <c r="M45" s="227" t="s">
        <v>155</v>
      </c>
      <c r="N45" s="227" t="s">
        <v>156</v>
      </c>
      <c r="O45" s="227" t="s">
        <v>40</v>
      </c>
      <c r="P45" s="209" t="s">
        <v>41</v>
      </c>
      <c r="Q45" s="193">
        <v>147392500000</v>
      </c>
      <c r="R45" s="193">
        <v>13738489110</v>
      </c>
      <c r="S45" s="193">
        <v>0</v>
      </c>
      <c r="T45" s="193">
        <v>161130989110</v>
      </c>
      <c r="U45" s="193">
        <v>0</v>
      </c>
      <c r="V45" s="193">
        <v>119156991758</v>
      </c>
      <c r="W45" s="193">
        <v>41973997352</v>
      </c>
      <c r="X45" s="193">
        <v>119085855707</v>
      </c>
      <c r="Y45" s="193">
        <v>119080303622</v>
      </c>
      <c r="Z45" s="193">
        <v>119080303622</v>
      </c>
      <c r="AA45" s="193">
        <v>119080303622</v>
      </c>
    </row>
    <row r="46" spans="1:27" ht="22.5" x14ac:dyDescent="0.25">
      <c r="A46" s="227" t="s">
        <v>153</v>
      </c>
      <c r="B46" s="209" t="s">
        <v>154</v>
      </c>
      <c r="C46" s="228" t="s">
        <v>42</v>
      </c>
      <c r="D46" s="227" t="s">
        <v>36</v>
      </c>
      <c r="E46" s="227" t="s">
        <v>37</v>
      </c>
      <c r="F46" s="227" t="s">
        <v>37</v>
      </c>
      <c r="G46" s="227" t="s">
        <v>43</v>
      </c>
      <c r="H46" s="227"/>
      <c r="I46" s="227"/>
      <c r="J46" s="227"/>
      <c r="K46" s="227"/>
      <c r="L46" s="227"/>
      <c r="M46" s="227" t="s">
        <v>155</v>
      </c>
      <c r="N46" s="227" t="s">
        <v>156</v>
      </c>
      <c r="O46" s="227" t="s">
        <v>40</v>
      </c>
      <c r="P46" s="209" t="s">
        <v>44</v>
      </c>
      <c r="Q46" s="193">
        <v>52193900000</v>
      </c>
      <c r="R46" s="193">
        <v>1668087261</v>
      </c>
      <c r="S46" s="193">
        <v>0</v>
      </c>
      <c r="T46" s="193">
        <v>53861987261</v>
      </c>
      <c r="U46" s="193">
        <v>0</v>
      </c>
      <c r="V46" s="193">
        <v>45452804282</v>
      </c>
      <c r="W46" s="193">
        <v>8409182979</v>
      </c>
      <c r="X46" s="193">
        <v>45440250110</v>
      </c>
      <c r="Y46" s="193">
        <v>44531637863</v>
      </c>
      <c r="Z46" s="193">
        <v>44531637863</v>
      </c>
      <c r="AA46" s="193">
        <v>44531637863</v>
      </c>
    </row>
    <row r="47" spans="1:27" ht="33.75" x14ac:dyDescent="0.25">
      <c r="A47" s="227" t="s">
        <v>153</v>
      </c>
      <c r="B47" s="209" t="s">
        <v>154</v>
      </c>
      <c r="C47" s="228" t="s">
        <v>45</v>
      </c>
      <c r="D47" s="227" t="s">
        <v>36</v>
      </c>
      <c r="E47" s="227" t="s">
        <v>37</v>
      </c>
      <c r="F47" s="227" t="s">
        <v>37</v>
      </c>
      <c r="G47" s="227" t="s">
        <v>46</v>
      </c>
      <c r="H47" s="227"/>
      <c r="I47" s="227"/>
      <c r="J47" s="227"/>
      <c r="K47" s="227"/>
      <c r="L47" s="227"/>
      <c r="M47" s="227" t="s">
        <v>155</v>
      </c>
      <c r="N47" s="227" t="s">
        <v>156</v>
      </c>
      <c r="O47" s="227" t="s">
        <v>40</v>
      </c>
      <c r="P47" s="209" t="s">
        <v>47</v>
      </c>
      <c r="Q47" s="193">
        <v>8654100000</v>
      </c>
      <c r="R47" s="193">
        <v>1751577207</v>
      </c>
      <c r="S47" s="193">
        <v>0</v>
      </c>
      <c r="T47" s="193">
        <v>10405677207</v>
      </c>
      <c r="U47" s="193">
        <v>0</v>
      </c>
      <c r="V47" s="193">
        <v>8380075167</v>
      </c>
      <c r="W47" s="193">
        <v>2025602040</v>
      </c>
      <c r="X47" s="193">
        <v>8358332348</v>
      </c>
      <c r="Y47" s="193">
        <v>8355288762</v>
      </c>
      <c r="Z47" s="193">
        <v>8355288762</v>
      </c>
      <c r="AA47" s="193">
        <v>8355288762</v>
      </c>
    </row>
    <row r="48" spans="1:27" ht="33.75" x14ac:dyDescent="0.25">
      <c r="A48" s="227" t="s">
        <v>153</v>
      </c>
      <c r="B48" s="209" t="s">
        <v>154</v>
      </c>
      <c r="C48" s="228" t="s">
        <v>157</v>
      </c>
      <c r="D48" s="227" t="s">
        <v>36</v>
      </c>
      <c r="E48" s="227" t="s">
        <v>37</v>
      </c>
      <c r="F48" s="227" t="s">
        <v>37</v>
      </c>
      <c r="G48" s="227" t="s">
        <v>49</v>
      </c>
      <c r="H48" s="227"/>
      <c r="I48" s="227"/>
      <c r="J48" s="227"/>
      <c r="K48" s="227"/>
      <c r="L48" s="227"/>
      <c r="M48" s="227" t="s">
        <v>155</v>
      </c>
      <c r="N48" s="227" t="s">
        <v>156</v>
      </c>
      <c r="O48" s="227" t="s">
        <v>40</v>
      </c>
      <c r="P48" s="209" t="s">
        <v>50</v>
      </c>
      <c r="Q48" s="193">
        <v>22531700000</v>
      </c>
      <c r="R48" s="193">
        <v>0</v>
      </c>
      <c r="S48" s="193">
        <v>17382153616</v>
      </c>
      <c r="T48" s="193">
        <v>5149546384</v>
      </c>
      <c r="U48" s="193">
        <v>5149546384</v>
      </c>
      <c r="V48" s="193">
        <v>0</v>
      </c>
      <c r="W48" s="193">
        <v>0</v>
      </c>
      <c r="X48" s="193">
        <v>0</v>
      </c>
      <c r="Y48" s="193">
        <v>0</v>
      </c>
      <c r="Z48" s="193">
        <v>0</v>
      </c>
      <c r="AA48" s="193">
        <v>0</v>
      </c>
    </row>
    <row r="49" spans="1:27" ht="22.5" x14ac:dyDescent="0.25">
      <c r="A49" s="227" t="s">
        <v>153</v>
      </c>
      <c r="B49" s="209" t="s">
        <v>154</v>
      </c>
      <c r="C49" s="228" t="s">
        <v>158</v>
      </c>
      <c r="D49" s="227" t="s">
        <v>36</v>
      </c>
      <c r="E49" s="227" t="s">
        <v>37</v>
      </c>
      <c r="F49" s="227" t="s">
        <v>43</v>
      </c>
      <c r="G49" s="227" t="s">
        <v>37</v>
      </c>
      <c r="H49" s="227"/>
      <c r="I49" s="227"/>
      <c r="J49" s="227"/>
      <c r="K49" s="227"/>
      <c r="L49" s="227"/>
      <c r="M49" s="227" t="s">
        <v>155</v>
      </c>
      <c r="N49" s="227" t="s">
        <v>156</v>
      </c>
      <c r="O49" s="227" t="s">
        <v>40</v>
      </c>
      <c r="P49" s="209" t="s">
        <v>41</v>
      </c>
      <c r="Q49" s="193">
        <v>3906400000</v>
      </c>
      <c r="R49" s="193">
        <v>486307092</v>
      </c>
      <c r="S49" s="193">
        <v>0</v>
      </c>
      <c r="T49" s="193">
        <v>4392707092</v>
      </c>
      <c r="U49" s="193">
        <v>0</v>
      </c>
      <c r="V49" s="193">
        <v>3181832517</v>
      </c>
      <c r="W49" s="193">
        <v>1210874575</v>
      </c>
      <c r="X49" s="193">
        <v>3181832517</v>
      </c>
      <c r="Y49" s="193">
        <v>3181832517</v>
      </c>
      <c r="Z49" s="193">
        <v>3181832517</v>
      </c>
      <c r="AA49" s="193">
        <v>3181832517</v>
      </c>
    </row>
    <row r="50" spans="1:27" ht="22.5" x14ac:dyDescent="0.25">
      <c r="A50" s="227" t="s">
        <v>153</v>
      </c>
      <c r="B50" s="209" t="s">
        <v>154</v>
      </c>
      <c r="C50" s="228" t="s">
        <v>159</v>
      </c>
      <c r="D50" s="227" t="s">
        <v>36</v>
      </c>
      <c r="E50" s="227" t="s">
        <v>37</v>
      </c>
      <c r="F50" s="227" t="s">
        <v>43</v>
      </c>
      <c r="G50" s="227" t="s">
        <v>43</v>
      </c>
      <c r="H50" s="227"/>
      <c r="I50" s="227"/>
      <c r="J50" s="227"/>
      <c r="K50" s="227"/>
      <c r="L50" s="227"/>
      <c r="M50" s="227" t="s">
        <v>155</v>
      </c>
      <c r="N50" s="227" t="s">
        <v>156</v>
      </c>
      <c r="O50" s="227" t="s">
        <v>40</v>
      </c>
      <c r="P50" s="209" t="s">
        <v>44</v>
      </c>
      <c r="Q50" s="193">
        <v>1516700000</v>
      </c>
      <c r="R50" s="193">
        <v>39346309</v>
      </c>
      <c r="S50" s="193">
        <v>0</v>
      </c>
      <c r="T50" s="193">
        <v>1556046309</v>
      </c>
      <c r="U50" s="193">
        <v>0</v>
      </c>
      <c r="V50" s="193">
        <v>1227380011</v>
      </c>
      <c r="W50" s="193">
        <v>328666298</v>
      </c>
      <c r="X50" s="193">
        <v>1227379831</v>
      </c>
      <c r="Y50" s="193">
        <v>1203483054</v>
      </c>
      <c r="Z50" s="193">
        <v>1203483054</v>
      </c>
      <c r="AA50" s="193">
        <v>1203483054</v>
      </c>
    </row>
    <row r="51" spans="1:27" ht="33.75" x14ac:dyDescent="0.25">
      <c r="A51" s="227" t="s">
        <v>153</v>
      </c>
      <c r="B51" s="209" t="s">
        <v>154</v>
      </c>
      <c r="C51" s="228" t="s">
        <v>160</v>
      </c>
      <c r="D51" s="227" t="s">
        <v>36</v>
      </c>
      <c r="E51" s="227" t="s">
        <v>37</v>
      </c>
      <c r="F51" s="227" t="s">
        <v>43</v>
      </c>
      <c r="G51" s="227" t="s">
        <v>46</v>
      </c>
      <c r="H51" s="227"/>
      <c r="I51" s="227"/>
      <c r="J51" s="227"/>
      <c r="K51" s="227"/>
      <c r="L51" s="227"/>
      <c r="M51" s="227" t="s">
        <v>155</v>
      </c>
      <c r="N51" s="227" t="s">
        <v>156</v>
      </c>
      <c r="O51" s="227" t="s">
        <v>40</v>
      </c>
      <c r="P51" s="209" t="s">
        <v>47</v>
      </c>
      <c r="Q51" s="193">
        <v>402300000</v>
      </c>
      <c r="R51" s="193">
        <v>328646637</v>
      </c>
      <c r="S51" s="193">
        <v>0</v>
      </c>
      <c r="T51" s="193">
        <v>730946637</v>
      </c>
      <c r="U51" s="193">
        <v>0</v>
      </c>
      <c r="V51" s="193">
        <v>285140373</v>
      </c>
      <c r="W51" s="193">
        <v>445806264</v>
      </c>
      <c r="X51" s="193">
        <v>285140373</v>
      </c>
      <c r="Y51" s="193">
        <v>285140373</v>
      </c>
      <c r="Z51" s="193">
        <v>285140373</v>
      </c>
      <c r="AA51" s="193">
        <v>285140373</v>
      </c>
    </row>
    <row r="52" spans="1:27" ht="33.75" x14ac:dyDescent="0.25">
      <c r="A52" s="227" t="s">
        <v>153</v>
      </c>
      <c r="B52" s="209" t="s">
        <v>154</v>
      </c>
      <c r="C52" s="228" t="s">
        <v>48</v>
      </c>
      <c r="D52" s="227" t="s">
        <v>36</v>
      </c>
      <c r="E52" s="227" t="s">
        <v>37</v>
      </c>
      <c r="F52" s="227" t="s">
        <v>43</v>
      </c>
      <c r="G52" s="227" t="s">
        <v>49</v>
      </c>
      <c r="H52" s="227"/>
      <c r="I52" s="227"/>
      <c r="J52" s="227"/>
      <c r="K52" s="227"/>
      <c r="L52" s="227"/>
      <c r="M52" s="227" t="s">
        <v>155</v>
      </c>
      <c r="N52" s="227" t="s">
        <v>156</v>
      </c>
      <c r="O52" s="227" t="s">
        <v>40</v>
      </c>
      <c r="P52" s="209" t="s">
        <v>50</v>
      </c>
      <c r="Q52" s="193">
        <v>630300000</v>
      </c>
      <c r="R52" s="193">
        <v>0</v>
      </c>
      <c r="S52" s="193">
        <v>630300000</v>
      </c>
      <c r="T52" s="193">
        <v>0</v>
      </c>
      <c r="U52" s="193">
        <v>0</v>
      </c>
      <c r="V52" s="193">
        <v>0</v>
      </c>
      <c r="W52" s="193">
        <v>0</v>
      </c>
      <c r="X52" s="193">
        <v>0</v>
      </c>
      <c r="Y52" s="193">
        <v>0</v>
      </c>
      <c r="Z52" s="193">
        <v>0</v>
      </c>
      <c r="AA52" s="193">
        <v>0</v>
      </c>
    </row>
    <row r="53" spans="1:27" ht="22.5" x14ac:dyDescent="0.25">
      <c r="A53" s="227" t="s">
        <v>153</v>
      </c>
      <c r="B53" s="209" t="s">
        <v>154</v>
      </c>
      <c r="C53" s="228" t="s">
        <v>52</v>
      </c>
      <c r="D53" s="227" t="s">
        <v>36</v>
      </c>
      <c r="E53" s="227" t="s">
        <v>43</v>
      </c>
      <c r="F53" s="227"/>
      <c r="G53" s="227"/>
      <c r="H53" s="227"/>
      <c r="I53" s="227"/>
      <c r="J53" s="227"/>
      <c r="K53" s="227"/>
      <c r="L53" s="227"/>
      <c r="M53" s="227" t="s">
        <v>155</v>
      </c>
      <c r="N53" s="227" t="s">
        <v>156</v>
      </c>
      <c r="O53" s="227" t="s">
        <v>40</v>
      </c>
      <c r="P53" s="209" t="s">
        <v>53</v>
      </c>
      <c r="Q53" s="193">
        <v>146928300000</v>
      </c>
      <c r="R53" s="193">
        <v>0</v>
      </c>
      <c r="S53" s="193">
        <v>0</v>
      </c>
      <c r="T53" s="193">
        <v>146928300000</v>
      </c>
      <c r="U53" s="193">
        <v>0</v>
      </c>
      <c r="V53" s="193">
        <v>136535421233.78999</v>
      </c>
      <c r="W53" s="193">
        <v>10392878766.209999</v>
      </c>
      <c r="X53" s="193">
        <v>129088428606.63</v>
      </c>
      <c r="Y53" s="193">
        <v>80192791784.970001</v>
      </c>
      <c r="Z53" s="193">
        <v>80109076684.970001</v>
      </c>
      <c r="AA53" s="193">
        <v>80084902152.970001</v>
      </c>
    </row>
    <row r="54" spans="1:27" ht="22.5" x14ac:dyDescent="0.25">
      <c r="A54" s="227" t="s">
        <v>153</v>
      </c>
      <c r="B54" s="209" t="s">
        <v>154</v>
      </c>
      <c r="C54" s="228" t="s">
        <v>52</v>
      </c>
      <c r="D54" s="227" t="s">
        <v>36</v>
      </c>
      <c r="E54" s="227" t="s">
        <v>43</v>
      </c>
      <c r="F54" s="227"/>
      <c r="G54" s="227"/>
      <c r="H54" s="227"/>
      <c r="I54" s="227"/>
      <c r="J54" s="227"/>
      <c r="K54" s="227"/>
      <c r="L54" s="227"/>
      <c r="M54" s="227" t="s">
        <v>155</v>
      </c>
      <c r="N54" s="227" t="s">
        <v>161</v>
      </c>
      <c r="O54" s="227" t="s">
        <v>40</v>
      </c>
      <c r="P54" s="209" t="s">
        <v>53</v>
      </c>
      <c r="Q54" s="193">
        <v>850000000</v>
      </c>
      <c r="R54" s="193">
        <v>0</v>
      </c>
      <c r="S54" s="193">
        <v>0</v>
      </c>
      <c r="T54" s="193">
        <v>850000000</v>
      </c>
      <c r="U54" s="193">
        <v>0</v>
      </c>
      <c r="V54" s="193">
        <v>215000000</v>
      </c>
      <c r="W54" s="193">
        <v>635000000</v>
      </c>
      <c r="X54" s="193">
        <v>156513539</v>
      </c>
      <c r="Y54" s="193">
        <v>91513199</v>
      </c>
      <c r="Z54" s="193">
        <v>91513199</v>
      </c>
      <c r="AA54" s="193">
        <v>91513199</v>
      </c>
    </row>
    <row r="55" spans="1:27" ht="33.75" x14ac:dyDescent="0.25">
      <c r="A55" s="227" t="s">
        <v>153</v>
      </c>
      <c r="B55" s="209" t="s">
        <v>154</v>
      </c>
      <c r="C55" s="228" t="s">
        <v>162</v>
      </c>
      <c r="D55" s="227" t="s">
        <v>36</v>
      </c>
      <c r="E55" s="227" t="s">
        <v>46</v>
      </c>
      <c r="F55" s="227" t="s">
        <v>46</v>
      </c>
      <c r="G55" s="227" t="s">
        <v>37</v>
      </c>
      <c r="H55" s="227" t="s">
        <v>163</v>
      </c>
      <c r="I55" s="227"/>
      <c r="J55" s="227"/>
      <c r="K55" s="227"/>
      <c r="L55" s="227"/>
      <c r="M55" s="227" t="s">
        <v>155</v>
      </c>
      <c r="N55" s="227" t="s">
        <v>161</v>
      </c>
      <c r="O55" s="227" t="s">
        <v>40</v>
      </c>
      <c r="P55" s="209" t="s">
        <v>164</v>
      </c>
      <c r="Q55" s="193">
        <v>81788000000</v>
      </c>
      <c r="R55" s="193">
        <v>0</v>
      </c>
      <c r="S55" s="193">
        <v>0</v>
      </c>
      <c r="T55" s="193">
        <v>81788000000</v>
      </c>
      <c r="U55" s="193">
        <v>0</v>
      </c>
      <c r="V55" s="193">
        <v>57149284355</v>
      </c>
      <c r="W55" s="193">
        <v>24638715645</v>
      </c>
      <c r="X55" s="193">
        <v>57094860600</v>
      </c>
      <c r="Y55" s="193">
        <v>57094860600</v>
      </c>
      <c r="Z55" s="193">
        <v>57094860600</v>
      </c>
      <c r="AA55" s="193">
        <v>57094860600</v>
      </c>
    </row>
    <row r="56" spans="1:27" ht="33.75" x14ac:dyDescent="0.25">
      <c r="A56" s="227" t="s">
        <v>153</v>
      </c>
      <c r="B56" s="209" t="s">
        <v>154</v>
      </c>
      <c r="C56" s="228" t="s">
        <v>67</v>
      </c>
      <c r="D56" s="227" t="s">
        <v>36</v>
      </c>
      <c r="E56" s="227" t="s">
        <v>46</v>
      </c>
      <c r="F56" s="227" t="s">
        <v>46</v>
      </c>
      <c r="G56" s="227" t="s">
        <v>37</v>
      </c>
      <c r="H56" s="227" t="s">
        <v>68</v>
      </c>
      <c r="I56" s="227"/>
      <c r="J56" s="227"/>
      <c r="K56" s="227"/>
      <c r="L56" s="227"/>
      <c r="M56" s="227" t="s">
        <v>155</v>
      </c>
      <c r="N56" s="227" t="s">
        <v>156</v>
      </c>
      <c r="O56" s="227" t="s">
        <v>40</v>
      </c>
      <c r="P56" s="209" t="s">
        <v>69</v>
      </c>
      <c r="Q56" s="193">
        <v>98569000000</v>
      </c>
      <c r="R56" s="193">
        <v>0</v>
      </c>
      <c r="S56" s="193">
        <v>0</v>
      </c>
      <c r="T56" s="193">
        <v>98569000000</v>
      </c>
      <c r="U56" s="193">
        <v>98569000000</v>
      </c>
      <c r="V56" s="193">
        <v>0</v>
      </c>
      <c r="W56" s="193">
        <v>0</v>
      </c>
      <c r="X56" s="193">
        <v>0</v>
      </c>
      <c r="Y56" s="193">
        <v>0</v>
      </c>
      <c r="Z56" s="193">
        <v>0</v>
      </c>
      <c r="AA56" s="193">
        <v>0</v>
      </c>
    </row>
    <row r="57" spans="1:27" ht="22.5" x14ac:dyDescent="0.25">
      <c r="A57" s="227" t="s">
        <v>153</v>
      </c>
      <c r="B57" s="209" t="s">
        <v>154</v>
      </c>
      <c r="C57" s="228" t="s">
        <v>165</v>
      </c>
      <c r="D57" s="227" t="s">
        <v>36</v>
      </c>
      <c r="E57" s="227" t="s">
        <v>46</v>
      </c>
      <c r="F57" s="227" t="s">
        <v>49</v>
      </c>
      <c r="G57" s="227" t="s">
        <v>43</v>
      </c>
      <c r="H57" s="227" t="s">
        <v>166</v>
      </c>
      <c r="I57" s="227"/>
      <c r="J57" s="227"/>
      <c r="K57" s="227"/>
      <c r="L57" s="227"/>
      <c r="M57" s="227" t="s">
        <v>155</v>
      </c>
      <c r="N57" s="227" t="s">
        <v>156</v>
      </c>
      <c r="O57" s="227" t="s">
        <v>40</v>
      </c>
      <c r="P57" s="209" t="s">
        <v>167</v>
      </c>
      <c r="Q57" s="193">
        <v>9684600000</v>
      </c>
      <c r="R57" s="193">
        <v>0</v>
      </c>
      <c r="S57" s="193">
        <v>0</v>
      </c>
      <c r="T57" s="193">
        <v>9684600000</v>
      </c>
      <c r="U57" s="193">
        <v>0</v>
      </c>
      <c r="V57" s="193">
        <v>9037620900</v>
      </c>
      <c r="W57" s="193">
        <v>646979100</v>
      </c>
      <c r="X57" s="193">
        <v>6968442200</v>
      </c>
      <c r="Y57" s="193">
        <v>6968442200</v>
      </c>
      <c r="Z57" s="193">
        <v>6968442200</v>
      </c>
      <c r="AA57" s="193">
        <v>6968442200</v>
      </c>
    </row>
    <row r="58" spans="1:27" ht="22.5" x14ac:dyDescent="0.25">
      <c r="A58" s="227" t="s">
        <v>153</v>
      </c>
      <c r="B58" s="209" t="s">
        <v>154</v>
      </c>
      <c r="C58" s="228" t="s">
        <v>168</v>
      </c>
      <c r="D58" s="227" t="s">
        <v>36</v>
      </c>
      <c r="E58" s="227" t="s">
        <v>46</v>
      </c>
      <c r="F58" s="227" t="s">
        <v>49</v>
      </c>
      <c r="G58" s="227" t="s">
        <v>43</v>
      </c>
      <c r="H58" s="227" t="s">
        <v>169</v>
      </c>
      <c r="I58" s="227"/>
      <c r="J58" s="227"/>
      <c r="K58" s="227"/>
      <c r="L58" s="227"/>
      <c r="M58" s="227" t="s">
        <v>155</v>
      </c>
      <c r="N58" s="227" t="s">
        <v>156</v>
      </c>
      <c r="O58" s="227" t="s">
        <v>40</v>
      </c>
      <c r="P58" s="209" t="s">
        <v>170</v>
      </c>
      <c r="Q58" s="193">
        <v>8893200000</v>
      </c>
      <c r="R58" s="193">
        <v>0</v>
      </c>
      <c r="S58" s="193">
        <v>0</v>
      </c>
      <c r="T58" s="193">
        <v>8893200000</v>
      </c>
      <c r="U58" s="193">
        <v>0</v>
      </c>
      <c r="V58" s="193">
        <v>4000000000</v>
      </c>
      <c r="W58" s="193">
        <v>4893200000</v>
      </c>
      <c r="X58" s="193">
        <v>3994429190</v>
      </c>
      <c r="Y58" s="193">
        <v>3627089190</v>
      </c>
      <c r="Z58" s="193">
        <v>3627089190</v>
      </c>
      <c r="AA58" s="193">
        <v>3627089190</v>
      </c>
    </row>
    <row r="59" spans="1:27" ht="33.75" x14ac:dyDescent="0.25">
      <c r="A59" s="227" t="s">
        <v>153</v>
      </c>
      <c r="B59" s="209" t="s">
        <v>154</v>
      </c>
      <c r="C59" s="228" t="s">
        <v>73</v>
      </c>
      <c r="D59" s="227" t="s">
        <v>36</v>
      </c>
      <c r="E59" s="227" t="s">
        <v>46</v>
      </c>
      <c r="F59" s="227" t="s">
        <v>49</v>
      </c>
      <c r="G59" s="227" t="s">
        <v>43</v>
      </c>
      <c r="H59" s="227" t="s">
        <v>71</v>
      </c>
      <c r="I59" s="227"/>
      <c r="J59" s="227"/>
      <c r="K59" s="227"/>
      <c r="L59" s="227"/>
      <c r="M59" s="227" t="s">
        <v>155</v>
      </c>
      <c r="N59" s="227" t="s">
        <v>156</v>
      </c>
      <c r="O59" s="227" t="s">
        <v>40</v>
      </c>
      <c r="P59" s="209" t="s">
        <v>74</v>
      </c>
      <c r="Q59" s="193">
        <v>900000000</v>
      </c>
      <c r="R59" s="193">
        <v>0</v>
      </c>
      <c r="S59" s="193">
        <v>0</v>
      </c>
      <c r="T59" s="193">
        <v>900000000</v>
      </c>
      <c r="U59" s="193">
        <v>0</v>
      </c>
      <c r="V59" s="193">
        <v>409309328</v>
      </c>
      <c r="W59" s="193">
        <v>490690672</v>
      </c>
      <c r="X59" s="193">
        <v>409309328</v>
      </c>
      <c r="Y59" s="193">
        <v>409309328</v>
      </c>
      <c r="Z59" s="193">
        <v>409309328</v>
      </c>
      <c r="AA59" s="193">
        <v>409309328</v>
      </c>
    </row>
    <row r="60" spans="1:27" ht="22.5" x14ac:dyDescent="0.25">
      <c r="A60" s="227" t="s">
        <v>153</v>
      </c>
      <c r="B60" s="209" t="s">
        <v>154</v>
      </c>
      <c r="C60" s="228" t="s">
        <v>171</v>
      </c>
      <c r="D60" s="227" t="s">
        <v>36</v>
      </c>
      <c r="E60" s="227" t="s">
        <v>46</v>
      </c>
      <c r="F60" s="227" t="s">
        <v>49</v>
      </c>
      <c r="G60" s="227" t="s">
        <v>43</v>
      </c>
      <c r="H60" s="227" t="s">
        <v>172</v>
      </c>
      <c r="I60" s="227"/>
      <c r="J60" s="227"/>
      <c r="K60" s="227"/>
      <c r="L60" s="227"/>
      <c r="M60" s="227" t="s">
        <v>155</v>
      </c>
      <c r="N60" s="227" t="s">
        <v>156</v>
      </c>
      <c r="O60" s="227" t="s">
        <v>40</v>
      </c>
      <c r="P60" s="209" t="s">
        <v>173</v>
      </c>
      <c r="Q60" s="193">
        <v>59000000</v>
      </c>
      <c r="R60" s="193">
        <v>0</v>
      </c>
      <c r="S60" s="193">
        <v>0</v>
      </c>
      <c r="T60" s="193">
        <v>59000000</v>
      </c>
      <c r="U60" s="193">
        <v>0</v>
      </c>
      <c r="V60" s="193">
        <v>59000000</v>
      </c>
      <c r="W60" s="193">
        <v>0</v>
      </c>
      <c r="X60" s="193">
        <v>22300000</v>
      </c>
      <c r="Y60" s="193">
        <v>22300000</v>
      </c>
      <c r="Z60" s="193">
        <v>22300000</v>
      </c>
      <c r="AA60" s="193">
        <v>22300000</v>
      </c>
    </row>
    <row r="61" spans="1:27" ht="45" x14ac:dyDescent="0.25">
      <c r="A61" s="227" t="s">
        <v>153</v>
      </c>
      <c r="B61" s="209" t="s">
        <v>154</v>
      </c>
      <c r="C61" s="228" t="s">
        <v>174</v>
      </c>
      <c r="D61" s="227" t="s">
        <v>36</v>
      </c>
      <c r="E61" s="227" t="s">
        <v>46</v>
      </c>
      <c r="F61" s="227" t="s">
        <v>49</v>
      </c>
      <c r="G61" s="227" t="s">
        <v>43</v>
      </c>
      <c r="H61" s="227" t="s">
        <v>175</v>
      </c>
      <c r="I61" s="227"/>
      <c r="J61" s="227"/>
      <c r="K61" s="227"/>
      <c r="L61" s="227"/>
      <c r="M61" s="227" t="s">
        <v>155</v>
      </c>
      <c r="N61" s="227" t="s">
        <v>156</v>
      </c>
      <c r="O61" s="227" t="s">
        <v>40</v>
      </c>
      <c r="P61" s="209" t="s">
        <v>176</v>
      </c>
      <c r="Q61" s="193">
        <v>268000000</v>
      </c>
      <c r="R61" s="193">
        <v>0</v>
      </c>
      <c r="S61" s="193">
        <v>0</v>
      </c>
      <c r="T61" s="193">
        <v>268000000</v>
      </c>
      <c r="U61" s="193">
        <v>0</v>
      </c>
      <c r="V61" s="193">
        <v>168000000</v>
      </c>
      <c r="W61" s="193">
        <v>100000000</v>
      </c>
      <c r="X61" s="193">
        <v>50130084</v>
      </c>
      <c r="Y61" s="193">
        <v>50130084</v>
      </c>
      <c r="Z61" s="193">
        <v>50130084</v>
      </c>
      <c r="AA61" s="193">
        <v>50130084</v>
      </c>
    </row>
    <row r="62" spans="1:27" ht="22.5" x14ac:dyDescent="0.25">
      <c r="A62" s="227" t="s">
        <v>153</v>
      </c>
      <c r="B62" s="209" t="s">
        <v>154</v>
      </c>
      <c r="C62" s="228" t="s">
        <v>75</v>
      </c>
      <c r="D62" s="227" t="s">
        <v>36</v>
      </c>
      <c r="E62" s="227" t="s">
        <v>46</v>
      </c>
      <c r="F62" s="227" t="s">
        <v>39</v>
      </c>
      <c r="G62" s="227"/>
      <c r="H62" s="227"/>
      <c r="I62" s="227"/>
      <c r="J62" s="227"/>
      <c r="K62" s="227"/>
      <c r="L62" s="227"/>
      <c r="M62" s="227" t="s">
        <v>155</v>
      </c>
      <c r="N62" s="227" t="s">
        <v>156</v>
      </c>
      <c r="O62" s="227" t="s">
        <v>40</v>
      </c>
      <c r="P62" s="209" t="s">
        <v>76</v>
      </c>
      <c r="Q62" s="193">
        <v>52767500000</v>
      </c>
      <c r="R62" s="193">
        <v>0</v>
      </c>
      <c r="S62" s="193">
        <v>0</v>
      </c>
      <c r="T62" s="193">
        <v>52767500000</v>
      </c>
      <c r="U62" s="193">
        <v>0</v>
      </c>
      <c r="V62" s="193">
        <v>86738199</v>
      </c>
      <c r="W62" s="193">
        <v>52680761801</v>
      </c>
      <c r="X62" s="193">
        <v>86738199</v>
      </c>
      <c r="Y62" s="193">
        <v>86738199</v>
      </c>
      <c r="Z62" s="193">
        <v>86738199</v>
      </c>
      <c r="AA62" s="193">
        <v>86738199</v>
      </c>
    </row>
    <row r="63" spans="1:27" ht="22.5" x14ac:dyDescent="0.25">
      <c r="A63" s="227" t="s">
        <v>153</v>
      </c>
      <c r="B63" s="209" t="s">
        <v>154</v>
      </c>
      <c r="C63" s="228" t="s">
        <v>75</v>
      </c>
      <c r="D63" s="227" t="s">
        <v>36</v>
      </c>
      <c r="E63" s="227" t="s">
        <v>46</v>
      </c>
      <c r="F63" s="227" t="s">
        <v>39</v>
      </c>
      <c r="G63" s="227"/>
      <c r="H63" s="227"/>
      <c r="I63" s="227"/>
      <c r="J63" s="227"/>
      <c r="K63" s="227"/>
      <c r="L63" s="227"/>
      <c r="M63" s="227" t="s">
        <v>155</v>
      </c>
      <c r="N63" s="227" t="s">
        <v>177</v>
      </c>
      <c r="O63" s="227" t="s">
        <v>40</v>
      </c>
      <c r="P63" s="209" t="s">
        <v>76</v>
      </c>
      <c r="Q63" s="193">
        <v>39365000000</v>
      </c>
      <c r="R63" s="193">
        <v>0</v>
      </c>
      <c r="S63" s="193">
        <v>0</v>
      </c>
      <c r="T63" s="193">
        <v>39365000000</v>
      </c>
      <c r="U63" s="193">
        <v>0</v>
      </c>
      <c r="V63" s="193">
        <v>5232484146.6800003</v>
      </c>
      <c r="W63" s="193">
        <v>34132515853.32</v>
      </c>
      <c r="X63" s="193">
        <v>5232399815</v>
      </c>
      <c r="Y63" s="193">
        <v>5232399814.6000004</v>
      </c>
      <c r="Z63" s="193">
        <v>5232399814.6000004</v>
      </c>
      <c r="AA63" s="193">
        <v>5232399814.6000004</v>
      </c>
    </row>
    <row r="64" spans="1:27" ht="22.5" x14ac:dyDescent="0.25">
      <c r="A64" s="227" t="s">
        <v>153</v>
      </c>
      <c r="B64" s="209" t="s">
        <v>154</v>
      </c>
      <c r="C64" s="228" t="s">
        <v>77</v>
      </c>
      <c r="D64" s="227" t="s">
        <v>36</v>
      </c>
      <c r="E64" s="227" t="s">
        <v>78</v>
      </c>
      <c r="F64" s="227" t="s">
        <v>37</v>
      </c>
      <c r="G64" s="227"/>
      <c r="H64" s="227"/>
      <c r="I64" s="227"/>
      <c r="J64" s="227"/>
      <c r="K64" s="227"/>
      <c r="L64" s="227"/>
      <c r="M64" s="227" t="s">
        <v>155</v>
      </c>
      <c r="N64" s="227" t="s">
        <v>156</v>
      </c>
      <c r="O64" s="227" t="s">
        <v>40</v>
      </c>
      <c r="P64" s="209" t="s">
        <v>79</v>
      </c>
      <c r="Q64" s="193">
        <v>3427800000</v>
      </c>
      <c r="R64" s="193">
        <v>0</v>
      </c>
      <c r="S64" s="193">
        <v>327094864</v>
      </c>
      <c r="T64" s="193">
        <v>3100705136</v>
      </c>
      <c r="U64" s="193">
        <v>0</v>
      </c>
      <c r="V64" s="193">
        <v>3042992200</v>
      </c>
      <c r="W64" s="193">
        <v>57712936</v>
      </c>
      <c r="X64" s="193">
        <v>3042992089</v>
      </c>
      <c r="Y64" s="193">
        <v>3042992089</v>
      </c>
      <c r="Z64" s="193">
        <v>3042992089</v>
      </c>
      <c r="AA64" s="193">
        <v>3042992089</v>
      </c>
    </row>
    <row r="65" spans="1:27" ht="22.5" x14ac:dyDescent="0.25">
      <c r="A65" s="227" t="s">
        <v>153</v>
      </c>
      <c r="B65" s="209" t="s">
        <v>154</v>
      </c>
      <c r="C65" s="228" t="s">
        <v>82</v>
      </c>
      <c r="D65" s="227" t="s">
        <v>36</v>
      </c>
      <c r="E65" s="227" t="s">
        <v>78</v>
      </c>
      <c r="F65" s="227" t="s">
        <v>49</v>
      </c>
      <c r="G65" s="227" t="s">
        <v>37</v>
      </c>
      <c r="H65" s="227"/>
      <c r="I65" s="227"/>
      <c r="J65" s="227"/>
      <c r="K65" s="227"/>
      <c r="L65" s="227"/>
      <c r="M65" s="227" t="s">
        <v>155</v>
      </c>
      <c r="N65" s="227" t="s">
        <v>156</v>
      </c>
      <c r="O65" s="227" t="s">
        <v>40</v>
      </c>
      <c r="P65" s="209" t="s">
        <v>83</v>
      </c>
      <c r="Q65" s="193">
        <v>1555500000</v>
      </c>
      <c r="R65" s="193">
        <v>0</v>
      </c>
      <c r="S65" s="193">
        <v>0</v>
      </c>
      <c r="T65" s="193">
        <v>1555500000</v>
      </c>
      <c r="U65" s="193">
        <v>0</v>
      </c>
      <c r="V65" s="193">
        <v>1555500000</v>
      </c>
      <c r="W65" s="193">
        <v>0</v>
      </c>
      <c r="X65" s="193">
        <v>1555500000</v>
      </c>
      <c r="Y65" s="193">
        <v>1555500000</v>
      </c>
      <c r="Z65" s="193">
        <v>1555500000</v>
      </c>
      <c r="AA65" s="193">
        <v>1555500000</v>
      </c>
    </row>
    <row r="66" spans="1:27" ht="22.5" x14ac:dyDescent="0.25">
      <c r="A66" s="227" t="s">
        <v>153</v>
      </c>
      <c r="B66" s="209" t="s">
        <v>154</v>
      </c>
      <c r="C66" s="228" t="s">
        <v>178</v>
      </c>
      <c r="D66" s="227" t="s">
        <v>36</v>
      </c>
      <c r="E66" s="227" t="s">
        <v>78</v>
      </c>
      <c r="F66" s="227" t="s">
        <v>179</v>
      </c>
      <c r="G66" s="227"/>
      <c r="H66" s="227"/>
      <c r="I66" s="227"/>
      <c r="J66" s="227"/>
      <c r="K66" s="227"/>
      <c r="L66" s="227"/>
      <c r="M66" s="227" t="s">
        <v>155</v>
      </c>
      <c r="N66" s="227" t="s">
        <v>156</v>
      </c>
      <c r="O66" s="227" t="s">
        <v>40</v>
      </c>
      <c r="P66" s="209" t="s">
        <v>180</v>
      </c>
      <c r="Q66" s="193">
        <v>0</v>
      </c>
      <c r="R66" s="193">
        <v>327094864</v>
      </c>
      <c r="S66" s="193">
        <v>0</v>
      </c>
      <c r="T66" s="193">
        <v>327094864</v>
      </c>
      <c r="U66" s="193">
        <v>0</v>
      </c>
      <c r="V66" s="193">
        <v>24417000</v>
      </c>
      <c r="W66" s="193">
        <v>302677864</v>
      </c>
      <c r="X66" s="193">
        <v>24417000</v>
      </c>
      <c r="Y66" s="193">
        <v>24417000</v>
      </c>
      <c r="Z66" s="193">
        <v>0</v>
      </c>
      <c r="AA66" s="193">
        <v>0</v>
      </c>
    </row>
    <row r="67" spans="1:27" ht="67.5" x14ac:dyDescent="0.25">
      <c r="A67" s="227" t="s">
        <v>153</v>
      </c>
      <c r="B67" s="209" t="s">
        <v>154</v>
      </c>
      <c r="C67" s="228" t="s">
        <v>181</v>
      </c>
      <c r="D67" s="227" t="s">
        <v>85</v>
      </c>
      <c r="E67" s="227" t="s">
        <v>117</v>
      </c>
      <c r="F67" s="227" t="s">
        <v>87</v>
      </c>
      <c r="G67" s="227" t="s">
        <v>182</v>
      </c>
      <c r="H67" s="227" t="s">
        <v>183</v>
      </c>
      <c r="I67" s="227"/>
      <c r="J67" s="227"/>
      <c r="K67" s="227"/>
      <c r="L67" s="227"/>
      <c r="M67" s="227" t="s">
        <v>155</v>
      </c>
      <c r="N67" s="227" t="s">
        <v>156</v>
      </c>
      <c r="O67" s="227" t="s">
        <v>40</v>
      </c>
      <c r="P67" s="209" t="s">
        <v>184</v>
      </c>
      <c r="Q67" s="193">
        <v>15070568600</v>
      </c>
      <c r="R67" s="193">
        <v>0</v>
      </c>
      <c r="S67" s="193">
        <v>0</v>
      </c>
      <c r="T67" s="193">
        <v>15070568600</v>
      </c>
      <c r="U67" s="193">
        <v>0</v>
      </c>
      <c r="V67" s="193">
        <v>14408886988</v>
      </c>
      <c r="W67" s="193">
        <v>661681612</v>
      </c>
      <c r="X67" s="193">
        <v>14129275704</v>
      </c>
      <c r="Y67" s="193">
        <v>9538763531.9799995</v>
      </c>
      <c r="Z67" s="193">
        <v>9444122934.5699997</v>
      </c>
      <c r="AA67" s="193">
        <v>9444122934.5699997</v>
      </c>
    </row>
    <row r="68" spans="1:27" ht="67.5" x14ac:dyDescent="0.25">
      <c r="A68" s="227" t="s">
        <v>153</v>
      </c>
      <c r="B68" s="209" t="s">
        <v>154</v>
      </c>
      <c r="C68" s="228" t="s">
        <v>185</v>
      </c>
      <c r="D68" s="227" t="s">
        <v>85</v>
      </c>
      <c r="E68" s="227" t="s">
        <v>186</v>
      </c>
      <c r="F68" s="227" t="s">
        <v>87</v>
      </c>
      <c r="G68" s="227" t="s">
        <v>95</v>
      </c>
      <c r="H68" s="227" t="s">
        <v>187</v>
      </c>
      <c r="I68" s="227"/>
      <c r="J68" s="227"/>
      <c r="K68" s="227"/>
      <c r="L68" s="227"/>
      <c r="M68" s="227" t="s">
        <v>38</v>
      </c>
      <c r="N68" s="227" t="s">
        <v>93</v>
      </c>
      <c r="O68" s="227" t="s">
        <v>40</v>
      </c>
      <c r="P68" s="209" t="s">
        <v>188</v>
      </c>
      <c r="Q68" s="193">
        <v>12000000000</v>
      </c>
      <c r="R68" s="193">
        <v>0</v>
      </c>
      <c r="S68" s="193">
        <v>0</v>
      </c>
      <c r="T68" s="193">
        <v>12000000000</v>
      </c>
      <c r="U68" s="193">
        <v>0</v>
      </c>
      <c r="V68" s="193">
        <v>9132472424.8600006</v>
      </c>
      <c r="W68" s="193">
        <v>2867527575.1399999</v>
      </c>
      <c r="X68" s="193">
        <v>6030064473.8699999</v>
      </c>
      <c r="Y68" s="193">
        <v>818008466.52999997</v>
      </c>
      <c r="Z68" s="193">
        <v>803330538.20000005</v>
      </c>
      <c r="AA68" s="193">
        <v>803330538.20000005</v>
      </c>
    </row>
    <row r="69" spans="1:27" ht="67.5" x14ac:dyDescent="0.25">
      <c r="A69" s="227" t="s">
        <v>153</v>
      </c>
      <c r="B69" s="209" t="s">
        <v>154</v>
      </c>
      <c r="C69" s="228" t="s">
        <v>185</v>
      </c>
      <c r="D69" s="227" t="s">
        <v>85</v>
      </c>
      <c r="E69" s="227" t="s">
        <v>186</v>
      </c>
      <c r="F69" s="227" t="s">
        <v>87</v>
      </c>
      <c r="G69" s="227" t="s">
        <v>95</v>
      </c>
      <c r="H69" s="227" t="s">
        <v>187</v>
      </c>
      <c r="I69" s="227"/>
      <c r="J69" s="227"/>
      <c r="K69" s="227"/>
      <c r="L69" s="227"/>
      <c r="M69" s="227" t="s">
        <v>155</v>
      </c>
      <c r="N69" s="227" t="s">
        <v>156</v>
      </c>
      <c r="O69" s="227" t="s">
        <v>40</v>
      </c>
      <c r="P69" s="209" t="s">
        <v>189</v>
      </c>
      <c r="Q69" s="193">
        <v>8186425298</v>
      </c>
      <c r="R69" s="193">
        <v>0</v>
      </c>
      <c r="S69" s="193">
        <v>0</v>
      </c>
      <c r="T69" s="193">
        <v>8186425298</v>
      </c>
      <c r="U69" s="193">
        <v>0</v>
      </c>
      <c r="V69" s="193">
        <v>4947768266</v>
      </c>
      <c r="W69" s="193">
        <v>3238657032</v>
      </c>
      <c r="X69" s="193">
        <v>4815231257</v>
      </c>
      <c r="Y69" s="193">
        <v>3146680450</v>
      </c>
      <c r="Z69" s="193">
        <v>3146680450</v>
      </c>
      <c r="AA69" s="193">
        <v>3146680450</v>
      </c>
    </row>
    <row r="70" spans="1:27" ht="56.25" x14ac:dyDescent="0.25">
      <c r="A70" s="227" t="s">
        <v>153</v>
      </c>
      <c r="B70" s="209" t="s">
        <v>154</v>
      </c>
      <c r="C70" s="228" t="s">
        <v>190</v>
      </c>
      <c r="D70" s="227" t="s">
        <v>85</v>
      </c>
      <c r="E70" s="227" t="s">
        <v>186</v>
      </c>
      <c r="F70" s="227" t="s">
        <v>87</v>
      </c>
      <c r="G70" s="227" t="s">
        <v>104</v>
      </c>
      <c r="H70" s="227" t="s">
        <v>191</v>
      </c>
      <c r="I70" s="227"/>
      <c r="J70" s="227"/>
      <c r="K70" s="227"/>
      <c r="L70" s="227"/>
      <c r="M70" s="227" t="s">
        <v>155</v>
      </c>
      <c r="N70" s="227" t="s">
        <v>156</v>
      </c>
      <c r="O70" s="227" t="s">
        <v>40</v>
      </c>
      <c r="P70" s="209" t="s">
        <v>192</v>
      </c>
      <c r="Q70" s="193">
        <v>33536785131</v>
      </c>
      <c r="R70" s="193">
        <v>0</v>
      </c>
      <c r="S70" s="193">
        <v>0</v>
      </c>
      <c r="T70" s="193">
        <v>33536785131</v>
      </c>
      <c r="U70" s="193">
        <v>0</v>
      </c>
      <c r="V70" s="193">
        <v>23214892852</v>
      </c>
      <c r="W70" s="193">
        <v>10321892279</v>
      </c>
      <c r="X70" s="193">
        <v>21097909598</v>
      </c>
      <c r="Y70" s="193">
        <v>993139783.5</v>
      </c>
      <c r="Z70" s="193">
        <v>993139783.5</v>
      </c>
      <c r="AA70" s="193">
        <v>993139783.5</v>
      </c>
    </row>
    <row r="71" spans="1:27" ht="67.5" x14ac:dyDescent="0.25">
      <c r="A71" s="227" t="s">
        <v>153</v>
      </c>
      <c r="B71" s="209" t="s">
        <v>154</v>
      </c>
      <c r="C71" s="228" t="s">
        <v>193</v>
      </c>
      <c r="D71" s="227" t="s">
        <v>85</v>
      </c>
      <c r="E71" s="227" t="s">
        <v>141</v>
      </c>
      <c r="F71" s="227" t="s">
        <v>87</v>
      </c>
      <c r="G71" s="227" t="s">
        <v>146</v>
      </c>
      <c r="H71" s="227" t="s">
        <v>194</v>
      </c>
      <c r="I71" s="227"/>
      <c r="J71" s="227"/>
      <c r="K71" s="227"/>
      <c r="L71" s="227"/>
      <c r="M71" s="227" t="s">
        <v>155</v>
      </c>
      <c r="N71" s="227" t="s">
        <v>156</v>
      </c>
      <c r="O71" s="227" t="s">
        <v>40</v>
      </c>
      <c r="P71" s="209" t="s">
        <v>195</v>
      </c>
      <c r="Q71" s="193">
        <v>63319764661</v>
      </c>
      <c r="R71" s="193">
        <v>0</v>
      </c>
      <c r="S71" s="193">
        <v>0</v>
      </c>
      <c r="T71" s="193">
        <v>63319764661</v>
      </c>
      <c r="U71" s="193">
        <v>0</v>
      </c>
      <c r="V71" s="193">
        <v>59198990538.800003</v>
      </c>
      <c r="W71" s="193">
        <v>4120774122.1999998</v>
      </c>
      <c r="X71" s="193">
        <v>46755005531.580002</v>
      </c>
      <c r="Y71" s="193">
        <v>31196366372.650002</v>
      </c>
      <c r="Z71" s="193">
        <v>31196366372.650002</v>
      </c>
      <c r="AA71" s="193">
        <v>31196366372.650002</v>
      </c>
    </row>
    <row r="72" spans="1:27" ht="67.5" x14ac:dyDescent="0.25">
      <c r="A72" s="227" t="s">
        <v>153</v>
      </c>
      <c r="B72" s="209" t="s">
        <v>154</v>
      </c>
      <c r="C72" s="228" t="s">
        <v>196</v>
      </c>
      <c r="D72" s="227" t="s">
        <v>85</v>
      </c>
      <c r="E72" s="227" t="s">
        <v>141</v>
      </c>
      <c r="F72" s="227" t="s">
        <v>87</v>
      </c>
      <c r="G72" s="227" t="s">
        <v>123</v>
      </c>
      <c r="H72" s="227" t="s">
        <v>194</v>
      </c>
      <c r="I72" s="227"/>
      <c r="J72" s="227"/>
      <c r="K72" s="227"/>
      <c r="L72" s="227"/>
      <c r="M72" s="227" t="s">
        <v>155</v>
      </c>
      <c r="N72" s="227" t="s">
        <v>156</v>
      </c>
      <c r="O72" s="227" t="s">
        <v>40</v>
      </c>
      <c r="P72" s="209" t="s">
        <v>197</v>
      </c>
      <c r="Q72" s="193">
        <v>20225300946</v>
      </c>
      <c r="R72" s="193">
        <v>0</v>
      </c>
      <c r="S72" s="193">
        <v>0</v>
      </c>
      <c r="T72" s="193">
        <v>20225300946</v>
      </c>
      <c r="U72" s="193">
        <v>0</v>
      </c>
      <c r="V72" s="193">
        <v>17924166749</v>
      </c>
      <c r="W72" s="193">
        <v>2301134197</v>
      </c>
      <c r="X72" s="193">
        <v>17098067986</v>
      </c>
      <c r="Y72" s="193">
        <v>6399106507.3500004</v>
      </c>
      <c r="Z72" s="193">
        <v>6399106507.3500004</v>
      </c>
      <c r="AA72" s="193">
        <v>6399106507.3500004</v>
      </c>
    </row>
    <row r="73" spans="1:27" ht="56.25" x14ac:dyDescent="0.25">
      <c r="A73" s="227" t="s">
        <v>153</v>
      </c>
      <c r="B73" s="209" t="s">
        <v>154</v>
      </c>
      <c r="C73" s="228" t="s">
        <v>198</v>
      </c>
      <c r="D73" s="227" t="s">
        <v>85</v>
      </c>
      <c r="E73" s="227" t="s">
        <v>141</v>
      </c>
      <c r="F73" s="227" t="s">
        <v>87</v>
      </c>
      <c r="G73" s="227" t="s">
        <v>39</v>
      </c>
      <c r="H73" s="227" t="s">
        <v>191</v>
      </c>
      <c r="I73" s="227"/>
      <c r="J73" s="227"/>
      <c r="K73" s="227"/>
      <c r="L73" s="227"/>
      <c r="M73" s="227" t="s">
        <v>155</v>
      </c>
      <c r="N73" s="227" t="s">
        <v>156</v>
      </c>
      <c r="O73" s="227" t="s">
        <v>40</v>
      </c>
      <c r="P73" s="209" t="s">
        <v>199</v>
      </c>
      <c r="Q73" s="193">
        <v>1500000000</v>
      </c>
      <c r="R73" s="193">
        <v>0</v>
      </c>
      <c r="S73" s="193">
        <v>0</v>
      </c>
      <c r="T73" s="193">
        <v>1500000000</v>
      </c>
      <c r="U73" s="193">
        <v>0</v>
      </c>
      <c r="V73" s="193">
        <v>1442312351</v>
      </c>
      <c r="W73" s="193">
        <v>57687649</v>
      </c>
      <c r="X73" s="193">
        <v>1350044171</v>
      </c>
      <c r="Y73" s="193">
        <v>909781813</v>
      </c>
      <c r="Z73" s="193">
        <v>909781813</v>
      </c>
      <c r="AA73" s="193">
        <v>909781813</v>
      </c>
    </row>
    <row r="74" spans="1:27" ht="33.75" x14ac:dyDescent="0.25">
      <c r="A74" s="227" t="s">
        <v>200</v>
      </c>
      <c r="B74" s="209" t="s">
        <v>201</v>
      </c>
      <c r="C74" s="228" t="s">
        <v>35</v>
      </c>
      <c r="D74" s="227" t="s">
        <v>36</v>
      </c>
      <c r="E74" s="227" t="s">
        <v>37</v>
      </c>
      <c r="F74" s="227" t="s">
        <v>37</v>
      </c>
      <c r="G74" s="227" t="s">
        <v>37</v>
      </c>
      <c r="H74" s="227"/>
      <c r="I74" s="227"/>
      <c r="J74" s="227"/>
      <c r="K74" s="227"/>
      <c r="L74" s="227"/>
      <c r="M74" s="227" t="s">
        <v>38</v>
      </c>
      <c r="N74" s="227" t="s">
        <v>39</v>
      </c>
      <c r="O74" s="227" t="s">
        <v>40</v>
      </c>
      <c r="P74" s="209" t="s">
        <v>41</v>
      </c>
      <c r="Q74" s="193">
        <v>776737000000</v>
      </c>
      <c r="R74" s="193">
        <v>0</v>
      </c>
      <c r="S74" s="193">
        <v>0</v>
      </c>
      <c r="T74" s="193">
        <v>776737000000</v>
      </c>
      <c r="U74" s="193">
        <v>0</v>
      </c>
      <c r="V74" s="193">
        <v>577871904382</v>
      </c>
      <c r="W74" s="193">
        <v>198865095618</v>
      </c>
      <c r="X74" s="193">
        <v>577177850127</v>
      </c>
      <c r="Y74" s="193">
        <v>575200362620.5</v>
      </c>
      <c r="Z74" s="193">
        <v>575094210155.5</v>
      </c>
      <c r="AA74" s="193">
        <v>574687819694.5</v>
      </c>
    </row>
    <row r="75" spans="1:27" ht="33.75" x14ac:dyDescent="0.25">
      <c r="A75" s="227" t="s">
        <v>200</v>
      </c>
      <c r="B75" s="209" t="s">
        <v>201</v>
      </c>
      <c r="C75" s="228" t="s">
        <v>42</v>
      </c>
      <c r="D75" s="227" t="s">
        <v>36</v>
      </c>
      <c r="E75" s="227" t="s">
        <v>37</v>
      </c>
      <c r="F75" s="227" t="s">
        <v>37</v>
      </c>
      <c r="G75" s="227" t="s">
        <v>43</v>
      </c>
      <c r="H75" s="227"/>
      <c r="I75" s="227"/>
      <c r="J75" s="227"/>
      <c r="K75" s="227"/>
      <c r="L75" s="227"/>
      <c r="M75" s="227" t="s">
        <v>38</v>
      </c>
      <c r="N75" s="227" t="s">
        <v>39</v>
      </c>
      <c r="O75" s="227" t="s">
        <v>40</v>
      </c>
      <c r="P75" s="209" t="s">
        <v>44</v>
      </c>
      <c r="Q75" s="193">
        <v>357631400000</v>
      </c>
      <c r="R75" s="193">
        <v>0</v>
      </c>
      <c r="S75" s="193">
        <v>0</v>
      </c>
      <c r="T75" s="193">
        <v>357631400000</v>
      </c>
      <c r="U75" s="193">
        <v>0</v>
      </c>
      <c r="V75" s="193">
        <v>289436739203</v>
      </c>
      <c r="W75" s="193">
        <v>68194660797</v>
      </c>
      <c r="X75" s="193">
        <v>289055481093</v>
      </c>
      <c r="Y75" s="193">
        <v>288982429493</v>
      </c>
      <c r="Z75" s="193">
        <v>288306970193</v>
      </c>
      <c r="AA75" s="193">
        <v>286065248259.37</v>
      </c>
    </row>
    <row r="76" spans="1:27" ht="33.75" x14ac:dyDescent="0.25">
      <c r="A76" s="227" t="s">
        <v>200</v>
      </c>
      <c r="B76" s="209" t="s">
        <v>201</v>
      </c>
      <c r="C76" s="228" t="s">
        <v>45</v>
      </c>
      <c r="D76" s="227" t="s">
        <v>36</v>
      </c>
      <c r="E76" s="227" t="s">
        <v>37</v>
      </c>
      <c r="F76" s="227" t="s">
        <v>37</v>
      </c>
      <c r="G76" s="227" t="s">
        <v>46</v>
      </c>
      <c r="H76" s="227"/>
      <c r="I76" s="227"/>
      <c r="J76" s="227"/>
      <c r="K76" s="227"/>
      <c r="L76" s="227"/>
      <c r="M76" s="227" t="s">
        <v>38</v>
      </c>
      <c r="N76" s="227" t="s">
        <v>39</v>
      </c>
      <c r="O76" s="227" t="s">
        <v>40</v>
      </c>
      <c r="P76" s="209" t="s">
        <v>47</v>
      </c>
      <c r="Q76" s="193">
        <v>248107300000</v>
      </c>
      <c r="R76" s="193">
        <v>2208000000</v>
      </c>
      <c r="S76" s="193">
        <v>0</v>
      </c>
      <c r="T76" s="193">
        <v>250315300000</v>
      </c>
      <c r="U76" s="193">
        <v>0</v>
      </c>
      <c r="V76" s="193">
        <v>208323445728.34</v>
      </c>
      <c r="W76" s="193">
        <v>41991854271.660004</v>
      </c>
      <c r="X76" s="193">
        <v>198995026737.5</v>
      </c>
      <c r="Y76" s="193">
        <v>198761082384.10001</v>
      </c>
      <c r="Z76" s="193">
        <v>198712244460.79999</v>
      </c>
      <c r="AA76" s="193">
        <v>198507609003.79999</v>
      </c>
    </row>
    <row r="77" spans="1:27" ht="33.75" x14ac:dyDescent="0.25">
      <c r="A77" s="227" t="s">
        <v>200</v>
      </c>
      <c r="B77" s="209" t="s">
        <v>201</v>
      </c>
      <c r="C77" s="228" t="s">
        <v>52</v>
      </c>
      <c r="D77" s="227" t="s">
        <v>36</v>
      </c>
      <c r="E77" s="227" t="s">
        <v>43</v>
      </c>
      <c r="F77" s="227"/>
      <c r="G77" s="227"/>
      <c r="H77" s="227"/>
      <c r="I77" s="227"/>
      <c r="J77" s="227"/>
      <c r="K77" s="227"/>
      <c r="L77" s="227"/>
      <c r="M77" s="227" t="s">
        <v>38</v>
      </c>
      <c r="N77" s="227" t="s">
        <v>39</v>
      </c>
      <c r="O77" s="227" t="s">
        <v>40</v>
      </c>
      <c r="P77" s="209" t="s">
        <v>53</v>
      </c>
      <c r="Q77" s="193">
        <v>261700000000</v>
      </c>
      <c r="R77" s="193">
        <v>0</v>
      </c>
      <c r="S77" s="193">
        <v>0</v>
      </c>
      <c r="T77" s="193">
        <v>261700000000</v>
      </c>
      <c r="U77" s="193">
        <v>10077243096</v>
      </c>
      <c r="V77" s="193">
        <v>246955076597.42999</v>
      </c>
      <c r="W77" s="193">
        <v>4667680306.5699997</v>
      </c>
      <c r="X77" s="193">
        <v>213892281071.57001</v>
      </c>
      <c r="Y77" s="193">
        <v>166087240377.31</v>
      </c>
      <c r="Z77" s="193">
        <v>165846988916.97</v>
      </c>
      <c r="AA77" s="193">
        <v>165822530320.97</v>
      </c>
    </row>
    <row r="78" spans="1:27" ht="33.75" x14ac:dyDescent="0.25">
      <c r="A78" s="227" t="s">
        <v>200</v>
      </c>
      <c r="B78" s="209" t="s">
        <v>201</v>
      </c>
      <c r="C78" s="228" t="s">
        <v>52</v>
      </c>
      <c r="D78" s="227" t="s">
        <v>36</v>
      </c>
      <c r="E78" s="227" t="s">
        <v>43</v>
      </c>
      <c r="F78" s="227"/>
      <c r="G78" s="227"/>
      <c r="H78" s="227"/>
      <c r="I78" s="227"/>
      <c r="J78" s="227"/>
      <c r="K78" s="227"/>
      <c r="L78" s="227"/>
      <c r="M78" s="227" t="s">
        <v>155</v>
      </c>
      <c r="N78" s="227" t="s">
        <v>156</v>
      </c>
      <c r="O78" s="227" t="s">
        <v>40</v>
      </c>
      <c r="P78" s="209" t="s">
        <v>53</v>
      </c>
      <c r="Q78" s="193">
        <v>69020000</v>
      </c>
      <c r="R78" s="193">
        <v>0</v>
      </c>
      <c r="S78" s="193">
        <v>0</v>
      </c>
      <c r="T78" s="193">
        <v>69020000</v>
      </c>
      <c r="U78" s="193">
        <v>0</v>
      </c>
      <c r="V78" s="193">
        <v>69020000</v>
      </c>
      <c r="W78" s="193">
        <v>0</v>
      </c>
      <c r="X78" s="193">
        <v>68946500</v>
      </c>
      <c r="Y78" s="193">
        <v>68946500</v>
      </c>
      <c r="Z78" s="193">
        <v>68946500</v>
      </c>
      <c r="AA78" s="193">
        <v>68946500</v>
      </c>
    </row>
    <row r="79" spans="1:27" ht="33.75" x14ac:dyDescent="0.25">
      <c r="A79" s="227" t="s">
        <v>200</v>
      </c>
      <c r="B79" s="209" t="s">
        <v>201</v>
      </c>
      <c r="C79" s="228" t="s">
        <v>52</v>
      </c>
      <c r="D79" s="227" t="s">
        <v>36</v>
      </c>
      <c r="E79" s="227" t="s">
        <v>43</v>
      </c>
      <c r="F79" s="227"/>
      <c r="G79" s="227"/>
      <c r="H79" s="227"/>
      <c r="I79" s="227"/>
      <c r="J79" s="227"/>
      <c r="K79" s="227"/>
      <c r="L79" s="227"/>
      <c r="M79" s="227" t="s">
        <v>155</v>
      </c>
      <c r="N79" s="227" t="s">
        <v>161</v>
      </c>
      <c r="O79" s="227" t="s">
        <v>40</v>
      </c>
      <c r="P79" s="209" t="s">
        <v>53</v>
      </c>
      <c r="Q79" s="193">
        <v>7628904000</v>
      </c>
      <c r="R79" s="193">
        <v>0</v>
      </c>
      <c r="S79" s="193">
        <v>0</v>
      </c>
      <c r="T79" s="193">
        <v>7628904000</v>
      </c>
      <c r="U79" s="193">
        <v>0</v>
      </c>
      <c r="V79" s="193">
        <v>5868859481.9399996</v>
      </c>
      <c r="W79" s="193">
        <v>1760044518.0599999</v>
      </c>
      <c r="X79" s="193">
        <v>5117491619.9399996</v>
      </c>
      <c r="Y79" s="193">
        <v>3432427009.9099998</v>
      </c>
      <c r="Z79" s="193">
        <v>3151486303.48</v>
      </c>
      <c r="AA79" s="193">
        <v>3151486303.48</v>
      </c>
    </row>
    <row r="80" spans="1:27" ht="33.75" x14ac:dyDescent="0.25">
      <c r="A80" s="227" t="s">
        <v>200</v>
      </c>
      <c r="B80" s="209" t="s">
        <v>201</v>
      </c>
      <c r="C80" s="228" t="s">
        <v>202</v>
      </c>
      <c r="D80" s="227" t="s">
        <v>36</v>
      </c>
      <c r="E80" s="227" t="s">
        <v>46</v>
      </c>
      <c r="F80" s="227" t="s">
        <v>46</v>
      </c>
      <c r="G80" s="227" t="s">
        <v>37</v>
      </c>
      <c r="H80" s="227" t="s">
        <v>203</v>
      </c>
      <c r="I80" s="227"/>
      <c r="J80" s="227"/>
      <c r="K80" s="227"/>
      <c r="L80" s="227"/>
      <c r="M80" s="227" t="s">
        <v>38</v>
      </c>
      <c r="N80" s="227" t="s">
        <v>39</v>
      </c>
      <c r="O80" s="227" t="s">
        <v>40</v>
      </c>
      <c r="P80" s="209" t="s">
        <v>204</v>
      </c>
      <c r="Q80" s="193">
        <v>43045500000</v>
      </c>
      <c r="R80" s="193">
        <v>0</v>
      </c>
      <c r="S80" s="193">
        <v>0</v>
      </c>
      <c r="T80" s="193">
        <v>43045500000</v>
      </c>
      <c r="U80" s="193">
        <v>6341321243.7600002</v>
      </c>
      <c r="V80" s="193">
        <v>36635331800.660004</v>
      </c>
      <c r="W80" s="193">
        <v>68846955.579999998</v>
      </c>
      <c r="X80" s="193">
        <v>31785837308.349998</v>
      </c>
      <c r="Y80" s="193">
        <v>22704850031.389999</v>
      </c>
      <c r="Z80" s="193">
        <v>22697382031.389999</v>
      </c>
      <c r="AA80" s="193">
        <v>22697382031.389999</v>
      </c>
    </row>
    <row r="81" spans="1:27" ht="33.75" x14ac:dyDescent="0.25">
      <c r="A81" s="227" t="s">
        <v>200</v>
      </c>
      <c r="B81" s="209" t="s">
        <v>201</v>
      </c>
      <c r="C81" s="228" t="s">
        <v>202</v>
      </c>
      <c r="D81" s="227" t="s">
        <v>36</v>
      </c>
      <c r="E81" s="227" t="s">
        <v>46</v>
      </c>
      <c r="F81" s="227" t="s">
        <v>46</v>
      </c>
      <c r="G81" s="227" t="s">
        <v>37</v>
      </c>
      <c r="H81" s="227" t="s">
        <v>203</v>
      </c>
      <c r="I81" s="227"/>
      <c r="J81" s="227"/>
      <c r="K81" s="227"/>
      <c r="L81" s="227"/>
      <c r="M81" s="227" t="s">
        <v>155</v>
      </c>
      <c r="N81" s="227" t="s">
        <v>161</v>
      </c>
      <c r="O81" s="227" t="s">
        <v>40</v>
      </c>
      <c r="P81" s="209" t="s">
        <v>204</v>
      </c>
      <c r="Q81" s="193">
        <v>1440232000</v>
      </c>
      <c r="R81" s="193">
        <v>0</v>
      </c>
      <c r="S81" s="193">
        <v>0</v>
      </c>
      <c r="T81" s="193">
        <v>1440232000</v>
      </c>
      <c r="U81" s="193">
        <v>0</v>
      </c>
      <c r="V81" s="193">
        <v>1383324494.0999999</v>
      </c>
      <c r="W81" s="193">
        <v>56907505.899999999</v>
      </c>
      <c r="X81" s="193">
        <v>1038581842.1</v>
      </c>
      <c r="Y81" s="193">
        <v>735937511.03999996</v>
      </c>
      <c r="Z81" s="193">
        <v>562107693.03999996</v>
      </c>
      <c r="AA81" s="193">
        <v>536279903.04000002</v>
      </c>
    </row>
    <row r="82" spans="1:27" ht="45" x14ac:dyDescent="0.25">
      <c r="A82" s="227" t="s">
        <v>200</v>
      </c>
      <c r="B82" s="209" t="s">
        <v>201</v>
      </c>
      <c r="C82" s="228" t="s">
        <v>205</v>
      </c>
      <c r="D82" s="227" t="s">
        <v>36</v>
      </c>
      <c r="E82" s="227" t="s">
        <v>46</v>
      </c>
      <c r="F82" s="227" t="s">
        <v>46</v>
      </c>
      <c r="G82" s="227" t="s">
        <v>37</v>
      </c>
      <c r="H82" s="227" t="s">
        <v>206</v>
      </c>
      <c r="I82" s="227"/>
      <c r="J82" s="227"/>
      <c r="K82" s="227"/>
      <c r="L82" s="227"/>
      <c r="M82" s="227" t="s">
        <v>38</v>
      </c>
      <c r="N82" s="227" t="s">
        <v>39</v>
      </c>
      <c r="O82" s="227" t="s">
        <v>40</v>
      </c>
      <c r="P82" s="209" t="s">
        <v>207</v>
      </c>
      <c r="Q82" s="193">
        <v>4229200000</v>
      </c>
      <c r="R82" s="193">
        <v>0</v>
      </c>
      <c r="S82" s="193">
        <v>0</v>
      </c>
      <c r="T82" s="193">
        <v>4229200000</v>
      </c>
      <c r="U82" s="193">
        <v>593427166.89999998</v>
      </c>
      <c r="V82" s="193">
        <v>3611746580.9400001</v>
      </c>
      <c r="W82" s="193">
        <v>24026252.16</v>
      </c>
      <c r="X82" s="193">
        <v>3327591214.9400001</v>
      </c>
      <c r="Y82" s="193">
        <v>2196406515.4000001</v>
      </c>
      <c r="Z82" s="193">
        <v>2196406515.4000001</v>
      </c>
      <c r="AA82" s="193">
        <v>2196406515.4000001</v>
      </c>
    </row>
    <row r="83" spans="1:27" ht="33.75" x14ac:dyDescent="0.25">
      <c r="A83" s="227" t="s">
        <v>200</v>
      </c>
      <c r="B83" s="209" t="s">
        <v>201</v>
      </c>
      <c r="C83" s="228" t="s">
        <v>208</v>
      </c>
      <c r="D83" s="227" t="s">
        <v>36</v>
      </c>
      <c r="E83" s="227" t="s">
        <v>46</v>
      </c>
      <c r="F83" s="227" t="s">
        <v>46</v>
      </c>
      <c r="G83" s="227" t="s">
        <v>37</v>
      </c>
      <c r="H83" s="227" t="s">
        <v>209</v>
      </c>
      <c r="I83" s="227"/>
      <c r="J83" s="227"/>
      <c r="K83" s="227"/>
      <c r="L83" s="227"/>
      <c r="M83" s="227" t="s">
        <v>38</v>
      </c>
      <c r="N83" s="227" t="s">
        <v>39</v>
      </c>
      <c r="O83" s="227" t="s">
        <v>40</v>
      </c>
      <c r="P83" s="209" t="s">
        <v>210</v>
      </c>
      <c r="Q83" s="193">
        <v>165500000</v>
      </c>
      <c r="R83" s="193">
        <v>0</v>
      </c>
      <c r="S83" s="193">
        <v>0</v>
      </c>
      <c r="T83" s="193">
        <v>165500000</v>
      </c>
      <c r="U83" s="193">
        <v>30000000</v>
      </c>
      <c r="V83" s="193">
        <v>135081616</v>
      </c>
      <c r="W83" s="193">
        <v>418384</v>
      </c>
      <c r="X83" s="193">
        <v>131311616</v>
      </c>
      <c r="Y83" s="193">
        <v>59427125</v>
      </c>
      <c r="Z83" s="193">
        <v>59427125</v>
      </c>
      <c r="AA83" s="193">
        <v>59427125</v>
      </c>
    </row>
    <row r="84" spans="1:27" ht="33.75" x14ac:dyDescent="0.25">
      <c r="A84" s="227" t="s">
        <v>200</v>
      </c>
      <c r="B84" s="209" t="s">
        <v>201</v>
      </c>
      <c r="C84" s="228" t="s">
        <v>67</v>
      </c>
      <c r="D84" s="227" t="s">
        <v>36</v>
      </c>
      <c r="E84" s="227" t="s">
        <v>46</v>
      </c>
      <c r="F84" s="227" t="s">
        <v>46</v>
      </c>
      <c r="G84" s="227" t="s">
        <v>37</v>
      </c>
      <c r="H84" s="227" t="s">
        <v>68</v>
      </c>
      <c r="I84" s="227"/>
      <c r="J84" s="227"/>
      <c r="K84" s="227"/>
      <c r="L84" s="227"/>
      <c r="M84" s="227" t="s">
        <v>38</v>
      </c>
      <c r="N84" s="227" t="s">
        <v>39</v>
      </c>
      <c r="O84" s="227" t="s">
        <v>40</v>
      </c>
      <c r="P84" s="209" t="s">
        <v>69</v>
      </c>
      <c r="Q84" s="193">
        <v>25000000000</v>
      </c>
      <c r="R84" s="193">
        <v>0</v>
      </c>
      <c r="S84" s="193">
        <v>0</v>
      </c>
      <c r="T84" s="193">
        <v>25000000000</v>
      </c>
      <c r="U84" s="193">
        <v>25000000000</v>
      </c>
      <c r="V84" s="193">
        <v>0</v>
      </c>
      <c r="W84" s="193">
        <v>0</v>
      </c>
      <c r="X84" s="193">
        <v>0</v>
      </c>
      <c r="Y84" s="193">
        <v>0</v>
      </c>
      <c r="Z84" s="193">
        <v>0</v>
      </c>
      <c r="AA84" s="193">
        <v>0</v>
      </c>
    </row>
    <row r="85" spans="1:27" ht="33.75" x14ac:dyDescent="0.25">
      <c r="A85" s="227" t="s">
        <v>200</v>
      </c>
      <c r="B85" s="209" t="s">
        <v>201</v>
      </c>
      <c r="C85" s="228" t="s">
        <v>73</v>
      </c>
      <c r="D85" s="227" t="s">
        <v>36</v>
      </c>
      <c r="E85" s="227" t="s">
        <v>46</v>
      </c>
      <c r="F85" s="227" t="s">
        <v>49</v>
      </c>
      <c r="G85" s="227" t="s">
        <v>43</v>
      </c>
      <c r="H85" s="227" t="s">
        <v>71</v>
      </c>
      <c r="I85" s="227"/>
      <c r="J85" s="227"/>
      <c r="K85" s="227"/>
      <c r="L85" s="227"/>
      <c r="M85" s="227" t="s">
        <v>38</v>
      </c>
      <c r="N85" s="227" t="s">
        <v>39</v>
      </c>
      <c r="O85" s="227" t="s">
        <v>40</v>
      </c>
      <c r="P85" s="209" t="s">
        <v>74</v>
      </c>
      <c r="Q85" s="193">
        <v>3393600000</v>
      </c>
      <c r="R85" s="193">
        <v>0</v>
      </c>
      <c r="S85" s="193">
        <v>0</v>
      </c>
      <c r="T85" s="193">
        <v>3393600000</v>
      </c>
      <c r="U85" s="193">
        <v>0</v>
      </c>
      <c r="V85" s="193">
        <v>3221086218</v>
      </c>
      <c r="W85" s="193">
        <v>172513782</v>
      </c>
      <c r="X85" s="193">
        <v>3199184338</v>
      </c>
      <c r="Y85" s="193">
        <v>3125282768</v>
      </c>
      <c r="Z85" s="193">
        <v>3125282768</v>
      </c>
      <c r="AA85" s="193">
        <v>3125282768</v>
      </c>
    </row>
    <row r="86" spans="1:27" ht="33.75" x14ac:dyDescent="0.25">
      <c r="A86" s="227" t="s">
        <v>200</v>
      </c>
      <c r="B86" s="209" t="s">
        <v>201</v>
      </c>
      <c r="C86" s="228" t="s">
        <v>211</v>
      </c>
      <c r="D86" s="227" t="s">
        <v>36</v>
      </c>
      <c r="E86" s="227" t="s">
        <v>46</v>
      </c>
      <c r="F86" s="227" t="s">
        <v>49</v>
      </c>
      <c r="G86" s="227" t="s">
        <v>43</v>
      </c>
      <c r="H86" s="227" t="s">
        <v>212</v>
      </c>
      <c r="I86" s="227"/>
      <c r="J86" s="227"/>
      <c r="K86" s="227"/>
      <c r="L86" s="227"/>
      <c r="M86" s="227" t="s">
        <v>38</v>
      </c>
      <c r="N86" s="227" t="s">
        <v>39</v>
      </c>
      <c r="O86" s="227" t="s">
        <v>40</v>
      </c>
      <c r="P86" s="209" t="s">
        <v>213</v>
      </c>
      <c r="Q86" s="193">
        <v>300000000</v>
      </c>
      <c r="R86" s="193">
        <v>0</v>
      </c>
      <c r="S86" s="193">
        <v>0</v>
      </c>
      <c r="T86" s="193">
        <v>300000000</v>
      </c>
      <c r="U86" s="193">
        <v>0</v>
      </c>
      <c r="V86" s="193">
        <v>225291767</v>
      </c>
      <c r="W86" s="193">
        <v>74708233</v>
      </c>
      <c r="X86" s="193">
        <v>225291767</v>
      </c>
      <c r="Y86" s="193">
        <v>225291767</v>
      </c>
      <c r="Z86" s="193">
        <v>225291767</v>
      </c>
      <c r="AA86" s="193">
        <v>225291767</v>
      </c>
    </row>
    <row r="87" spans="1:27" ht="33.75" x14ac:dyDescent="0.25">
      <c r="A87" s="227" t="s">
        <v>200</v>
      </c>
      <c r="B87" s="209" t="s">
        <v>201</v>
      </c>
      <c r="C87" s="228" t="s">
        <v>75</v>
      </c>
      <c r="D87" s="227" t="s">
        <v>36</v>
      </c>
      <c r="E87" s="227" t="s">
        <v>46</v>
      </c>
      <c r="F87" s="227" t="s">
        <v>39</v>
      </c>
      <c r="G87" s="227"/>
      <c r="H87" s="227"/>
      <c r="I87" s="227"/>
      <c r="J87" s="227"/>
      <c r="K87" s="227"/>
      <c r="L87" s="227"/>
      <c r="M87" s="227" t="s">
        <v>38</v>
      </c>
      <c r="N87" s="227" t="s">
        <v>39</v>
      </c>
      <c r="O87" s="227" t="s">
        <v>40</v>
      </c>
      <c r="P87" s="209" t="s">
        <v>76</v>
      </c>
      <c r="Q87" s="193">
        <v>90000000000</v>
      </c>
      <c r="R87" s="193">
        <v>0</v>
      </c>
      <c r="S87" s="193">
        <v>0</v>
      </c>
      <c r="T87" s="193">
        <v>90000000000</v>
      </c>
      <c r="U87" s="193">
        <v>17505898075</v>
      </c>
      <c r="V87" s="193">
        <v>71363087485.880005</v>
      </c>
      <c r="W87" s="193">
        <v>1131014439.1199999</v>
      </c>
      <c r="X87" s="193">
        <v>69879990878.550003</v>
      </c>
      <c r="Y87" s="193">
        <v>64418353278.269997</v>
      </c>
      <c r="Z87" s="193">
        <v>62698085379.82</v>
      </c>
      <c r="AA87" s="193">
        <v>62083933842.82</v>
      </c>
    </row>
    <row r="88" spans="1:27" ht="33.75" x14ac:dyDescent="0.25">
      <c r="A88" s="227" t="s">
        <v>200</v>
      </c>
      <c r="B88" s="209" t="s">
        <v>201</v>
      </c>
      <c r="C88" s="228" t="s">
        <v>214</v>
      </c>
      <c r="D88" s="227" t="s">
        <v>36</v>
      </c>
      <c r="E88" s="227" t="s">
        <v>179</v>
      </c>
      <c r="F88" s="227"/>
      <c r="G88" s="227"/>
      <c r="H88" s="227"/>
      <c r="I88" s="227"/>
      <c r="J88" s="227"/>
      <c r="K88" s="227"/>
      <c r="L88" s="227"/>
      <c r="M88" s="227" t="s">
        <v>155</v>
      </c>
      <c r="N88" s="227" t="s">
        <v>161</v>
      </c>
      <c r="O88" s="227" t="s">
        <v>40</v>
      </c>
      <c r="P88" s="209" t="s">
        <v>215</v>
      </c>
      <c r="Q88" s="193">
        <v>96251351000</v>
      </c>
      <c r="R88" s="193">
        <v>0</v>
      </c>
      <c r="S88" s="193">
        <v>0</v>
      </c>
      <c r="T88" s="193">
        <v>96251351000</v>
      </c>
      <c r="U88" s="193">
        <v>0</v>
      </c>
      <c r="V88" s="193">
        <v>92289527563.830002</v>
      </c>
      <c r="W88" s="193">
        <v>3961823436.1700001</v>
      </c>
      <c r="X88" s="193">
        <v>88352738358.559998</v>
      </c>
      <c r="Y88" s="193">
        <v>73148031034.130005</v>
      </c>
      <c r="Z88" s="193">
        <v>67569978786.190002</v>
      </c>
      <c r="AA88" s="193">
        <v>67567908381.190002</v>
      </c>
    </row>
    <row r="89" spans="1:27" ht="33.75" x14ac:dyDescent="0.25">
      <c r="A89" s="227" t="s">
        <v>200</v>
      </c>
      <c r="B89" s="209" t="s">
        <v>201</v>
      </c>
      <c r="C89" s="228" t="s">
        <v>77</v>
      </c>
      <c r="D89" s="227" t="s">
        <v>36</v>
      </c>
      <c r="E89" s="227" t="s">
        <v>78</v>
      </c>
      <c r="F89" s="227" t="s">
        <v>37</v>
      </c>
      <c r="G89" s="227"/>
      <c r="H89" s="227"/>
      <c r="I89" s="227"/>
      <c r="J89" s="227"/>
      <c r="K89" s="227"/>
      <c r="L89" s="227"/>
      <c r="M89" s="227" t="s">
        <v>38</v>
      </c>
      <c r="N89" s="227" t="s">
        <v>39</v>
      </c>
      <c r="O89" s="227" t="s">
        <v>40</v>
      </c>
      <c r="P89" s="209" t="s">
        <v>79</v>
      </c>
      <c r="Q89" s="193">
        <v>10986000000</v>
      </c>
      <c r="R89" s="193">
        <v>0</v>
      </c>
      <c r="S89" s="193">
        <v>0</v>
      </c>
      <c r="T89" s="193">
        <v>10986000000</v>
      </c>
      <c r="U89" s="193">
        <v>8662088</v>
      </c>
      <c r="V89" s="193">
        <v>10977337912</v>
      </c>
      <c r="W89" s="193">
        <v>0</v>
      </c>
      <c r="X89" s="193">
        <v>10972181702</v>
      </c>
      <c r="Y89" s="193">
        <v>10969719562</v>
      </c>
      <c r="Z89" s="193">
        <v>10969719562</v>
      </c>
      <c r="AA89" s="193">
        <v>10969719562</v>
      </c>
    </row>
    <row r="90" spans="1:27" ht="33.75" x14ac:dyDescent="0.25">
      <c r="A90" s="227" t="s">
        <v>200</v>
      </c>
      <c r="B90" s="209" t="s">
        <v>201</v>
      </c>
      <c r="C90" s="228" t="s">
        <v>80</v>
      </c>
      <c r="D90" s="227" t="s">
        <v>36</v>
      </c>
      <c r="E90" s="227" t="s">
        <v>78</v>
      </c>
      <c r="F90" s="227" t="s">
        <v>46</v>
      </c>
      <c r="G90" s="227"/>
      <c r="H90" s="227"/>
      <c r="I90" s="227"/>
      <c r="J90" s="227"/>
      <c r="K90" s="227"/>
      <c r="L90" s="227"/>
      <c r="M90" s="227" t="s">
        <v>38</v>
      </c>
      <c r="N90" s="227" t="s">
        <v>39</v>
      </c>
      <c r="O90" s="227" t="s">
        <v>40</v>
      </c>
      <c r="P90" s="209" t="s">
        <v>81</v>
      </c>
      <c r="Q90" s="193">
        <v>362500000</v>
      </c>
      <c r="R90" s="193">
        <v>0</v>
      </c>
      <c r="S90" s="193">
        <v>0</v>
      </c>
      <c r="T90" s="193">
        <v>362500000</v>
      </c>
      <c r="U90" s="193">
        <v>189368002.58000001</v>
      </c>
      <c r="V90" s="193">
        <v>170657849.41999999</v>
      </c>
      <c r="W90" s="193">
        <v>2474148</v>
      </c>
      <c r="X90" s="193">
        <v>48948161.420000002</v>
      </c>
      <c r="Y90" s="193">
        <v>47861661.420000002</v>
      </c>
      <c r="Z90" s="193">
        <v>47861661.420000002</v>
      </c>
      <c r="AA90" s="193">
        <v>47861661.420000002</v>
      </c>
    </row>
    <row r="91" spans="1:27" ht="33.75" x14ac:dyDescent="0.25">
      <c r="A91" s="227" t="s">
        <v>200</v>
      </c>
      <c r="B91" s="209" t="s">
        <v>201</v>
      </c>
      <c r="C91" s="228" t="s">
        <v>82</v>
      </c>
      <c r="D91" s="227" t="s">
        <v>36</v>
      </c>
      <c r="E91" s="227" t="s">
        <v>78</v>
      </c>
      <c r="F91" s="227" t="s">
        <v>49</v>
      </c>
      <c r="G91" s="227" t="s">
        <v>37</v>
      </c>
      <c r="H91" s="227"/>
      <c r="I91" s="227"/>
      <c r="J91" s="227"/>
      <c r="K91" s="227"/>
      <c r="L91" s="227"/>
      <c r="M91" s="227" t="s">
        <v>38</v>
      </c>
      <c r="N91" s="227" t="s">
        <v>54</v>
      </c>
      <c r="O91" s="227" t="s">
        <v>55</v>
      </c>
      <c r="P91" s="209" t="s">
        <v>83</v>
      </c>
      <c r="Q91" s="193">
        <v>3991000000</v>
      </c>
      <c r="R91" s="193">
        <v>0</v>
      </c>
      <c r="S91" s="193">
        <v>0</v>
      </c>
      <c r="T91" s="193">
        <v>3991000000</v>
      </c>
      <c r="U91" s="193">
        <v>0</v>
      </c>
      <c r="V91" s="193">
        <v>3630638723</v>
      </c>
      <c r="W91" s="193">
        <v>360361277</v>
      </c>
      <c r="X91" s="193">
        <v>3630638723</v>
      </c>
      <c r="Y91" s="193">
        <v>0</v>
      </c>
      <c r="Z91" s="193">
        <v>0</v>
      </c>
      <c r="AA91" s="193">
        <v>0</v>
      </c>
    </row>
    <row r="92" spans="1:27" ht="33.75" x14ac:dyDescent="0.25">
      <c r="A92" s="227" t="s">
        <v>200</v>
      </c>
      <c r="B92" s="209" t="s">
        <v>201</v>
      </c>
      <c r="C92" s="228" t="s">
        <v>216</v>
      </c>
      <c r="D92" s="227" t="s">
        <v>36</v>
      </c>
      <c r="E92" s="227" t="s">
        <v>78</v>
      </c>
      <c r="F92" s="227" t="s">
        <v>49</v>
      </c>
      <c r="G92" s="227" t="s">
        <v>46</v>
      </c>
      <c r="H92" s="227"/>
      <c r="I92" s="227"/>
      <c r="J92" s="227"/>
      <c r="K92" s="227"/>
      <c r="L92" s="227"/>
      <c r="M92" s="227" t="s">
        <v>38</v>
      </c>
      <c r="N92" s="227" t="s">
        <v>39</v>
      </c>
      <c r="O92" s="227" t="s">
        <v>40</v>
      </c>
      <c r="P92" s="209" t="s">
        <v>217</v>
      </c>
      <c r="Q92" s="193">
        <v>50000000</v>
      </c>
      <c r="R92" s="193">
        <v>0</v>
      </c>
      <c r="S92" s="193">
        <v>0</v>
      </c>
      <c r="T92" s="193">
        <v>50000000</v>
      </c>
      <c r="U92" s="193">
        <v>50000000</v>
      </c>
      <c r="V92" s="193">
        <v>0</v>
      </c>
      <c r="W92" s="193">
        <v>0</v>
      </c>
      <c r="X92" s="193">
        <v>0</v>
      </c>
      <c r="Y92" s="193">
        <v>0</v>
      </c>
      <c r="Z92" s="193">
        <v>0</v>
      </c>
      <c r="AA92" s="193">
        <v>0</v>
      </c>
    </row>
    <row r="93" spans="1:27" ht="33.75" x14ac:dyDescent="0.25">
      <c r="A93" s="227" t="s">
        <v>200</v>
      </c>
      <c r="B93" s="209" t="s">
        <v>201</v>
      </c>
      <c r="C93" s="228" t="s">
        <v>178</v>
      </c>
      <c r="D93" s="227" t="s">
        <v>36</v>
      </c>
      <c r="E93" s="227" t="s">
        <v>78</v>
      </c>
      <c r="F93" s="227" t="s">
        <v>179</v>
      </c>
      <c r="G93" s="227"/>
      <c r="H93" s="227"/>
      <c r="I93" s="227"/>
      <c r="J93" s="227"/>
      <c r="K93" s="227"/>
      <c r="L93" s="227"/>
      <c r="M93" s="227" t="s">
        <v>38</v>
      </c>
      <c r="N93" s="227" t="s">
        <v>39</v>
      </c>
      <c r="O93" s="227" t="s">
        <v>40</v>
      </c>
      <c r="P93" s="209" t="s">
        <v>180</v>
      </c>
      <c r="Q93" s="193">
        <v>1362500000</v>
      </c>
      <c r="R93" s="193">
        <v>0</v>
      </c>
      <c r="S93" s="193">
        <v>0</v>
      </c>
      <c r="T93" s="193">
        <v>1362500000</v>
      </c>
      <c r="U93" s="193">
        <v>294014000</v>
      </c>
      <c r="V93" s="193">
        <v>1068486000</v>
      </c>
      <c r="W93" s="193">
        <v>0</v>
      </c>
      <c r="X93" s="193">
        <v>1068486000</v>
      </c>
      <c r="Y93" s="193">
        <v>1068486000</v>
      </c>
      <c r="Z93" s="193">
        <v>1068486000</v>
      </c>
      <c r="AA93" s="193">
        <v>1068486000</v>
      </c>
    </row>
    <row r="94" spans="1:27" ht="78.75" x14ac:dyDescent="0.25">
      <c r="A94" s="227" t="s">
        <v>200</v>
      </c>
      <c r="B94" s="209" t="s">
        <v>201</v>
      </c>
      <c r="C94" s="228" t="s">
        <v>218</v>
      </c>
      <c r="D94" s="227" t="s">
        <v>85</v>
      </c>
      <c r="E94" s="227" t="s">
        <v>219</v>
      </c>
      <c r="F94" s="227" t="s">
        <v>87</v>
      </c>
      <c r="G94" s="227" t="s">
        <v>54</v>
      </c>
      <c r="H94" s="227" t="s">
        <v>220</v>
      </c>
      <c r="I94" s="227"/>
      <c r="J94" s="227"/>
      <c r="K94" s="227"/>
      <c r="L94" s="227"/>
      <c r="M94" s="227" t="s">
        <v>38</v>
      </c>
      <c r="N94" s="227" t="s">
        <v>54</v>
      </c>
      <c r="O94" s="227" t="s">
        <v>40</v>
      </c>
      <c r="P94" s="209" t="s">
        <v>221</v>
      </c>
      <c r="Q94" s="193">
        <v>700000000</v>
      </c>
      <c r="R94" s="193">
        <v>0</v>
      </c>
      <c r="S94" s="193">
        <v>0</v>
      </c>
      <c r="T94" s="193">
        <v>700000000</v>
      </c>
      <c r="U94" s="193">
        <v>0</v>
      </c>
      <c r="V94" s="193">
        <v>697500000</v>
      </c>
      <c r="W94" s="193">
        <v>2500000</v>
      </c>
      <c r="X94" s="193">
        <v>697500000</v>
      </c>
      <c r="Y94" s="193">
        <v>279000000</v>
      </c>
      <c r="Z94" s="193">
        <v>279000000</v>
      </c>
      <c r="AA94" s="193">
        <v>279000000</v>
      </c>
    </row>
    <row r="95" spans="1:27" ht="67.5" x14ac:dyDescent="0.25">
      <c r="A95" s="227" t="s">
        <v>200</v>
      </c>
      <c r="B95" s="209" t="s">
        <v>201</v>
      </c>
      <c r="C95" s="228" t="s">
        <v>222</v>
      </c>
      <c r="D95" s="227" t="s">
        <v>85</v>
      </c>
      <c r="E95" s="227" t="s">
        <v>219</v>
      </c>
      <c r="F95" s="227" t="s">
        <v>87</v>
      </c>
      <c r="G95" s="227" t="s">
        <v>223</v>
      </c>
      <c r="H95" s="227" t="s">
        <v>224</v>
      </c>
      <c r="I95" s="227"/>
      <c r="J95" s="227"/>
      <c r="K95" s="227"/>
      <c r="L95" s="227"/>
      <c r="M95" s="227" t="s">
        <v>38</v>
      </c>
      <c r="N95" s="227" t="s">
        <v>54</v>
      </c>
      <c r="O95" s="227" t="s">
        <v>40</v>
      </c>
      <c r="P95" s="209" t="s">
        <v>225</v>
      </c>
      <c r="Q95" s="193">
        <v>1000000000</v>
      </c>
      <c r="R95" s="193">
        <v>0</v>
      </c>
      <c r="S95" s="193">
        <v>0</v>
      </c>
      <c r="T95" s="193">
        <v>1000000000</v>
      </c>
      <c r="U95" s="193">
        <v>0</v>
      </c>
      <c r="V95" s="193">
        <v>1000000000</v>
      </c>
      <c r="W95" s="193">
        <v>0</v>
      </c>
      <c r="X95" s="193">
        <v>850000000</v>
      </c>
      <c r="Y95" s="193">
        <v>255000000</v>
      </c>
      <c r="Z95" s="193">
        <v>255000000</v>
      </c>
      <c r="AA95" s="193">
        <v>255000000</v>
      </c>
    </row>
    <row r="96" spans="1:27" ht="67.5" x14ac:dyDescent="0.25">
      <c r="A96" s="227" t="s">
        <v>200</v>
      </c>
      <c r="B96" s="209" t="s">
        <v>201</v>
      </c>
      <c r="C96" s="228" t="s">
        <v>226</v>
      </c>
      <c r="D96" s="227" t="s">
        <v>85</v>
      </c>
      <c r="E96" s="227" t="s">
        <v>141</v>
      </c>
      <c r="F96" s="227" t="s">
        <v>87</v>
      </c>
      <c r="G96" s="227" t="s">
        <v>227</v>
      </c>
      <c r="H96" s="227" t="s">
        <v>224</v>
      </c>
      <c r="I96" s="227"/>
      <c r="J96" s="227"/>
      <c r="K96" s="227"/>
      <c r="L96" s="227"/>
      <c r="M96" s="227" t="s">
        <v>38</v>
      </c>
      <c r="N96" s="227" t="s">
        <v>54</v>
      </c>
      <c r="O96" s="227" t="s">
        <v>40</v>
      </c>
      <c r="P96" s="209" t="s">
        <v>228</v>
      </c>
      <c r="Q96" s="193">
        <v>500000000</v>
      </c>
      <c r="R96" s="193">
        <v>0</v>
      </c>
      <c r="S96" s="193">
        <v>0</v>
      </c>
      <c r="T96" s="193">
        <v>500000000</v>
      </c>
      <c r="U96" s="193">
        <v>0</v>
      </c>
      <c r="V96" s="193">
        <v>414855000</v>
      </c>
      <c r="W96" s="193">
        <v>85145000</v>
      </c>
      <c r="X96" s="193">
        <v>414855000</v>
      </c>
      <c r="Y96" s="193">
        <v>0</v>
      </c>
      <c r="Z96" s="193">
        <v>0</v>
      </c>
      <c r="AA96" s="193">
        <v>0</v>
      </c>
    </row>
    <row r="97" spans="1:27" ht="67.5" x14ac:dyDescent="0.25">
      <c r="A97" s="227" t="s">
        <v>200</v>
      </c>
      <c r="B97" s="209" t="s">
        <v>201</v>
      </c>
      <c r="C97" s="228" t="s">
        <v>229</v>
      </c>
      <c r="D97" s="227" t="s">
        <v>85</v>
      </c>
      <c r="E97" s="227" t="s">
        <v>141</v>
      </c>
      <c r="F97" s="227" t="s">
        <v>87</v>
      </c>
      <c r="G97" s="227" t="s">
        <v>142</v>
      </c>
      <c r="H97" s="227" t="s">
        <v>224</v>
      </c>
      <c r="I97" s="227"/>
      <c r="J97" s="227"/>
      <c r="K97" s="227"/>
      <c r="L97" s="227"/>
      <c r="M97" s="227" t="s">
        <v>38</v>
      </c>
      <c r="N97" s="227" t="s">
        <v>54</v>
      </c>
      <c r="O97" s="227" t="s">
        <v>40</v>
      </c>
      <c r="P97" s="209" t="s">
        <v>230</v>
      </c>
      <c r="Q97" s="193">
        <v>1800000000</v>
      </c>
      <c r="R97" s="193">
        <v>0</v>
      </c>
      <c r="S97" s="193">
        <v>0</v>
      </c>
      <c r="T97" s="193">
        <v>1800000000</v>
      </c>
      <c r="U97" s="193">
        <v>0</v>
      </c>
      <c r="V97" s="193">
        <v>1791257348</v>
      </c>
      <c r="W97" s="193">
        <v>8742652</v>
      </c>
      <c r="X97" s="193">
        <v>1791257348</v>
      </c>
      <c r="Y97" s="193">
        <v>889817719.99000001</v>
      </c>
      <c r="Z97" s="193">
        <v>889817719.99000001</v>
      </c>
      <c r="AA97" s="193">
        <v>889817719.99000001</v>
      </c>
    </row>
    <row r="98" spans="1:27" ht="45" x14ac:dyDescent="0.25">
      <c r="A98" s="227" t="s">
        <v>231</v>
      </c>
      <c r="B98" s="209" t="s">
        <v>232</v>
      </c>
      <c r="C98" s="228" t="s">
        <v>35</v>
      </c>
      <c r="D98" s="227" t="s">
        <v>36</v>
      </c>
      <c r="E98" s="227" t="s">
        <v>37</v>
      </c>
      <c r="F98" s="227" t="s">
        <v>37</v>
      </c>
      <c r="G98" s="227" t="s">
        <v>37</v>
      </c>
      <c r="H98" s="227"/>
      <c r="I98" s="227"/>
      <c r="J98" s="227"/>
      <c r="K98" s="227"/>
      <c r="L98" s="227"/>
      <c r="M98" s="227" t="s">
        <v>38</v>
      </c>
      <c r="N98" s="227" t="s">
        <v>39</v>
      </c>
      <c r="O98" s="227" t="s">
        <v>40</v>
      </c>
      <c r="P98" s="209" t="s">
        <v>41</v>
      </c>
      <c r="Q98" s="193">
        <v>36079686000</v>
      </c>
      <c r="R98" s="193">
        <v>1564000000</v>
      </c>
      <c r="S98" s="193">
        <v>0</v>
      </c>
      <c r="T98" s="193">
        <v>37643686000</v>
      </c>
      <c r="U98" s="193">
        <v>0</v>
      </c>
      <c r="V98" s="193">
        <v>35204607548</v>
      </c>
      <c r="W98" s="193">
        <v>2439078452</v>
      </c>
      <c r="X98" s="193">
        <v>24239286742</v>
      </c>
      <c r="Y98" s="193">
        <v>24239286683</v>
      </c>
      <c r="Z98" s="193">
        <v>24239286683</v>
      </c>
      <c r="AA98" s="193">
        <v>24239286683</v>
      </c>
    </row>
    <row r="99" spans="1:27" ht="45" x14ac:dyDescent="0.25">
      <c r="A99" s="227" t="s">
        <v>231</v>
      </c>
      <c r="B99" s="209" t="s">
        <v>232</v>
      </c>
      <c r="C99" s="228" t="s">
        <v>42</v>
      </c>
      <c r="D99" s="227" t="s">
        <v>36</v>
      </c>
      <c r="E99" s="227" t="s">
        <v>37</v>
      </c>
      <c r="F99" s="227" t="s">
        <v>37</v>
      </c>
      <c r="G99" s="227" t="s">
        <v>43</v>
      </c>
      <c r="H99" s="227"/>
      <c r="I99" s="227"/>
      <c r="J99" s="227"/>
      <c r="K99" s="227"/>
      <c r="L99" s="227"/>
      <c r="M99" s="227" t="s">
        <v>38</v>
      </c>
      <c r="N99" s="227" t="s">
        <v>39</v>
      </c>
      <c r="O99" s="227" t="s">
        <v>40</v>
      </c>
      <c r="P99" s="209" t="s">
        <v>44</v>
      </c>
      <c r="Q99" s="193">
        <v>12554242000</v>
      </c>
      <c r="R99" s="193">
        <v>800000000</v>
      </c>
      <c r="S99" s="193">
        <v>0</v>
      </c>
      <c r="T99" s="193">
        <v>13354242000</v>
      </c>
      <c r="U99" s="193">
        <v>0</v>
      </c>
      <c r="V99" s="193">
        <v>11718442995</v>
      </c>
      <c r="W99" s="193">
        <v>1635799005</v>
      </c>
      <c r="X99" s="193">
        <v>9114786617</v>
      </c>
      <c r="Y99" s="193">
        <v>9114786617</v>
      </c>
      <c r="Z99" s="193">
        <v>9114786617</v>
      </c>
      <c r="AA99" s="193">
        <v>9114773017</v>
      </c>
    </row>
    <row r="100" spans="1:27" ht="45" x14ac:dyDescent="0.25">
      <c r="A100" s="227" t="s">
        <v>231</v>
      </c>
      <c r="B100" s="209" t="s">
        <v>232</v>
      </c>
      <c r="C100" s="228" t="s">
        <v>45</v>
      </c>
      <c r="D100" s="227" t="s">
        <v>36</v>
      </c>
      <c r="E100" s="227" t="s">
        <v>37</v>
      </c>
      <c r="F100" s="227" t="s">
        <v>37</v>
      </c>
      <c r="G100" s="227" t="s">
        <v>46</v>
      </c>
      <c r="H100" s="227"/>
      <c r="I100" s="227"/>
      <c r="J100" s="227"/>
      <c r="K100" s="227"/>
      <c r="L100" s="227"/>
      <c r="M100" s="227" t="s">
        <v>38</v>
      </c>
      <c r="N100" s="227" t="s">
        <v>39</v>
      </c>
      <c r="O100" s="227" t="s">
        <v>40</v>
      </c>
      <c r="P100" s="209" t="s">
        <v>47</v>
      </c>
      <c r="Q100" s="193">
        <v>4023572000</v>
      </c>
      <c r="R100" s="193">
        <v>419000000</v>
      </c>
      <c r="S100" s="193">
        <v>0</v>
      </c>
      <c r="T100" s="193">
        <v>4442572000</v>
      </c>
      <c r="U100" s="193">
        <v>0</v>
      </c>
      <c r="V100" s="193">
        <v>3161215866</v>
      </c>
      <c r="W100" s="193">
        <v>1281356134</v>
      </c>
      <c r="X100" s="193">
        <v>2719566696</v>
      </c>
      <c r="Y100" s="193">
        <v>2719566696</v>
      </c>
      <c r="Z100" s="193">
        <v>2719566696</v>
      </c>
      <c r="AA100" s="193">
        <v>2719566696</v>
      </c>
    </row>
    <row r="101" spans="1:27" ht="45" x14ac:dyDescent="0.25">
      <c r="A101" s="227" t="s">
        <v>231</v>
      </c>
      <c r="B101" s="209" t="s">
        <v>232</v>
      </c>
      <c r="C101" s="228" t="s">
        <v>52</v>
      </c>
      <c r="D101" s="227" t="s">
        <v>36</v>
      </c>
      <c r="E101" s="227" t="s">
        <v>43</v>
      </c>
      <c r="F101" s="227"/>
      <c r="G101" s="227"/>
      <c r="H101" s="227"/>
      <c r="I101" s="227"/>
      <c r="J101" s="227"/>
      <c r="K101" s="227"/>
      <c r="L101" s="227"/>
      <c r="M101" s="227" t="s">
        <v>38</v>
      </c>
      <c r="N101" s="227" t="s">
        <v>39</v>
      </c>
      <c r="O101" s="227" t="s">
        <v>40</v>
      </c>
      <c r="P101" s="209" t="s">
        <v>53</v>
      </c>
      <c r="Q101" s="193">
        <v>18831900000</v>
      </c>
      <c r="R101" s="193">
        <v>0</v>
      </c>
      <c r="S101" s="193">
        <v>0</v>
      </c>
      <c r="T101" s="193">
        <v>18831900000</v>
      </c>
      <c r="U101" s="193">
        <v>788793283</v>
      </c>
      <c r="V101" s="193">
        <v>17763560018.18</v>
      </c>
      <c r="W101" s="193">
        <v>279546698.81999999</v>
      </c>
      <c r="X101" s="193">
        <v>15618693207.08</v>
      </c>
      <c r="Y101" s="193">
        <v>11321805153.17</v>
      </c>
      <c r="Z101" s="193">
        <v>11312788875.17</v>
      </c>
      <c r="AA101" s="193">
        <v>11155948874.209999</v>
      </c>
    </row>
    <row r="102" spans="1:27" ht="45" x14ac:dyDescent="0.25">
      <c r="A102" s="227" t="s">
        <v>231</v>
      </c>
      <c r="B102" s="209" t="s">
        <v>232</v>
      </c>
      <c r="C102" s="228" t="s">
        <v>233</v>
      </c>
      <c r="D102" s="227" t="s">
        <v>36</v>
      </c>
      <c r="E102" s="227" t="s">
        <v>46</v>
      </c>
      <c r="F102" s="227" t="s">
        <v>46</v>
      </c>
      <c r="G102" s="227" t="s">
        <v>37</v>
      </c>
      <c r="H102" s="227" t="s">
        <v>234</v>
      </c>
      <c r="I102" s="227"/>
      <c r="J102" s="227"/>
      <c r="K102" s="227"/>
      <c r="L102" s="227"/>
      <c r="M102" s="227" t="s">
        <v>38</v>
      </c>
      <c r="N102" s="227" t="s">
        <v>39</v>
      </c>
      <c r="O102" s="227" t="s">
        <v>40</v>
      </c>
      <c r="P102" s="209" t="s">
        <v>235</v>
      </c>
      <c r="Q102" s="193">
        <v>44229800000</v>
      </c>
      <c r="R102" s="193">
        <v>1890587695</v>
      </c>
      <c r="S102" s="193">
        <v>0</v>
      </c>
      <c r="T102" s="193">
        <v>46120387695</v>
      </c>
      <c r="U102" s="193">
        <v>5487065535</v>
      </c>
      <c r="V102" s="193">
        <v>40151954088</v>
      </c>
      <c r="W102" s="193">
        <v>481368072</v>
      </c>
      <c r="X102" s="193">
        <v>32310962498.27</v>
      </c>
      <c r="Y102" s="193">
        <v>15658514193.08</v>
      </c>
      <c r="Z102" s="193">
        <v>15654482736.08</v>
      </c>
      <c r="AA102" s="193">
        <v>14197276559.08</v>
      </c>
    </row>
    <row r="103" spans="1:27" ht="45" x14ac:dyDescent="0.25">
      <c r="A103" s="227" t="s">
        <v>231</v>
      </c>
      <c r="B103" s="209" t="s">
        <v>232</v>
      </c>
      <c r="C103" s="228" t="s">
        <v>67</v>
      </c>
      <c r="D103" s="227" t="s">
        <v>36</v>
      </c>
      <c r="E103" s="227" t="s">
        <v>46</v>
      </c>
      <c r="F103" s="227" t="s">
        <v>46</v>
      </c>
      <c r="G103" s="227" t="s">
        <v>37</v>
      </c>
      <c r="H103" s="227" t="s">
        <v>68</v>
      </c>
      <c r="I103" s="227"/>
      <c r="J103" s="227"/>
      <c r="K103" s="227"/>
      <c r="L103" s="227"/>
      <c r="M103" s="227" t="s">
        <v>38</v>
      </c>
      <c r="N103" s="227" t="s">
        <v>39</v>
      </c>
      <c r="O103" s="227" t="s">
        <v>40</v>
      </c>
      <c r="P103" s="209" t="s">
        <v>69</v>
      </c>
      <c r="Q103" s="193">
        <v>4754000000</v>
      </c>
      <c r="R103" s="193">
        <v>0</v>
      </c>
      <c r="S103" s="193">
        <v>1890587695</v>
      </c>
      <c r="T103" s="193">
        <v>2863412305</v>
      </c>
      <c r="U103" s="193">
        <v>2863412305</v>
      </c>
      <c r="V103" s="193">
        <v>0</v>
      </c>
      <c r="W103" s="193">
        <v>0</v>
      </c>
      <c r="X103" s="193">
        <v>0</v>
      </c>
      <c r="Y103" s="193">
        <v>0</v>
      </c>
      <c r="Z103" s="193">
        <v>0</v>
      </c>
      <c r="AA103" s="193">
        <v>0</v>
      </c>
    </row>
    <row r="104" spans="1:27" ht="45" x14ac:dyDescent="0.25">
      <c r="A104" s="227" t="s">
        <v>231</v>
      </c>
      <c r="B104" s="209" t="s">
        <v>232</v>
      </c>
      <c r="C104" s="228" t="s">
        <v>73</v>
      </c>
      <c r="D104" s="227" t="s">
        <v>36</v>
      </c>
      <c r="E104" s="227" t="s">
        <v>46</v>
      </c>
      <c r="F104" s="227" t="s">
        <v>49</v>
      </c>
      <c r="G104" s="227" t="s">
        <v>43</v>
      </c>
      <c r="H104" s="227" t="s">
        <v>71</v>
      </c>
      <c r="I104" s="227"/>
      <c r="J104" s="227"/>
      <c r="K104" s="227"/>
      <c r="L104" s="227"/>
      <c r="M104" s="227" t="s">
        <v>38</v>
      </c>
      <c r="N104" s="227" t="s">
        <v>39</v>
      </c>
      <c r="O104" s="227" t="s">
        <v>40</v>
      </c>
      <c r="P104" s="209" t="s">
        <v>74</v>
      </c>
      <c r="Q104" s="193">
        <v>262700000</v>
      </c>
      <c r="R104" s="193">
        <v>0</v>
      </c>
      <c r="S104" s="193">
        <v>0</v>
      </c>
      <c r="T104" s="193">
        <v>262700000</v>
      </c>
      <c r="U104" s="193">
        <v>0</v>
      </c>
      <c r="V104" s="193">
        <v>139046244</v>
      </c>
      <c r="W104" s="193">
        <v>123653756</v>
      </c>
      <c r="X104" s="193">
        <v>37346554</v>
      </c>
      <c r="Y104" s="193">
        <v>35380553</v>
      </c>
      <c r="Z104" s="193">
        <v>35380553</v>
      </c>
      <c r="AA104" s="193">
        <v>35380553</v>
      </c>
    </row>
    <row r="105" spans="1:27" ht="45" x14ac:dyDescent="0.25">
      <c r="A105" s="227" t="s">
        <v>231</v>
      </c>
      <c r="B105" s="209" t="s">
        <v>232</v>
      </c>
      <c r="C105" s="228" t="s">
        <v>75</v>
      </c>
      <c r="D105" s="227" t="s">
        <v>36</v>
      </c>
      <c r="E105" s="227" t="s">
        <v>46</v>
      </c>
      <c r="F105" s="227" t="s">
        <v>39</v>
      </c>
      <c r="G105" s="227"/>
      <c r="H105" s="227"/>
      <c r="I105" s="227"/>
      <c r="J105" s="227"/>
      <c r="K105" s="227"/>
      <c r="L105" s="227"/>
      <c r="M105" s="227" t="s">
        <v>38</v>
      </c>
      <c r="N105" s="227" t="s">
        <v>39</v>
      </c>
      <c r="O105" s="227" t="s">
        <v>40</v>
      </c>
      <c r="P105" s="209" t="s">
        <v>76</v>
      </c>
      <c r="Q105" s="193">
        <v>26600000</v>
      </c>
      <c r="R105" s="193">
        <v>20976556930</v>
      </c>
      <c r="S105" s="193">
        <v>0</v>
      </c>
      <c r="T105" s="193">
        <v>21003156930</v>
      </c>
      <c r="U105" s="193">
        <v>0</v>
      </c>
      <c r="V105" s="193">
        <v>20949362170.080002</v>
      </c>
      <c r="W105" s="193">
        <v>53794759.920000002</v>
      </c>
      <c r="X105" s="193">
        <v>14184012242.959999</v>
      </c>
      <c r="Y105" s="193">
        <v>14184012242.959999</v>
      </c>
      <c r="Z105" s="193">
        <v>14184012242.959999</v>
      </c>
      <c r="AA105" s="193">
        <v>14184012242.959999</v>
      </c>
    </row>
    <row r="106" spans="1:27" ht="45" x14ac:dyDescent="0.25">
      <c r="A106" s="227" t="s">
        <v>231</v>
      </c>
      <c r="B106" s="209" t="s">
        <v>232</v>
      </c>
      <c r="C106" s="228" t="s">
        <v>82</v>
      </c>
      <c r="D106" s="227" t="s">
        <v>36</v>
      </c>
      <c r="E106" s="227" t="s">
        <v>78</v>
      </c>
      <c r="F106" s="227" t="s">
        <v>49</v>
      </c>
      <c r="G106" s="227" t="s">
        <v>37</v>
      </c>
      <c r="H106" s="227"/>
      <c r="I106" s="227"/>
      <c r="J106" s="227"/>
      <c r="K106" s="227"/>
      <c r="L106" s="227"/>
      <c r="M106" s="227" t="s">
        <v>38</v>
      </c>
      <c r="N106" s="227" t="s">
        <v>54</v>
      </c>
      <c r="O106" s="227" t="s">
        <v>55</v>
      </c>
      <c r="P106" s="209" t="s">
        <v>83</v>
      </c>
      <c r="Q106" s="193">
        <v>289800000</v>
      </c>
      <c r="R106" s="193">
        <v>0</v>
      </c>
      <c r="S106" s="193">
        <v>0</v>
      </c>
      <c r="T106" s="193">
        <v>289800000</v>
      </c>
      <c r="U106" s="193">
        <v>0</v>
      </c>
      <c r="V106" s="193">
        <v>255977849</v>
      </c>
      <c r="W106" s="193">
        <v>33822151</v>
      </c>
      <c r="X106" s="193">
        <v>0</v>
      </c>
      <c r="Y106" s="193">
        <v>0</v>
      </c>
      <c r="Z106" s="193">
        <v>0</v>
      </c>
      <c r="AA106" s="193">
        <v>0</v>
      </c>
    </row>
    <row r="107" spans="1:27" ht="56.25" x14ac:dyDescent="0.25">
      <c r="A107" s="227" t="s">
        <v>231</v>
      </c>
      <c r="B107" s="209" t="s">
        <v>232</v>
      </c>
      <c r="C107" s="228" t="s">
        <v>236</v>
      </c>
      <c r="D107" s="227" t="s">
        <v>85</v>
      </c>
      <c r="E107" s="227" t="s">
        <v>237</v>
      </c>
      <c r="F107" s="227" t="s">
        <v>87</v>
      </c>
      <c r="G107" s="227" t="s">
        <v>182</v>
      </c>
      <c r="H107" s="227" t="s">
        <v>238</v>
      </c>
      <c r="I107" s="227"/>
      <c r="J107" s="227"/>
      <c r="K107" s="227"/>
      <c r="L107" s="227"/>
      <c r="M107" s="227" t="s">
        <v>38</v>
      </c>
      <c r="N107" s="227" t="s">
        <v>54</v>
      </c>
      <c r="O107" s="227" t="s">
        <v>40</v>
      </c>
      <c r="P107" s="209" t="s">
        <v>239</v>
      </c>
      <c r="Q107" s="193">
        <v>2176706795</v>
      </c>
      <c r="R107" s="193">
        <v>0</v>
      </c>
      <c r="S107" s="193">
        <v>0</v>
      </c>
      <c r="T107" s="193">
        <v>2176706795</v>
      </c>
      <c r="U107" s="193">
        <v>177080540</v>
      </c>
      <c r="V107" s="193">
        <v>1997495608</v>
      </c>
      <c r="W107" s="193">
        <v>2130647</v>
      </c>
      <c r="X107" s="193">
        <v>1449729204</v>
      </c>
      <c r="Y107" s="193">
        <v>288254489.19999999</v>
      </c>
      <c r="Z107" s="193">
        <v>288254489.19999999</v>
      </c>
      <c r="AA107" s="193">
        <v>288254489.19999999</v>
      </c>
    </row>
    <row r="108" spans="1:27" ht="56.25" x14ac:dyDescent="0.25">
      <c r="A108" s="227" t="s">
        <v>231</v>
      </c>
      <c r="B108" s="209" t="s">
        <v>232</v>
      </c>
      <c r="C108" s="228" t="s">
        <v>236</v>
      </c>
      <c r="D108" s="227" t="s">
        <v>85</v>
      </c>
      <c r="E108" s="227" t="s">
        <v>237</v>
      </c>
      <c r="F108" s="227" t="s">
        <v>87</v>
      </c>
      <c r="G108" s="227" t="s">
        <v>182</v>
      </c>
      <c r="H108" s="227" t="s">
        <v>238</v>
      </c>
      <c r="I108" s="227"/>
      <c r="J108" s="227"/>
      <c r="K108" s="227"/>
      <c r="L108" s="227"/>
      <c r="M108" s="227" t="s">
        <v>38</v>
      </c>
      <c r="N108" s="227" t="s">
        <v>93</v>
      </c>
      <c r="O108" s="227" t="s">
        <v>40</v>
      </c>
      <c r="P108" s="209" t="s">
        <v>240</v>
      </c>
      <c r="Q108" s="193">
        <v>13300293205</v>
      </c>
      <c r="R108" s="193">
        <v>0</v>
      </c>
      <c r="S108" s="193">
        <v>0</v>
      </c>
      <c r="T108" s="193">
        <v>13300293205</v>
      </c>
      <c r="U108" s="193">
        <v>0</v>
      </c>
      <c r="V108" s="193">
        <v>13169225138.809999</v>
      </c>
      <c r="W108" s="193">
        <v>131068066.19</v>
      </c>
      <c r="X108" s="193">
        <v>13169225138.809999</v>
      </c>
      <c r="Y108" s="193">
        <v>5395811968.3699999</v>
      </c>
      <c r="Z108" s="193">
        <v>5395811968.3699999</v>
      </c>
      <c r="AA108" s="193">
        <v>5262950705.6499996</v>
      </c>
    </row>
    <row r="109" spans="1:27" ht="33.75" x14ac:dyDescent="0.25">
      <c r="A109" s="227" t="s">
        <v>241</v>
      </c>
      <c r="B109" s="209" t="s">
        <v>242</v>
      </c>
      <c r="C109" s="228" t="s">
        <v>35</v>
      </c>
      <c r="D109" s="227" t="s">
        <v>36</v>
      </c>
      <c r="E109" s="227" t="s">
        <v>37</v>
      </c>
      <c r="F109" s="227" t="s">
        <v>37</v>
      </c>
      <c r="G109" s="227" t="s">
        <v>37</v>
      </c>
      <c r="H109" s="227"/>
      <c r="I109" s="227"/>
      <c r="J109" s="227"/>
      <c r="K109" s="227"/>
      <c r="L109" s="227"/>
      <c r="M109" s="227" t="s">
        <v>38</v>
      </c>
      <c r="N109" s="227" t="s">
        <v>39</v>
      </c>
      <c r="O109" s="227" t="s">
        <v>40</v>
      </c>
      <c r="P109" s="209" t="s">
        <v>41</v>
      </c>
      <c r="Q109" s="193">
        <v>24097600000</v>
      </c>
      <c r="R109" s="193">
        <v>0</v>
      </c>
      <c r="S109" s="193">
        <v>0</v>
      </c>
      <c r="T109" s="193">
        <v>24097600000</v>
      </c>
      <c r="U109" s="193">
        <v>4200000000</v>
      </c>
      <c r="V109" s="193">
        <v>19897600000</v>
      </c>
      <c r="W109" s="193">
        <v>0</v>
      </c>
      <c r="X109" s="193">
        <v>13887491067</v>
      </c>
      <c r="Y109" s="193">
        <v>13883867114</v>
      </c>
      <c r="Z109" s="193">
        <v>13883867114</v>
      </c>
      <c r="AA109" s="193">
        <v>13883867114</v>
      </c>
    </row>
    <row r="110" spans="1:27" ht="33.75" x14ac:dyDescent="0.25">
      <c r="A110" s="227" t="s">
        <v>241</v>
      </c>
      <c r="B110" s="209" t="s">
        <v>242</v>
      </c>
      <c r="C110" s="228" t="s">
        <v>42</v>
      </c>
      <c r="D110" s="227" t="s">
        <v>36</v>
      </c>
      <c r="E110" s="227" t="s">
        <v>37</v>
      </c>
      <c r="F110" s="227" t="s">
        <v>37</v>
      </c>
      <c r="G110" s="227" t="s">
        <v>43</v>
      </c>
      <c r="H110" s="227"/>
      <c r="I110" s="227"/>
      <c r="J110" s="227"/>
      <c r="K110" s="227"/>
      <c r="L110" s="227"/>
      <c r="M110" s="227" t="s">
        <v>38</v>
      </c>
      <c r="N110" s="227" t="s">
        <v>39</v>
      </c>
      <c r="O110" s="227" t="s">
        <v>40</v>
      </c>
      <c r="P110" s="209" t="s">
        <v>44</v>
      </c>
      <c r="Q110" s="193">
        <v>9765700000</v>
      </c>
      <c r="R110" s="193">
        <v>0</v>
      </c>
      <c r="S110" s="193">
        <v>0</v>
      </c>
      <c r="T110" s="193">
        <v>9765700000</v>
      </c>
      <c r="U110" s="193">
        <v>2800000000</v>
      </c>
      <c r="V110" s="193">
        <v>6965700000</v>
      </c>
      <c r="W110" s="193">
        <v>0</v>
      </c>
      <c r="X110" s="193">
        <v>5441000929</v>
      </c>
      <c r="Y110" s="193">
        <v>5441000929</v>
      </c>
      <c r="Z110" s="193">
        <v>5330889705</v>
      </c>
      <c r="AA110" s="193">
        <v>5330889705</v>
      </c>
    </row>
    <row r="111" spans="1:27" ht="33.75" x14ac:dyDescent="0.25">
      <c r="A111" s="227" t="s">
        <v>241</v>
      </c>
      <c r="B111" s="209" t="s">
        <v>242</v>
      </c>
      <c r="C111" s="228" t="s">
        <v>45</v>
      </c>
      <c r="D111" s="227" t="s">
        <v>36</v>
      </c>
      <c r="E111" s="227" t="s">
        <v>37</v>
      </c>
      <c r="F111" s="227" t="s">
        <v>37</v>
      </c>
      <c r="G111" s="227" t="s">
        <v>46</v>
      </c>
      <c r="H111" s="227"/>
      <c r="I111" s="227"/>
      <c r="J111" s="227"/>
      <c r="K111" s="227"/>
      <c r="L111" s="227"/>
      <c r="M111" s="227" t="s">
        <v>38</v>
      </c>
      <c r="N111" s="227" t="s">
        <v>39</v>
      </c>
      <c r="O111" s="227" t="s">
        <v>40</v>
      </c>
      <c r="P111" s="209" t="s">
        <v>47</v>
      </c>
      <c r="Q111" s="193">
        <v>2384500000</v>
      </c>
      <c r="R111" s="193">
        <v>0</v>
      </c>
      <c r="S111" s="193">
        <v>0</v>
      </c>
      <c r="T111" s="193">
        <v>2384500000</v>
      </c>
      <c r="U111" s="193">
        <v>0</v>
      </c>
      <c r="V111" s="193">
        <v>2384500000</v>
      </c>
      <c r="W111" s="193">
        <v>0</v>
      </c>
      <c r="X111" s="193">
        <v>1748730342</v>
      </c>
      <c r="Y111" s="193">
        <v>1748730342</v>
      </c>
      <c r="Z111" s="193">
        <v>1748730342</v>
      </c>
      <c r="AA111" s="193">
        <v>1748730342</v>
      </c>
    </row>
    <row r="112" spans="1:27" ht="33.75" x14ac:dyDescent="0.25">
      <c r="A112" s="227" t="s">
        <v>241</v>
      </c>
      <c r="B112" s="209" t="s">
        <v>242</v>
      </c>
      <c r="C112" s="228" t="s">
        <v>52</v>
      </c>
      <c r="D112" s="227" t="s">
        <v>36</v>
      </c>
      <c r="E112" s="227" t="s">
        <v>43</v>
      </c>
      <c r="F112" s="227"/>
      <c r="G112" s="227"/>
      <c r="H112" s="227"/>
      <c r="I112" s="227"/>
      <c r="J112" s="227"/>
      <c r="K112" s="227"/>
      <c r="L112" s="227"/>
      <c r="M112" s="227" t="s">
        <v>38</v>
      </c>
      <c r="N112" s="227" t="s">
        <v>39</v>
      </c>
      <c r="O112" s="227" t="s">
        <v>40</v>
      </c>
      <c r="P112" s="209" t="s">
        <v>53</v>
      </c>
      <c r="Q112" s="193">
        <v>120804600000</v>
      </c>
      <c r="R112" s="193">
        <v>0</v>
      </c>
      <c r="S112" s="193">
        <v>0</v>
      </c>
      <c r="T112" s="193">
        <v>120804600000</v>
      </c>
      <c r="U112" s="193">
        <v>3152169848.2600002</v>
      </c>
      <c r="V112" s="193">
        <v>113210184641.27</v>
      </c>
      <c r="W112" s="193">
        <v>4442245510.4700003</v>
      </c>
      <c r="X112" s="193">
        <v>106156448410.7</v>
      </c>
      <c r="Y112" s="193">
        <v>55479972320.68</v>
      </c>
      <c r="Z112" s="193">
        <v>55446976800.68</v>
      </c>
      <c r="AA112" s="193">
        <v>55446976800.68</v>
      </c>
    </row>
    <row r="113" spans="1:27" ht="33.75" x14ac:dyDescent="0.25">
      <c r="A113" s="227" t="s">
        <v>241</v>
      </c>
      <c r="B113" s="209" t="s">
        <v>242</v>
      </c>
      <c r="C113" s="228" t="s">
        <v>67</v>
      </c>
      <c r="D113" s="227" t="s">
        <v>36</v>
      </c>
      <c r="E113" s="227" t="s">
        <v>46</v>
      </c>
      <c r="F113" s="227" t="s">
        <v>46</v>
      </c>
      <c r="G113" s="227" t="s">
        <v>37</v>
      </c>
      <c r="H113" s="227" t="s">
        <v>68</v>
      </c>
      <c r="I113" s="227"/>
      <c r="J113" s="227"/>
      <c r="K113" s="227"/>
      <c r="L113" s="227"/>
      <c r="M113" s="227" t="s">
        <v>38</v>
      </c>
      <c r="N113" s="227" t="s">
        <v>39</v>
      </c>
      <c r="O113" s="227" t="s">
        <v>40</v>
      </c>
      <c r="P113" s="209" t="s">
        <v>69</v>
      </c>
      <c r="Q113" s="193">
        <v>160921516152</v>
      </c>
      <c r="R113" s="193">
        <v>0</v>
      </c>
      <c r="S113" s="193">
        <v>106544481890</v>
      </c>
      <c r="T113" s="193">
        <v>54377034262</v>
      </c>
      <c r="U113" s="193">
        <v>49777034262</v>
      </c>
      <c r="V113" s="193">
        <v>4600000000</v>
      </c>
      <c r="W113" s="193">
        <v>0</v>
      </c>
      <c r="X113" s="193">
        <v>0</v>
      </c>
      <c r="Y113" s="193">
        <v>0</v>
      </c>
      <c r="Z113" s="193">
        <v>0</v>
      </c>
      <c r="AA113" s="193">
        <v>0</v>
      </c>
    </row>
    <row r="114" spans="1:27" ht="45" x14ac:dyDescent="0.25">
      <c r="A114" s="227" t="s">
        <v>241</v>
      </c>
      <c r="B114" s="209" t="s">
        <v>242</v>
      </c>
      <c r="C114" s="228" t="s">
        <v>243</v>
      </c>
      <c r="D114" s="227" t="s">
        <v>36</v>
      </c>
      <c r="E114" s="227" t="s">
        <v>46</v>
      </c>
      <c r="F114" s="227" t="s">
        <v>49</v>
      </c>
      <c r="G114" s="227" t="s">
        <v>37</v>
      </c>
      <c r="H114" s="227" t="s">
        <v>244</v>
      </c>
      <c r="I114" s="227"/>
      <c r="J114" s="227"/>
      <c r="K114" s="227"/>
      <c r="L114" s="227"/>
      <c r="M114" s="227" t="s">
        <v>38</v>
      </c>
      <c r="N114" s="227" t="s">
        <v>39</v>
      </c>
      <c r="O114" s="227" t="s">
        <v>40</v>
      </c>
      <c r="P114" s="209" t="s">
        <v>245</v>
      </c>
      <c r="Q114" s="193">
        <v>330168400000</v>
      </c>
      <c r="R114" s="193">
        <v>59144481890</v>
      </c>
      <c r="S114" s="193">
        <v>0</v>
      </c>
      <c r="T114" s="193">
        <v>389312881890</v>
      </c>
      <c r="U114" s="193">
        <v>0</v>
      </c>
      <c r="V114" s="193">
        <v>389312881890</v>
      </c>
      <c r="W114" s="193">
        <v>0</v>
      </c>
      <c r="X114" s="193">
        <v>389312881890</v>
      </c>
      <c r="Y114" s="193">
        <v>248804722797.32999</v>
      </c>
      <c r="Z114" s="193">
        <v>248804722797.32999</v>
      </c>
      <c r="AA114" s="193">
        <v>248804722797.32999</v>
      </c>
    </row>
    <row r="115" spans="1:27" ht="33.75" x14ac:dyDescent="0.25">
      <c r="A115" s="227" t="s">
        <v>241</v>
      </c>
      <c r="B115" s="209" t="s">
        <v>242</v>
      </c>
      <c r="C115" s="228" t="s">
        <v>246</v>
      </c>
      <c r="D115" s="227" t="s">
        <v>36</v>
      </c>
      <c r="E115" s="227" t="s">
        <v>46</v>
      </c>
      <c r="F115" s="227" t="s">
        <v>49</v>
      </c>
      <c r="G115" s="227" t="s">
        <v>37</v>
      </c>
      <c r="H115" s="227" t="s">
        <v>172</v>
      </c>
      <c r="I115" s="227"/>
      <c r="J115" s="227"/>
      <c r="K115" s="227"/>
      <c r="L115" s="227"/>
      <c r="M115" s="227" t="s">
        <v>38</v>
      </c>
      <c r="N115" s="227" t="s">
        <v>39</v>
      </c>
      <c r="O115" s="227" t="s">
        <v>40</v>
      </c>
      <c r="P115" s="209" t="s">
        <v>247</v>
      </c>
      <c r="Q115" s="193">
        <v>765127083848</v>
      </c>
      <c r="R115" s="193">
        <v>47400000000</v>
      </c>
      <c r="S115" s="193">
        <v>0</v>
      </c>
      <c r="T115" s="193">
        <v>812527083848</v>
      </c>
      <c r="U115" s="193">
        <v>0</v>
      </c>
      <c r="V115" s="193">
        <v>812527083847.80005</v>
      </c>
      <c r="W115" s="193">
        <v>0.2</v>
      </c>
      <c r="X115" s="193">
        <v>812125086069.80005</v>
      </c>
      <c r="Y115" s="193">
        <v>445027466006.64001</v>
      </c>
      <c r="Z115" s="193">
        <v>445027466006.64001</v>
      </c>
      <c r="AA115" s="193">
        <v>445027466006.64001</v>
      </c>
    </row>
    <row r="116" spans="1:27" ht="33.75" x14ac:dyDescent="0.25">
      <c r="A116" s="227" t="s">
        <v>241</v>
      </c>
      <c r="B116" s="209" t="s">
        <v>242</v>
      </c>
      <c r="C116" s="228" t="s">
        <v>73</v>
      </c>
      <c r="D116" s="227" t="s">
        <v>36</v>
      </c>
      <c r="E116" s="227" t="s">
        <v>46</v>
      </c>
      <c r="F116" s="227" t="s">
        <v>49</v>
      </c>
      <c r="G116" s="227" t="s">
        <v>43</v>
      </c>
      <c r="H116" s="227" t="s">
        <v>71</v>
      </c>
      <c r="I116" s="227"/>
      <c r="J116" s="227"/>
      <c r="K116" s="227"/>
      <c r="L116" s="227"/>
      <c r="M116" s="227" t="s">
        <v>38</v>
      </c>
      <c r="N116" s="227" t="s">
        <v>39</v>
      </c>
      <c r="O116" s="227" t="s">
        <v>40</v>
      </c>
      <c r="P116" s="209" t="s">
        <v>74</v>
      </c>
      <c r="Q116" s="193">
        <v>148100000</v>
      </c>
      <c r="R116" s="193">
        <v>0</v>
      </c>
      <c r="S116" s="193">
        <v>0</v>
      </c>
      <c r="T116" s="193">
        <v>148100000</v>
      </c>
      <c r="U116" s="193">
        <v>0</v>
      </c>
      <c r="V116" s="193">
        <v>148100000</v>
      </c>
      <c r="W116" s="193">
        <v>0</v>
      </c>
      <c r="X116" s="193">
        <v>89895040</v>
      </c>
      <c r="Y116" s="193">
        <v>57342182</v>
      </c>
      <c r="Z116" s="193">
        <v>57342182</v>
      </c>
      <c r="AA116" s="193">
        <v>57342182</v>
      </c>
    </row>
    <row r="117" spans="1:27" ht="33.75" x14ac:dyDescent="0.25">
      <c r="A117" s="227" t="s">
        <v>241</v>
      </c>
      <c r="B117" s="209" t="s">
        <v>242</v>
      </c>
      <c r="C117" s="228" t="s">
        <v>75</v>
      </c>
      <c r="D117" s="227" t="s">
        <v>36</v>
      </c>
      <c r="E117" s="227" t="s">
        <v>46</v>
      </c>
      <c r="F117" s="227" t="s">
        <v>39</v>
      </c>
      <c r="G117" s="227"/>
      <c r="H117" s="227"/>
      <c r="I117" s="227"/>
      <c r="J117" s="227"/>
      <c r="K117" s="227"/>
      <c r="L117" s="227"/>
      <c r="M117" s="227" t="s">
        <v>38</v>
      </c>
      <c r="N117" s="227" t="s">
        <v>39</v>
      </c>
      <c r="O117" s="227" t="s">
        <v>40</v>
      </c>
      <c r="P117" s="209" t="s">
        <v>76</v>
      </c>
      <c r="Q117" s="193">
        <v>21995700000</v>
      </c>
      <c r="R117" s="193">
        <v>0</v>
      </c>
      <c r="S117" s="193">
        <v>0</v>
      </c>
      <c r="T117" s="193">
        <v>21995700000</v>
      </c>
      <c r="U117" s="193">
        <v>3000000000</v>
      </c>
      <c r="V117" s="193">
        <v>18533772391.75</v>
      </c>
      <c r="W117" s="193">
        <v>461927608.25</v>
      </c>
      <c r="X117" s="193">
        <v>15292314950.25</v>
      </c>
      <c r="Y117" s="193">
        <v>15292314950.25</v>
      </c>
      <c r="Z117" s="193">
        <v>15292314950.25</v>
      </c>
      <c r="AA117" s="193">
        <v>15292314950.25</v>
      </c>
    </row>
    <row r="118" spans="1:27" ht="33.75" x14ac:dyDescent="0.25">
      <c r="A118" s="227" t="s">
        <v>241</v>
      </c>
      <c r="B118" s="209" t="s">
        <v>242</v>
      </c>
      <c r="C118" s="228" t="s">
        <v>77</v>
      </c>
      <c r="D118" s="227" t="s">
        <v>36</v>
      </c>
      <c r="E118" s="227" t="s">
        <v>78</v>
      </c>
      <c r="F118" s="227" t="s">
        <v>37</v>
      </c>
      <c r="G118" s="227"/>
      <c r="H118" s="227"/>
      <c r="I118" s="227"/>
      <c r="J118" s="227"/>
      <c r="K118" s="227"/>
      <c r="L118" s="227"/>
      <c r="M118" s="227" t="s">
        <v>38</v>
      </c>
      <c r="N118" s="227" t="s">
        <v>39</v>
      </c>
      <c r="O118" s="227" t="s">
        <v>40</v>
      </c>
      <c r="P118" s="209" t="s">
        <v>79</v>
      </c>
      <c r="Q118" s="193">
        <v>8500000</v>
      </c>
      <c r="R118" s="193">
        <v>0</v>
      </c>
      <c r="S118" s="193">
        <v>0</v>
      </c>
      <c r="T118" s="193">
        <v>8500000</v>
      </c>
      <c r="U118" s="193">
        <v>7500000</v>
      </c>
      <c r="V118" s="193">
        <v>1000000</v>
      </c>
      <c r="W118" s="193">
        <v>0</v>
      </c>
      <c r="X118" s="193">
        <v>1000000</v>
      </c>
      <c r="Y118" s="193">
        <v>949000</v>
      </c>
      <c r="Z118" s="193">
        <v>949000</v>
      </c>
      <c r="AA118" s="193">
        <v>949000</v>
      </c>
    </row>
    <row r="119" spans="1:27" ht="33.75" x14ac:dyDescent="0.25">
      <c r="A119" s="227" t="s">
        <v>241</v>
      </c>
      <c r="B119" s="209" t="s">
        <v>242</v>
      </c>
      <c r="C119" s="228" t="s">
        <v>82</v>
      </c>
      <c r="D119" s="227" t="s">
        <v>36</v>
      </c>
      <c r="E119" s="227" t="s">
        <v>78</v>
      </c>
      <c r="F119" s="227" t="s">
        <v>49</v>
      </c>
      <c r="G119" s="227" t="s">
        <v>37</v>
      </c>
      <c r="H119" s="227"/>
      <c r="I119" s="227"/>
      <c r="J119" s="227"/>
      <c r="K119" s="227"/>
      <c r="L119" s="227"/>
      <c r="M119" s="227" t="s">
        <v>38</v>
      </c>
      <c r="N119" s="227" t="s">
        <v>54</v>
      </c>
      <c r="O119" s="227" t="s">
        <v>55</v>
      </c>
      <c r="P119" s="209" t="s">
        <v>83</v>
      </c>
      <c r="Q119" s="193">
        <v>3474200000</v>
      </c>
      <c r="R119" s="193">
        <v>0</v>
      </c>
      <c r="S119" s="193">
        <v>0</v>
      </c>
      <c r="T119" s="193">
        <v>3474200000</v>
      </c>
      <c r="U119" s="193">
        <v>0</v>
      </c>
      <c r="V119" s="193">
        <v>0</v>
      </c>
      <c r="W119" s="193">
        <v>3474200000</v>
      </c>
      <c r="X119" s="193">
        <v>0</v>
      </c>
      <c r="Y119" s="193">
        <v>0</v>
      </c>
      <c r="Z119" s="193">
        <v>0</v>
      </c>
      <c r="AA119" s="193">
        <v>0</v>
      </c>
    </row>
    <row r="120" spans="1:27" ht="33.75" x14ac:dyDescent="0.25">
      <c r="A120" s="227" t="s">
        <v>241</v>
      </c>
      <c r="B120" s="209" t="s">
        <v>242</v>
      </c>
      <c r="C120" s="228" t="s">
        <v>178</v>
      </c>
      <c r="D120" s="227" t="s">
        <v>36</v>
      </c>
      <c r="E120" s="227" t="s">
        <v>78</v>
      </c>
      <c r="F120" s="227" t="s">
        <v>179</v>
      </c>
      <c r="G120" s="227"/>
      <c r="H120" s="227"/>
      <c r="I120" s="227"/>
      <c r="J120" s="227"/>
      <c r="K120" s="227"/>
      <c r="L120" s="227"/>
      <c r="M120" s="227" t="s">
        <v>38</v>
      </c>
      <c r="N120" s="227" t="s">
        <v>39</v>
      </c>
      <c r="O120" s="227" t="s">
        <v>40</v>
      </c>
      <c r="P120" s="209" t="s">
        <v>180</v>
      </c>
      <c r="Q120" s="193">
        <v>13700000</v>
      </c>
      <c r="R120" s="193">
        <v>0</v>
      </c>
      <c r="S120" s="193">
        <v>0</v>
      </c>
      <c r="T120" s="193">
        <v>13700000</v>
      </c>
      <c r="U120" s="193">
        <v>13700000</v>
      </c>
      <c r="V120" s="193">
        <v>0</v>
      </c>
      <c r="W120" s="193">
        <v>0</v>
      </c>
      <c r="X120" s="193">
        <v>0</v>
      </c>
      <c r="Y120" s="193">
        <v>0</v>
      </c>
      <c r="Z120" s="193">
        <v>0</v>
      </c>
      <c r="AA120" s="193">
        <v>0</v>
      </c>
    </row>
    <row r="121" spans="1:27" ht="67.5" x14ac:dyDescent="0.25">
      <c r="A121" s="227" t="s">
        <v>241</v>
      </c>
      <c r="B121" s="209" t="s">
        <v>242</v>
      </c>
      <c r="C121" s="228" t="s">
        <v>248</v>
      </c>
      <c r="D121" s="227" t="s">
        <v>85</v>
      </c>
      <c r="E121" s="227" t="s">
        <v>219</v>
      </c>
      <c r="F121" s="227" t="s">
        <v>87</v>
      </c>
      <c r="G121" s="227" t="s">
        <v>227</v>
      </c>
      <c r="H121" s="227" t="s">
        <v>224</v>
      </c>
      <c r="I121" s="227"/>
      <c r="J121" s="227"/>
      <c r="K121" s="227"/>
      <c r="L121" s="227"/>
      <c r="M121" s="227" t="s">
        <v>38</v>
      </c>
      <c r="N121" s="227" t="s">
        <v>51</v>
      </c>
      <c r="O121" s="227" t="s">
        <v>40</v>
      </c>
      <c r="P121" s="209" t="s">
        <v>249</v>
      </c>
      <c r="Q121" s="193">
        <v>324912355109</v>
      </c>
      <c r="R121" s="193">
        <v>0</v>
      </c>
      <c r="S121" s="193">
        <v>0</v>
      </c>
      <c r="T121" s="193">
        <v>324912355109</v>
      </c>
      <c r="U121" s="193">
        <v>0</v>
      </c>
      <c r="V121" s="193">
        <v>301370684167.47998</v>
      </c>
      <c r="W121" s="193">
        <v>23541670941.52</v>
      </c>
      <c r="X121" s="193">
        <v>225096216247.70001</v>
      </c>
      <c r="Y121" s="193">
        <v>72196901511.529999</v>
      </c>
      <c r="Z121" s="193">
        <v>72196901511.529999</v>
      </c>
      <c r="AA121" s="193">
        <v>72196901511.529999</v>
      </c>
    </row>
    <row r="122" spans="1:27" ht="67.5" x14ac:dyDescent="0.25">
      <c r="A122" s="227" t="s">
        <v>241</v>
      </c>
      <c r="B122" s="209" t="s">
        <v>242</v>
      </c>
      <c r="C122" s="228" t="s">
        <v>250</v>
      </c>
      <c r="D122" s="227" t="s">
        <v>85</v>
      </c>
      <c r="E122" s="227" t="s">
        <v>219</v>
      </c>
      <c r="F122" s="227" t="s">
        <v>87</v>
      </c>
      <c r="G122" s="227" t="s">
        <v>142</v>
      </c>
      <c r="H122" s="227" t="s">
        <v>224</v>
      </c>
      <c r="I122" s="227"/>
      <c r="J122" s="227"/>
      <c r="K122" s="227"/>
      <c r="L122" s="227"/>
      <c r="M122" s="227" t="s">
        <v>38</v>
      </c>
      <c r="N122" s="227" t="s">
        <v>51</v>
      </c>
      <c r="O122" s="227" t="s">
        <v>40</v>
      </c>
      <c r="P122" s="209" t="s">
        <v>251</v>
      </c>
      <c r="Q122" s="193">
        <v>150229806255</v>
      </c>
      <c r="R122" s="193">
        <v>0</v>
      </c>
      <c r="S122" s="193">
        <v>0</v>
      </c>
      <c r="T122" s="193">
        <v>150229806255</v>
      </c>
      <c r="U122" s="193">
        <v>0</v>
      </c>
      <c r="V122" s="193">
        <v>147030897022.73001</v>
      </c>
      <c r="W122" s="193">
        <v>3198909232.27</v>
      </c>
      <c r="X122" s="193">
        <v>115028696250.67</v>
      </c>
      <c r="Y122" s="193">
        <v>11574542894.879999</v>
      </c>
      <c r="Z122" s="193">
        <v>11574542894.879999</v>
      </c>
      <c r="AA122" s="193">
        <v>11574542894.879999</v>
      </c>
    </row>
    <row r="123" spans="1:27" ht="67.5" x14ac:dyDescent="0.25">
      <c r="A123" s="227" t="s">
        <v>241</v>
      </c>
      <c r="B123" s="209" t="s">
        <v>242</v>
      </c>
      <c r="C123" s="228" t="s">
        <v>252</v>
      </c>
      <c r="D123" s="227" t="s">
        <v>85</v>
      </c>
      <c r="E123" s="227" t="s">
        <v>219</v>
      </c>
      <c r="F123" s="227" t="s">
        <v>87</v>
      </c>
      <c r="G123" s="227" t="s">
        <v>39</v>
      </c>
      <c r="H123" s="227" t="s">
        <v>224</v>
      </c>
      <c r="I123" s="227"/>
      <c r="J123" s="227"/>
      <c r="K123" s="227"/>
      <c r="L123" s="227"/>
      <c r="M123" s="227" t="s">
        <v>38</v>
      </c>
      <c r="N123" s="227" t="s">
        <v>39</v>
      </c>
      <c r="O123" s="227" t="s">
        <v>40</v>
      </c>
      <c r="P123" s="209" t="s">
        <v>253</v>
      </c>
      <c r="Q123" s="193">
        <v>20000000000</v>
      </c>
      <c r="R123" s="193">
        <v>0</v>
      </c>
      <c r="S123" s="193">
        <v>0</v>
      </c>
      <c r="T123" s="193">
        <v>20000000000</v>
      </c>
      <c r="U123" s="193">
        <v>19967050895</v>
      </c>
      <c r="V123" s="193">
        <v>32949105</v>
      </c>
      <c r="W123" s="193">
        <v>0</v>
      </c>
      <c r="X123" s="193">
        <v>32949105</v>
      </c>
      <c r="Y123" s="193">
        <v>25104080</v>
      </c>
      <c r="Z123" s="193">
        <v>25104080</v>
      </c>
      <c r="AA123" s="193">
        <v>25104080</v>
      </c>
    </row>
    <row r="124" spans="1:27" ht="67.5" x14ac:dyDescent="0.25">
      <c r="A124" s="227" t="s">
        <v>241</v>
      </c>
      <c r="B124" s="229" t="s">
        <v>242</v>
      </c>
      <c r="C124" s="228" t="s">
        <v>252</v>
      </c>
      <c r="D124" s="227" t="s">
        <v>85</v>
      </c>
      <c r="E124" s="227" t="s">
        <v>219</v>
      </c>
      <c r="F124" s="227" t="s">
        <v>87</v>
      </c>
      <c r="G124" s="227" t="s">
        <v>39</v>
      </c>
      <c r="H124" s="227" t="s">
        <v>224</v>
      </c>
      <c r="I124" s="227"/>
      <c r="J124" s="227"/>
      <c r="K124" s="227"/>
      <c r="L124" s="227"/>
      <c r="M124" s="227" t="s">
        <v>38</v>
      </c>
      <c r="N124" s="227" t="s">
        <v>51</v>
      </c>
      <c r="O124" s="227" t="s">
        <v>40</v>
      </c>
      <c r="P124" s="209" t="s">
        <v>254</v>
      </c>
      <c r="Q124" s="193">
        <v>23743838636</v>
      </c>
      <c r="R124" s="230">
        <v>0</v>
      </c>
      <c r="S124" s="230">
        <v>0</v>
      </c>
      <c r="T124" s="230">
        <v>23743838636</v>
      </c>
      <c r="U124" s="230">
        <v>0</v>
      </c>
      <c r="V124" s="230">
        <v>23743838636</v>
      </c>
      <c r="W124" s="230">
        <v>0</v>
      </c>
      <c r="X124" s="230">
        <v>32949105</v>
      </c>
      <c r="Y124" s="230">
        <v>22384471</v>
      </c>
      <c r="Z124" s="230">
        <v>22384471</v>
      </c>
      <c r="AA124" s="230">
        <v>22384471</v>
      </c>
    </row>
    <row r="125" spans="1:27" s="237" customFormat="1" ht="32.25" customHeight="1" x14ac:dyDescent="0.25">
      <c r="A125" s="237" t="s">
        <v>1</v>
      </c>
      <c r="B125" s="237" t="s">
        <v>1</v>
      </c>
      <c r="C125" s="237" t="s">
        <v>1</v>
      </c>
      <c r="D125" s="237" t="s">
        <v>1</v>
      </c>
      <c r="E125" s="237" t="s">
        <v>1</v>
      </c>
      <c r="F125" s="237" t="s">
        <v>1</v>
      </c>
      <c r="G125" s="237" t="s">
        <v>1</v>
      </c>
      <c r="H125" s="237" t="s">
        <v>1</v>
      </c>
      <c r="I125" s="237" t="s">
        <v>1</v>
      </c>
      <c r="J125" s="237" t="s">
        <v>1</v>
      </c>
      <c r="K125" s="237" t="s">
        <v>1</v>
      </c>
      <c r="L125" s="237" t="s">
        <v>1</v>
      </c>
      <c r="M125" s="237" t="s">
        <v>1</v>
      </c>
      <c r="N125" s="237" t="s">
        <v>1</v>
      </c>
      <c r="O125" s="237" t="s">
        <v>1</v>
      </c>
      <c r="P125" s="237" t="s">
        <v>1</v>
      </c>
      <c r="Q125" s="237">
        <v>5078385548615</v>
      </c>
      <c r="R125" s="237">
        <v>169892002159</v>
      </c>
      <c r="S125" s="237">
        <v>141510445229</v>
      </c>
      <c r="T125" s="237">
        <v>5106767105545</v>
      </c>
      <c r="U125" s="237">
        <v>278808970683.51001</v>
      </c>
      <c r="V125" s="237">
        <v>4249447109839.5698</v>
      </c>
      <c r="W125" s="237">
        <v>578511025021.92004</v>
      </c>
      <c r="X125" s="237">
        <v>3963615445148.2998</v>
      </c>
      <c r="Y125" s="237">
        <v>2869360062055.8999</v>
      </c>
      <c r="Z125" s="237">
        <v>2859793895730.5698</v>
      </c>
      <c r="AA125" s="237">
        <v>2854503543978.2598</v>
      </c>
    </row>
    <row r="126" spans="1:27" ht="33.950000000000003" customHeight="1" x14ac:dyDescent="0.25"/>
  </sheetData>
  <autoFilter ref="A4:AA124"/>
  <phoneticPr fontId="60" type="noConversion"/>
  <pageMargins left="0.78740157480314998" right="0.78740157480314998" top="0.78740157480314998" bottom="0.78740157480314998" header="0.78740157480314998" footer="0.78740157480314998"/>
  <pageSetup paperSize="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8">
    <tabColor rgb="FF7030A0"/>
    <pageSetUpPr fitToPage="1"/>
  </sheetPr>
  <dimension ref="B1:M16"/>
  <sheetViews>
    <sheetView showGridLines="0" topLeftCell="E1" zoomScale="70" zoomScaleNormal="70" workbookViewId="0">
      <selection activeCell="W14" sqref="W14"/>
    </sheetView>
  </sheetViews>
  <sheetFormatPr baseColWidth="10" defaultColWidth="11.42578125" defaultRowHeight="15" x14ac:dyDescent="0.25"/>
  <cols>
    <col min="1" max="1" width="5.42578125" style="27" customWidth="1"/>
    <col min="2" max="2" width="16.140625" style="27" customWidth="1"/>
    <col min="3" max="3" width="45.85546875" style="27" customWidth="1"/>
    <col min="4" max="4" width="29.140625" style="27" customWidth="1"/>
    <col min="5" max="5" width="20.85546875" style="27" bestFit="1" customWidth="1"/>
    <col min="6" max="6" width="18.85546875" style="27" customWidth="1"/>
    <col min="7" max="7" width="20.85546875" style="27" bestFit="1" customWidth="1"/>
    <col min="8" max="8" width="19.85546875" style="27" bestFit="1" customWidth="1"/>
    <col min="9" max="9" width="18.42578125" style="30" bestFit="1" customWidth="1"/>
    <col min="10" max="10" width="18.42578125" style="30" hidden="1" customWidth="1"/>
    <col min="11" max="11" width="22.42578125" style="27" customWidth="1"/>
    <col min="12" max="12" width="14.7109375" style="30" bestFit="1" customWidth="1"/>
    <col min="13" max="13" width="16.7109375" style="27" hidden="1" customWidth="1"/>
    <col min="14" max="16384" width="11.42578125" style="27"/>
  </cols>
  <sheetData>
    <row r="1" spans="2:13" ht="12" customHeight="1" x14ac:dyDescent="0.25">
      <c r="I1" s="242"/>
      <c r="J1" s="242"/>
      <c r="L1" s="242"/>
    </row>
    <row r="2" spans="2:13" ht="18.75" customHeight="1" x14ac:dyDescent="0.25">
      <c r="I2" s="242"/>
      <c r="J2" s="242"/>
      <c r="L2" s="242"/>
    </row>
    <row r="3" spans="2:13" ht="18.75" customHeight="1" x14ac:dyDescent="0.25">
      <c r="I3" s="242"/>
      <c r="J3" s="242"/>
      <c r="L3" s="242"/>
    </row>
    <row r="4" spans="2:13" ht="18.75" customHeight="1" x14ac:dyDescent="0.25">
      <c r="I4" s="242"/>
      <c r="J4" s="242"/>
      <c r="L4" s="242"/>
    </row>
    <row r="5" spans="2:13" ht="18.75" customHeight="1" x14ac:dyDescent="0.25">
      <c r="I5" s="242"/>
      <c r="J5" s="242"/>
      <c r="L5" s="242"/>
    </row>
    <row r="6" spans="2:13" ht="27" customHeight="1" x14ac:dyDescent="0.3">
      <c r="H6" s="190"/>
      <c r="I6" s="261" t="s">
        <v>258</v>
      </c>
      <c r="J6" s="261"/>
      <c r="K6" s="261"/>
      <c r="L6" s="261"/>
    </row>
    <row r="7" spans="2:13" ht="14.25" customHeight="1" x14ac:dyDescent="0.25">
      <c r="H7" s="190"/>
      <c r="I7" s="190"/>
      <c r="J7" s="190"/>
      <c r="K7" s="190"/>
      <c r="L7" s="190"/>
    </row>
    <row r="8" spans="2:13" ht="15.75" customHeight="1" x14ac:dyDescent="0.25">
      <c r="I8" s="242"/>
      <c r="J8" s="242"/>
      <c r="L8" s="242"/>
    </row>
    <row r="9" spans="2:13" ht="50.25" customHeight="1" x14ac:dyDescent="0.25">
      <c r="B9" s="263" t="s">
        <v>384</v>
      </c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</row>
    <row r="10" spans="2:13" ht="49.5" customHeight="1" thickBot="1" x14ac:dyDescent="0.3">
      <c r="B10" s="154" t="s">
        <v>385</v>
      </c>
      <c r="C10" s="154" t="s">
        <v>298</v>
      </c>
      <c r="D10" s="154" t="s">
        <v>345</v>
      </c>
      <c r="E10" s="155" t="s">
        <v>300</v>
      </c>
      <c r="F10" s="155" t="s">
        <v>386</v>
      </c>
      <c r="G10" s="155" t="s">
        <v>283</v>
      </c>
      <c r="H10" s="35" t="s">
        <v>284</v>
      </c>
      <c r="I10" s="31" t="s">
        <v>285</v>
      </c>
      <c r="J10" s="31" t="s">
        <v>286</v>
      </c>
      <c r="K10" s="35" t="s">
        <v>287</v>
      </c>
      <c r="L10" s="31" t="s">
        <v>288</v>
      </c>
      <c r="M10" s="31" t="s">
        <v>289</v>
      </c>
    </row>
    <row r="11" spans="2:13" ht="65.25" customHeight="1" thickBot="1" x14ac:dyDescent="0.3">
      <c r="B11" s="293" t="s">
        <v>387</v>
      </c>
      <c r="C11" s="78" t="str">
        <f>+REP_EPG034_EjecucionPresupuesta!P107</f>
        <v>2. SEGURIDAD HUMANA Y JUSTICIA SOCIAL / E. SISTEMA NACIONAL DE DEFENSA JURÍDICA DEL ESTADO - C-1205-0800-3-20110E - RECURSO 11</v>
      </c>
      <c r="D11" s="294" t="s">
        <v>388</v>
      </c>
      <c r="E11" s="217">
        <f>SUMIFS(REP_EPG034_EjecucionPresupuesta!$T$105:$T$107,REP_EPG034_EjecucionPresupuesta!$P$105:$P$107,"2. SEGURIDAD HUMANA Y JUSTICIA SOCIAL / E. SISTEMA NACIONAL DE DEFENSA JURÍDICA DEL ESTADO - C-1205-0800-3-20110E - RECURSO 11")</f>
        <v>2176706795</v>
      </c>
      <c r="F11" s="218">
        <f>SUMIFS(REP_EPG034_EjecucionPresupuesta!$U$105:$U$107,REP_EPG034_EjecucionPresupuesta!$P$105:$P$107,"2. SEGURIDAD HUMANA Y JUSTICIA SOCIAL / E. SISTEMA NACIONAL DE DEFENSA JURÍDICA DEL ESTADO - C-1205-0800-3-20110E - RECURSO 11")</f>
        <v>177080540</v>
      </c>
      <c r="G11" s="218">
        <f>+E11-F11</f>
        <v>1999626255</v>
      </c>
      <c r="H11" s="218">
        <f>SUMIFS(REP_EPG034_EjecucionPresupuesta!$X$105:$X$107,REP_EPG034_EjecucionPresupuesta!$P$105:$P$107,"2. SEGURIDAD HUMANA Y JUSTICIA SOCIAL / E. SISTEMA NACIONAL DE DEFENSA JURÍDICA DEL ESTADO - C-1205-0800-3-20110E - RECURSO 11")</f>
        <v>1449729204</v>
      </c>
      <c r="I11" s="143">
        <f>+H11/E11</f>
        <v>0.66601951504451473</v>
      </c>
      <c r="J11" s="143">
        <f>+H11/G11</f>
        <v>0.72500008457830534</v>
      </c>
      <c r="K11" s="71">
        <f>SUMIFS(REP_EPG034_EjecucionPresupuesta!$Y$105:$Y$107,REP_EPG034_EjecucionPresupuesta!$P$105:$P$107,"2. SEGURIDAD HUMANA Y JUSTICIA SOCIAL / E. SISTEMA NACIONAL DE DEFENSA JURÍDICA DEL ESTADO - C-1205-0800-3-20110E - RECURSO 11")</f>
        <v>288254489.19999999</v>
      </c>
      <c r="L11" s="143">
        <f>+K11/E11</f>
        <v>0.13242687984533993</v>
      </c>
      <c r="M11" s="143">
        <f>+K11/G11</f>
        <v>0.14415418305257249</v>
      </c>
    </row>
    <row r="12" spans="2:13" ht="65.25" customHeight="1" thickBot="1" x14ac:dyDescent="0.3">
      <c r="B12" s="294"/>
      <c r="C12" s="78" t="str">
        <f>REP_EPG034_EjecucionPresupuesta!P108</f>
        <v>2. SEGURIDAD HUMANA Y JUSTICIA SOCIAL / E. SISTEMA NACIONAL DE DEFENSA JURÍDICA DEL ESTADO - C-1205-0800-3-20110E - RECURSO 14</v>
      </c>
      <c r="D12" s="294"/>
      <c r="E12" s="217">
        <f>SUMIFS(REP_EPG034_EjecucionPresupuesta!$T$106:$T$108,REP_EPG034_EjecucionPresupuesta!$P$106:$P$108,"2. SEGURIDAD HUMANA Y JUSTICIA SOCIAL / E. SISTEMA NACIONAL DE DEFENSA JURÍDICA DEL ESTADO - C-1205-0800-3-20110E - RECURSO 14")</f>
        <v>13300293205</v>
      </c>
      <c r="F12" s="218">
        <f>SUMIFS(REP_EPG034_EjecucionPresupuesta!$U$106:$U$108,REP_EPG034_EjecucionPresupuesta!$P$106:$P$108,"2. SEGURIDAD HUMANA Y JUSTICIA SOCIAL / E. SISTEMA NACIONAL DE DEFENSA JURÍDICA DEL ESTADO - C-1205-0800-3-20110E - RECURSO 14")</f>
        <v>0</v>
      </c>
      <c r="G12" s="218">
        <f>+E12-F12</f>
        <v>13300293205</v>
      </c>
      <c r="H12" s="218">
        <f>SUMIFS(REP_EPG034_EjecucionPresupuesta!$X$106:$X$108,REP_EPG034_EjecucionPresupuesta!$P$106:$P$108,"2. SEGURIDAD HUMANA Y JUSTICIA SOCIAL / E. SISTEMA NACIONAL DE DEFENSA JURÍDICA DEL ESTADO - C-1205-0800-3-20110E - RECURSO 14")</f>
        <v>13169225138.809999</v>
      </c>
      <c r="I12" s="143">
        <f>+H12/E12</f>
        <v>0.99014547542901321</v>
      </c>
      <c r="J12" s="143">
        <f>+H12/G12</f>
        <v>0.99014547542901321</v>
      </c>
      <c r="K12" s="71">
        <f>SUMIFS(REP_EPG034_EjecucionPresupuesta!$Y$106:$Y$108,REP_EPG034_EjecucionPresupuesta!$P$106:$P$108,"2. SEGURIDAD HUMANA Y JUSTICIA SOCIAL / E. SISTEMA NACIONAL DE DEFENSA JURÍDICA DEL ESTADO - C-1205-0800-3-20110E - RECURSO 14")</f>
        <v>5395811968.3699999</v>
      </c>
      <c r="L12" s="143">
        <f>+K12/E12</f>
        <v>0.40569120433687461</v>
      </c>
      <c r="M12" s="143">
        <f>+K12/G12</f>
        <v>0.40569120433687461</v>
      </c>
    </row>
    <row r="13" spans="2:13" ht="30" customHeight="1" x14ac:dyDescent="0.25">
      <c r="B13" s="268" t="s">
        <v>322</v>
      </c>
      <c r="C13" s="268"/>
      <c r="D13" s="269"/>
      <c r="E13" s="214">
        <f>+SUM(E11:E12)</f>
        <v>15477000000</v>
      </c>
      <c r="F13" s="219">
        <f>+SUM(F11:F12)</f>
        <v>177080540</v>
      </c>
      <c r="G13" s="214">
        <f>+SUM(G11:G12)</f>
        <v>15299919460</v>
      </c>
      <c r="H13" s="214">
        <f>+SUM(H11:H12)</f>
        <v>14618954342.809999</v>
      </c>
      <c r="I13" s="203">
        <f>+H13/E13</f>
        <v>0.94455994978419588</v>
      </c>
      <c r="J13" s="203">
        <f>H13/G13</f>
        <v>0.95549224170948677</v>
      </c>
      <c r="K13" s="153">
        <f>+SUM(K11:K12)</f>
        <v>5684066457.5699997</v>
      </c>
      <c r="L13" s="203">
        <f>+K13/E13</f>
        <v>0.36725892986819147</v>
      </c>
      <c r="M13" s="203">
        <f>+K13/G13</f>
        <v>0.37150956725166967</v>
      </c>
    </row>
    <row r="15" spans="2:13" ht="15" customHeight="1" x14ac:dyDescent="0.25">
      <c r="C15" s="284"/>
      <c r="D15" s="284"/>
      <c r="E15" s="284"/>
      <c r="F15" s="284"/>
      <c r="G15" s="284"/>
      <c r="H15" s="284"/>
      <c r="I15" s="284"/>
      <c r="J15" s="284"/>
      <c r="K15" s="284"/>
      <c r="L15" s="284"/>
    </row>
    <row r="16" spans="2:13" ht="15" customHeight="1" x14ac:dyDescent="0.25">
      <c r="C16" s="56"/>
      <c r="D16" s="56"/>
      <c r="E16" s="56"/>
      <c r="F16" s="56"/>
      <c r="G16" s="56"/>
      <c r="H16" s="56"/>
      <c r="I16" s="242"/>
      <c r="J16" s="242"/>
      <c r="L16" s="242"/>
    </row>
  </sheetData>
  <mergeCells count="6">
    <mergeCell ref="I6:L6"/>
    <mergeCell ref="C15:L15"/>
    <mergeCell ref="B9:M9"/>
    <mergeCell ref="B13:D13"/>
    <mergeCell ref="B11:B12"/>
    <mergeCell ref="D11:D12"/>
  </mergeCells>
  <printOptions horizontalCentered="1" verticalCentered="1"/>
  <pageMargins left="0" right="0" top="0" bottom="0" header="0.31496062992125984" footer="0.31496062992125984"/>
  <pageSetup scale="5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9">
    <tabColor theme="9"/>
    <pageSetUpPr fitToPage="1"/>
  </sheetPr>
  <dimension ref="B2:N37"/>
  <sheetViews>
    <sheetView showGridLines="0" topLeftCell="C14" zoomScale="70" zoomScaleNormal="70" workbookViewId="0">
      <selection activeCell="W14" sqref="W14"/>
    </sheetView>
  </sheetViews>
  <sheetFormatPr baseColWidth="10" defaultColWidth="11.42578125" defaultRowHeight="15" x14ac:dyDescent="0.25"/>
  <cols>
    <col min="1" max="1" width="4.140625" style="40" customWidth="1"/>
    <col min="2" max="2" width="55" style="40" customWidth="1"/>
    <col min="3" max="3" width="25.7109375" style="40" customWidth="1"/>
    <col min="4" max="4" width="22.7109375" style="40" customWidth="1"/>
    <col min="5" max="5" width="24.85546875" style="40" customWidth="1"/>
    <col min="6" max="6" width="22.7109375" style="40" customWidth="1"/>
    <col min="7" max="7" width="20" style="41" customWidth="1"/>
    <col min="8" max="8" width="12.85546875" style="41" hidden="1" customWidth="1"/>
    <col min="9" max="9" width="22.7109375" style="40" customWidth="1"/>
    <col min="10" max="10" width="16.140625" style="41" customWidth="1"/>
    <col min="11" max="11" width="0" style="40" hidden="1" customWidth="1"/>
    <col min="12" max="12" width="18.140625" style="41" hidden="1" customWidth="1"/>
    <col min="13" max="13" width="7.85546875" style="40" bestFit="1" customWidth="1"/>
    <col min="14" max="14" width="18.85546875" style="94" hidden="1" customWidth="1"/>
    <col min="15" max="16384" width="11.42578125" style="40"/>
  </cols>
  <sheetData>
    <row r="2" spans="2:14" ht="12" customHeight="1" x14ac:dyDescent="0.25">
      <c r="G2" s="247"/>
      <c r="H2" s="247"/>
      <c r="J2" s="247"/>
      <c r="L2" s="247"/>
      <c r="N2" s="248"/>
    </row>
    <row r="3" spans="2:14" ht="12" customHeight="1" x14ac:dyDescent="0.25">
      <c r="G3" s="247"/>
      <c r="H3" s="247"/>
      <c r="J3" s="247"/>
      <c r="L3" s="247"/>
      <c r="N3" s="248"/>
    </row>
    <row r="4" spans="2:14" ht="12" customHeight="1" x14ac:dyDescent="0.25">
      <c r="G4" s="247"/>
      <c r="H4" s="247"/>
      <c r="J4" s="247"/>
      <c r="L4" s="247"/>
      <c r="N4" s="248"/>
    </row>
    <row r="5" spans="2:14" ht="12" customHeight="1" x14ac:dyDescent="0.25">
      <c r="G5" s="247"/>
      <c r="H5" s="247"/>
      <c r="J5" s="247"/>
      <c r="L5" s="247"/>
      <c r="N5" s="248"/>
    </row>
    <row r="6" spans="2:14" ht="18.75" customHeight="1" x14ac:dyDescent="0.25">
      <c r="G6" s="247"/>
      <c r="H6" s="247"/>
      <c r="J6" s="247"/>
      <c r="L6" s="295"/>
      <c r="M6" s="295"/>
      <c r="N6" s="248"/>
    </row>
    <row r="7" spans="2:14" ht="15.75" customHeight="1" x14ac:dyDescent="0.25">
      <c r="G7" s="298" t="s">
        <v>258</v>
      </c>
      <c r="H7" s="298"/>
      <c r="I7" s="298"/>
      <c r="J7" s="298"/>
      <c r="L7" s="247"/>
      <c r="M7" s="112"/>
      <c r="N7" s="248"/>
    </row>
    <row r="8" spans="2:14" ht="14.25" customHeight="1" x14ac:dyDescent="0.25">
      <c r="F8" s="297"/>
      <c r="G8" s="297"/>
      <c r="H8" s="298"/>
      <c r="I8" s="298"/>
      <c r="J8" s="298"/>
      <c r="K8" s="298"/>
      <c r="L8" s="298"/>
      <c r="M8" s="113"/>
      <c r="N8" s="248"/>
    </row>
    <row r="9" spans="2:14" ht="15.75" customHeight="1" x14ac:dyDescent="0.25">
      <c r="G9" s="247"/>
      <c r="H9" s="298"/>
      <c r="I9" s="298"/>
      <c r="J9" s="298"/>
      <c r="K9" s="298"/>
      <c r="L9" s="298"/>
      <c r="M9" s="114"/>
      <c r="N9" s="248"/>
    </row>
    <row r="10" spans="2:14" ht="50.25" customHeight="1" x14ac:dyDescent="0.25">
      <c r="B10" s="263" t="s">
        <v>389</v>
      </c>
      <c r="C10" s="263"/>
      <c r="D10" s="263"/>
      <c r="E10" s="263"/>
      <c r="F10" s="263"/>
      <c r="G10" s="263"/>
      <c r="H10" s="263"/>
      <c r="I10" s="263"/>
      <c r="J10" s="263"/>
      <c r="K10" s="263"/>
      <c r="L10" s="263"/>
      <c r="N10" s="248"/>
    </row>
    <row r="11" spans="2:14" ht="44.25" customHeight="1" thickBot="1" x14ac:dyDescent="0.3">
      <c r="B11" s="42" t="s">
        <v>299</v>
      </c>
      <c r="C11" s="43" t="s">
        <v>300</v>
      </c>
      <c r="D11" s="43" t="s">
        <v>390</v>
      </c>
      <c r="E11" s="168" t="s">
        <v>283</v>
      </c>
      <c r="F11" s="35" t="s">
        <v>284</v>
      </c>
      <c r="G11" s="31" t="s">
        <v>285</v>
      </c>
      <c r="H11" s="31" t="s">
        <v>286</v>
      </c>
      <c r="I11" s="35" t="s">
        <v>287</v>
      </c>
      <c r="J11" s="31" t="s">
        <v>288</v>
      </c>
      <c r="K11" s="31" t="s">
        <v>289</v>
      </c>
      <c r="L11" s="31" t="s">
        <v>391</v>
      </c>
      <c r="N11" s="249" t="s">
        <v>392</v>
      </c>
    </row>
    <row r="12" spans="2:14" s="61" customFormat="1" ht="24.75" customHeight="1" thickBot="1" x14ac:dyDescent="0.3">
      <c r="B12" s="66" t="s">
        <v>290</v>
      </c>
      <c r="C12" s="220">
        <f>SUM(C13:C15)</f>
        <v>36247800000</v>
      </c>
      <c r="D12" s="220">
        <f>SUM(D13:D15)</f>
        <v>7000000000</v>
      </c>
      <c r="E12" s="220">
        <f>+SUM(E13:E15)</f>
        <v>29247800000</v>
      </c>
      <c r="F12" s="220">
        <f>SUM(F13:F15)</f>
        <v>21077222338</v>
      </c>
      <c r="G12" s="59">
        <f t="shared" ref="G12:G27" si="0">+F12/C12</f>
        <v>0.58147590579290331</v>
      </c>
      <c r="H12" s="59">
        <f t="shared" ref="H12:H18" si="1">+F12/E12</f>
        <v>0.72064300008889559</v>
      </c>
      <c r="I12" s="220">
        <f>SUM(I13:I15)</f>
        <v>21073598385</v>
      </c>
      <c r="J12" s="59">
        <f t="shared" ref="J12:J24" si="2">+I12/C12</f>
        <v>0.58137592860808107</v>
      </c>
      <c r="K12" s="60">
        <f>+J12</f>
        <v>0.58137592860808107</v>
      </c>
      <c r="L12" s="59">
        <f t="shared" ref="L12:L18" si="3">+I12/E12</f>
        <v>0.72051909494047417</v>
      </c>
      <c r="N12" s="95"/>
    </row>
    <row r="13" spans="2:14" ht="24.95" customHeight="1" thickBot="1" x14ac:dyDescent="0.3">
      <c r="B13" s="44" t="s">
        <v>325</v>
      </c>
      <c r="C13" s="221">
        <f>SUMIFS(REP_EPG034_EjecucionPresupuesta!$T$107:$T$122,REP_EPG034_EjecucionPresupuesta!$P$107:$P$122,"SALARIO")</f>
        <v>24097600000</v>
      </c>
      <c r="D13" s="215">
        <f>SUMIFS(REP_EPG034_EjecucionPresupuesta!$U$107:$U$122,REP_EPG034_EjecucionPresupuesta!$P$107:$P$122,"SALARIO")</f>
        <v>4200000000</v>
      </c>
      <c r="E13" s="215">
        <f>+C13-D13</f>
        <v>19897600000</v>
      </c>
      <c r="F13" s="215">
        <f>SUMIFS(REP_EPG034_EjecucionPresupuesta!$X$107:$X$122,REP_EPG034_EjecucionPresupuesta!$P$107:$P$122,"SALARIO")</f>
        <v>13887491067</v>
      </c>
      <c r="G13" s="138">
        <f t="shared" si="0"/>
        <v>0.57630183366808307</v>
      </c>
      <c r="H13" s="138">
        <f t="shared" si="1"/>
        <v>0.69794804735244453</v>
      </c>
      <c r="I13" s="215">
        <f>SUMIFS(REP_EPG034_EjecucionPresupuesta!$Y$107:$Y$122,REP_EPG034_EjecucionPresupuesta!$P$107:$P$122,"SALARIO")</f>
        <v>13883867114</v>
      </c>
      <c r="J13" s="138">
        <f t="shared" si="2"/>
        <v>0.57615144719806122</v>
      </c>
      <c r="K13" s="138">
        <f>+I13/E13</f>
        <v>0.69776591719604375</v>
      </c>
      <c r="L13" s="139">
        <f t="shared" si="3"/>
        <v>0.69776591719604375</v>
      </c>
      <c r="N13" s="248">
        <v>880179605</v>
      </c>
    </row>
    <row r="14" spans="2:14" ht="24.95" customHeight="1" thickBot="1" x14ac:dyDescent="0.3">
      <c r="B14" s="44" t="s">
        <v>326</v>
      </c>
      <c r="C14" s="221">
        <f>SUMIFS(REP_EPG034_EjecucionPresupuesta!$T$107:$T$122,REP_EPG034_EjecucionPresupuesta!$P$107:$P$122,"CONTRIBUCIONES INHERENTES A LA NÓMINA")</f>
        <v>9765700000</v>
      </c>
      <c r="D14" s="215">
        <f>SUMIFS(REP_EPG034_EjecucionPresupuesta!$U$107:$U$122,REP_EPG034_EjecucionPresupuesta!$P$107:$P$122,"CONTRIBUCIONES INHERENTES A LA NÓMINA")</f>
        <v>2800000000</v>
      </c>
      <c r="E14" s="215">
        <f>+C14-D14</f>
        <v>6965700000</v>
      </c>
      <c r="F14" s="215">
        <f>SUMIFS(REP_EPG034_EjecucionPresupuesta!$X$107:$X$122,REP_EPG034_EjecucionPresupuesta!$P$107:$P$122,"CONTRIBUCIONES INHERENTES A LA NÓMINA")</f>
        <v>5441000929</v>
      </c>
      <c r="G14" s="138">
        <f t="shared" si="0"/>
        <v>0.55715421618521965</v>
      </c>
      <c r="H14" s="138">
        <f t="shared" si="1"/>
        <v>0.78111330218068531</v>
      </c>
      <c r="I14" s="215">
        <f>SUMIFS(REP_EPG034_EjecucionPresupuesta!$Y$108:$Y$122,REP_EPG034_EjecucionPresupuesta!$P$108:$P$122,"CONTRIBUCIONES INHERENTES A LA NÓMINA")</f>
        <v>5441000929</v>
      </c>
      <c r="J14" s="138">
        <f t="shared" si="2"/>
        <v>0.55715421618521965</v>
      </c>
      <c r="K14" s="138">
        <f>+I14/E14</f>
        <v>0.78111330218068531</v>
      </c>
      <c r="L14" s="139">
        <f t="shared" si="3"/>
        <v>0.78111330218068531</v>
      </c>
      <c r="N14" s="248">
        <v>576329116</v>
      </c>
    </row>
    <row r="15" spans="2:14" ht="24.95" customHeight="1" thickBot="1" x14ac:dyDescent="0.3">
      <c r="B15" s="44" t="s">
        <v>327</v>
      </c>
      <c r="C15" s="221">
        <f>SUMIFS(REP_EPG034_EjecucionPresupuesta!$T$108:$T$122,REP_EPG034_EjecucionPresupuesta!$P$108:$P$122,"REMUNERACIONES NO CONSTITUTIVAS DE FACTOR SALARIAL")</f>
        <v>2384500000</v>
      </c>
      <c r="D15" s="215">
        <f>SUMIFS(REP_EPG034_EjecucionPresupuesta!$U$108:$U$122,REP_EPG034_EjecucionPresupuesta!$P$108:$P$122,"REMUNERACIONES NO CONSTITUTIVAS DE FACTOR SALARIAL")</f>
        <v>0</v>
      </c>
      <c r="E15" s="215">
        <f>+C15-D15</f>
        <v>2384500000</v>
      </c>
      <c r="F15" s="215">
        <f>SUMIFS(REP_EPG034_EjecucionPresupuesta!$X$108:$X$122,REP_EPG034_EjecucionPresupuesta!$P$108:$P$122,"REMUNERACIONES NO CONSTITUTIVAS DE FACTOR SALARIAL")</f>
        <v>1748730342</v>
      </c>
      <c r="G15" s="138">
        <f t="shared" si="0"/>
        <v>0.73337401635563015</v>
      </c>
      <c r="H15" s="138">
        <f t="shared" si="1"/>
        <v>0.73337401635563015</v>
      </c>
      <c r="I15" s="215">
        <f>SUMIFS(REP_EPG034_EjecucionPresupuesta!$Y$108:$Y$122,REP_EPG034_EjecucionPresupuesta!$P$108:$P$122,"REMUNERACIONES NO CONSTITUTIVAS DE FACTOR SALARIAL")</f>
        <v>1748730342</v>
      </c>
      <c r="J15" s="138">
        <f t="shared" si="2"/>
        <v>0.73337401635563015</v>
      </c>
      <c r="K15" s="138">
        <f>+I15/E15</f>
        <v>0.73337401635563015</v>
      </c>
      <c r="L15" s="139">
        <f t="shared" si="3"/>
        <v>0.73337401635563015</v>
      </c>
      <c r="N15" s="248">
        <v>270135772</v>
      </c>
    </row>
    <row r="16" spans="2:14" s="61" customFormat="1" ht="24.75" customHeight="1" thickBot="1" x14ac:dyDescent="0.3">
      <c r="B16" s="66" t="s">
        <v>393</v>
      </c>
      <c r="C16" s="220">
        <f>SUM(C17:C17)</f>
        <v>120804600000</v>
      </c>
      <c r="D16" s="220">
        <f>SUM(D17:D17)</f>
        <v>3152169848.2600002</v>
      </c>
      <c r="E16" s="220">
        <f>+SUM(E17:E17)</f>
        <v>117652430151.74001</v>
      </c>
      <c r="F16" s="220">
        <f>SUM(F17:F17)</f>
        <v>106156448410.7</v>
      </c>
      <c r="G16" s="59">
        <f t="shared" si="0"/>
        <v>0.87874508429894227</v>
      </c>
      <c r="H16" s="59">
        <f t="shared" si="1"/>
        <v>0.90228861634040802</v>
      </c>
      <c r="I16" s="220">
        <f>SUM(I17:I17)</f>
        <v>55479972320.68</v>
      </c>
      <c r="J16" s="59">
        <f t="shared" si="2"/>
        <v>0.4592538059037487</v>
      </c>
      <c r="K16" s="60">
        <f>+J16</f>
        <v>0.4592538059037487</v>
      </c>
      <c r="L16" s="59">
        <f t="shared" si="3"/>
        <v>0.47155823512634421</v>
      </c>
      <c r="N16" s="95">
        <v>893453018.454602</v>
      </c>
    </row>
    <row r="17" spans="2:14" ht="24.95" customHeight="1" thickBot="1" x14ac:dyDescent="0.3">
      <c r="B17" s="44" t="s">
        <v>393</v>
      </c>
      <c r="C17" s="221">
        <f>SUMIFS(REP_EPG034_EjecucionPresupuesta!$T$108:$T$122,REP_EPG034_EjecucionPresupuesta!$P$108:$P$122,"ADQUISICIÓN DE BIENES  Y SERVICIOS")</f>
        <v>120804600000</v>
      </c>
      <c r="D17" s="215">
        <f>SUMIFS(REP_EPG034_EjecucionPresupuesta!$U$108:$U$122,REP_EPG034_EjecucionPresupuesta!$P$108:$P$122,"ADQUISICIÓN DE BIENES  Y SERVICIOS")</f>
        <v>3152169848.2600002</v>
      </c>
      <c r="E17" s="215">
        <f>+C17-D17</f>
        <v>117652430151.74001</v>
      </c>
      <c r="F17" s="215">
        <f>SUMIFS(REP_EPG034_EjecucionPresupuesta!$X$108:$X$122,REP_EPG034_EjecucionPresupuesta!$P$108:$P$122,"ADQUISICIÓN DE BIENES  Y SERVICIOS")</f>
        <v>106156448410.7</v>
      </c>
      <c r="G17" s="138">
        <f t="shared" si="0"/>
        <v>0.87874508429894227</v>
      </c>
      <c r="H17" s="138">
        <f t="shared" si="1"/>
        <v>0.90228861634040802</v>
      </c>
      <c r="I17" s="215">
        <f>SUMIFS(REP_EPG034_EjecucionPresupuesta!$Y$108:$Y$122,REP_EPG034_EjecucionPresupuesta!$P$108:$P$122,"ADQUISICIÓN DE BIENES  Y SERVICIOS")</f>
        <v>55479972320.68</v>
      </c>
      <c r="J17" s="138">
        <f t="shared" si="2"/>
        <v>0.4592538059037487</v>
      </c>
      <c r="K17" s="138">
        <f>+I17/E17</f>
        <v>0.47155823512634421</v>
      </c>
      <c r="L17" s="145">
        <f t="shared" si="3"/>
        <v>0.47155823512634421</v>
      </c>
      <c r="N17" s="248">
        <v>319060200</v>
      </c>
    </row>
    <row r="18" spans="2:14" s="61" customFormat="1" ht="24.75" customHeight="1" thickBot="1" x14ac:dyDescent="0.3">
      <c r="B18" s="66" t="s">
        <v>293</v>
      </c>
      <c r="C18" s="220">
        <f>SUM(C19:C23)</f>
        <v>1278360800000</v>
      </c>
      <c r="D18" s="220">
        <f>SUM(D19:D23)</f>
        <v>52777034262</v>
      </c>
      <c r="E18" s="220">
        <f>SUM(E19:E23)</f>
        <v>1225583765738</v>
      </c>
      <c r="F18" s="220">
        <f>SUM(F19:F23)</f>
        <v>1216820177950.05</v>
      </c>
      <c r="G18" s="59">
        <f t="shared" si="0"/>
        <v>0.95185973940224855</v>
      </c>
      <c r="H18" s="59">
        <f t="shared" si="1"/>
        <v>0.99284945832921279</v>
      </c>
      <c r="I18" s="220">
        <f>SUM(I19:I23)</f>
        <v>709181845936.21997</v>
      </c>
      <c r="J18" s="59">
        <f t="shared" si="2"/>
        <v>0.55475875506838135</v>
      </c>
      <c r="K18" s="60">
        <f>+J18</f>
        <v>0.55475875506838135</v>
      </c>
      <c r="L18" s="59">
        <f t="shared" si="3"/>
        <v>0.57864820484887669</v>
      </c>
      <c r="N18" s="95"/>
    </row>
    <row r="19" spans="2:14" ht="37.5" customHeight="1" thickBot="1" x14ac:dyDescent="0.3">
      <c r="B19" s="44" t="s">
        <v>394</v>
      </c>
      <c r="C19" s="222">
        <f>SUMIFS(REP_EPG034_EjecucionPresupuesta!$T$111:$T$122,REP_EPG034_EjecucionPresupuesta!$P$111:$P$122,"OTRAS TRANSFERENCIAS - DISTRIBUCIÓN PREVIO CONCEPTO DGPPN")</f>
        <v>54377034262</v>
      </c>
      <c r="D19" s="223">
        <f>SUMIFS(REP_EPG034_EjecucionPresupuesta!$U$111:$U$122,REP_EPG034_EjecucionPresupuesta!$P$111:$P$122,"OTRAS TRANSFERENCIAS - DISTRIBUCIÓN PREVIO CONCEPTO DGPPN")</f>
        <v>49777034262</v>
      </c>
      <c r="E19" s="223">
        <f>+C19-D19</f>
        <v>4600000000</v>
      </c>
      <c r="F19" s="223">
        <f>SUMIFS(REP_EPG034_EjecucionPresupuesta!$X$112:$X$122,REP_EPG034_EjecucionPresupuesta!$P$112:$P$122,"OTRAS TRANSFERENCIAS - DISTRIBUCIÓN PREVIO CONCEPTO DGPPN")</f>
        <v>0</v>
      </c>
      <c r="G19" s="145">
        <f t="shared" si="0"/>
        <v>0</v>
      </c>
      <c r="H19" s="145">
        <v>0</v>
      </c>
      <c r="I19" s="223">
        <f>SUMIFS(REP_EPG034_EjecucionPresupuesta!$Y$112:$Y$122,REP_EPG034_EjecucionPresupuesta!$P$112:$P$122,"OTRAS TRANSFERENCIAS - DISTRIBUCIÓN PREVIO CONCEPTO DGPPN")</f>
        <v>0</v>
      </c>
      <c r="J19" s="145">
        <f>+I19/C19</f>
        <v>0</v>
      </c>
      <c r="K19" s="51"/>
      <c r="L19" s="145">
        <f>IFERROR(I19/E19,0)</f>
        <v>0</v>
      </c>
      <c r="N19" s="248"/>
    </row>
    <row r="20" spans="2:14" ht="37.5" customHeight="1" thickBot="1" x14ac:dyDescent="0.3">
      <c r="B20" s="44" t="s">
        <v>395</v>
      </c>
      <c r="C20" s="222">
        <f>SUMIFS(REP_EPG034_EjecucionPresupuesta!$T$112:$T$122,REP_EPG034_EjecucionPresupuesta!$P$112:$P$122,"IMPLEMENTACIÓN DEL SISTEMA INTEGRAL DE SALUD EN EL SISTEMA PENITENCIARIO (NO DE PENSIONES)")</f>
        <v>389312881890</v>
      </c>
      <c r="D20" s="223">
        <f>SUMIFS(REP_EPG034_EjecucionPresupuesta!$U$111:$U$122,REP_EPG034_EjecucionPresupuesta!$P$111:$P$122,"IMPLEMENTACIÓN DEL SISTEMA INTEGRAL DE SALUD EN EL SISTEMA PENITENCIARIO (NO DE PENSIONES)")</f>
        <v>0</v>
      </c>
      <c r="E20" s="223">
        <f>+C20-D20</f>
        <v>389312881890</v>
      </c>
      <c r="F20" s="223">
        <f>SUMIFS(REP_EPG034_EjecucionPresupuesta!$X$112:$X$122,REP_EPG034_EjecucionPresupuesta!$P$112:$P$122,"IMPLEMENTACIÓN DEL SISTEMA INTEGRAL DE SALUD EN EL SISTEMA PENITENCIARIO (NO DE PENSIONES)")</f>
        <v>389312881890</v>
      </c>
      <c r="G20" s="145">
        <f t="shared" si="0"/>
        <v>1</v>
      </c>
      <c r="H20" s="145">
        <v>0</v>
      </c>
      <c r="I20" s="223">
        <f>SUMIFS(REP_EPG034_EjecucionPresupuesta!$Y$112:$Y$122,REP_EPG034_EjecucionPresupuesta!$P$112:$P$122,"IMPLEMENTACIÓN DEL SISTEMA INTEGRAL DE SALUD EN EL SISTEMA PENITENCIARIO (NO DE PENSIONES)")</f>
        <v>248804722797.32999</v>
      </c>
      <c r="J20" s="145">
        <f>+I20/C20</f>
        <v>0.63908679720397621</v>
      </c>
      <c r="K20" s="51"/>
      <c r="L20" s="145">
        <f t="shared" ref="L20:L32" si="4">+I20/E20</f>
        <v>0.63908679720397621</v>
      </c>
      <c r="N20" s="248"/>
    </row>
    <row r="21" spans="2:14" ht="36" customHeight="1" thickBot="1" x14ac:dyDescent="0.3">
      <c r="B21" s="44" t="s">
        <v>396</v>
      </c>
      <c r="C21" s="222">
        <f>SUMIFS(REP_EPG034_EjecucionPresupuesta!$T$112:$T$122,REP_EPG034_EjecucionPresupuesta!$P$112:$P$122,"ALIMENTACIÓN PARA INTERNOS")</f>
        <v>812527083848</v>
      </c>
      <c r="D21" s="223">
        <f>SUMIFS(REP_EPG034_EjecucionPresupuesta!$U$112:$U$122,REP_EPG034_EjecucionPresupuesta!$P$112:$P$122,"ALIMENTACIÓN PARA INTERNOS")</f>
        <v>0</v>
      </c>
      <c r="E21" s="223">
        <f>+C21-D21</f>
        <v>812527083848</v>
      </c>
      <c r="F21" s="223">
        <f>SUMIFS(REP_EPG034_EjecucionPresupuesta!$X$112:$X$122,REP_EPG034_EjecucionPresupuesta!$P$112:$P$122,"ALIMENTACIÓN PARA INTERNOS")</f>
        <v>812125086069.80005</v>
      </c>
      <c r="G21" s="145">
        <f t="shared" si="0"/>
        <v>0.99950524999573409</v>
      </c>
      <c r="H21" s="145">
        <v>0</v>
      </c>
      <c r="I21" s="223">
        <f>SUMIFS(REP_EPG034_EjecucionPresupuesta!$Y$112:$Y$122,REP_EPG034_EjecucionPresupuesta!$P$112:$P$122,"ALIMENTACIÓN PARA INTERNOS")</f>
        <v>445027466006.64001</v>
      </c>
      <c r="J21" s="145">
        <f>+I21/C21</f>
        <v>0.54770785473274342</v>
      </c>
      <c r="K21" s="51"/>
      <c r="L21" s="145">
        <f t="shared" si="4"/>
        <v>0.54770785473274342</v>
      </c>
      <c r="N21" s="248">
        <v>0</v>
      </c>
    </row>
    <row r="22" spans="2:14" ht="34.5" customHeight="1" thickBot="1" x14ac:dyDescent="0.3">
      <c r="B22" s="44" t="s">
        <v>378</v>
      </c>
      <c r="C22" s="222">
        <f>SUMIFS(REP_EPG034_EjecucionPresupuesta!$T$112:$T$122,REP_EPG034_EjecucionPresupuesta!$P$112:$P$122,"INCAPACIDADES Y LICENCIAS DE MATERNIDAD Y PATERNIDAD (NO DE PENSIONES)")</f>
        <v>148100000</v>
      </c>
      <c r="D22" s="223">
        <f>SUMIFS(REP_EPG034_EjecucionPresupuesta!$U$112:$U$122,REP_EPG034_EjecucionPresupuesta!$P$112:$P$122,"INCAPACIDADES Y LICENCIAS DE MATERNIDAD Y PATERNIDAD (NO DE PENSIONES)")</f>
        <v>0</v>
      </c>
      <c r="E22" s="223">
        <f>+C22-D22</f>
        <v>148100000</v>
      </c>
      <c r="F22" s="223">
        <f>SUMIFS(REP_EPG034_EjecucionPresupuesta!$X$112:$X$122,REP_EPG034_EjecucionPresupuesta!$P$112:$P$122,"INCAPACIDADES Y LICENCIAS DE MATERNIDAD Y PATERNIDAD (NO DE PENSIONES)")</f>
        <v>89895040</v>
      </c>
      <c r="G22" s="145">
        <f t="shared" si="0"/>
        <v>0.60698879135719108</v>
      </c>
      <c r="H22" s="145">
        <v>0</v>
      </c>
      <c r="I22" s="223">
        <f>SUMIFS(REP_EPG034_EjecucionPresupuesta!$Y$112:$Y$122,REP_EPG034_EjecucionPresupuesta!$P$112:$P$122,"INCAPACIDADES Y LICENCIAS DE MATERNIDAD Y PATERNIDAD (NO DE PENSIONES)")</f>
        <v>57342182</v>
      </c>
      <c r="J22" s="145">
        <f>+I22/C22</f>
        <v>0.38718556380823765</v>
      </c>
      <c r="K22" s="51"/>
      <c r="L22" s="145">
        <f t="shared" si="4"/>
        <v>0.38718556380823765</v>
      </c>
      <c r="N22" s="248">
        <v>23000000</v>
      </c>
    </row>
    <row r="23" spans="2:14" ht="24.95" customHeight="1" thickBot="1" x14ac:dyDescent="0.3">
      <c r="B23" s="44" t="s">
        <v>337</v>
      </c>
      <c r="C23" s="222">
        <f>SUMIFS(REP_EPG034_EjecucionPresupuesta!$T$112:$T$123,REP_EPG034_EjecucionPresupuesta!$P$112:$P$123,"SENTENCIAS Y CONCILIACIONES")</f>
        <v>21995700000</v>
      </c>
      <c r="D23" s="223">
        <f>SUMIFS(REP_EPG034_EjecucionPresupuesta!$U$112:$U$122,REP_EPG034_EjecucionPresupuesta!$P$112:$P$122,"SENTENCIAS Y CONCILIACIONES")</f>
        <v>3000000000</v>
      </c>
      <c r="E23" s="223">
        <f>+C23-D23</f>
        <v>18995700000</v>
      </c>
      <c r="F23" s="223">
        <f>SUMIFS(REP_EPG034_EjecucionPresupuesta!$X$112:$X$123,REP_EPG034_EjecucionPresupuesta!$P$112:$P$123,"SENTENCIAS Y CONCILIACIONES")</f>
        <v>15292314950.25</v>
      </c>
      <c r="G23" s="145">
        <f t="shared" si="0"/>
        <v>0.69524111304709557</v>
      </c>
      <c r="H23" s="145">
        <v>0</v>
      </c>
      <c r="I23" s="223">
        <f>SUMIFS(REP_EPG034_EjecucionPresupuesta!$Y$112:$Y$123,REP_EPG034_EjecucionPresupuesta!$P$112:$P$123,"SENTENCIAS Y CONCILIACIONES")</f>
        <v>15292314950.25</v>
      </c>
      <c r="J23" s="145">
        <f>+I23/C23</f>
        <v>0.69524111304709557</v>
      </c>
      <c r="K23" s="51"/>
      <c r="L23" s="145">
        <f t="shared" si="4"/>
        <v>0.80504087505330157</v>
      </c>
      <c r="N23" s="248">
        <v>0</v>
      </c>
    </row>
    <row r="24" spans="2:14" s="61" customFormat="1" ht="34.5" customHeight="1" thickBot="1" x14ac:dyDescent="0.3">
      <c r="B24" s="66" t="s">
        <v>362</v>
      </c>
      <c r="C24" s="220">
        <f>SUM(C25:C27)</f>
        <v>3496400000</v>
      </c>
      <c r="D24" s="220">
        <f>SUM(D25:D27)</f>
        <v>21200000</v>
      </c>
      <c r="E24" s="220">
        <f>SUM(E25:E27)</f>
        <v>3475200000</v>
      </c>
      <c r="F24" s="220">
        <f>SUM(F25:F27)</f>
        <v>1000000</v>
      </c>
      <c r="G24" s="59">
        <f t="shared" si="0"/>
        <v>2.860084658505892E-4</v>
      </c>
      <c r="H24" s="59">
        <f>+F24/E24</f>
        <v>2.8775322283609579E-4</v>
      </c>
      <c r="I24" s="220">
        <f>SUM(I25:I27)</f>
        <v>949000</v>
      </c>
      <c r="J24" s="59">
        <f t="shared" si="2"/>
        <v>2.7142203409220915E-4</v>
      </c>
      <c r="K24" s="60">
        <f>+J24</f>
        <v>2.7142203409220915E-4</v>
      </c>
      <c r="L24" s="59">
        <f t="shared" si="4"/>
        <v>2.7307780847145486E-4</v>
      </c>
      <c r="N24" s="95">
        <v>0</v>
      </c>
    </row>
    <row r="25" spans="2:14" ht="24.95" customHeight="1" thickBot="1" x14ac:dyDescent="0.3">
      <c r="B25" s="45" t="s">
        <v>339</v>
      </c>
      <c r="C25" s="222">
        <f>SUMIFS(REP_EPG034_EjecucionPresupuesta!$T$115:$T$123,REP_EPG034_EjecucionPresupuesta!$P$115:$P$123,"IMPUESTOS")</f>
        <v>8500000</v>
      </c>
      <c r="D25" s="223">
        <f>SUMIFS(REP_EPG034_EjecucionPresupuesta!$U$112:$U$122,REP_EPG034_EjecucionPresupuesta!$P$112:$P$122,"IMPUESTOS")</f>
        <v>7500000</v>
      </c>
      <c r="E25" s="223">
        <f>+C25-D25</f>
        <v>1000000</v>
      </c>
      <c r="F25" s="223">
        <f>SUMIFS(REP_EPG034_EjecucionPresupuesta!$X$115:$X$123,REP_EPG034_EjecucionPresupuesta!$P$115:$P$123,"IMPUESTOS")</f>
        <v>1000000</v>
      </c>
      <c r="G25" s="145">
        <f t="shared" si="0"/>
        <v>0.11764705882352941</v>
      </c>
      <c r="H25" s="145">
        <v>0</v>
      </c>
      <c r="I25" s="223">
        <f>SUMIFS(REP_EPG034_EjecucionPresupuesta!$Y$112:$Y$123,REP_EPG034_EjecucionPresupuesta!$P$112:$P$123,"IMPUESTOS")</f>
        <v>949000</v>
      </c>
      <c r="J25" s="145">
        <f t="shared" ref="J25:J32" si="5">+I25/C25</f>
        <v>0.11164705882352942</v>
      </c>
      <c r="K25" s="51"/>
      <c r="L25" s="145">
        <f t="shared" si="4"/>
        <v>0.94899999999999995</v>
      </c>
      <c r="N25" s="248">
        <v>0</v>
      </c>
    </row>
    <row r="26" spans="2:14" ht="24.95" customHeight="1" thickBot="1" x14ac:dyDescent="0.3">
      <c r="B26" s="45" t="s">
        <v>340</v>
      </c>
      <c r="C26" s="222">
        <f>SUMIFS(REP_EPG034_EjecucionPresupuesta!$T$115:$T$123,REP_EPG034_EjecucionPresupuesta!$P$115:$P$123,"CUOTA DE FISCALIZACIÓN Y AUDITAJE")</f>
        <v>3474200000</v>
      </c>
      <c r="D26" s="223">
        <f>SUMIFS(REP_EPG034_EjecucionPresupuesta!$U$112:$U$122,REP_EPG034_EjecucionPresupuesta!$P$112:$P$122,"CUOTA DE FISCALIZACIÓN Y AUDITAJE")</f>
        <v>0</v>
      </c>
      <c r="E26" s="223">
        <f>+C26-D26</f>
        <v>3474200000</v>
      </c>
      <c r="F26" s="223">
        <f>SUMIFS(REP_EPG034_EjecucionPresupuesta!$X$115:$X$123,REP_EPG034_EjecucionPresupuesta!$P$115:$P$123,"CUOTA DE FISCALIZACIÓN Y AUDITAJE")</f>
        <v>0</v>
      </c>
      <c r="G26" s="145">
        <f t="shared" si="0"/>
        <v>0</v>
      </c>
      <c r="H26" s="145">
        <v>0</v>
      </c>
      <c r="I26" s="223">
        <f>SUMIFS(REP_EPG034_EjecucionPresupuesta!$Y$115:$Y$123,REP_EPG034_EjecucionPresupuesta!$P$115:$P$123,"CUOTA DE FISCALIZACIÓN Y AUDITAJE")</f>
        <v>0</v>
      </c>
      <c r="J26" s="145">
        <f t="shared" si="5"/>
        <v>0</v>
      </c>
      <c r="K26" s="51"/>
      <c r="L26" s="145">
        <f t="shared" si="4"/>
        <v>0</v>
      </c>
      <c r="N26" s="248"/>
    </row>
    <row r="27" spans="2:14" ht="24.95" customHeight="1" thickBot="1" x14ac:dyDescent="0.3">
      <c r="B27" s="200" t="s">
        <v>366</v>
      </c>
      <c r="C27" s="223">
        <f>SUMIFS(REP_EPG034_EjecucionPresupuesta!$T$115:$T$123,REP_EPG034_EjecucionPresupuesta!$P$115:$P$123,"MULTAS, SANCIONES E INTERESES DE MORA")</f>
        <v>13700000</v>
      </c>
      <c r="D27" s="223">
        <f>SUMIFS(REP_EPG034_EjecucionPresupuesta!$U$112:$U$122,REP_EPG034_EjecucionPresupuesta!$P$112:$P$122,"MULTAS, SANCIONES E INTERESES DE MORA")</f>
        <v>13700000</v>
      </c>
      <c r="E27" s="223">
        <f>+C27-D27</f>
        <v>0</v>
      </c>
      <c r="F27" s="223">
        <f>SUMIFS(REP_EPG034_EjecucionPresupuesta!$X$115:$X$123,REP_EPG034_EjecucionPresupuesta!$P$115:$P$123,"MULTAS, SANCIONES E INTERESES DE MORA")</f>
        <v>0</v>
      </c>
      <c r="G27" s="145">
        <f t="shared" si="0"/>
        <v>0</v>
      </c>
      <c r="H27" s="145">
        <v>1</v>
      </c>
      <c r="I27" s="223">
        <f>SUMIFS(REP_EPG034_EjecucionPresupuesta!$Y$115:$Y$123,REP_EPG034_EjecucionPresupuesta!$P$115:$P$123,"MULTAS, SANCIONES E INTERESES DE MORA")</f>
        <v>0</v>
      </c>
      <c r="J27" s="145">
        <f t="shared" si="5"/>
        <v>0</v>
      </c>
      <c r="K27" s="51"/>
      <c r="L27" s="145" t="e">
        <f t="shared" si="4"/>
        <v>#DIV/0!</v>
      </c>
      <c r="N27" s="248"/>
    </row>
    <row r="28" spans="2:14" ht="24.95" customHeight="1" thickBot="1" x14ac:dyDescent="0.3">
      <c r="B28" s="187" t="s">
        <v>295</v>
      </c>
      <c r="C28" s="224">
        <f>+C12+C16+C18+C24</f>
        <v>1438909600000</v>
      </c>
      <c r="D28" s="224">
        <f>+D12+D16+D18+D24</f>
        <v>62950404110.260002</v>
      </c>
      <c r="E28" s="224">
        <f>+E12+E16+E18+E24</f>
        <v>1375959195889.74</v>
      </c>
      <c r="F28" s="224">
        <f>+F12+F16+F18+F24</f>
        <v>1344054848698.75</v>
      </c>
      <c r="G28" s="204">
        <f>+F28/C28</f>
        <v>0.93407872787751922</v>
      </c>
      <c r="H28" s="204">
        <f>+F28/E28</f>
        <v>0.97681301357896766</v>
      </c>
      <c r="I28" s="224">
        <f>+I12+I16+I18+I24</f>
        <v>785736365641.8999</v>
      </c>
      <c r="J28" s="204">
        <f>+I28/C28</f>
        <v>0.54606374552084436</v>
      </c>
      <c r="K28" s="204">
        <f>+J28</f>
        <v>0.54606374552084436</v>
      </c>
      <c r="L28" s="204">
        <f t="shared" si="4"/>
        <v>0.57104626938723801</v>
      </c>
      <c r="N28" s="248"/>
    </row>
    <row r="29" spans="2:14" s="61" customFormat="1" ht="39.75" hidden="1" customHeight="1" thickBot="1" x14ac:dyDescent="0.3">
      <c r="B29" s="66" t="s">
        <v>380</v>
      </c>
      <c r="C29" s="100">
        <f>SUM(C30)</f>
        <v>0</v>
      </c>
      <c r="D29" s="100">
        <f>SUM(D30)</f>
        <v>0</v>
      </c>
      <c r="E29" s="100">
        <f>+SUM(E30)</f>
        <v>0</v>
      </c>
      <c r="F29" s="100">
        <f>SUM(F30)</f>
        <v>0</v>
      </c>
      <c r="G29" s="59" t="e">
        <f>F29/C29</f>
        <v>#DIV/0!</v>
      </c>
      <c r="H29" s="59" t="e">
        <f>+F29/E29</f>
        <v>#DIV/0!</v>
      </c>
      <c r="I29" s="67">
        <f>SUM(I30)</f>
        <v>0</v>
      </c>
      <c r="J29" s="59" t="e">
        <f t="shared" si="5"/>
        <v>#DIV/0!</v>
      </c>
      <c r="K29" s="59" t="e">
        <f>+I29/E29</f>
        <v>#DIV/0!</v>
      </c>
      <c r="L29" s="59" t="e">
        <f t="shared" si="4"/>
        <v>#DIV/0!</v>
      </c>
    </row>
    <row r="30" spans="2:14" s="27" customFormat="1" ht="33" hidden="1" customHeight="1" thickBot="1" x14ac:dyDescent="0.3">
      <c r="B30" s="74" t="s">
        <v>381</v>
      </c>
      <c r="C30" s="103">
        <f>SUMIFS(REP_EPG034_EjecucionPresupuesta!$T$112:$T$123,REP_EPG034_EjecucionPresupuesta!$P$112:$P$123,"APORTES AL FONDO DE CONTINGENCIAS")</f>
        <v>0</v>
      </c>
      <c r="D30" s="104">
        <f>SUMIFS(REP_EPG034_EjecucionPresupuesta!$U$112:$U$123,REP_EPG034_EjecucionPresupuesta!$P$112:$P$123,"APORTES AL FONDO DE CONTINGENCIAS")</f>
        <v>0</v>
      </c>
      <c r="E30" s="104">
        <f>+C30-D30</f>
        <v>0</v>
      </c>
      <c r="F30" s="104">
        <f>SUMIFS(REP_EPG034_EjecucionPresupuesta!$X$112:$X$123,REP_EPG034_EjecucionPresupuesta!$P$112:$P$123,"APORTES AL FONDO DE CONTINGENCIAS")</f>
        <v>0</v>
      </c>
      <c r="G30" s="144" t="e">
        <f>+F30/C30</f>
        <v>#DIV/0!</v>
      </c>
      <c r="H30" s="144" t="e">
        <f>+F30/E30</f>
        <v>#DIV/0!</v>
      </c>
      <c r="I30" s="104">
        <f>SUMIFS(REP_EPG034_EjecucionPresupuesta!$Y$112:$Y$123,REP_EPG034_EjecucionPresupuesta!$P$112:$P$123,"APORTES AL FONDO DE CONTINGENCIAS")</f>
        <v>0</v>
      </c>
      <c r="J30" s="144" t="e">
        <f t="shared" si="5"/>
        <v>#DIV/0!</v>
      </c>
      <c r="K30" s="144" t="e">
        <f>+I30/E30</f>
        <v>#DIV/0!</v>
      </c>
      <c r="L30" s="145" t="e">
        <f t="shared" si="4"/>
        <v>#DIV/0!</v>
      </c>
    </row>
    <row r="31" spans="2:14" s="27" customFormat="1" ht="33" hidden="1" customHeight="1" thickBot="1" x14ac:dyDescent="0.3">
      <c r="B31" s="179" t="s">
        <v>382</v>
      </c>
      <c r="C31" s="180">
        <f>+C29</f>
        <v>0</v>
      </c>
      <c r="D31" s="180">
        <f>+D29</f>
        <v>0</v>
      </c>
      <c r="E31" s="180">
        <f>+E29</f>
        <v>0</v>
      </c>
      <c r="F31" s="180">
        <f>+F29</f>
        <v>0</v>
      </c>
      <c r="G31" s="178" t="e">
        <f>+F31/C31</f>
        <v>#DIV/0!</v>
      </c>
      <c r="H31" s="178" t="e">
        <f>+F31/E31</f>
        <v>#DIV/0!</v>
      </c>
      <c r="I31" s="182">
        <f>+I29</f>
        <v>0</v>
      </c>
      <c r="J31" s="178" t="e">
        <f t="shared" si="5"/>
        <v>#DIV/0!</v>
      </c>
      <c r="K31" s="183" t="e">
        <f>+J31</f>
        <v>#DIV/0!</v>
      </c>
      <c r="L31" s="178" t="e">
        <f t="shared" si="4"/>
        <v>#DIV/0!</v>
      </c>
    </row>
    <row r="32" spans="2:14" ht="30" hidden="1" customHeight="1" thickBot="1" x14ac:dyDescent="0.3">
      <c r="B32" s="72" t="s">
        <v>383</v>
      </c>
      <c r="C32" s="118">
        <f>+C28+C31</f>
        <v>1438909600000</v>
      </c>
      <c r="D32" s="118">
        <f>+D28+D31</f>
        <v>62950404110.260002</v>
      </c>
      <c r="E32" s="118">
        <f>+E28+E31</f>
        <v>1375959195889.74</v>
      </c>
      <c r="F32" s="118">
        <f>+F28+F31</f>
        <v>1344054848698.75</v>
      </c>
      <c r="G32" s="159">
        <f>+F32/C32</f>
        <v>0.93407872787751922</v>
      </c>
      <c r="H32" s="159">
        <f>+F32/E32</f>
        <v>0.97681301357896766</v>
      </c>
      <c r="I32" s="172">
        <f>+I28+I31</f>
        <v>785736365641.8999</v>
      </c>
      <c r="J32" s="159">
        <f t="shared" si="5"/>
        <v>0.54606374552084436</v>
      </c>
      <c r="K32" s="173">
        <f>+J32</f>
        <v>0.54606374552084436</v>
      </c>
      <c r="L32" s="159">
        <f t="shared" si="4"/>
        <v>0.57104626938723801</v>
      </c>
      <c r="N32" s="248" t="e">
        <f>N13+N14+N15+N17+#REF!+N22+#REF!</f>
        <v>#REF!</v>
      </c>
    </row>
    <row r="33" spans="2:14" x14ac:dyDescent="0.25">
      <c r="E33" s="195"/>
      <c r="G33" s="247"/>
      <c r="H33" s="247"/>
      <c r="J33" s="247"/>
      <c r="L33" s="247"/>
      <c r="N33" s="248"/>
    </row>
    <row r="34" spans="2:14" s="41" customFormat="1" ht="15" customHeight="1" x14ac:dyDescent="0.25">
      <c r="B34" s="296"/>
      <c r="C34" s="296"/>
      <c r="D34" s="296"/>
      <c r="E34" s="296"/>
      <c r="F34" s="296"/>
      <c r="G34" s="296"/>
      <c r="H34" s="296"/>
      <c r="I34" s="296"/>
      <c r="J34" s="296"/>
      <c r="K34" s="40"/>
      <c r="L34" s="40"/>
      <c r="M34" s="40"/>
      <c r="N34" s="248"/>
    </row>
    <row r="35" spans="2:14" s="41" customFormat="1" ht="15" customHeight="1" x14ac:dyDescent="0.25">
      <c r="B35" s="79"/>
      <c r="C35" s="79"/>
      <c r="D35" s="79"/>
      <c r="E35" s="79"/>
      <c r="F35" s="79"/>
      <c r="G35" s="247"/>
      <c r="H35" s="247"/>
      <c r="I35" s="40"/>
      <c r="J35" s="247"/>
      <c r="K35" s="40"/>
      <c r="L35" s="247"/>
      <c r="M35" s="40"/>
      <c r="N35" s="248"/>
    </row>
    <row r="37" spans="2:14" ht="17.25" x14ac:dyDescent="0.3">
      <c r="G37" s="247"/>
      <c r="H37" s="247"/>
      <c r="J37" s="247"/>
      <c r="L37" s="247"/>
      <c r="M37" s="140"/>
      <c r="N37" s="248"/>
    </row>
  </sheetData>
  <mergeCells count="6">
    <mergeCell ref="L6:M6"/>
    <mergeCell ref="B34:J34"/>
    <mergeCell ref="B10:L10"/>
    <mergeCell ref="F8:G8"/>
    <mergeCell ref="H8:L9"/>
    <mergeCell ref="G7:J7"/>
  </mergeCells>
  <conditionalFormatting sqref="G31">
    <cfRule type="iconSet" priority="4">
      <iconSet iconSet="3TrafficLights2">
        <cfvo type="percent" val="0"/>
        <cfvo type="num" val="0.8"/>
        <cfvo type="num" val="0.95"/>
      </iconSet>
    </cfRule>
  </conditionalFormatting>
  <conditionalFormatting sqref="G32">
    <cfRule type="iconSet" priority="14">
      <iconSet iconSet="3TrafficLights2">
        <cfvo type="percent" val="0"/>
        <cfvo type="num" val="0.8"/>
        <cfvo type="num" val="0.95"/>
      </iconSet>
    </cfRule>
  </conditionalFormatting>
  <conditionalFormatting sqref="H31">
    <cfRule type="iconSet" priority="2">
      <iconSet iconSet="3TrafficLights2">
        <cfvo type="percent" val="0"/>
        <cfvo type="num" val="0.8"/>
        <cfvo type="num" val="0.95"/>
      </iconSet>
    </cfRule>
  </conditionalFormatting>
  <conditionalFormatting sqref="H32">
    <cfRule type="iconSet" priority="10">
      <iconSet iconSet="3TrafficLights2">
        <cfvo type="percent" val="0"/>
        <cfvo type="num" val="0.8"/>
        <cfvo type="num" val="0.95"/>
      </iconSet>
    </cfRule>
  </conditionalFormatting>
  <conditionalFormatting sqref="J31">
    <cfRule type="iconSet" priority="3">
      <iconSet iconSet="3TrafficLights2">
        <cfvo type="percent" val="0"/>
        <cfvo type="num" val="0.8"/>
        <cfvo type="num" val="0.95"/>
      </iconSet>
    </cfRule>
  </conditionalFormatting>
  <conditionalFormatting sqref="J32">
    <cfRule type="iconSet" priority="13">
      <iconSet iconSet="3TrafficLights2">
        <cfvo type="percent" val="0"/>
        <cfvo type="num" val="0.8"/>
        <cfvo type="num" val="0.95"/>
      </iconSet>
    </cfRule>
  </conditionalFormatting>
  <conditionalFormatting sqref="L31">
    <cfRule type="iconSet" priority="1">
      <iconSet iconSet="3TrafficLights2">
        <cfvo type="percent" val="0"/>
        <cfvo type="num" val="0.8"/>
        <cfvo type="num" val="0.95"/>
      </iconSet>
    </cfRule>
  </conditionalFormatting>
  <conditionalFormatting sqref="L32">
    <cfRule type="iconSet" priority="9">
      <iconSet iconSet="3TrafficLights2">
        <cfvo type="percent" val="0"/>
        <cfvo type="num" val="0.8"/>
        <cfvo type="num" val="0.95"/>
      </iconSet>
    </cfRule>
  </conditionalFormatting>
  <printOptions horizontalCentered="1" verticalCentered="1"/>
  <pageMargins left="0" right="0" top="0" bottom="0" header="0.31496062992125984" footer="0.31496062992125984"/>
  <pageSetup scale="62" orientation="landscape" r:id="rId1"/>
  <ignoredErrors>
    <ignoredError sqref="I33:J33 G18 G12 J12 J18 J24 G24 G33 G16 J16 L19" formula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0">
    <tabColor theme="9"/>
    <pageSetUpPr fitToPage="1"/>
  </sheetPr>
  <dimension ref="B1:M20"/>
  <sheetViews>
    <sheetView showGridLines="0" topLeftCell="A10" zoomScale="70" zoomScaleNormal="70" workbookViewId="0">
      <selection activeCell="W14" sqref="W14"/>
    </sheetView>
  </sheetViews>
  <sheetFormatPr baseColWidth="10" defaultColWidth="11.42578125" defaultRowHeight="15" x14ac:dyDescent="0.25"/>
  <cols>
    <col min="1" max="1" width="2.140625" style="27" customWidth="1"/>
    <col min="2" max="2" width="21" style="27" customWidth="1"/>
    <col min="3" max="3" width="38.85546875" style="27" customWidth="1"/>
    <col min="4" max="4" width="30.28515625" style="27" customWidth="1"/>
    <col min="5" max="5" width="25.7109375" style="27" customWidth="1"/>
    <col min="6" max="8" width="22.7109375" style="27" customWidth="1"/>
    <col min="9" max="9" width="18.7109375" style="30" customWidth="1"/>
    <col min="10" max="10" width="12.85546875" style="30" hidden="1" customWidth="1"/>
    <col min="11" max="11" width="22.7109375" style="27" customWidth="1"/>
    <col min="12" max="12" width="20.42578125" style="30" customWidth="1"/>
    <col min="13" max="13" width="20.42578125" style="30" hidden="1" customWidth="1"/>
    <col min="14" max="16384" width="11.42578125" style="27"/>
  </cols>
  <sheetData>
    <row r="1" spans="2:13" ht="12" customHeight="1" x14ac:dyDescent="0.25">
      <c r="I1" s="242"/>
      <c r="J1" s="242"/>
      <c r="L1" s="242"/>
      <c r="M1" s="242"/>
    </row>
    <row r="2" spans="2:13" ht="12" customHeight="1" x14ac:dyDescent="0.25">
      <c r="I2" s="242"/>
      <c r="J2" s="242"/>
      <c r="L2" s="242"/>
      <c r="M2" s="242"/>
    </row>
    <row r="3" spans="2:13" ht="12" customHeight="1" x14ac:dyDescent="0.25">
      <c r="I3" s="242"/>
      <c r="J3" s="242"/>
      <c r="L3" s="242"/>
      <c r="M3" s="242"/>
    </row>
    <row r="4" spans="2:13" ht="18.75" customHeight="1" x14ac:dyDescent="0.25">
      <c r="I4" s="242"/>
      <c r="J4" s="242"/>
      <c r="L4" s="242"/>
      <c r="M4" s="242"/>
    </row>
    <row r="5" spans="2:13" ht="15.75" customHeight="1" x14ac:dyDescent="0.25">
      <c r="I5" s="242"/>
      <c r="J5" s="242"/>
      <c r="L5" s="242"/>
      <c r="M5" s="242"/>
    </row>
    <row r="6" spans="2:13" ht="19.5" customHeight="1" x14ac:dyDescent="0.3">
      <c r="H6" s="190"/>
      <c r="I6" s="261" t="s">
        <v>258</v>
      </c>
      <c r="J6" s="261"/>
      <c r="K6" s="261"/>
      <c r="L6" s="261"/>
      <c r="M6" s="242"/>
    </row>
    <row r="7" spans="2:13" ht="15.75" customHeight="1" x14ac:dyDescent="0.25">
      <c r="H7" s="190"/>
      <c r="I7" s="190"/>
      <c r="J7" s="190"/>
      <c r="K7" s="190"/>
      <c r="L7" s="190"/>
      <c r="M7" s="242"/>
    </row>
    <row r="8" spans="2:13" ht="50.25" customHeight="1" x14ac:dyDescent="0.25">
      <c r="B8" s="263" t="s">
        <v>397</v>
      </c>
      <c r="C8" s="263"/>
      <c r="D8" s="263"/>
      <c r="E8" s="263"/>
      <c r="F8" s="263"/>
      <c r="G8" s="263"/>
      <c r="H8" s="263"/>
      <c r="I8" s="263"/>
      <c r="J8" s="263"/>
      <c r="K8" s="263"/>
      <c r="L8" s="263"/>
      <c r="M8" s="263"/>
    </row>
    <row r="9" spans="2:13" ht="51.75" customHeight="1" thickBot="1" x14ac:dyDescent="0.3">
      <c r="B9" s="154" t="s">
        <v>297</v>
      </c>
      <c r="C9" s="154" t="s">
        <v>298</v>
      </c>
      <c r="D9" s="154" t="s">
        <v>299</v>
      </c>
      <c r="E9" s="155" t="s">
        <v>300</v>
      </c>
      <c r="F9" s="155" t="s">
        <v>282</v>
      </c>
      <c r="G9" s="154" t="s">
        <v>283</v>
      </c>
      <c r="H9" s="35" t="s">
        <v>284</v>
      </c>
      <c r="I9" s="31" t="s">
        <v>285</v>
      </c>
      <c r="J9" s="31" t="s">
        <v>286</v>
      </c>
      <c r="K9" s="35" t="s">
        <v>287</v>
      </c>
      <c r="L9" s="31" t="s">
        <v>288</v>
      </c>
      <c r="M9" s="31" t="s">
        <v>289</v>
      </c>
    </row>
    <row r="10" spans="2:13" ht="75.75" customHeight="1" thickBot="1" x14ac:dyDescent="0.3">
      <c r="B10" s="273" t="s">
        <v>368</v>
      </c>
      <c r="C10" s="52" t="str">
        <f>+REP_EPG034_EjecucionPresupuesta!P121</f>
        <v>2. SEGURIDAD HUMANA Y JUSTICIA SOCIAL / C. ATENCIÓN A LA POBLACIÓN CONDENADA, SINDICADA Y POSPENADA EN LOS TERRITORIOS - C-1206-0800-6-20112C</v>
      </c>
      <c r="D10" s="201" t="s">
        <v>398</v>
      </c>
      <c r="E10" s="63">
        <f>SUMIFS(REP_EPG034_EjecucionPresupuesta!$T$119:$T$123,REP_EPG034_EjecucionPresupuesta!$P$119:$P$123,"2. SEGURIDAD HUMANA Y JUSTICIA SOCIAL / C. ATENCIÓN A LA POBLACIÓN CONDENADA, SINDICADA Y POSPENADA EN LOS TERRITORIOS - C-1206-0800-6-20112C")</f>
        <v>324912355109</v>
      </c>
      <c r="F10" s="71">
        <f>SUMIFS(REP_EPG034_EjecucionPresupuesta!$U$119:$U$131,REP_EPG034_EjecucionPresupuesta!$P$119:$P$131,"2. SEGURIDAD HUMANA Y JUSTICIA SOCIAL / C. ATENCIÓN A LA POBLACIÓN CONDENADA, SINDICADA Y POSPENADA EN LOS TERRITORIOS - C-1206-0800-6-20112C")</f>
        <v>0</v>
      </c>
      <c r="G10" s="71">
        <f>+E10-F10</f>
        <v>324912355109</v>
      </c>
      <c r="H10" s="71">
        <f>SUMIFS(REP_EPG034_EjecucionPresupuesta!$X$119:$X$131,REP_EPG034_EjecucionPresupuesta!$P$119:$P$131,"2. SEGURIDAD HUMANA Y JUSTICIA SOCIAL / C. ATENCIÓN A LA POBLACIÓN CONDENADA, SINDICADA Y POSPENADA EN LOS TERRITORIOS - C-1206-0800-6-20112C")</f>
        <v>225096216247.70001</v>
      </c>
      <c r="I10" s="143">
        <f>+H10/E10</f>
        <v>0.69279057169797631</v>
      </c>
      <c r="J10" s="143">
        <f>+H10/G10</f>
        <v>0.69279057169797631</v>
      </c>
      <c r="K10" s="71">
        <f>SUMIFS(REP_EPG034_EjecucionPresupuesta!$Y$119:$Y$131,REP_EPG034_EjecucionPresupuesta!$P$119:$P$131,"2. SEGURIDAD HUMANA Y JUSTICIA SOCIAL / C. ATENCIÓN A LA POBLACIÓN CONDENADA, SINDICADA Y POSPENADA EN LOS TERRITORIOS - C-1206-0800-6-20112C")</f>
        <v>72196901511.529999</v>
      </c>
      <c r="L10" s="143">
        <f>+K10/E10</f>
        <v>0.22220423562320288</v>
      </c>
      <c r="M10" s="143">
        <f>+K10/G10</f>
        <v>0.22220423562320288</v>
      </c>
    </row>
    <row r="11" spans="2:13" ht="82.5" customHeight="1" thickBot="1" x14ac:dyDescent="0.3">
      <c r="B11" s="274"/>
      <c r="C11" s="52" t="str">
        <f>REP_EPG034_EjecucionPresupuesta!P122</f>
        <v>2. SEGURIDAD HUMANA Y JUSTICIA SOCIAL / C. ATENCIÓN A LA POBLACIÓN CONDENADA, SINDICADA Y POSPENADA EN LOS TERRITORIOS - C-1206-0800-7-20112C</v>
      </c>
      <c r="D11" s="196" t="s">
        <v>399</v>
      </c>
      <c r="E11" s="63">
        <f>SUMIFS(REP_EPG034_EjecucionPresupuesta!$T$120:$T$123,REP_EPG034_EjecucionPresupuesta!$P$120:$P$123,"2. SEGURIDAD HUMANA Y JUSTICIA SOCIAL / C. ATENCIÓN A LA POBLACIÓN CONDENADA, SINDICADA Y POSPENADA EN LOS TERRITORIOS - C-1206-0800-7-20112C")</f>
        <v>150229806255</v>
      </c>
      <c r="F11" s="71">
        <f>SUMIFS(REP_EPG034_EjecucionPresupuesta!$U$119:$U$131,REP_EPG034_EjecucionPresupuesta!$P$119:$P$131,"2. SEGURIDAD HUMANA Y JUSTICIA SOCIAL / C. ATENCIÓN A LA POBLACIÓN CONDENADA, SINDICADA Y POSPENADA EN LOS TERRITORIOS - C-1206-0800-7-20112C")</f>
        <v>0</v>
      </c>
      <c r="G11" s="71">
        <f>+E11-F11</f>
        <v>150229806255</v>
      </c>
      <c r="H11" s="63">
        <f>SUMIFS(REP_EPG034_EjecucionPresupuesta!$X$119:$X$131,REP_EPG034_EjecucionPresupuesta!$P$119:$P$131,"2. SEGURIDAD HUMANA Y JUSTICIA SOCIAL / C. ATENCIÓN A LA POBLACIÓN CONDENADA, SINDICADA Y POSPENADA EN LOS TERRITORIOS - C-1206-0800-7-20112C")</f>
        <v>115028696250.67</v>
      </c>
      <c r="I11" s="143">
        <f>+H11/E11</f>
        <v>0.76568491378748338</v>
      </c>
      <c r="J11" s="143">
        <f>+H11/G11</f>
        <v>0.76568491378748338</v>
      </c>
      <c r="K11" s="63">
        <f>SUMIFS(REP_EPG034_EjecucionPresupuesta!$Y$119:$Y$131,REP_EPG034_EjecucionPresupuesta!$P$119:$P$131,"2. SEGURIDAD HUMANA Y JUSTICIA SOCIAL / C. ATENCIÓN A LA POBLACIÓN CONDENADA, SINDICADA Y POSPENADA EN LOS TERRITORIOS - C-1206-0800-7-20112C")</f>
        <v>11574542894.879999</v>
      </c>
      <c r="L11" s="143">
        <f>+K11/E11</f>
        <v>7.70455822543855E-2</v>
      </c>
      <c r="M11" s="143">
        <f>+K11/G11</f>
        <v>7.70455822543855E-2</v>
      </c>
    </row>
    <row r="12" spans="2:13" ht="80.25" customHeight="1" thickBot="1" x14ac:dyDescent="0.3">
      <c r="B12" s="274"/>
      <c r="C12" s="52" t="str">
        <f>REP_EPG034_EjecucionPresupuesta!P121</f>
        <v>2. SEGURIDAD HUMANA Y JUSTICIA SOCIAL / C. ATENCIÓN A LA POBLACIÓN CONDENADA, SINDICADA Y POSPENADA EN LOS TERRITORIOS - C-1206-0800-6-20112C</v>
      </c>
      <c r="D12" s="286" t="s">
        <v>400</v>
      </c>
      <c r="E12" s="63">
        <f>SUMIFS(REP_EPG034_EjecucionPresupuesta!$T$120:$T$123,REP_EPG034_EjecucionPresupuesta!$P$120:$P$123,"2. SEGURIDAD HUMANA Y JUSTICIA SOCIAL / C. ATENCIÓN A LA POBLACIÓN CONDENADA, SINDICADA Y POSPENADA EN LOS TERRITORIOS - C-1206-0800-10-20112C - RECURSO 10")</f>
        <v>20000000000</v>
      </c>
      <c r="F12" s="71">
        <f>SUMIFS(REP_EPG034_EjecucionPresupuesta!$U$121:$U$131,REP_EPG034_EjecucionPresupuesta!$P$121:$P$131,"2. SEGURIDAD HUMANA Y JUSTICIA SOCIAL / C. ATENCIÓN A LA POBLACIÓN CONDENADA, SINDICADA Y POSPENADA EN LOS TERRITORIOS - C-1206-0800-10-20112C - RECURSO 10")</f>
        <v>19967050895</v>
      </c>
      <c r="G12" s="71">
        <f>+E12-F12</f>
        <v>32949105</v>
      </c>
      <c r="H12" s="63">
        <f>SUMIFS(REP_EPG034_EjecucionPresupuesta!$X$121:$X$131,REP_EPG034_EjecucionPresupuesta!$P$121:$P$131,"2. SEGURIDAD HUMANA Y JUSTICIA SOCIAL / C. ATENCIÓN A LA POBLACIÓN CONDENADA, SINDICADA Y POSPENADA EN LOS TERRITORIOS - C-1206-0800-10-20112C - RECURSO 10")</f>
        <v>32949105</v>
      </c>
      <c r="I12" s="143">
        <f>+H12/E12</f>
        <v>1.64745525E-3</v>
      </c>
      <c r="J12" s="143">
        <f>+H12/G12</f>
        <v>1</v>
      </c>
      <c r="K12" s="71">
        <f>SUMIFS(REP_EPG034_EjecucionPresupuesta!$Y$121:$Y$131,REP_EPG034_EjecucionPresupuesta!$P$121:$P$131,"2. SEGURIDAD HUMANA Y JUSTICIA SOCIAL / C. ATENCIÓN A LA POBLACIÓN CONDENADA, SINDICADA Y POSPENADA EN LOS TERRITORIOS - C-1206-0800-10-20112C - RECURSO 10")</f>
        <v>25104080</v>
      </c>
      <c r="L12" s="143">
        <f>+K12/E12</f>
        <v>1.255204E-3</v>
      </c>
      <c r="M12" s="143">
        <f>+K12/G12</f>
        <v>0.76190476190476186</v>
      </c>
    </row>
    <row r="13" spans="2:13" ht="70.150000000000006" customHeight="1" thickBot="1" x14ac:dyDescent="0.3">
      <c r="B13" s="274"/>
      <c r="C13" s="52" t="str">
        <f>REP_EPG034_EjecucionPresupuesta!P122</f>
        <v>2. SEGURIDAD HUMANA Y JUSTICIA SOCIAL / C. ATENCIÓN A LA POBLACIÓN CONDENADA, SINDICADA Y POSPENADA EN LOS TERRITORIOS - C-1206-0800-7-20112C</v>
      </c>
      <c r="D13" s="287"/>
      <c r="E13" s="63">
        <f>SUMIFS(REP_EPG034_EjecucionPresupuesta!$T$120:$T$124,REP_EPG034_EjecucionPresupuesta!$P$120:$P$124,"2. SEGURIDAD HUMANA Y JUSTICIA SOCIAL / C. ATENCIÓN A LA POBLACIÓN CONDENADA, SINDICADA Y POSPENADA EN LOS TERRITORIOS - C-1206-0800-10-20112C - RECURSO 16")</f>
        <v>23743838636</v>
      </c>
      <c r="F13" s="71">
        <f>SUMIFS(REP_EPG034_EjecucionPresupuesta!$U$121:$U$124,REP_EPG034_EjecucionPresupuesta!$P$121:$P$124,"2. SEGURIDAD HUMANA Y JUSTICIA SOCIAL / C. ATENCIÓN A LA POBLACIÓN CONDENADA, SINDICADA Y POSPENADA EN LOS TERRITORIOS - C-1206-0800-10-20112C - RECURSO 16")</f>
        <v>0</v>
      </c>
      <c r="G13" s="71">
        <f>+E13-F13</f>
        <v>23743838636</v>
      </c>
      <c r="H13" s="63">
        <f>SUMIFS(REP_EPG034_EjecucionPresupuesta!$X$121:$X$124,REP_EPG034_EjecucionPresupuesta!$P$121:$P$124,"2. SEGURIDAD HUMANA Y JUSTICIA SOCIAL / C. ATENCIÓN A LA POBLACIÓN CONDENADA, SINDICADA Y POSPENADA EN LOS TERRITORIOS - C-1206-0800-10-20112C - RECURSO 16")</f>
        <v>32949105</v>
      </c>
      <c r="I13" s="143">
        <f>+H13/E13</f>
        <v>1.3876907396954397E-3</v>
      </c>
      <c r="J13" s="143">
        <f>+H13/G13</f>
        <v>1.3876907396954397E-3</v>
      </c>
      <c r="K13" s="71">
        <f>SUMIFS(REP_EPG034_EjecucionPresupuesta!$Y$121:$Y$124,REP_EPG034_EjecucionPresupuesta!$P$121:$P$124,"2. SEGURIDAD HUMANA Y JUSTICIA SOCIAL / C. ATENCIÓN A LA POBLACIÓN CONDENADA, SINDICADA Y POSPENADA EN LOS TERRITORIOS - C-1206-0800-10-20112C - RECURSO 16")</f>
        <v>22384471</v>
      </c>
      <c r="L13" s="143">
        <f>+K13/E13</f>
        <v>9.4274861546864836E-4</v>
      </c>
      <c r="M13" s="143">
        <f>+K13/G13</f>
        <v>9.4274861546864836E-4</v>
      </c>
    </row>
    <row r="14" spans="2:13" ht="30" customHeight="1" thickBot="1" x14ac:dyDescent="0.3">
      <c r="B14" s="268" t="s">
        <v>322</v>
      </c>
      <c r="C14" s="268"/>
      <c r="D14" s="269"/>
      <c r="E14" s="77">
        <f>SUM(E10:E13)</f>
        <v>518886000000</v>
      </c>
      <c r="F14" s="174">
        <f>SUM(F10:F13)</f>
        <v>19967050895</v>
      </c>
      <c r="G14" s="77">
        <f>+SUM(G10:G13)</f>
        <v>498918949105</v>
      </c>
      <c r="H14" s="77">
        <f>SUM(H10:H13)</f>
        <v>340190810708.37</v>
      </c>
      <c r="I14" s="159">
        <f>+H14/E14</f>
        <v>0.65561763221279823</v>
      </c>
      <c r="J14" s="159">
        <f>+H14/G14</f>
        <v>0.68185586319908476</v>
      </c>
      <c r="K14" s="132">
        <f>SUM(K10:K13)</f>
        <v>83818932957.410004</v>
      </c>
      <c r="L14" s="159">
        <f>+K14/E14</f>
        <v>0.16153631618006653</v>
      </c>
      <c r="M14" s="159">
        <f>+K14/G14</f>
        <v>0.16800110139687216</v>
      </c>
    </row>
    <row r="16" spans="2:13" s="30" customFormat="1" ht="15" customHeight="1" x14ac:dyDescent="0.25">
      <c r="B16" s="242"/>
      <c r="C16" s="284"/>
      <c r="D16" s="284"/>
      <c r="E16" s="284"/>
      <c r="F16" s="284"/>
      <c r="G16" s="284"/>
      <c r="H16" s="284"/>
      <c r="I16" s="284"/>
      <c r="J16" s="284"/>
      <c r="K16" s="284"/>
      <c r="L16" s="284"/>
      <c r="M16" s="242"/>
    </row>
    <row r="17" spans="3:11" s="30" customFormat="1" ht="31.5" customHeight="1" x14ac:dyDescent="0.25">
      <c r="C17" s="56"/>
      <c r="D17" s="56"/>
      <c r="E17" s="56"/>
      <c r="F17" s="56"/>
      <c r="G17" s="56"/>
      <c r="H17" s="56"/>
      <c r="I17" s="242"/>
      <c r="J17" s="242"/>
      <c r="K17" s="248"/>
    </row>
    <row r="18" spans="3:11" x14ac:dyDescent="0.25">
      <c r="I18" s="242"/>
      <c r="J18" s="242"/>
      <c r="K18" s="248"/>
    </row>
    <row r="20" spans="3:11" x14ac:dyDescent="0.25">
      <c r="I20" s="242"/>
      <c r="J20" s="242"/>
      <c r="K20" s="175"/>
    </row>
  </sheetData>
  <mergeCells count="6">
    <mergeCell ref="I6:L6"/>
    <mergeCell ref="C16:L16"/>
    <mergeCell ref="B8:M8"/>
    <mergeCell ref="B14:D14"/>
    <mergeCell ref="B10:B13"/>
    <mergeCell ref="D12:D13"/>
  </mergeCells>
  <printOptions horizontalCentered="1" verticalCentered="1"/>
  <pageMargins left="0.59055118110236227" right="0" top="0" bottom="0" header="0.31496062992125984" footer="0"/>
  <pageSetup scale="5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>
    <tabColor theme="9" tint="0.39997558519241921"/>
    <pageSetUpPr fitToPage="1"/>
  </sheetPr>
  <dimension ref="B1:S50"/>
  <sheetViews>
    <sheetView showGridLines="0" tabSelected="1" zoomScale="55" zoomScaleNormal="55" zoomScaleSheetLayoutView="80" zoomScalePageLayoutView="80" workbookViewId="0">
      <selection activeCell="B10" sqref="B10:B13"/>
    </sheetView>
  </sheetViews>
  <sheetFormatPr baseColWidth="10" defaultColWidth="11.42578125" defaultRowHeight="15" x14ac:dyDescent="0.25"/>
  <cols>
    <col min="1" max="1" width="3.140625" customWidth="1"/>
    <col min="2" max="2" width="37" customWidth="1"/>
    <col min="3" max="3" width="31" customWidth="1"/>
    <col min="4" max="4" width="33.42578125" bestFit="1" customWidth="1"/>
    <col min="5" max="5" width="30" bestFit="1" customWidth="1"/>
    <col min="6" max="6" width="37.28515625" customWidth="1"/>
    <col min="7" max="7" width="33.42578125" customWidth="1"/>
    <col min="8" max="8" width="23" customWidth="1"/>
    <col min="9" max="9" width="20.140625" hidden="1" customWidth="1"/>
    <col min="10" max="10" width="39" customWidth="1"/>
    <col min="11" max="11" width="21" customWidth="1"/>
    <col min="12" max="12" width="20.85546875" hidden="1" customWidth="1"/>
    <col min="13" max="13" width="33" customWidth="1"/>
    <col min="14" max="14" width="11.28515625" style="20" hidden="1" customWidth="1"/>
    <col min="15" max="15" width="33" hidden="1" customWidth="1"/>
    <col min="16" max="16" width="22.42578125" customWidth="1"/>
    <col min="17" max="17" width="30.7109375" hidden="1" customWidth="1"/>
  </cols>
  <sheetData>
    <row r="1" spans="2:19" ht="16.5" x14ac:dyDescent="0.3">
      <c r="P1" s="2"/>
    </row>
    <row r="2" spans="2:19" ht="23.25" customHeight="1" x14ac:dyDescent="0.3">
      <c r="N2" s="26"/>
      <c r="P2" s="2"/>
    </row>
    <row r="3" spans="2:19" ht="18" customHeight="1" x14ac:dyDescent="0.3">
      <c r="N3" s="109"/>
      <c r="P3" s="2"/>
    </row>
    <row r="4" spans="2:19" ht="18" customHeight="1" x14ac:dyDescent="0.3">
      <c r="N4" s="109"/>
      <c r="P4" s="2"/>
    </row>
    <row r="5" spans="2:19" ht="18" customHeight="1" x14ac:dyDescent="0.3">
      <c r="N5" s="110"/>
      <c r="P5" s="2"/>
    </row>
    <row r="6" spans="2:19" ht="18" customHeight="1" x14ac:dyDescent="0.35">
      <c r="F6" s="255"/>
      <c r="G6" s="255"/>
      <c r="H6" s="255"/>
      <c r="I6" s="8"/>
      <c r="J6" s="8"/>
      <c r="N6" s="111"/>
      <c r="P6" s="6"/>
    </row>
    <row r="7" spans="2:19" ht="48.75" customHeight="1" x14ac:dyDescent="0.25">
      <c r="F7" s="258"/>
      <c r="G7" s="258"/>
      <c r="H7" s="258"/>
      <c r="I7" s="258"/>
      <c r="J7" s="258"/>
      <c r="K7" s="258"/>
      <c r="L7" s="258"/>
      <c r="M7" s="258"/>
      <c r="N7" s="258"/>
      <c r="O7" s="160"/>
      <c r="P7" s="108"/>
    </row>
    <row r="8" spans="2:19" s="1" customFormat="1" ht="26.25" customHeight="1" x14ac:dyDescent="0.3">
      <c r="B8"/>
      <c r="C8" s="5"/>
      <c r="D8" s="5"/>
      <c r="E8" s="5"/>
      <c r="F8" s="5"/>
      <c r="G8" s="5"/>
      <c r="H8" s="5"/>
      <c r="I8" s="5"/>
      <c r="J8"/>
      <c r="K8" s="151" t="s">
        <v>258</v>
      </c>
      <c r="L8" s="163"/>
      <c r="M8"/>
      <c r="N8" s="151"/>
      <c r="O8" s="151"/>
      <c r="P8" s="2"/>
      <c r="Q8" s="2"/>
      <c r="R8" s="2"/>
      <c r="S8" s="2"/>
    </row>
    <row r="9" spans="2:19" s="1" customFormat="1" ht="26.25" customHeight="1" x14ac:dyDescent="0.35">
      <c r="B9"/>
      <c r="C9" s="5"/>
      <c r="D9" s="5"/>
      <c r="E9"/>
      <c r="F9" s="5"/>
      <c r="G9" s="211"/>
      <c r="H9" s="5"/>
      <c r="I9" s="5"/>
      <c r="J9" s="5"/>
      <c r="K9" s="81"/>
      <c r="L9" s="81"/>
      <c r="M9" s="81"/>
      <c r="N9" s="81"/>
      <c r="O9" s="81"/>
      <c r="P9" s="2"/>
      <c r="Q9" s="2"/>
      <c r="R9" s="2"/>
      <c r="S9" s="2"/>
    </row>
    <row r="10" spans="2:19" s="1" customFormat="1" ht="57.6" customHeight="1" x14ac:dyDescent="0.3">
      <c r="B10" s="257" t="s">
        <v>259</v>
      </c>
      <c r="C10" s="11" t="s">
        <v>260</v>
      </c>
      <c r="D10" s="12" t="s">
        <v>261</v>
      </c>
      <c r="E10" s="12" t="s">
        <v>262</v>
      </c>
      <c r="F10" s="12" t="s">
        <v>263</v>
      </c>
      <c r="G10" s="82" t="s">
        <v>264</v>
      </c>
      <c r="H10" s="12" t="s">
        <v>265</v>
      </c>
      <c r="I10" s="12" t="s">
        <v>266</v>
      </c>
      <c r="J10" s="82" t="s">
        <v>267</v>
      </c>
      <c r="K10" s="12" t="s">
        <v>268</v>
      </c>
      <c r="L10" s="12" t="s">
        <v>269</v>
      </c>
      <c r="M10" s="12" t="s">
        <v>270</v>
      </c>
      <c r="N10" s="25"/>
      <c r="O10" s="12" t="s">
        <v>271</v>
      </c>
      <c r="P10" s="2"/>
      <c r="Q10"/>
      <c r="R10"/>
      <c r="S10"/>
    </row>
    <row r="11" spans="2:19" s="1" customFormat="1" ht="31.5" customHeight="1" x14ac:dyDescent="0.3">
      <c r="B11" s="257"/>
      <c r="C11" s="169" t="s">
        <v>255</v>
      </c>
      <c r="D11" s="13">
        <f>SUM(REP_EPG034_EjecucionPresupuesta!$T$5:$T$24,REP_EPG034_EjecucionPresupuesta!$P$5:P24)</f>
        <v>150859969000</v>
      </c>
      <c r="E11" s="14">
        <f>SUM(REP_EPG034_EjecucionPresupuesta!$U$5:$U$24,REP_EPG034_EjecucionPresupuesta!$P$5:P24)</f>
        <v>21934943440.010002</v>
      </c>
      <c r="F11" s="14">
        <f>+D11-E11</f>
        <v>128925025559.98999</v>
      </c>
      <c r="G11" s="14">
        <f>SUM(REP_EPG034_EjecucionPresupuesta!$X$5:$X$24,REP_EPG034_EjecucionPresupuesta!$P$5:P24)</f>
        <v>107693785185.31</v>
      </c>
      <c r="H11" s="15">
        <f>+G11/D11</f>
        <v>0.7138658843639959</v>
      </c>
      <c r="I11" s="15">
        <f>+G11/F11</f>
        <v>0.83532103032393112</v>
      </c>
      <c r="J11" s="14">
        <f>SUM(REP_EPG034_EjecucionPresupuesta!$Y$5:$Y$24,REP_EPG034_EjecucionPresupuesta!$P$5:$P$24)</f>
        <v>83755082075.869995</v>
      </c>
      <c r="K11" s="15">
        <f>+J11/D11</f>
        <v>0.55518427208393495</v>
      </c>
      <c r="L11" s="15">
        <f>+J11/F11</f>
        <v>0.64964177212358198</v>
      </c>
      <c r="M11" s="22">
        <f>+D11-G11</f>
        <v>43166183814.690002</v>
      </c>
      <c r="N11" s="25" t="e">
        <f>IF(#REF!&gt;=95%,"Verde",IF(AND(#REF!&lt;=94.99%,#REF!&gt;=80%),"Amarillo",IF(#REF!&lt;=79.99%,"Rojo","")))</f>
        <v>#REF!</v>
      </c>
      <c r="O11" s="22">
        <f>+F11-G11</f>
        <v>21231240374.679993</v>
      </c>
      <c r="P11" s="106"/>
      <c r="Q11" s="194" t="e">
        <f>F11-#REF!</f>
        <v>#REF!</v>
      </c>
      <c r="R11"/>
      <c r="S11"/>
    </row>
    <row r="12" spans="2:19" s="1" customFormat="1" ht="27" customHeight="1" x14ac:dyDescent="0.3">
      <c r="B12" s="257"/>
      <c r="C12" s="146" t="s">
        <v>256</v>
      </c>
      <c r="D12" s="16">
        <f>SUM(REP_EPG034_EjecucionPresupuesta!$T$25:$T$44,REP_EPG034_EjecucionPresupuesta!$P$25:P44)</f>
        <v>63041027979</v>
      </c>
      <c r="E12" s="14">
        <f>SUM(REP_EPG034_EjecucionPresupuesta!$U$25:$U$44,REP_EPG034_EjecucionPresupuesta!$P$25:P44)</f>
        <v>831740519</v>
      </c>
      <c r="F12" s="14">
        <f>+D12-E12</f>
        <v>62209287460</v>
      </c>
      <c r="G12" s="14">
        <f>SUM(REP_EPG034_EjecucionPresupuesta!$X$25:$X$44,REP_EPG034_EjecucionPresupuesta!$P$25:$P$44)</f>
        <v>60530069990.739998</v>
      </c>
      <c r="H12" s="15">
        <f>+G12/D12</f>
        <v>0.96016946314554952</v>
      </c>
      <c r="I12" s="15">
        <f>+G12/F12</f>
        <v>0.97300696507189988</v>
      </c>
      <c r="J12" s="14">
        <f>SUM(REP_EPG034_EjecucionPresupuesta!$Y$25:$Y$44,REP_EPG034_EjecucionPresupuesta!$P$25:$P$44)</f>
        <v>32398292821.900002</v>
      </c>
      <c r="K12" s="15">
        <f>+J12/D12</f>
        <v>0.51392392955096489</v>
      </c>
      <c r="L12" s="15">
        <f>+J12/F12</f>
        <v>0.5207951118670473</v>
      </c>
      <c r="M12" s="22">
        <f>+D12-G12</f>
        <v>2510957988.2600021</v>
      </c>
      <c r="N12" s="25" t="e">
        <f>IF(#REF!&gt;=95%,"Verde",IF(AND(#REF!&lt;=94.99%,#REF!&gt;=80%),"Amarillo",IF(#REF!&lt;=79.99%,"Rojo","")))</f>
        <v>#REF!</v>
      </c>
      <c r="O12" s="22">
        <f>+F12-G12</f>
        <v>1679217469.2600021</v>
      </c>
      <c r="P12" s="2"/>
      <c r="Q12" s="194" t="e">
        <f>F12-#REF!</f>
        <v>#REF!</v>
      </c>
      <c r="R12"/>
      <c r="S12"/>
    </row>
    <row r="13" spans="2:19" s="6" customFormat="1" ht="24" customHeight="1" x14ac:dyDescent="0.25">
      <c r="B13" s="257"/>
      <c r="C13" s="18" t="s">
        <v>257</v>
      </c>
      <c r="D13" s="19">
        <f>SUM(D11:D12)</f>
        <v>213900996979</v>
      </c>
      <c r="E13" s="19">
        <f>SUM(E11:E12)</f>
        <v>22766683959.010002</v>
      </c>
      <c r="F13" s="19">
        <f>SUM(F11:F12)</f>
        <v>191134313019.98999</v>
      </c>
      <c r="G13" s="19">
        <f>SUM(G11:G12)</f>
        <v>168223855176.04999</v>
      </c>
      <c r="H13" s="208">
        <f>+G13/D13</f>
        <v>0.78645662036145436</v>
      </c>
      <c r="I13" s="142">
        <f>+G13/F13</f>
        <v>0.88013424967005327</v>
      </c>
      <c r="J13" s="136">
        <f>SUM(J11:J12)</f>
        <v>116153374897.76999</v>
      </c>
      <c r="K13" s="208">
        <f>+J13/D13</f>
        <v>0.54302399959909253</v>
      </c>
      <c r="L13" s="142">
        <f>+J13/F13</f>
        <v>0.60770550856361394</v>
      </c>
      <c r="M13" s="136">
        <f>+D13-G13</f>
        <v>45677141802.950012</v>
      </c>
      <c r="N13" s="107">
        <f>+E13-H13</f>
        <v>22766683958.223545</v>
      </c>
      <c r="O13" s="107">
        <f>+F13-G13</f>
        <v>22910457843.940002</v>
      </c>
      <c r="Q13" s="194" t="e">
        <f>F13-#REF!</f>
        <v>#REF!</v>
      </c>
    </row>
    <row r="14" spans="2:19" s="1" customFormat="1" ht="9" customHeight="1" x14ac:dyDescent="0.3">
      <c r="B14"/>
      <c r="C14" s="21"/>
      <c r="D14" s="21"/>
      <c r="E14" s="21"/>
      <c r="F14" s="21"/>
      <c r="G14" s="21"/>
      <c r="H14" s="2"/>
      <c r="I14" s="2"/>
      <c r="J14" s="21"/>
      <c r="K14" s="2"/>
      <c r="L14" s="2"/>
      <c r="M14" s="5"/>
      <c r="N14" s="25"/>
      <c r="O14" s="5"/>
      <c r="P14" s="2"/>
      <c r="Q14" s="194"/>
      <c r="R14"/>
      <c r="S14"/>
    </row>
    <row r="15" spans="2:19" s="1" customFormat="1" ht="61.5" customHeight="1" x14ac:dyDescent="0.3">
      <c r="B15" s="256" t="s">
        <v>272</v>
      </c>
      <c r="C15" s="11" t="s">
        <v>260</v>
      </c>
      <c r="D15" s="12" t="s">
        <v>261</v>
      </c>
      <c r="E15" s="12" t="s">
        <v>262</v>
      </c>
      <c r="F15" s="12" t="s">
        <v>273</v>
      </c>
      <c r="G15" s="82" t="s">
        <v>264</v>
      </c>
      <c r="H15" s="12" t="s">
        <v>265</v>
      </c>
      <c r="I15" s="12" t="s">
        <v>266</v>
      </c>
      <c r="J15" s="82" t="s">
        <v>267</v>
      </c>
      <c r="K15" s="12" t="s">
        <v>268</v>
      </c>
      <c r="L15" s="12" t="s">
        <v>269</v>
      </c>
      <c r="M15" s="12" t="s">
        <v>270</v>
      </c>
      <c r="N15" s="25"/>
      <c r="O15" s="12" t="s">
        <v>271</v>
      </c>
      <c r="P15" s="2"/>
      <c r="Q15" s="194"/>
      <c r="R15"/>
      <c r="S15"/>
    </row>
    <row r="16" spans="2:19" s="1" customFormat="1" ht="51.75" customHeight="1" x14ac:dyDescent="0.3">
      <c r="B16" s="256"/>
      <c r="C16" s="169" t="s">
        <v>255</v>
      </c>
      <c r="D16" s="13">
        <f>SUM(REP_EPG034_EjecucionPresupuesta!$T$45:$T$66,REP_EPG034_EjecucionPresupuesta!$P$45:$P$66)</f>
        <v>682283800000</v>
      </c>
      <c r="E16" s="14">
        <f>SUM(REP_EPG034_EjecucionPresupuesta!$U$45:$U$66,REP_EPG034_EjecucionPresupuesta!$P$45:$P$66)</f>
        <v>103718546384</v>
      </c>
      <c r="F16" s="14">
        <f>+D16-E16</f>
        <v>578565253616</v>
      </c>
      <c r="G16" s="14">
        <f>SUM(REP_EPG034_EjecucionPresupuesta!$X$45:$X$66,REP_EPG034_EjecucionPresupuesta!$P$45:$P$66)</f>
        <v>385305251536.63</v>
      </c>
      <c r="H16" s="15">
        <f>+G16/D16</f>
        <v>0.56472871191816365</v>
      </c>
      <c r="I16" s="15">
        <f>+G16/F16</f>
        <v>0.66596680171941547</v>
      </c>
      <c r="J16" s="14">
        <f>SUM(REP_EPG034_EjecucionPresupuesta!$Y$45:$Y$66,REP_EPG034_EjecucionPresupuesta!$P$45:$P$66)</f>
        <v>335036169679.56995</v>
      </c>
      <c r="K16" s="15">
        <f>+J16/D16</f>
        <v>0.49105104016769846</v>
      </c>
      <c r="L16" s="15">
        <f>+J16/F16</f>
        <v>0.57908104156897233</v>
      </c>
      <c r="M16" s="22">
        <f>+D16-G16</f>
        <v>296978548463.37</v>
      </c>
      <c r="N16" s="25" t="e">
        <f>IF(#REF!&gt;=95%,"Verde",IF(AND(#REF!&lt;=94.99%,#REF!&gt;=80%),"Amarillo",IF(#REF!&lt;=79.99%,"Rojo","")))</f>
        <v>#REF!</v>
      </c>
      <c r="O16" s="22">
        <f>+F16-G16</f>
        <v>193260002079.37</v>
      </c>
      <c r="P16" s="2"/>
      <c r="Q16" s="194" t="e">
        <f>F16-#REF!</f>
        <v>#REF!</v>
      </c>
      <c r="R16"/>
      <c r="S16"/>
    </row>
    <row r="17" spans="2:17" s="1" customFormat="1" ht="27" customHeight="1" x14ac:dyDescent="0.3">
      <c r="B17" s="256"/>
      <c r="C17" s="146" t="s">
        <v>256</v>
      </c>
      <c r="D17" s="13">
        <f>SUM(REP_EPG034_EjecucionPresupuesta!$T$67:$T$73,REP_EPG034_EjecucionPresupuesta!$P$67:$P$73)</f>
        <v>153838844636</v>
      </c>
      <c r="E17" s="17">
        <f>SUM(REP_EPG034_EjecucionPresupuesta!$U$67:$U$73,REP_EPG034_EjecucionPresupuesta!$P$67:$P$73)</f>
        <v>0</v>
      </c>
      <c r="F17" s="17">
        <f>+D17-E17</f>
        <v>153838844636</v>
      </c>
      <c r="G17" s="14">
        <f>SUM(REP_EPG034_EjecucionPresupuesta!$X$67:$X$73,REP_EPG034_EjecucionPresupuesta!$P$67:$P$73)</f>
        <v>111275598721.45</v>
      </c>
      <c r="H17" s="15">
        <f>+G17/D17</f>
        <v>0.72332575679920486</v>
      </c>
      <c r="I17" s="15">
        <f>+G17/F17</f>
        <v>0.72332575679920486</v>
      </c>
      <c r="J17" s="14">
        <f>SUM(REP_EPG034_EjecucionPresupuesta!$Y$67:$Y$73,REP_EPG034_EjecucionPresupuesta!$P$67:$P$73)</f>
        <v>53001846925.010002</v>
      </c>
      <c r="K17" s="15">
        <f>+J17/D17</f>
        <v>0.34452837350942367</v>
      </c>
      <c r="L17" s="15">
        <f>+J17/F17</f>
        <v>0.34452837350942367</v>
      </c>
      <c r="M17" s="24">
        <f>+D17-G17</f>
        <v>42563245914.550003</v>
      </c>
      <c r="N17" s="25" t="e">
        <f>IF(#REF!&gt;=95%,"Verde",IF(AND(#REF!&lt;=94.99%,#REF!&gt;=80%),"Amarillo",IF(#REF!&lt;=79.99%,"Rojo","")))</f>
        <v>#REF!</v>
      </c>
      <c r="O17" s="24">
        <f>+F17-G17</f>
        <v>42563245914.550003</v>
      </c>
      <c r="P17" s="2"/>
      <c r="Q17" s="194" t="e">
        <f>F17-#REF!</f>
        <v>#REF!</v>
      </c>
    </row>
    <row r="18" spans="2:17" s="6" customFormat="1" ht="30" customHeight="1" x14ac:dyDescent="0.25">
      <c r="B18" s="256"/>
      <c r="C18" s="18" t="s">
        <v>257</v>
      </c>
      <c r="D18" s="19">
        <f>SUM(D16:D17)</f>
        <v>836122644636</v>
      </c>
      <c r="E18" s="19">
        <f>SUM(E16:E17)</f>
        <v>103718546384</v>
      </c>
      <c r="F18" s="19">
        <f>SUM(F16:F17)</f>
        <v>732404098252</v>
      </c>
      <c r="G18" s="19">
        <f>SUM(G16:G17)</f>
        <v>496580850258.08002</v>
      </c>
      <c r="H18" s="50">
        <f>+G18/D18</f>
        <v>0.59390910345965209</v>
      </c>
      <c r="I18" s="50">
        <f>+G18/F18</f>
        <v>0.67801484377715793</v>
      </c>
      <c r="J18" s="136">
        <f>SUM(J16:J17)</f>
        <v>388038016604.57996</v>
      </c>
      <c r="K18" s="50">
        <f>+J18/D18</f>
        <v>0.46409222270676515</v>
      </c>
      <c r="L18" s="50">
        <f>+J18/F18</f>
        <v>0.52981409788762102</v>
      </c>
      <c r="M18" s="23">
        <f>SUM(M16:M17)</f>
        <v>339541794377.91998</v>
      </c>
      <c r="N18" s="23" t="e">
        <f>SUM(N16:N17)</f>
        <v>#REF!</v>
      </c>
      <c r="O18" s="23">
        <f>SUM(O16:O17)</f>
        <v>235823247993.91998</v>
      </c>
      <c r="Q18" s="194" t="e">
        <f>F18-#REF!</f>
        <v>#REF!</v>
      </c>
    </row>
    <row r="19" spans="2:17" s="1" customFormat="1" ht="9" customHeight="1" x14ac:dyDescent="0.3">
      <c r="B19"/>
      <c r="C19" s="21"/>
      <c r="D19" s="21"/>
      <c r="E19" s="21"/>
      <c r="F19" s="21"/>
      <c r="G19" s="21"/>
      <c r="H19" s="2"/>
      <c r="I19" s="2"/>
      <c r="J19" s="21"/>
      <c r="K19" s="2"/>
      <c r="L19" s="2"/>
      <c r="M19" s="5"/>
      <c r="N19" s="25"/>
      <c r="O19" s="5"/>
      <c r="P19" s="2"/>
      <c r="Q19" s="194"/>
    </row>
    <row r="20" spans="2:17" s="1" customFormat="1" ht="57" customHeight="1" x14ac:dyDescent="0.3">
      <c r="B20" s="257" t="s">
        <v>274</v>
      </c>
      <c r="C20" s="11" t="s">
        <v>260</v>
      </c>
      <c r="D20" s="12" t="s">
        <v>261</v>
      </c>
      <c r="E20" s="12" t="s">
        <v>262</v>
      </c>
      <c r="F20" s="12" t="s">
        <v>273</v>
      </c>
      <c r="G20" s="82" t="s">
        <v>264</v>
      </c>
      <c r="H20" s="12" t="s">
        <v>265</v>
      </c>
      <c r="I20" s="12" t="s">
        <v>266</v>
      </c>
      <c r="J20" s="82" t="s">
        <v>267</v>
      </c>
      <c r="K20" s="12" t="s">
        <v>268</v>
      </c>
      <c r="L20" s="12" t="s">
        <v>269</v>
      </c>
      <c r="M20" s="12" t="s">
        <v>270</v>
      </c>
      <c r="N20" s="25"/>
      <c r="O20" s="12" t="s">
        <v>271</v>
      </c>
      <c r="P20" s="2"/>
      <c r="Q20" s="194"/>
    </row>
    <row r="21" spans="2:17" s="1" customFormat="1" ht="33.75" customHeight="1" x14ac:dyDescent="0.3">
      <c r="B21" s="257"/>
      <c r="C21" s="169" t="s">
        <v>255</v>
      </c>
      <c r="D21" s="13">
        <f>SUM(REP_EPG034_EjecucionPresupuesta!$T$74:$T$93,REP_EPG034_EjecucionPresupuesta!$P$74:$P$93)</f>
        <v>1934659007000</v>
      </c>
      <c r="E21" s="14">
        <f>SUM(REP_EPG034_EjecucionPresupuesta!$U$74:$U$93,REP_EPG034_EjecucionPresupuesta!$P$74:$P$93)</f>
        <v>60089933672.240005</v>
      </c>
      <c r="F21" s="14">
        <f>+D21-E21</f>
        <v>1874569073327.76</v>
      </c>
      <c r="G21" s="14">
        <f>SUM(REP_EPG034_EjecucionPresupuesta!$X$74:$X$93,REP_EPG034_EjecucionPresupuesta!$P$74:$P$93)</f>
        <v>1497967859058.9302</v>
      </c>
      <c r="H21" s="15">
        <f>+G21/D21</f>
        <v>0.77428004296311126</v>
      </c>
      <c r="I21" s="15">
        <f>+G21/F21</f>
        <v>0.79909984666487521</v>
      </c>
      <c r="J21" s="14">
        <f>SUM(REP_EPG034_EjecucionPresupuesta!$Y$74:$Y$93,REP_EPG034_EjecucionPresupuesta!$P$74:$P$93)</f>
        <v>1411232135638.4697</v>
      </c>
      <c r="K21" s="15">
        <f>+J21/D21</f>
        <v>0.72944747913318952</v>
      </c>
      <c r="L21" s="15">
        <f>+J21/F21</f>
        <v>0.75283016012487158</v>
      </c>
      <c r="M21" s="22">
        <f>+D21-G21</f>
        <v>436691147941.06982</v>
      </c>
      <c r="N21" s="25" t="e">
        <f>IF(#REF!&gt;=95%,"Verde",IF(AND(#REF!&lt;=94.99%,#REF!&gt;=80%),"Amarillo",IF(#REF!&lt;=79.99%,"Rojo","")))</f>
        <v>#REF!</v>
      </c>
      <c r="O21" s="22">
        <f>+F21-G21</f>
        <v>376601214268.82983</v>
      </c>
      <c r="P21" s="2"/>
      <c r="Q21" s="194" t="e">
        <f>F21-#REF!</f>
        <v>#REF!</v>
      </c>
    </row>
    <row r="22" spans="2:17" s="1" customFormat="1" ht="27" customHeight="1" x14ac:dyDescent="0.3">
      <c r="B22" s="257"/>
      <c r="C22" s="146" t="s">
        <v>256</v>
      </c>
      <c r="D22" s="16">
        <f>SUM(REP_EPG034_EjecucionPresupuesta!$T$94:$T$97,REP_EPG034_EjecucionPresupuesta!$P$94:$P$97)</f>
        <v>4000000000</v>
      </c>
      <c r="E22" s="17">
        <f>SUM(REP_EPG034_EjecucionPresupuesta!$U$94:$U$97,REP_EPG034_EjecucionPresupuesta!$P$94:$P$97)</f>
        <v>0</v>
      </c>
      <c r="F22" s="17">
        <f>+D22-E22</f>
        <v>4000000000</v>
      </c>
      <c r="G22" s="14">
        <f>SUM(REP_EPG034_EjecucionPresupuesta!$X$94:$X$97,REP_EPG034_EjecucionPresupuesta!$P$94:$P$97)</f>
        <v>3753612348</v>
      </c>
      <c r="H22" s="15">
        <f>+G22/D22</f>
        <v>0.93840308699999997</v>
      </c>
      <c r="I22" s="15">
        <f>+G22/F22</f>
        <v>0.93840308699999997</v>
      </c>
      <c r="J22" s="14">
        <f>SUM(REP_EPG034_EjecucionPresupuesta!$Y$94:$Y$97,REP_EPG034_EjecucionPresupuesta!$P$94:$P$97)</f>
        <v>1423817719.99</v>
      </c>
      <c r="K22" s="15">
        <f>+J22/D22</f>
        <v>0.35595442999749999</v>
      </c>
      <c r="L22" s="15">
        <f>+J22/F22</f>
        <v>0.35595442999749999</v>
      </c>
      <c r="M22" s="22">
        <f>+D22-G22</f>
        <v>246387652</v>
      </c>
      <c r="N22" s="25" t="e">
        <f>IF(#REF!&gt;=95%,"Verde",IF(AND(#REF!&lt;=94.99%,#REF!&gt;=80%),"Amarillo",IF(#REF!&lt;=79.99%,"Rojo","")))</f>
        <v>#REF!</v>
      </c>
      <c r="O22" s="22">
        <f>+F22-G22</f>
        <v>246387652</v>
      </c>
      <c r="P22" s="2"/>
      <c r="Q22" s="194" t="e">
        <f>F22-#REF!</f>
        <v>#REF!</v>
      </c>
    </row>
    <row r="23" spans="2:17" s="6" customFormat="1" ht="39.75" customHeight="1" x14ac:dyDescent="0.25">
      <c r="B23" s="257"/>
      <c r="C23" s="18" t="s">
        <v>257</v>
      </c>
      <c r="D23" s="19">
        <f>SUM(D21:D22)</f>
        <v>1938659007000</v>
      </c>
      <c r="E23" s="19">
        <f>SUM(E21:E22)</f>
        <v>60089933672.240005</v>
      </c>
      <c r="F23" s="19">
        <f>SUM(F21:F22)</f>
        <v>1878569073327.76</v>
      </c>
      <c r="G23" s="19">
        <f>SUM(G21:G22)</f>
        <v>1501721471406.9302</v>
      </c>
      <c r="H23" s="50">
        <f>+G23/D23</f>
        <v>0.77461867506590865</v>
      </c>
      <c r="I23" s="50">
        <f>+G23/F23</f>
        <v>0.79939646230134653</v>
      </c>
      <c r="J23" s="136">
        <f>SUM(J21:J22)</f>
        <v>1412655953358.4597</v>
      </c>
      <c r="K23" s="50">
        <f>+J23/D23</f>
        <v>0.72867685769272561</v>
      </c>
      <c r="L23" s="50">
        <f>+J23/F23</f>
        <v>0.75198510047652056</v>
      </c>
      <c r="M23" s="23">
        <f>+D23-G23</f>
        <v>436937535593.06982</v>
      </c>
      <c r="N23" s="9" t="e">
        <f>IF(#REF!&gt;=95%,"Verde",IF(AND(#REF!&lt;=94.99%,#REF!&gt;=80%),"Amarillo",IF(#REF!&lt;=79.99%,"Rojo","")))</f>
        <v>#REF!</v>
      </c>
      <c r="O23" s="23">
        <f>+F23-G23</f>
        <v>376847601920.82983</v>
      </c>
      <c r="Q23" s="194" t="e">
        <f>F23-#REF!</f>
        <v>#REF!</v>
      </c>
    </row>
    <row r="24" spans="2:17" s="1" customFormat="1" ht="9" customHeight="1" x14ac:dyDescent="0.3">
      <c r="B24"/>
      <c r="C24" s="21"/>
      <c r="D24" s="21"/>
      <c r="E24" s="21"/>
      <c r="F24" s="21"/>
      <c r="G24" s="21"/>
      <c r="H24" s="2"/>
      <c r="I24" s="2"/>
      <c r="J24" s="21"/>
      <c r="K24" s="2"/>
      <c r="L24" s="2"/>
      <c r="M24" s="5"/>
      <c r="N24" s="25"/>
      <c r="O24" s="5"/>
      <c r="P24" s="2"/>
      <c r="Q24" s="194"/>
    </row>
    <row r="25" spans="2:17" s="166" customFormat="1" ht="65.25" customHeight="1" x14ac:dyDescent="0.3">
      <c r="B25" s="257" t="s">
        <v>275</v>
      </c>
      <c r="C25" s="11" t="s">
        <v>260</v>
      </c>
      <c r="D25" s="12" t="s">
        <v>261</v>
      </c>
      <c r="E25" s="12" t="s">
        <v>262</v>
      </c>
      <c r="F25" s="12" t="s">
        <v>273</v>
      </c>
      <c r="G25" s="82" t="s">
        <v>264</v>
      </c>
      <c r="H25" s="12" t="s">
        <v>265</v>
      </c>
      <c r="I25" s="12" t="s">
        <v>266</v>
      </c>
      <c r="J25" s="82" t="s">
        <v>267</v>
      </c>
      <c r="K25" s="12" t="s">
        <v>268</v>
      </c>
      <c r="L25" s="12" t="s">
        <v>269</v>
      </c>
      <c r="M25" s="12" t="s">
        <v>270</v>
      </c>
      <c r="N25" s="25"/>
      <c r="O25" s="12" t="s">
        <v>271</v>
      </c>
      <c r="P25" s="164"/>
      <c r="Q25" s="165"/>
    </row>
    <row r="26" spans="2:17" s="1" customFormat="1" ht="33.75" customHeight="1" x14ac:dyDescent="0.3">
      <c r="B26" s="257"/>
      <c r="C26" s="169" t="s">
        <v>255</v>
      </c>
      <c r="D26" s="13">
        <f>SUM(REP_EPG034_EjecucionPresupuesta!$T$98:$T$106,REP_EPG034_EjecucionPresupuesta!$P$98:$P$106)</f>
        <v>144811856930</v>
      </c>
      <c r="E26" s="14">
        <f>SUM(REP_EPG034_EjecucionPresupuesta!$U$98:$U$106,REP_EPG034_EjecucionPresupuesta!$P$98:$P$106)</f>
        <v>9139271123</v>
      </c>
      <c r="F26" s="14">
        <f>+D26-E26</f>
        <v>135672585807</v>
      </c>
      <c r="G26" s="14">
        <f>SUM(REP_EPG034_EjecucionPresupuesta!$X$98:$X$106,REP_EPG034_EjecucionPresupuesta!$P$98:$P$106)</f>
        <v>98224654557.309998</v>
      </c>
      <c r="H26" s="15">
        <f>+G26/D26</f>
        <v>0.67829152004307491</v>
      </c>
      <c r="I26" s="15">
        <f>+G26/F26</f>
        <v>0.7239830653558762</v>
      </c>
      <c r="J26" s="14">
        <f>SUM(REP_EPG034_EjecucionPresupuesta!$Y$98:$Y$106,REP_EPG034_EjecucionPresupuesta!$P$98:$P$106)</f>
        <v>77273352138.209991</v>
      </c>
      <c r="K26" s="15">
        <f>+J26/D26</f>
        <v>0.53361205205429296</v>
      </c>
      <c r="L26" s="15">
        <f>+J26/F26</f>
        <v>0.56955759837978326</v>
      </c>
      <c r="M26" s="22">
        <f>+D26-G26</f>
        <v>46587202372.690002</v>
      </c>
      <c r="N26" s="25" t="e">
        <f>IF(#REF!&gt;=95%,"Verde",IF(AND(#REF!&lt;=94.99%,#REF!&gt;=80%),"Amarillo",IF(#REF!&lt;=79.99%,"Rojo","")))</f>
        <v>#REF!</v>
      </c>
      <c r="O26" s="22">
        <f>+F26-G26</f>
        <v>37447931249.690002</v>
      </c>
      <c r="P26" s="2"/>
      <c r="Q26" s="194" t="e">
        <f>F26-#REF!</f>
        <v>#REF!</v>
      </c>
    </row>
    <row r="27" spans="2:17" s="1" customFormat="1" ht="27" customHeight="1" x14ac:dyDescent="0.3">
      <c r="B27" s="257"/>
      <c r="C27" s="146" t="s">
        <v>256</v>
      </c>
      <c r="D27" s="13">
        <f>SUM(REP_EPG034_EjecucionPresupuesta!$T$107:$T$108,REP_EPG034_EjecucionPresupuesta!$P$107:$P$108)</f>
        <v>15477000000</v>
      </c>
      <c r="E27" s="14">
        <f>SUM(REP_EPG034_EjecucionPresupuesta!$U$107:$U$108,REP_EPG034_EjecucionPresupuesta!$P$107:$P$108)</f>
        <v>177080540</v>
      </c>
      <c r="F27" s="14">
        <f>+D27-E27</f>
        <v>15299919460</v>
      </c>
      <c r="G27" s="14">
        <f>SUM(REP_EPG034_EjecucionPresupuesta!$X$107:$X$108,REP_EPG034_EjecucionPresupuesta!$P$107:$P$108)</f>
        <v>14618954342.809999</v>
      </c>
      <c r="H27" s="15">
        <f>+G27/D27</f>
        <v>0.94455994978419588</v>
      </c>
      <c r="I27" s="15">
        <f>+G27/F27</f>
        <v>0.95549224170948677</v>
      </c>
      <c r="J27" s="14">
        <f>SUM(REP_EPG034_EjecucionPresupuesta!$Y$107:$Y$108,REP_EPG034_EjecucionPresupuesta!$P$107:$P$108)</f>
        <v>5684066457.5699997</v>
      </c>
      <c r="K27" s="15">
        <f>+J27/D27</f>
        <v>0.36725892986819147</v>
      </c>
      <c r="L27" s="15">
        <f>+J27/F27</f>
        <v>0.37150956725166967</v>
      </c>
      <c r="M27" s="22">
        <f>+D27-G27</f>
        <v>858045657.19000053</v>
      </c>
      <c r="N27" s="25" t="e">
        <f>IF(#REF!&gt;=95%,"Verde",IF(AND(#REF!&lt;=94.99%,#REF!&gt;=80%),"Amarillo",IF(#REF!&lt;=79.99%,"Rojo","")))</f>
        <v>#REF!</v>
      </c>
      <c r="O27" s="22">
        <f>+F27-G27</f>
        <v>680965117.19000053</v>
      </c>
      <c r="P27" s="2"/>
      <c r="Q27" s="194" t="e">
        <f>F27-#REF!</f>
        <v>#REF!</v>
      </c>
    </row>
    <row r="28" spans="2:17" s="6" customFormat="1" ht="24" customHeight="1" x14ac:dyDescent="0.25">
      <c r="B28" s="257"/>
      <c r="C28" s="18" t="s">
        <v>257</v>
      </c>
      <c r="D28" s="19">
        <f>SUM(D26:D27)</f>
        <v>160288856930</v>
      </c>
      <c r="E28" s="19">
        <f>SUM(E26:E27)</f>
        <v>9316351663</v>
      </c>
      <c r="F28" s="19">
        <f>SUM(F26:F27)</f>
        <v>150972505267</v>
      </c>
      <c r="G28" s="19">
        <f>SUM(G26:G27)</f>
        <v>112843608900.12</v>
      </c>
      <c r="H28" s="50">
        <f>+G28/D28</f>
        <v>0.70400158227717669</v>
      </c>
      <c r="I28" s="50">
        <f>+G28/F28</f>
        <v>0.7474447661880701</v>
      </c>
      <c r="J28" s="136">
        <f>SUM(J26:J27)</f>
        <v>82957418595.779999</v>
      </c>
      <c r="K28" s="50">
        <f>+J28/D28</f>
        <v>0.51754950521612653</v>
      </c>
      <c r="L28" s="50">
        <f>+J28/F28</f>
        <v>0.54948693107441637</v>
      </c>
      <c r="M28" s="23">
        <f>+D28-G28</f>
        <v>47445248029.880005</v>
      </c>
      <c r="N28" s="23" t="e">
        <f>SUM(N26:N27)</f>
        <v>#REF!</v>
      </c>
      <c r="O28" s="23">
        <f>+F28-G28</f>
        <v>38128896366.880005</v>
      </c>
      <c r="Q28" s="194" t="e">
        <f>F28-#REF!</f>
        <v>#REF!</v>
      </c>
    </row>
    <row r="29" spans="2:17" s="1" customFormat="1" ht="9" customHeight="1" x14ac:dyDescent="0.3">
      <c r="B29"/>
      <c r="C29" s="21"/>
      <c r="D29" s="21"/>
      <c r="E29" s="21"/>
      <c r="F29" s="21"/>
      <c r="G29" s="21"/>
      <c r="H29" s="2"/>
      <c r="I29" s="2"/>
      <c r="J29" s="21"/>
      <c r="K29" s="2"/>
      <c r="L29" s="2"/>
      <c r="M29" s="5"/>
      <c r="N29" s="25"/>
      <c r="O29" s="5"/>
      <c r="P29" s="2"/>
      <c r="Q29" s="194"/>
    </row>
    <row r="30" spans="2:17" s="1" customFormat="1" ht="60" customHeight="1" x14ac:dyDescent="0.3">
      <c r="B30" s="257" t="s">
        <v>276</v>
      </c>
      <c r="C30" s="11" t="s">
        <v>260</v>
      </c>
      <c r="D30" s="12" t="s">
        <v>261</v>
      </c>
      <c r="E30" s="12" t="s">
        <v>262</v>
      </c>
      <c r="F30" s="12" t="s">
        <v>273</v>
      </c>
      <c r="G30" s="82" t="s">
        <v>264</v>
      </c>
      <c r="H30" s="12" t="s">
        <v>265</v>
      </c>
      <c r="I30" s="12" t="s">
        <v>266</v>
      </c>
      <c r="J30" s="82" t="s">
        <v>267</v>
      </c>
      <c r="K30" s="12" t="s">
        <v>268</v>
      </c>
      <c r="L30" s="12" t="s">
        <v>269</v>
      </c>
      <c r="M30" s="12" t="s">
        <v>270</v>
      </c>
      <c r="N30" s="25"/>
      <c r="O30" s="12" t="s">
        <v>271</v>
      </c>
      <c r="P30" s="2"/>
      <c r="Q30" s="194"/>
    </row>
    <row r="31" spans="2:17" s="1" customFormat="1" ht="33.75" customHeight="1" x14ac:dyDescent="0.3">
      <c r="B31" s="257"/>
      <c r="C31" s="169" t="s">
        <v>255</v>
      </c>
      <c r="D31" s="13">
        <f>SUM(REP_EPG034_EjecucionPresupuesta!$T$109:$T$120,REP_EPG034_EjecucionPresupuesta!$P$109:$P$120)</f>
        <v>1438909600000</v>
      </c>
      <c r="E31" s="14">
        <f>SUM(REP_EPG034_EjecucionPresupuesta!$U$109:$U$120,REP_EPG034_EjecucionPresupuesta!$P$109:$P$120)</f>
        <v>62950404110.260002</v>
      </c>
      <c r="F31" s="14">
        <f>+D31-E31</f>
        <v>1375959195889.74</v>
      </c>
      <c r="G31" s="14">
        <f>SUM(REP_EPG034_EjecucionPresupuesta!$X$109:$X$120,REP_EPG034_EjecucionPresupuesta!$P$109:$P$120)</f>
        <v>1344054848698.75</v>
      </c>
      <c r="H31" s="15">
        <f>+G31/D31</f>
        <v>0.93407872787751922</v>
      </c>
      <c r="I31" s="15">
        <f>+G31/F31</f>
        <v>0.97681301357896766</v>
      </c>
      <c r="J31" s="14">
        <f>SUM(REP_EPG034_EjecucionPresupuesta!$Y$109:$Y$120,REP_EPG034_EjecucionPresupuesta!$P$109:$P$120)</f>
        <v>785736365641.90002</v>
      </c>
      <c r="K31" s="15">
        <f>+J31/D31</f>
        <v>0.54606374552084436</v>
      </c>
      <c r="L31" s="15">
        <f>+J31/F31</f>
        <v>0.57104626938723813</v>
      </c>
      <c r="M31" s="22">
        <f>+D31-G31</f>
        <v>94854751301.25</v>
      </c>
      <c r="N31" s="9" t="e">
        <f>IF(#REF!&gt;=95%,"Verde",IF(AND(#REF!&lt;=94.99%,#REF!&gt;=80%),"Amarillo",IF(#REF!&lt;=79.99%,"Rojo","")))</f>
        <v>#REF!</v>
      </c>
      <c r="O31" s="22">
        <f>+F31-G31</f>
        <v>31904347190.98999</v>
      </c>
      <c r="P31" s="2"/>
      <c r="Q31" s="194" t="e">
        <f>F31-#REF!</f>
        <v>#REF!</v>
      </c>
    </row>
    <row r="32" spans="2:17" s="1" customFormat="1" ht="27" customHeight="1" x14ac:dyDescent="0.3">
      <c r="B32" s="257"/>
      <c r="C32" s="146" t="s">
        <v>256</v>
      </c>
      <c r="D32" s="13">
        <f>SUM(REP_EPG034_EjecucionPresupuesta!$T$121:$T$124,REP_EPG034_EjecucionPresupuesta!$P$121:$P$124)</f>
        <v>518886000000</v>
      </c>
      <c r="E32" s="14">
        <f>SUM(REP_EPG034_EjecucionPresupuesta!$U$121:$U$124,REP_EPG034_EjecucionPresupuesta!$P$121:$P$124)</f>
        <v>19967050895</v>
      </c>
      <c r="F32" s="14">
        <f>+D32-E32</f>
        <v>498918949105</v>
      </c>
      <c r="G32" s="14">
        <f>SUM(REP_EPG034_EjecucionPresupuesta!$X$121:$X$124,REP_EPG034_EjecucionPresupuesta!$P$121:$P$124)</f>
        <v>340190810708.37</v>
      </c>
      <c r="H32" s="15">
        <f>+G32/D32</f>
        <v>0.65561763221279823</v>
      </c>
      <c r="I32" s="15">
        <f>+G32/F32</f>
        <v>0.68185586319908476</v>
      </c>
      <c r="J32" s="14">
        <f>SUM(REP_EPG034_EjecucionPresupuesta!$Y$121:$Y$124,REP_EPG034_EjecucionPresupuesta!$P$121:$P$124)</f>
        <v>83818932957.410004</v>
      </c>
      <c r="K32" s="15">
        <f>+J32/D32</f>
        <v>0.16153631618006653</v>
      </c>
      <c r="L32" s="15">
        <f>+J32/F32</f>
        <v>0.16800110139687216</v>
      </c>
      <c r="M32" s="22">
        <f>+D32-G32</f>
        <v>178695189291.63</v>
      </c>
      <c r="N32" s="9" t="e">
        <f>IF(#REF!&gt;=95%,"Verde",IF(AND(#REF!&lt;=94.99%,#REF!&gt;=80%),"Amarillo",IF(#REF!&lt;=79.99%,"Rojo","")))</f>
        <v>#REF!</v>
      </c>
      <c r="O32" s="22">
        <f>+F32-G32</f>
        <v>158728138396.63</v>
      </c>
      <c r="P32" s="2"/>
      <c r="Q32" s="194" t="e">
        <f>F32-#REF!</f>
        <v>#REF!</v>
      </c>
    </row>
    <row r="33" spans="2:17" s="6" customFormat="1" ht="24" customHeight="1" x14ac:dyDescent="0.25">
      <c r="B33" s="10"/>
      <c r="C33" s="18" t="s">
        <v>257</v>
      </c>
      <c r="D33" s="19">
        <f>SUM(D31:D32)</f>
        <v>1957795600000</v>
      </c>
      <c r="E33" s="19">
        <f>SUM(E31:E32)</f>
        <v>82917455005.26001</v>
      </c>
      <c r="F33" s="19">
        <f>SUM(F31:F32)</f>
        <v>1874878144994.74</v>
      </c>
      <c r="G33" s="19">
        <f>SUM(G31:G32)</f>
        <v>1684245659407.1201</v>
      </c>
      <c r="H33" s="208">
        <f>+G33/D33</f>
        <v>0.86027655767901412</v>
      </c>
      <c r="I33" s="142">
        <f>+G33/F33</f>
        <v>0.89832273308185862</v>
      </c>
      <c r="J33" s="136">
        <f>SUM(J31:J32)</f>
        <v>869555298599.31006</v>
      </c>
      <c r="K33" s="208">
        <f>+J33/D33</f>
        <v>0.44415019555632368</v>
      </c>
      <c r="L33" s="142">
        <f>+J33/F33</f>
        <v>0.46379296751669674</v>
      </c>
      <c r="M33" s="23">
        <f>+D33-G33</f>
        <v>273549940592.87988</v>
      </c>
      <c r="N33" s="9" t="e">
        <f>IF(#REF!&gt;=95%,"Verde",IF(AND(#REF!&lt;=94.99%,#REF!&gt;=80%),"Amarillo",IF(#REF!&lt;=79.99%,"Rojo","")))</f>
        <v>#REF!</v>
      </c>
      <c r="O33" s="23">
        <f>+F33-G33</f>
        <v>190632485587.61987</v>
      </c>
      <c r="Q33" s="194" t="e">
        <f>F33-#REF!</f>
        <v>#REF!</v>
      </c>
    </row>
    <row r="34" spans="2:17" s="1" customFormat="1" ht="9" customHeight="1" x14ac:dyDescent="0.3">
      <c r="B34"/>
      <c r="C34" s="21"/>
      <c r="D34" s="21"/>
      <c r="E34" s="21"/>
      <c r="F34" s="21"/>
      <c r="G34" s="21"/>
      <c r="H34" s="2"/>
      <c r="I34" s="2"/>
      <c r="J34" s="21"/>
      <c r="K34" s="2"/>
      <c r="L34" s="2"/>
      <c r="M34" s="5"/>
      <c r="N34" s="25"/>
      <c r="O34" s="5"/>
      <c r="P34" s="2"/>
      <c r="Q34" s="194"/>
    </row>
    <row r="35" spans="2:17" s="1" customFormat="1" ht="60" customHeight="1" x14ac:dyDescent="0.3">
      <c r="B35" s="257" t="s">
        <v>277</v>
      </c>
      <c r="C35" s="11" t="s">
        <v>260</v>
      </c>
      <c r="D35" s="12" t="s">
        <v>261</v>
      </c>
      <c r="E35" s="12" t="s">
        <v>262</v>
      </c>
      <c r="F35" s="12" t="s">
        <v>273</v>
      </c>
      <c r="G35" s="82" t="s">
        <v>264</v>
      </c>
      <c r="H35" s="12" t="s">
        <v>265</v>
      </c>
      <c r="I35" s="12" t="s">
        <v>266</v>
      </c>
      <c r="J35" s="82" t="s">
        <v>267</v>
      </c>
      <c r="K35" s="12" t="s">
        <v>268</v>
      </c>
      <c r="L35" s="12" t="s">
        <v>269</v>
      </c>
      <c r="M35" s="12" t="s">
        <v>270</v>
      </c>
      <c r="N35" s="25"/>
      <c r="O35" s="12" t="s">
        <v>271</v>
      </c>
      <c r="P35" s="2"/>
      <c r="Q35" s="194"/>
    </row>
    <row r="36" spans="2:17" s="1" customFormat="1" ht="33.75" customHeight="1" x14ac:dyDescent="0.3">
      <c r="B36" s="257"/>
      <c r="C36" s="169" t="s">
        <v>255</v>
      </c>
      <c r="D36" s="13">
        <f t="shared" ref="D36:G37" si="0">D11+D16+D21+D26+D31</f>
        <v>4351524232930</v>
      </c>
      <c r="E36" s="13">
        <f>E11+E16+E21+E26+E31</f>
        <v>257833098729.51001</v>
      </c>
      <c r="F36" s="13">
        <f t="shared" si="0"/>
        <v>4093691134200.4902</v>
      </c>
      <c r="G36" s="13">
        <f t="shared" si="0"/>
        <v>3433246399036.9302</v>
      </c>
      <c r="H36" s="15">
        <f>+G36/D36</f>
        <v>0.78897558999119521</v>
      </c>
      <c r="I36" s="15">
        <f>+G36/F36</f>
        <v>0.83866766848971208</v>
      </c>
      <c r="J36" s="13">
        <f>J11+J16+J21+J26+J31</f>
        <v>2693033105174.0195</v>
      </c>
      <c r="K36" s="15">
        <f>+J36/D36</f>
        <v>0.61887121868576311</v>
      </c>
      <c r="L36" s="15">
        <f>+J36/F36</f>
        <v>0.65784960733242437</v>
      </c>
      <c r="M36" s="22">
        <f>+D36-G36</f>
        <v>918277833893.06982</v>
      </c>
      <c r="N36" s="9" t="e">
        <f>IF(#REF!&gt;=95%,"Verde",IF(AND(#REF!&lt;=94.99%,#REF!&gt;=80%),"Amarillo",IF(#REF!&lt;=79.99%,"Rojo","")))</f>
        <v>#REF!</v>
      </c>
      <c r="O36" s="22">
        <f>+F36-G36</f>
        <v>660444735163.56006</v>
      </c>
      <c r="P36" s="2"/>
      <c r="Q36" s="194" t="e">
        <f>F36-#REF!</f>
        <v>#REF!</v>
      </c>
    </row>
    <row r="37" spans="2:17" s="1" customFormat="1" ht="27" customHeight="1" x14ac:dyDescent="0.3">
      <c r="B37" s="257"/>
      <c r="C37" s="146" t="s">
        <v>256</v>
      </c>
      <c r="D37" s="13">
        <f t="shared" si="0"/>
        <v>755242872615</v>
      </c>
      <c r="E37" s="13">
        <f t="shared" si="0"/>
        <v>20975871954</v>
      </c>
      <c r="F37" s="13">
        <f t="shared" si="0"/>
        <v>734267000661</v>
      </c>
      <c r="G37" s="13">
        <f t="shared" si="0"/>
        <v>530369046111.37</v>
      </c>
      <c r="H37" s="15">
        <f>+G37/D37</f>
        <v>0.70224965417414287</v>
      </c>
      <c r="I37" s="15">
        <f>+G37/F37</f>
        <v>0.7223108836893426</v>
      </c>
      <c r="J37" s="13">
        <f>J12+J17+J22+J27+J32</f>
        <v>176326956881.88</v>
      </c>
      <c r="K37" s="15">
        <f>+J37/D37</f>
        <v>0.23347053414930558</v>
      </c>
      <c r="L37" s="15">
        <f>+J37/F37</f>
        <v>0.24014010805762398</v>
      </c>
      <c r="M37" s="22">
        <f>+D37-G37</f>
        <v>224873826503.63</v>
      </c>
      <c r="N37" s="9" t="e">
        <f>IF(#REF!&gt;=95%,"Verde",IF(AND(#REF!&lt;=94.99%,#REF!&gt;=80%),"Amarillo",IF(#REF!&lt;=79.99%,"Rojo","")))</f>
        <v>#REF!</v>
      </c>
      <c r="O37" s="22">
        <f>+F37-G37</f>
        <v>203897954549.63</v>
      </c>
      <c r="P37" s="2"/>
      <c r="Q37" s="194" t="e">
        <f>F37-#REF!</f>
        <v>#REF!</v>
      </c>
    </row>
    <row r="38" spans="2:17" s="1" customFormat="1" ht="9" customHeight="1" x14ac:dyDescent="0.3">
      <c r="B38"/>
      <c r="C38" s="21"/>
      <c r="D38" s="21"/>
      <c r="E38" s="21"/>
      <c r="F38" s="21"/>
      <c r="G38" s="21"/>
      <c r="H38" s="2"/>
      <c r="I38" s="2"/>
      <c r="J38" s="21"/>
      <c r="K38" s="2"/>
      <c r="L38" s="2"/>
      <c r="M38" s="5"/>
      <c r="N38" s="25"/>
      <c r="O38" s="5"/>
      <c r="P38" s="2"/>
      <c r="Q38" s="194"/>
    </row>
    <row r="39" spans="2:17" ht="31.5" customHeight="1" x14ac:dyDescent="0.25">
      <c r="B39" s="257" t="s">
        <v>278</v>
      </c>
      <c r="C39" s="257"/>
      <c r="D39" s="19">
        <f>D13+D18+D23+D28+D33</f>
        <v>5106767105545</v>
      </c>
      <c r="E39" s="19">
        <f>E13+E18+E23+E28+E33</f>
        <v>278808970683.51001</v>
      </c>
      <c r="F39" s="19">
        <f>F13+F18+F23+F28+F33</f>
        <v>4827958134861.4902</v>
      </c>
      <c r="G39" s="136">
        <f>G13+G18+G23+G28+G33</f>
        <v>3963615445148.3003</v>
      </c>
      <c r="H39" s="50">
        <f>+G39/D39</f>
        <v>0.77614963894565514</v>
      </c>
      <c r="I39" s="50">
        <f>+G39/F39</f>
        <v>0.82097137846494872</v>
      </c>
      <c r="J39" s="136">
        <f>J13+J18+J23+J28+J33</f>
        <v>2869360062055.8994</v>
      </c>
      <c r="K39" s="50">
        <f>+J39/D39</f>
        <v>0.56187407860059013</v>
      </c>
      <c r="L39" s="50">
        <f>+J39/F39</f>
        <v>0.59432165356550237</v>
      </c>
      <c r="M39" s="23">
        <f>+D39-G39</f>
        <v>1143151660396.6997</v>
      </c>
      <c r="N39" s="9" t="e">
        <f>IF(#REF!&gt;=95%,"Verde",IF(AND(#REF!&lt;=94.99%,#REF!&gt;=80%),"Amarillo",IF(#REF!&lt;=79.99%,"Rojo","")))</f>
        <v>#REF!</v>
      </c>
      <c r="O39" s="23">
        <f>+F39-G39</f>
        <v>864342689713.18994</v>
      </c>
      <c r="Q39" s="194" t="e">
        <f>F39-#REF!</f>
        <v>#REF!</v>
      </c>
    </row>
    <row r="40" spans="2:17" ht="30" customHeight="1" x14ac:dyDescent="0.25">
      <c r="D40" s="3"/>
      <c r="E40" s="3"/>
      <c r="F40" s="3"/>
      <c r="G40" s="3"/>
      <c r="H40" s="3"/>
      <c r="I40" s="3"/>
      <c r="J40" s="3"/>
      <c r="K40" s="3"/>
      <c r="L40" s="3"/>
      <c r="M40" s="3"/>
      <c r="N40" s="29">
        <v>361643719545.5</v>
      </c>
    </row>
    <row r="41" spans="2:17" ht="18.75" hidden="1" customHeight="1" x14ac:dyDescent="0.25">
      <c r="B41" s="93"/>
      <c r="C41" s="93"/>
      <c r="D41" s="147"/>
      <c r="E41" s="147"/>
      <c r="F41" s="147"/>
      <c r="G41" s="148"/>
      <c r="H41" s="148"/>
      <c r="I41" s="148"/>
      <c r="J41" s="148"/>
      <c r="K41" s="148"/>
      <c r="L41" s="148"/>
      <c r="M41" s="148"/>
      <c r="N41" s="29"/>
      <c r="O41" s="148"/>
    </row>
    <row r="42" spans="2:17" ht="23.25" hidden="1" customHeight="1" x14ac:dyDescent="0.25">
      <c r="D42" s="3"/>
      <c r="E42" s="3"/>
      <c r="F42" s="3"/>
      <c r="G42" s="3"/>
      <c r="H42" s="3"/>
      <c r="I42" s="3"/>
      <c r="J42" s="3"/>
      <c r="K42" s="3"/>
      <c r="L42" s="3"/>
      <c r="M42" s="3"/>
      <c r="N42" s="29"/>
      <c r="O42" s="3"/>
    </row>
    <row r="43" spans="2:17" ht="15" customHeight="1" x14ac:dyDescent="0.25">
      <c r="D43" s="3"/>
      <c r="E43" s="3"/>
      <c r="F43" s="3"/>
      <c r="G43" s="3"/>
      <c r="H43" s="254"/>
      <c r="I43" s="254"/>
      <c r="J43" s="254"/>
      <c r="K43" s="254"/>
      <c r="L43" s="149"/>
      <c r="M43" s="149"/>
      <c r="N43" s="29"/>
      <c r="O43" s="149"/>
    </row>
    <row r="44" spans="2:17" x14ac:dyDescent="0.25">
      <c r="E44" s="194"/>
      <c r="G44" s="7"/>
      <c r="H44" s="7"/>
      <c r="I44" s="7"/>
      <c r="J44" s="7"/>
    </row>
    <row r="45" spans="2:17" x14ac:dyDescent="0.25">
      <c r="G45" s="117"/>
      <c r="J45" s="117"/>
    </row>
    <row r="48" spans="2:17" x14ac:dyDescent="0.25">
      <c r="M48" s="3"/>
    </row>
    <row r="50" spans="4:4" x14ac:dyDescent="0.25">
      <c r="D50" s="194"/>
    </row>
  </sheetData>
  <sheetProtection selectLockedCells="1" selectUnlockedCells="1"/>
  <mergeCells count="10">
    <mergeCell ref="H43:K43"/>
    <mergeCell ref="F6:H6"/>
    <mergeCell ref="B15:B18"/>
    <mergeCell ref="B20:B23"/>
    <mergeCell ref="B30:B32"/>
    <mergeCell ref="B25:B28"/>
    <mergeCell ref="B39:C39"/>
    <mergeCell ref="B10:B13"/>
    <mergeCell ref="F7:N7"/>
    <mergeCell ref="B35:B37"/>
  </mergeCells>
  <printOptions horizontalCentered="1" verticalCentered="1"/>
  <pageMargins left="0" right="0" top="0" bottom="0" header="0" footer="0.31496062992125984"/>
  <pageSetup scale="45" orientation="landscape" r:id="rId1"/>
  <headerFooter alignWithMargins="0">
    <oddFooter>&amp;L&amp;12&amp;K0066CCFuente: MHCP SIIF II Nación
Oficina Asesora de Planeación - Minjusticia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tabColor rgb="FF002060"/>
  </sheetPr>
  <dimension ref="B1:M51"/>
  <sheetViews>
    <sheetView showGridLines="0" zoomScale="80" zoomScaleNormal="80" zoomScaleSheetLayoutView="80" workbookViewId="0">
      <selection activeCell="M26" sqref="M26"/>
    </sheetView>
  </sheetViews>
  <sheetFormatPr baseColWidth="10" defaultColWidth="11.42578125" defaultRowHeight="0" customHeight="1" zeroHeight="1" x14ac:dyDescent="0.25"/>
  <cols>
    <col min="1" max="1" width="3" style="4" customWidth="1"/>
    <col min="2" max="2" width="55.140625" style="4" customWidth="1"/>
    <col min="3" max="6" width="22.7109375" style="4" customWidth="1"/>
    <col min="7" max="7" width="18.7109375" style="4" customWidth="1"/>
    <col min="8" max="8" width="18.7109375" style="4" hidden="1" customWidth="1"/>
    <col min="9" max="9" width="22.7109375" style="4" customWidth="1"/>
    <col min="10" max="10" width="18.42578125" style="4" customWidth="1"/>
    <col min="11" max="11" width="18.42578125" style="4" hidden="1" customWidth="1"/>
    <col min="12" max="12" width="45.140625" style="4" customWidth="1"/>
    <col min="13" max="13" width="21.5703125" style="4" bestFit="1" customWidth="1"/>
    <col min="14" max="15" width="11.42578125" style="4"/>
    <col min="16" max="16" width="40.28515625" style="4" bestFit="1" customWidth="1"/>
    <col min="17" max="17" width="26.140625" style="4" customWidth="1"/>
    <col min="18" max="16384" width="11.42578125" style="4"/>
  </cols>
  <sheetData>
    <row r="1" spans="2:13" ht="15" x14ac:dyDescent="0.25"/>
    <row r="2" spans="2:13" ht="10.5" customHeight="1" x14ac:dyDescent="0.25"/>
    <row r="3" spans="2:13" ht="15" hidden="1" customHeight="1" x14ac:dyDescent="0.25"/>
    <row r="4" spans="2:13" ht="15" customHeight="1" x14ac:dyDescent="0.25"/>
    <row r="5" spans="2:13" ht="15" customHeight="1" x14ac:dyDescent="0.25">
      <c r="C5" s="129"/>
      <c r="D5" s="129"/>
      <c r="E5" s="129"/>
    </row>
    <row r="6" spans="2:13" ht="15" customHeight="1" x14ac:dyDescent="0.25"/>
    <row r="7" spans="2:13" ht="28.5" customHeight="1" x14ac:dyDescent="0.3">
      <c r="E7" s="151"/>
      <c r="F7" s="151"/>
      <c r="G7" s="261" t="s">
        <v>258</v>
      </c>
      <c r="H7" s="261"/>
      <c r="I7" s="261"/>
      <c r="J7" s="261"/>
    </row>
    <row r="8" spans="2:13" ht="20.25" x14ac:dyDescent="0.3">
      <c r="B8" s="152"/>
      <c r="C8" s="152"/>
      <c r="D8" s="152"/>
      <c r="E8" s="152"/>
      <c r="F8" s="152"/>
      <c r="G8" s="152"/>
      <c r="H8" s="152"/>
      <c r="I8" s="152"/>
      <c r="J8" s="152"/>
      <c r="K8" s="152"/>
    </row>
    <row r="9" spans="2:13" ht="57" customHeight="1" x14ac:dyDescent="0.25">
      <c r="B9" s="259" t="s">
        <v>279</v>
      </c>
      <c r="C9" s="260"/>
      <c r="D9" s="260"/>
      <c r="E9" s="260"/>
      <c r="F9" s="260"/>
      <c r="G9" s="260"/>
      <c r="H9" s="260"/>
      <c r="I9" s="260"/>
      <c r="J9" s="260"/>
      <c r="K9" s="161"/>
    </row>
    <row r="10" spans="2:13" ht="49.5" customHeight="1" x14ac:dyDescent="0.25">
      <c r="B10" s="157" t="s">
        <v>280</v>
      </c>
      <c r="C10" s="157" t="s">
        <v>281</v>
      </c>
      <c r="D10" s="141" t="s">
        <v>282</v>
      </c>
      <c r="E10" s="141" t="s">
        <v>283</v>
      </c>
      <c r="F10" s="35" t="s">
        <v>284</v>
      </c>
      <c r="G10" s="31" t="s">
        <v>285</v>
      </c>
      <c r="H10" s="31" t="s">
        <v>286</v>
      </c>
      <c r="I10" s="35" t="s">
        <v>287</v>
      </c>
      <c r="J10" s="31" t="s">
        <v>288</v>
      </c>
      <c r="K10" s="31" t="s">
        <v>289</v>
      </c>
    </row>
    <row r="11" spans="2:13" s="61" customFormat="1" ht="30.75" customHeight="1" x14ac:dyDescent="0.25">
      <c r="B11" s="84" t="s">
        <v>290</v>
      </c>
      <c r="C11" s="105">
        <f>+C12+C13+C14+C15</f>
        <v>47545207836</v>
      </c>
      <c r="D11" s="131">
        <f>+D12+D13+D14+D15</f>
        <v>1893807836</v>
      </c>
      <c r="E11" s="131">
        <f>+E12+E13+E14+E15</f>
        <v>45651400000</v>
      </c>
      <c r="F11" s="131">
        <f>+F12+F13+F14+F15</f>
        <v>35006313801</v>
      </c>
      <c r="G11" s="86">
        <f>+F11/C11</f>
        <v>0.73627428282044705</v>
      </c>
      <c r="H11" s="86">
        <f t="shared" ref="H11:H20" si="0">+F11/E11</f>
        <v>0.76681796836460658</v>
      </c>
      <c r="I11" s="131">
        <f>+I12+I13+I14+I15</f>
        <v>35006313801</v>
      </c>
      <c r="J11" s="86">
        <f>+I11/C11</f>
        <v>0.73627428282044705</v>
      </c>
      <c r="K11" s="86">
        <f t="shared" ref="K11:K20" si="1">+I11/E11</f>
        <v>0.76681796836460658</v>
      </c>
      <c r="L11" s="234"/>
      <c r="M11" s="234"/>
    </row>
    <row r="12" spans="2:13" ht="24.95" customHeight="1" x14ac:dyDescent="0.25">
      <c r="B12" s="102" t="str">
        <f>+REP_EPG034_EjecucionPresupuesta!P5</f>
        <v>SALARIO</v>
      </c>
      <c r="C12" s="103">
        <f>SUMIFS(REP_EPG034_EjecucionPresupuesta!$T$5:$T$44,REP_EPG034_EjecucionPresupuesta!$P$5:$P$44,"SALARIO")</f>
        <v>29010200000</v>
      </c>
      <c r="D12" s="104">
        <f>SUMIFS(REP_EPG034_EjecucionPresupuesta!$U$5:$U$43,REP_EPG034_EjecucionPresupuesta!$P$5:$P$43,"SALARIO")</f>
        <v>0</v>
      </c>
      <c r="E12" s="104">
        <f>+C12-D12</f>
        <v>29010200000</v>
      </c>
      <c r="F12" s="104">
        <f>SUMIFS(REP_EPG034_EjecucionPresupuesta!$X$5:$X$43,REP_EPG034_EjecucionPresupuesta!$P$5:$P$43,"SALARIO")</f>
        <v>22649615599</v>
      </c>
      <c r="G12" s="144">
        <f>+F12/C12</f>
        <v>0.78074662011981988</v>
      </c>
      <c r="H12" s="144">
        <f t="shared" si="0"/>
        <v>0.78074662011981988</v>
      </c>
      <c r="I12" s="104">
        <f>SUMIFS(REP_EPG034_EjecucionPresupuesta!$Y$5:$Y$43,REP_EPG034_EjecucionPresupuesta!$P$5:$P$43,"SALARIO")</f>
        <v>22649615599</v>
      </c>
      <c r="J12" s="137">
        <f>+I12/C12</f>
        <v>0.78074662011981988</v>
      </c>
      <c r="K12" s="137">
        <f t="shared" si="1"/>
        <v>0.78074662011981988</v>
      </c>
      <c r="M12" s="239"/>
    </row>
    <row r="13" spans="2:13" ht="24.95" customHeight="1" x14ac:dyDescent="0.25">
      <c r="B13" s="102" t="str">
        <f>+REP_EPG034_EjecucionPresupuesta!P6</f>
        <v>CONTRIBUCIONES INHERENTES A LA NÓMINA</v>
      </c>
      <c r="C13" s="103">
        <f>SUMIFS(REP_EPG034_EjecucionPresupuesta!$T$5:$T$43,REP_EPG034_EjecucionPresupuesta!$P$5:$P$43,"CONTRIBUCIONES INHERENTES A LA NÓMINA")</f>
        <v>11078700000</v>
      </c>
      <c r="D13" s="104">
        <f>SUMIFS(REP_EPG034_EjecucionPresupuesta!$U$5:$U$43,REP_EPG034_EjecucionPresupuesta!$P$5:$P$43,"CONTRIBUCIONES INHERENTES A LA NÓMINA")</f>
        <v>0</v>
      </c>
      <c r="E13" s="104">
        <f>+C13-D13</f>
        <v>11078700000</v>
      </c>
      <c r="F13" s="104">
        <f>SUMIFS(REP_EPG034_EjecucionPresupuesta!$X$5:$X$43,REP_EPG034_EjecucionPresupuesta!$P$5:$P$43,"CONTRIBUCIONES INHERENTES A LA NÓMINA")</f>
        <v>8606622879</v>
      </c>
      <c r="G13" s="144">
        <f t="shared" ref="G13:G29" si="2">+F13/C13</f>
        <v>0.77686216604836311</v>
      </c>
      <c r="H13" s="144">
        <f t="shared" si="0"/>
        <v>0.77686216604836311</v>
      </c>
      <c r="I13" s="104">
        <f>SUMIFS(REP_EPG034_EjecucionPresupuesta!$Y$5:$Y$43,REP_EPG034_EjecucionPresupuesta!$P$5:$P$43,"CONTRIBUCIONES INHERENTES A LA NÓMINA")</f>
        <v>8606622879</v>
      </c>
      <c r="J13" s="137">
        <f t="shared" ref="J13:J24" si="3">+I13/C13</f>
        <v>0.77686216604836311</v>
      </c>
      <c r="K13" s="137">
        <f t="shared" si="1"/>
        <v>0.77686216604836311</v>
      </c>
    </row>
    <row r="14" spans="2:13" ht="39.75" customHeight="1" x14ac:dyDescent="0.25">
      <c r="B14" s="102" t="str">
        <f>+REP_EPG034_EjecucionPresupuesta!P7</f>
        <v>REMUNERACIONES NO CONSTITUTIVAS DE FACTOR SALARIAL</v>
      </c>
      <c r="C14" s="103">
        <f>SUMIFS(REP_EPG034_EjecucionPresupuesta!$T$5:$T$43,REP_EPG034_EjecucionPresupuesta!$P$5:$P$43,"REMUNERACIONES NO CONSTITUTIVAS DE FACTOR SALARIAL")</f>
        <v>5562500000</v>
      </c>
      <c r="D14" s="104">
        <f>SUMIFS(REP_EPG034_EjecucionPresupuesta!$U$5:$U$43,REP_EPG034_EjecucionPresupuesta!$P$5:$P$43,"REMUNERACIONES NO CONSTITUTIVAS DE FACTOR SALARIAL")</f>
        <v>0</v>
      </c>
      <c r="E14" s="104">
        <f>+C14-D14</f>
        <v>5562500000</v>
      </c>
      <c r="F14" s="104">
        <f>SUMIFS(REP_EPG034_EjecucionPresupuesta!$X$5:$X$43,REP_EPG034_EjecucionPresupuesta!$P$5:$P$43,"REMUNERACIONES NO CONSTITUTIVAS DE FACTOR SALARIAL")</f>
        <v>3750075323</v>
      </c>
      <c r="G14" s="144">
        <f>+F14/C14</f>
        <v>0.67417084458426968</v>
      </c>
      <c r="H14" s="144">
        <f t="shared" si="0"/>
        <v>0.67417084458426968</v>
      </c>
      <c r="I14" s="104">
        <f>SUMIFS(REP_EPG034_EjecucionPresupuesta!$Y$5:$Y$43,REP_EPG034_EjecucionPresupuesta!$P$5:$P$43,"REMUNERACIONES NO CONSTITUTIVAS DE FACTOR SALARIAL")</f>
        <v>3750075323</v>
      </c>
      <c r="J14" s="144">
        <f t="shared" si="3"/>
        <v>0.67417084458426968</v>
      </c>
      <c r="K14" s="144">
        <f t="shared" si="1"/>
        <v>0.67417084458426968</v>
      </c>
    </row>
    <row r="15" spans="2:13" ht="39.75" customHeight="1" x14ac:dyDescent="0.25">
      <c r="B15" s="102" t="s">
        <v>50</v>
      </c>
      <c r="C15" s="103">
        <f>SUMIFS(REP_EPG034_EjecucionPresupuesta!$T$5:$T$43,REP_EPG034_EjecucionPresupuesta!$P$5:$P$43,"OTROS GASTOS DE PERSONAL - DISTRIBUCIÓN PREVIO CONCEPTO DGPPN")</f>
        <v>1893807836</v>
      </c>
      <c r="D15" s="104">
        <f>SUMIFS(REP_EPG034_EjecucionPresupuesta!$U$5:$U$43,REP_EPG034_EjecucionPresupuesta!$P$5:$P$43,"OTROS GASTOS DE PERSONAL - DISTRIBUCIÓN PREVIO CONCEPTO DGPPN")</f>
        <v>1893807836</v>
      </c>
      <c r="E15" s="104">
        <f>+C15-D15</f>
        <v>0</v>
      </c>
      <c r="F15" s="104">
        <f>SUMIFS(REP_EPG034_EjecucionPresupuesta!$X$5:$X$43,REP_EPG034_EjecucionPresupuesta!$P$5:$P$43,"OTROS GASTOS DE PERSONAL - DISTRIBUCIÓN PREVIO CONCEPTO DGPPN")</f>
        <v>0</v>
      </c>
      <c r="G15" s="144">
        <f>+F15/C15</f>
        <v>0</v>
      </c>
      <c r="H15" s="144" t="e">
        <f t="shared" si="0"/>
        <v>#DIV/0!</v>
      </c>
      <c r="I15" s="104">
        <f>SUMIFS(REP_EPG034_EjecucionPresupuesta!$Y$5:$Y$43,REP_EPG034_EjecucionPresupuesta!$P$5:$P$43,"OTROS GASTOS DE PERSONAL - DISTRIBUCIÓN PREVIO CONCEPTO DGPPN")</f>
        <v>0</v>
      </c>
      <c r="J15" s="144">
        <f>+I15/C15</f>
        <v>0</v>
      </c>
      <c r="K15" s="144" t="e">
        <f t="shared" si="1"/>
        <v>#DIV/0!</v>
      </c>
    </row>
    <row r="16" spans="2:13" s="61" customFormat="1" ht="30.75" customHeight="1" x14ac:dyDescent="0.25">
      <c r="B16" s="84" t="s">
        <v>291</v>
      </c>
      <c r="C16" s="105">
        <f>+C17</f>
        <v>36305492164</v>
      </c>
      <c r="D16" s="105">
        <f>+D17</f>
        <v>2716257518.9099998</v>
      </c>
      <c r="E16" s="105">
        <f>+E17</f>
        <v>33589234645.09</v>
      </c>
      <c r="F16" s="105">
        <f>+F17</f>
        <v>27816525282.07</v>
      </c>
      <c r="G16" s="86">
        <f t="shared" si="2"/>
        <v>0.7661795399003698</v>
      </c>
      <c r="H16" s="86">
        <f t="shared" si="0"/>
        <v>0.82813810960519041</v>
      </c>
      <c r="I16" s="105">
        <f>+I17</f>
        <v>18087404600.350002</v>
      </c>
      <c r="J16" s="86">
        <f t="shared" si="3"/>
        <v>0.49820023148688258</v>
      </c>
      <c r="K16" s="86">
        <f t="shared" si="1"/>
        <v>0.53848814334309281</v>
      </c>
      <c r="L16" s="234"/>
    </row>
    <row r="17" spans="2:13" ht="24.95" customHeight="1" x14ac:dyDescent="0.25">
      <c r="B17" s="102" t="s">
        <v>292</v>
      </c>
      <c r="C17" s="103">
        <f>SUMIFS(REP_EPG034_EjecucionPresupuesta!$T$5:$T$31,REP_EPG034_EjecucionPresupuesta!$P$5:$P$31,"ADQUISICIÓN DE BIENES  Y SERVICIOS")</f>
        <v>36305492164</v>
      </c>
      <c r="D17" s="104">
        <f>SUMIFS(REP_EPG034_EjecucionPresupuesta!$U$5:$U$31,REP_EPG034_EjecucionPresupuesta!$P$5:$P$31,"ADQUISICIÓN DE BIENES  Y SERVICIOS")</f>
        <v>2716257518.9099998</v>
      </c>
      <c r="E17" s="104">
        <f>+C17-D17</f>
        <v>33589234645.09</v>
      </c>
      <c r="F17" s="104">
        <f>SUMIFS(REP_EPG034_EjecucionPresupuesta!$X$5:$X$31,REP_EPG034_EjecucionPresupuesta!$P$5:$P$31,"ADQUISICIÓN DE BIENES  Y SERVICIOS")</f>
        <v>27816525282.07</v>
      </c>
      <c r="G17" s="144">
        <f t="shared" si="2"/>
        <v>0.7661795399003698</v>
      </c>
      <c r="H17" s="144">
        <f t="shared" si="0"/>
        <v>0.82813810960519041</v>
      </c>
      <c r="I17" s="104">
        <f>SUMIFS(REP_EPG034_EjecucionPresupuesta!$Y$5:$Y$31,REP_EPG034_EjecucionPresupuesta!$P$5:$P$31,"ADQUISICIÓN DE BIENES  Y SERVICIOS")</f>
        <v>18087404600.350002</v>
      </c>
      <c r="J17" s="144">
        <f>+I17/C17</f>
        <v>0.49820023148688258</v>
      </c>
      <c r="K17" s="144">
        <f t="shared" si="1"/>
        <v>0.53848814334309281</v>
      </c>
      <c r="M17" s="238"/>
    </row>
    <row r="18" spans="2:13" s="61" customFormat="1" ht="30.75" customHeight="1" x14ac:dyDescent="0.25">
      <c r="B18" s="84" t="s">
        <v>293</v>
      </c>
      <c r="C18" s="105">
        <f>SUM(C19:C25)</f>
        <v>66439700000</v>
      </c>
      <c r="D18" s="105">
        <f>SUM(D19:D25)</f>
        <v>17315158423.099998</v>
      </c>
      <c r="E18" s="105">
        <f>SUM(E19:E25)</f>
        <v>49124541576.900002</v>
      </c>
      <c r="F18" s="131">
        <f>SUM(F19:F25)</f>
        <v>44430861538.239998</v>
      </c>
      <c r="G18" s="86">
        <f>+F18/C18</f>
        <v>0.6687396472025009</v>
      </c>
      <c r="H18" s="86">
        <f t="shared" si="0"/>
        <v>0.90445345873991567</v>
      </c>
      <c r="I18" s="131">
        <f>SUM(I19:I25)</f>
        <v>30538536336.52</v>
      </c>
      <c r="J18" s="86">
        <f>+I18/C18</f>
        <v>0.45964289929846164</v>
      </c>
      <c r="K18" s="86">
        <f t="shared" si="1"/>
        <v>0.62165539578043083</v>
      </c>
      <c r="L18" s="235"/>
    </row>
    <row r="19" spans="2:13" ht="28.5" customHeight="1" x14ac:dyDescent="0.25">
      <c r="B19" s="102" t="str">
        <f>+REP_EPG034_EjecucionPresupuesta!P13</f>
        <v>A ORGANIZACIONES INTERNACIONALES</v>
      </c>
      <c r="C19" s="103">
        <f>SUMIFS(REP_EPG034_EjecucionPresupuesta!$T$5:$T$31,REP_EPG034_EjecucionPresupuesta!$P$5:$P$31,"A ORGANIZACIONES INTERNACIONALES")</f>
        <v>342000000</v>
      </c>
      <c r="D19" s="104">
        <f>SUMIFS(REP_EPG034_EjecucionPresupuesta!$U$5:$U$31,REP_EPG034_EjecucionPresupuesta!$P$5:$P$31,"A ORGANIZACIONES INTERNACIONALES")</f>
        <v>67277948.099999994</v>
      </c>
      <c r="E19" s="104">
        <f t="shared" ref="E19:E25" si="4">+C19-D19</f>
        <v>274722051.89999998</v>
      </c>
      <c r="F19" s="104">
        <f>SUMIFS(REP_EPG034_EjecucionPresupuesta!$X$5:$X$31,REP_EPG034_EjecucionPresupuesta!$P$5:$P$31,"A ORGANIZACIONES INTERNACIONALES")</f>
        <v>256455755.90000001</v>
      </c>
      <c r="G19" s="144">
        <f t="shared" si="2"/>
        <v>0.74987063128654974</v>
      </c>
      <c r="H19" s="144">
        <f t="shared" si="0"/>
        <v>0.93350990255908184</v>
      </c>
      <c r="I19" s="104">
        <f>SUMIFS(REP_EPG034_EjecucionPresupuesta!$Y$5:$Y$31,REP_EPG034_EjecucionPresupuesta!$P$5:$P$31,"A ORGANIZACIONES INTERNACIONALES")</f>
        <v>254955755.90000001</v>
      </c>
      <c r="J19" s="144">
        <f t="shared" si="3"/>
        <v>0.74548466637426902</v>
      </c>
      <c r="K19" s="144">
        <f t="shared" si="1"/>
        <v>0.92804983850661182</v>
      </c>
    </row>
    <row r="20" spans="2:13" ht="27" customHeight="1" x14ac:dyDescent="0.25">
      <c r="B20" s="102" t="str">
        <f>+REP_EPG034_EjecucionPresupuesta!P14</f>
        <v>FONDO PARA LA LUCHA CONTRA LAS DROGAS</v>
      </c>
      <c r="C20" s="103">
        <f>SUMIFS(REP_EPG034_EjecucionPresupuesta!$T$5:$T$31,REP_EPG034_EjecucionPresupuesta!$P$5:$P$31,"FONDO PARA LA LUCHA CONTRA LAS DROGAS")</f>
        <v>11751400000</v>
      </c>
      <c r="D20" s="104">
        <f>SUMIFS(REP_EPG034_EjecucionPresupuesta!$U$5:$U$31,REP_EPG034_EjecucionPresupuesta!$P$5:$P$31,"FONDO PARA LA LUCHA CONTRA LAS DROGAS")</f>
        <v>3235269</v>
      </c>
      <c r="E20" s="104">
        <f t="shared" si="4"/>
        <v>11748164731</v>
      </c>
      <c r="F20" s="104">
        <f>SUMIFS(REP_EPG034_EjecucionPresupuesta!$X$5:$X$31,REP_EPG034_EjecucionPresupuesta!$P$5:$P$31,"FONDO PARA LA LUCHA CONTRA LAS DROGAS")</f>
        <v>11076465075</v>
      </c>
      <c r="G20" s="144">
        <f t="shared" si="2"/>
        <v>0.94256557303810606</v>
      </c>
      <c r="H20" s="144">
        <f t="shared" si="0"/>
        <v>0.9428251415110328</v>
      </c>
      <c r="I20" s="104">
        <f>SUMIFS(REP_EPG034_EjecucionPresupuesta!$Y$5:$Y$31,REP_EPG034_EjecucionPresupuesta!$P$5:$P$31,"FONDO PARA LA LUCHA CONTRA LAS DROGAS")</f>
        <v>8429512806.2799997</v>
      </c>
      <c r="J20" s="144">
        <f t="shared" si="3"/>
        <v>0.71731987731504332</v>
      </c>
      <c r="K20" s="144">
        <f t="shared" si="1"/>
        <v>0.71751741648948453</v>
      </c>
      <c r="M20" s="236"/>
    </row>
    <row r="21" spans="2:13" ht="45" customHeight="1" x14ac:dyDescent="0.25">
      <c r="B21" s="102" t="str">
        <f>+REP_EPG034_EjecucionPresupuesta!P15</f>
        <v>FONDO PARA LA REHABILITACIÓN, INVERSIÓN SOCIAL Y LUCHA CONTRA EL CRIMEN ORGANIZADO</v>
      </c>
      <c r="C21" s="103">
        <f>SUMIFS(REP_EPG034_EjecucionPresupuesta!$T$5:$T$31,REP_EPG034_EjecucionPresupuesta!$P$5:$P$31,"FONDO PARA LA REHABILITACIÓN, INVERSIÓN SOCIAL Y LUCHA CONTRA EL CRIMEN ORGANIZADO")</f>
        <v>42273500000</v>
      </c>
      <c r="D21" s="104">
        <f>SUMIFS(REP_EPG034_EjecucionPresupuesta!$U$5:$U$31,REP_EPG034_EjecucionPresupuesta!$P$5:$P$31,"FONDO PARA LA REHABILITACIÓN, INVERSIÓN SOCIAL Y LUCHA CONTRA EL CRIMEN ORGANIZADO")</f>
        <v>14231861354</v>
      </c>
      <c r="E21" s="104">
        <f t="shared" si="4"/>
        <v>28041638646</v>
      </c>
      <c r="F21" s="104">
        <f>SUMIFS(REP_EPG034_EjecucionPresupuesta!$X$5:$X$31,REP_EPG034_EjecucionPresupuesta!$P$5:$P$31,"FONDO PARA LA REHABILITACIÓN, INVERSIÓN SOCIAL Y LUCHA CONTRA EL CRIMEN ORGANIZADO")</f>
        <v>25616412905</v>
      </c>
      <c r="G21" s="144">
        <f t="shared" si="2"/>
        <v>0.60596858327320902</v>
      </c>
      <c r="H21" s="144">
        <v>0</v>
      </c>
      <c r="I21" s="104">
        <f>SUMIFS(REP_EPG034_EjecucionPresupuesta!$Y$5:$Y$31,REP_EPG034_EjecucionPresupuesta!$P$5:$P$31,"FONDO PARA LA REHABILITACIÓN, INVERSIÓN SOCIAL Y LUCHA CONTRA EL CRIMEN ORGANIZADO")</f>
        <v>17535477957</v>
      </c>
      <c r="J21" s="144">
        <f>+I21/C21</f>
        <v>0.41481017557098421</v>
      </c>
      <c r="K21" s="144">
        <f>IFERROR(I21/E21,0)</f>
        <v>0.62533713447952688</v>
      </c>
      <c r="M21" s="236"/>
    </row>
    <row r="22" spans="2:13" ht="57.75" customHeight="1" x14ac:dyDescent="0.25">
      <c r="B22" s="102" t="str">
        <f>+REP_EPG034_EjecucionPresupuesta!P16</f>
        <v>APOYO A LAS DISPOSICIONES PARA GARANTIZAR EL PLENO EJERCICIO DE LOS DERECHOS DE LAS PERSONAS CON DISCAPACIDAD. LEY 1618 DE 2013</v>
      </c>
      <c r="C22" s="103">
        <f>SUMIFS(REP_EPG034_EjecucionPresupuesta!$T$5:$T$31,REP_EPG034_EjecucionPresupuesta!$P$5:$P$31,"APOYO A LAS DISPOSICIONES PARA GARANTIZAR EL PLENO EJERCICIO DE LOS DERECHOS DE LAS PERSONAS CON DISCAPACIDAD. LEY 1618 DE 2013")</f>
        <v>300000000</v>
      </c>
      <c r="D22" s="104">
        <f>SUMIFS(REP_EPG034_EjecucionPresupuesta!$U$5:$U$31,REP_EPG034_EjecucionPresupuesta!$P$5:$P$31,"APOYO A LAS DISPOSICIONES PARA GARANTIZAR EL PLENO EJERCICIO DE LOS DERECHOS DE LAS PERSONAS CON DISCAPACIDAD. LEY 1618 DE 2013")</f>
        <v>0</v>
      </c>
      <c r="E22" s="104">
        <f>+C22-D22</f>
        <v>300000000</v>
      </c>
      <c r="F22" s="104">
        <f>SUMIFS(REP_EPG034_EjecucionPresupuesta!$X$5:$X$31,REP_EPG034_EjecucionPresupuesta!$P$5:$P$31,"APOYO A LAS DISPOSICIONES PARA GARANTIZAR EL PLENO EJERCICIO DE LOS DERECHOS DE LAS PERSONAS CON DISCAPACIDAD. LEY 1618 DE 2013")</f>
        <v>0</v>
      </c>
      <c r="G22" s="144">
        <v>0</v>
      </c>
      <c r="H22" s="144">
        <v>1</v>
      </c>
      <c r="I22" s="104">
        <f>SUMIFS(REP_EPG034_EjecucionPresupuesta!$Y$5:$Y$31,REP_EPG034_EjecucionPresupuesta!$P$5:$P$31,"APOYO A LAS DISPOSICIONES PARA GARANTIZAR EL PLENO EJERCICIO DE LOS DERECHOS DE LAS PERSONAS CON DISCAPACIDAD. LEY 1618 DE 2013")</f>
        <v>0</v>
      </c>
      <c r="J22" s="144">
        <v>0</v>
      </c>
      <c r="K22" s="144">
        <f>IFERROR(I22/E22,0)</f>
        <v>0</v>
      </c>
      <c r="M22" s="239"/>
    </row>
    <row r="23" spans="2:13" ht="54" customHeight="1" x14ac:dyDescent="0.25">
      <c r="B23" s="102" t="str">
        <f>+REP_EPG034_EjecucionPresupuesta!P18</f>
        <v>OTRAS TRANSFERENCIAS - DISTRIBUCIÓN PREVIO CONCEPTO DGPPN</v>
      </c>
      <c r="C23" s="103">
        <f>SUMIFS(REP_EPG034_EjecucionPresupuesta!$T$5:$T$31,REP_EPG034_EjecucionPresupuesta!$P$5:$P$31,"ATENCIÓN INTEGRAL A LA POBLACIÓN DESPLAZADA EN CUMPLIMIENTO DE LA SENTENCIA T-025 DE 2004 (NO DE PENSIONES)")</f>
        <v>7392500000</v>
      </c>
      <c r="D23" s="104">
        <f>SUMIFS(REP_EPG034_EjecucionPresupuesta!$U$5:$U$31,REP_EPG034_EjecucionPresupuesta!$P$5:$P$31,"ATENCIÓN INTEGRAL A LA POBLACIÓN DESPLAZADA EN CUMPLIMIENTO DE LA SENTENCIA T-025 DE 2004 (NO DE PENSIONES)")</f>
        <v>12783852</v>
      </c>
      <c r="E23" s="104">
        <f t="shared" si="4"/>
        <v>7379716148</v>
      </c>
      <c r="F23" s="104">
        <f>SUMIFS(REP_EPG034_EjecucionPresupuesta!$X$5:$X$31,REP_EPG034_EjecucionPresupuesta!$P$5:$P$31,"ATENCIÓN INTEGRAL A LA POBLACIÓN DESPLAZADA EN CUMPLIMIENTO DE LA SENTENCIA T-025 DE 2004 (NO DE PENSIONES)")</f>
        <v>7346924342</v>
      </c>
      <c r="G23" s="144">
        <f>+F23/C23</f>
        <v>0.99383487886371324</v>
      </c>
      <c r="H23" s="144">
        <v>0</v>
      </c>
      <c r="I23" s="104">
        <f>SUMIFS(REP_EPG034_EjecucionPresupuesta!$Y$5:$Y$31,REP_EPG034_EjecucionPresupuesta!$P$5:$P$31,"ATENCIÓN INTEGRAL A LA POBLACIÓN DESPLAZADA EN CUMPLIMIENTO DE LA SENTENCIA T-025 DE 2004 (NO DE PENSIONES)")</f>
        <v>4210752196</v>
      </c>
      <c r="J23" s="144">
        <f>+I23/C23</f>
        <v>0.56959786215759212</v>
      </c>
      <c r="K23" s="144">
        <f t="shared" ref="K23:K30" si="5">+I23/E23</f>
        <v>0.57058457419682318</v>
      </c>
      <c r="M23" s="237"/>
    </row>
    <row r="24" spans="2:13" ht="46.5" customHeight="1" x14ac:dyDescent="0.25">
      <c r="B24" s="102" t="str">
        <f>+REP_EPG034_EjecucionPresupuesta!P19</f>
        <v>ATENCIÓN INTEGRAL A LA POBLACIÓN DESPLAZADA EN CUMPLIMIENTO DE LA SENTENCIA T-025 DE 2004 (NO DE PENSIONES)</v>
      </c>
      <c r="C24" s="103">
        <f>SUMIFS(REP_EPG034_EjecucionPresupuesta!$T$5:$T$31,REP_EPG034_EjecucionPresupuesta!$P$5:$P$31,"INCAPACIDADES Y LICENCIAS DE MATERNIDAD Y PATERNIDAD (NO DE PENSIONES)")</f>
        <v>169300000</v>
      </c>
      <c r="D24" s="104">
        <f>SUMIFS(REP_EPG034_EjecucionPresupuesta!$U$5:$U$31,REP_EPG034_EjecucionPresupuesta!$P$5:$P$31,"INCAPACIDADES Y LICENCIAS DE MATERNIDAD Y PATERNIDAD (NO DE PENSIONES)")</f>
        <v>0</v>
      </c>
      <c r="E24" s="104">
        <f t="shared" si="4"/>
        <v>169300000</v>
      </c>
      <c r="F24" s="104">
        <f>SUMIFS(REP_EPG034_EjecucionPresupuesta!$X$5:$X$31,REP_EPG034_EjecucionPresupuesta!$P$5:$P$31,"INCAPACIDADES Y LICENCIAS DE MATERNIDAD Y PATERNIDAD (NO DE PENSIONES)")</f>
        <v>63034326</v>
      </c>
      <c r="G24" s="144">
        <f t="shared" si="2"/>
        <v>0.37232324867099825</v>
      </c>
      <c r="H24" s="144">
        <f>IFERROR(F25/E25,0)</f>
        <v>5.9099202592898435E-2</v>
      </c>
      <c r="I24" s="104">
        <f>SUMIFS(REP_EPG034_EjecucionPresupuesta!$Y$5:$Y$31,REP_EPG034_EjecucionPresupuesta!$P$5:$P$31,"INCAPACIDADES Y LICENCIAS DE MATERNIDAD Y PATERNIDAD (NO DE PENSIONES)")</f>
        <v>36268487</v>
      </c>
      <c r="J24" s="144">
        <f t="shared" si="3"/>
        <v>0.21422614884819846</v>
      </c>
      <c r="K24" s="144">
        <f t="shared" si="5"/>
        <v>0.21422614884819846</v>
      </c>
    </row>
    <row r="25" spans="2:13" ht="49.5" customHeight="1" x14ac:dyDescent="0.25">
      <c r="B25" s="102" t="str">
        <f>+REP_EPG034_EjecucionPresupuesta!P20</f>
        <v>INCAPACIDADES Y LICENCIAS DE MATERNIDAD Y PATERNIDAD (NO DE PENSIONES)</v>
      </c>
      <c r="C25" s="104">
        <f>SUMIFS(REP_EPG034_EjecucionPresupuesta!$T$5:$T$31,REP_EPG034_EjecucionPresupuesta!$P$5:$P$31,"SENTENCIAS Y CONCILIACIONES")</f>
        <v>4211000000</v>
      </c>
      <c r="D25" s="104">
        <f>SUMIFS(REP_EPG034_EjecucionPresupuesta!$U$5:$U$31,REP_EPG034_EjecucionPresupuesta!$P$5:$P$31,"SENTENCIAS Y CONCILIACIONES")</f>
        <v>3000000000</v>
      </c>
      <c r="E25" s="104">
        <f t="shared" si="4"/>
        <v>1211000000</v>
      </c>
      <c r="F25" s="104">
        <f>SUMIFS(REP_EPG034_EjecucionPresupuesta!$X$5:$X$31,REP_EPG034_EjecucionPresupuesta!$P$5:$P$31,"SENTENCIAS Y CONCILIACIONES")</f>
        <v>71569134.340000004</v>
      </c>
      <c r="G25" s="144">
        <f t="shared" si="2"/>
        <v>1.6995757383044409E-2</v>
      </c>
      <c r="H25" s="144">
        <f>IFERROR(F25/E25,0)</f>
        <v>5.9099202592898435E-2</v>
      </c>
      <c r="I25" s="104">
        <f>SUMIFS(REP_EPG034_EjecucionPresupuesta!$Y$5:$Y$31,REP_EPG034_EjecucionPresupuesta!$P$5:$P$31,"SENTENCIAS Y CONCILIACIONES")</f>
        <v>71569134.340000004</v>
      </c>
      <c r="J25" s="144">
        <v>0</v>
      </c>
      <c r="K25" s="144">
        <f t="shared" si="5"/>
        <v>5.9099202592898435E-2</v>
      </c>
    </row>
    <row r="26" spans="2:13" s="61" customFormat="1" ht="36.75" customHeight="1" x14ac:dyDescent="0.25">
      <c r="B26" s="84" t="s">
        <v>294</v>
      </c>
      <c r="C26" s="105">
        <f>SUM(C27:C29)</f>
        <v>569569000</v>
      </c>
      <c r="D26" s="105">
        <f>SUM(D27:D29)</f>
        <v>9719662</v>
      </c>
      <c r="E26" s="105">
        <f>SUM(E27:E29)</f>
        <v>559849338</v>
      </c>
      <c r="F26" s="105">
        <f>SUM(F27:F29)</f>
        <v>440084564</v>
      </c>
      <c r="G26" s="86">
        <f>+F26/C26</f>
        <v>0.77266242369230065</v>
      </c>
      <c r="H26" s="86">
        <f>+F26/E26</f>
        <v>0.78607677839211809</v>
      </c>
      <c r="I26" s="131">
        <f>SUM(I27:I29)</f>
        <v>122827338</v>
      </c>
      <c r="J26" s="86">
        <f>+I26/C26</f>
        <v>0.21564961927352086</v>
      </c>
      <c r="K26" s="86">
        <f t="shared" si="5"/>
        <v>0.21939355762889193</v>
      </c>
      <c r="L26" s="235"/>
    </row>
    <row r="27" spans="2:13" ht="30.75" customHeight="1" x14ac:dyDescent="0.25">
      <c r="B27" s="102" t="str">
        <f>+REP_EPG034_EjecucionPresupuesta!P21</f>
        <v>SENTENCIAS Y CONCILIACIONES</v>
      </c>
      <c r="C27" s="103">
        <f>SUMIFS(REP_EPG034_EjecucionPresupuesta!$T$5:$T$31,REP_EPG034_EjecucionPresupuesta!$P$5:$P$31,"IMPUESTOS")</f>
        <v>127466000</v>
      </c>
      <c r="D27" s="104">
        <f>SUMIFS(REP_EPG034_EjecucionPresupuesta!$U$5:$U$31,REP_EPG034_EjecucionPresupuesta!$P$5:$P$31,"IMPUESTOS")</f>
        <v>52662</v>
      </c>
      <c r="E27" s="104">
        <f>+C27-D27</f>
        <v>127413338</v>
      </c>
      <c r="F27" s="104">
        <f>SUMIFS(REP_EPG034_EjecucionPresupuesta!$X$5:$X$31,REP_EPG034_EjecucionPresupuesta!$P$5:$P$31,"IMPUESTOS")</f>
        <v>122827338</v>
      </c>
      <c r="G27" s="144">
        <f>+F27/C27</f>
        <v>0.96360863289033938</v>
      </c>
      <c r="H27" s="144">
        <f>+F27/E27</f>
        <v>0.96400690797379474</v>
      </c>
      <c r="I27" s="104">
        <f>SUMIFS(REP_EPG034_EjecucionPresupuesta!$Y$5:$Y$31,REP_EPG034_EjecucionPresupuesta!$P$5:$P$31,"IMPUESTOS")</f>
        <v>122827338</v>
      </c>
      <c r="J27" s="144">
        <f>+I27/C27</f>
        <v>0.96360863289033938</v>
      </c>
      <c r="K27" s="144">
        <f t="shared" si="5"/>
        <v>0.96400690797379474</v>
      </c>
    </row>
    <row r="28" spans="2:13" ht="24.95" customHeight="1" x14ac:dyDescent="0.25">
      <c r="B28" s="102" t="str">
        <f>+REP_EPG034_EjecucionPresupuesta!P22</f>
        <v>IMPUESTOS</v>
      </c>
      <c r="C28" s="103">
        <f>SUMIFS(REP_EPG034_EjecucionPresupuesta!$T$5:$T$31,REP_EPG034_EjecucionPresupuesta!$P$5:$P$31,"TASAS Y DERECHOS ADMINISTRATIVOS")</f>
        <v>9667000</v>
      </c>
      <c r="D28" s="104">
        <f>SUMIFS(REP_EPG034_EjecucionPresupuesta!$U$5:$U$31,REP_EPG034_EjecucionPresupuesta!$P$5:$P$31,"TASAS Y DERECHOS ADMINISTRATIVOS")</f>
        <v>9667000</v>
      </c>
      <c r="E28" s="104">
        <f>+C28-D28</f>
        <v>0</v>
      </c>
      <c r="F28" s="104">
        <f>SUMIFS(REP_EPG034_EjecucionPresupuesta!$X$5:$X$31,REP_EPG034_EjecucionPresupuesta!$P$5:$P$31,"TASAS Y DERECHOS ADMINISTRATIVOS")</f>
        <v>0</v>
      </c>
      <c r="G28" s="144">
        <f t="shared" si="2"/>
        <v>0</v>
      </c>
      <c r="H28" s="144" t="e">
        <f>+F28/E28</f>
        <v>#DIV/0!</v>
      </c>
      <c r="I28" s="104">
        <f>SUMIFS(REP_EPG034_EjecucionPresupuesta!$Y$5:$Y$31,REP_EPG034_EjecucionPresupuesta!$P$5:$P$31,"TASAS Y DERECHOS ADMINISTRATIVOS")</f>
        <v>0</v>
      </c>
      <c r="J28" s="144">
        <f>+I28/C28</f>
        <v>0</v>
      </c>
      <c r="K28" s="144" t="e">
        <f t="shared" si="5"/>
        <v>#DIV/0!</v>
      </c>
    </row>
    <row r="29" spans="2:13" ht="24.95" customHeight="1" x14ac:dyDescent="0.25">
      <c r="B29" s="102" t="str">
        <f>+REP_EPG034_EjecucionPresupuesta!P23</f>
        <v>TASAS Y DERECHOS ADMINISTRATIVOS</v>
      </c>
      <c r="C29" s="103">
        <f>SUMIFS(REP_EPG034_EjecucionPresupuesta!$T$5:$T$31,REP_EPG034_EjecucionPresupuesta!$P$5:$P$31,"CUOTA DE FISCALIZACIÓN Y AUDITAJE")</f>
        <v>432436000</v>
      </c>
      <c r="D29" s="104">
        <f>SUMIFS(REP_EPG034_EjecucionPresupuesta!$U$5:$U$31,REP_EPG034_EjecucionPresupuesta!$P$5:$P$31,"CUOTA DE FISCALIZACIÓN Y AUDITAJE")</f>
        <v>0</v>
      </c>
      <c r="E29" s="104">
        <f>+C29-D29</f>
        <v>432436000</v>
      </c>
      <c r="F29" s="104">
        <f>SUMIFS(REP_EPG034_EjecucionPresupuesta!$X$5:$X$31,REP_EPG034_EjecucionPresupuesta!$P$5:$P$31,"CUOTA DE FISCALIZACIÓN Y AUDITAJE")</f>
        <v>317257226</v>
      </c>
      <c r="G29" s="144">
        <f t="shared" si="2"/>
        <v>0.73365128250191936</v>
      </c>
      <c r="H29" s="144">
        <f>+F29/E29</f>
        <v>0.73365128250191936</v>
      </c>
      <c r="I29" s="104">
        <f>SUMIFS(REP_EPG034_EjecucionPresupuesta!$Y$5:$Y$31,REP_EPG034_EjecucionPresupuesta!$P$5:$P$31,"CUOTA DE FISCALIZACIÓN Y AUDITAJE")</f>
        <v>0</v>
      </c>
      <c r="J29" s="144">
        <f>+I29/C29</f>
        <v>0</v>
      </c>
      <c r="K29" s="144">
        <f t="shared" si="5"/>
        <v>0</v>
      </c>
    </row>
    <row r="30" spans="2:13" ht="24.95" customHeight="1" x14ac:dyDescent="0.25">
      <c r="B30" s="176" t="s">
        <v>295</v>
      </c>
      <c r="C30" s="177">
        <f>+C11+C16+C18+C26</f>
        <v>150859969000</v>
      </c>
      <c r="D30" s="177">
        <f>+D11+D16+D18+D26</f>
        <v>21934943440.009998</v>
      </c>
      <c r="E30" s="177">
        <f>+E11+E16+E18+E26</f>
        <v>128925025559.98999</v>
      </c>
      <c r="F30" s="177">
        <f>+F11+F16+F18+F26</f>
        <v>107693785185.31</v>
      </c>
      <c r="G30" s="202">
        <f>+F30/C30</f>
        <v>0.7138658843639959</v>
      </c>
      <c r="H30" s="202">
        <f>+F30/E30</f>
        <v>0.83532103032393112</v>
      </c>
      <c r="I30" s="177">
        <f>+I11+I16+I18+I26</f>
        <v>83755082075.87001</v>
      </c>
      <c r="J30" s="202">
        <f>+I30/C30</f>
        <v>0.55518427208393506</v>
      </c>
      <c r="K30" s="202">
        <f t="shared" si="5"/>
        <v>0.6496417721235821</v>
      </c>
      <c r="L30" s="236"/>
      <c r="M30" s="236"/>
    </row>
    <row r="31" spans="2:13" ht="21.75" customHeight="1" x14ac:dyDescent="0.25">
      <c r="B31" s="37"/>
      <c r="C31" s="38"/>
      <c r="D31" s="38"/>
      <c r="E31" s="38"/>
      <c r="F31" s="39"/>
      <c r="G31" s="39"/>
      <c r="H31" s="39"/>
      <c r="I31" s="39"/>
      <c r="J31" s="39"/>
      <c r="K31" s="39"/>
    </row>
    <row r="32" spans="2:13" ht="41.25" customHeight="1" x14ac:dyDescent="0.25">
      <c r="B32" s="56"/>
      <c r="C32" s="56"/>
      <c r="D32" s="56"/>
      <c r="E32" s="56"/>
      <c r="F32" s="56"/>
      <c r="G32" s="56"/>
      <c r="H32" s="56"/>
      <c r="I32" s="56"/>
      <c r="J32" s="56"/>
      <c r="K32" s="56"/>
    </row>
    <row r="33" spans="2:11" ht="21" customHeight="1" x14ac:dyDescent="0.3">
      <c r="C33" s="5"/>
      <c r="D33" s="5"/>
      <c r="E33" s="5"/>
      <c r="F33" s="39"/>
      <c r="G33" s="39"/>
      <c r="H33" s="39"/>
      <c r="I33" s="39"/>
      <c r="J33" s="39"/>
      <c r="K33" s="39"/>
    </row>
    <row r="34" spans="2:11" ht="15.75" customHeight="1" x14ac:dyDescent="0.3">
      <c r="B34" s="97"/>
      <c r="J34" s="98"/>
      <c r="K34" s="98"/>
    </row>
    <row r="35" spans="2:11" ht="15" x14ac:dyDescent="0.25"/>
    <row r="36" spans="2:11" ht="15" x14ac:dyDescent="0.25"/>
    <row r="37" spans="2:11" ht="15" customHeight="1" x14ac:dyDescent="0.25"/>
    <row r="38" spans="2:11" ht="15" customHeight="1" x14ac:dyDescent="0.25"/>
    <row r="39" spans="2:11" ht="15" customHeight="1" x14ac:dyDescent="0.25"/>
    <row r="40" spans="2:11" ht="15" customHeight="1" x14ac:dyDescent="0.25"/>
    <row r="41" spans="2:11" ht="15" customHeight="1" x14ac:dyDescent="0.25"/>
    <row r="42" spans="2:11" ht="15" customHeight="1" x14ac:dyDescent="0.25"/>
    <row r="43" spans="2:11" ht="15" customHeight="1" x14ac:dyDescent="0.25"/>
    <row r="44" spans="2:11" ht="15" customHeight="1" x14ac:dyDescent="0.25"/>
    <row r="45" spans="2:11" ht="15" customHeight="1" x14ac:dyDescent="0.25"/>
    <row r="46" spans="2:11" ht="15" customHeight="1" x14ac:dyDescent="0.25"/>
    <row r="47" spans="2:11" ht="15" customHeight="1" x14ac:dyDescent="0.25"/>
    <row r="48" spans="2:11" ht="15" customHeight="1" x14ac:dyDescent="0.25"/>
    <row r="49" ht="15" customHeight="1" x14ac:dyDescent="0.25"/>
    <row r="50" ht="15" customHeight="1" x14ac:dyDescent="0.25"/>
    <row r="51" ht="15" customHeight="1" x14ac:dyDescent="0.25"/>
  </sheetData>
  <mergeCells count="2">
    <mergeCell ref="B9:J9"/>
    <mergeCell ref="G7:J7"/>
  </mergeCells>
  <printOptions horizontalCentered="1" verticalCentered="1"/>
  <pageMargins left="0.23622047244094491" right="0.43307086614173229" top="0.15748031496062992" bottom="0.15748031496062992" header="0.11811023622047245" footer="0.31496062992125984"/>
  <pageSetup scale="55" orientation="landscape" r:id="rId1"/>
  <headerFooter alignWithMargins="0">
    <oddFooter>&amp;L&amp;12&amp;K0066CCFuente: MHCP SIIF II Nación
Oficina Asesora de Planeación - Minjusticia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">
    <tabColor theme="3" tint="-0.249977111117893"/>
    <pageSetUpPr fitToPage="1"/>
  </sheetPr>
  <dimension ref="B2:S36"/>
  <sheetViews>
    <sheetView showGridLines="0" zoomScale="55" zoomScaleNormal="55" zoomScaleSheetLayoutView="80" workbookViewId="0">
      <selection activeCell="W14" sqref="W14"/>
    </sheetView>
  </sheetViews>
  <sheetFormatPr baseColWidth="10" defaultColWidth="11.42578125" defaultRowHeight="15" x14ac:dyDescent="0.25"/>
  <cols>
    <col min="1" max="1" width="5.85546875" style="27" customWidth="1"/>
    <col min="2" max="2" width="27.42578125" style="27" customWidth="1"/>
    <col min="3" max="3" width="74.42578125" style="27" customWidth="1"/>
    <col min="4" max="4" width="50.5703125" style="27" customWidth="1"/>
    <col min="5" max="5" width="34.140625" style="27" bestFit="1" customWidth="1"/>
    <col min="6" max="6" width="24" style="27" customWidth="1"/>
    <col min="7" max="7" width="28" style="27" bestFit="1" customWidth="1"/>
    <col min="8" max="8" width="30.5703125" style="27" bestFit="1" customWidth="1"/>
    <col min="9" max="9" width="27.5703125" style="30" bestFit="1" customWidth="1"/>
    <col min="10" max="10" width="27.5703125" style="30" hidden="1" customWidth="1"/>
    <col min="11" max="11" width="30" style="27" customWidth="1"/>
    <col min="12" max="12" width="22.7109375" style="30" bestFit="1" customWidth="1"/>
    <col min="13" max="13" width="26.28515625" style="30" hidden="1" customWidth="1"/>
    <col min="14" max="14" width="11.42578125" style="27"/>
    <col min="15" max="15" width="18" style="27" customWidth="1"/>
    <col min="16" max="17" width="15.5703125" style="27" customWidth="1"/>
    <col min="18" max="18" width="15.85546875" style="27" customWidth="1"/>
    <col min="19" max="16384" width="11.42578125" style="27"/>
  </cols>
  <sheetData>
    <row r="2" spans="2:19" ht="15" customHeight="1" x14ac:dyDescent="0.25">
      <c r="I2" s="242"/>
      <c r="J2" s="242"/>
      <c r="L2" s="242"/>
      <c r="M2" s="242"/>
    </row>
    <row r="3" spans="2:19" ht="15" customHeight="1" x14ac:dyDescent="0.25">
      <c r="I3" s="242"/>
      <c r="J3" s="242"/>
      <c r="L3" s="242"/>
      <c r="M3" s="242"/>
    </row>
    <row r="4" spans="2:19" ht="21" x14ac:dyDescent="0.3">
      <c r="F4" s="151"/>
      <c r="G4" s="151"/>
      <c r="H4" s="151"/>
      <c r="I4" s="151"/>
      <c r="J4" s="151"/>
      <c r="K4" s="151" t="s">
        <v>258</v>
      </c>
      <c r="L4" s="96"/>
      <c r="M4" s="96"/>
    </row>
    <row r="5" spans="2:19" ht="15" customHeight="1" x14ac:dyDescent="0.25">
      <c r="I5" s="242"/>
      <c r="J5" s="242"/>
      <c r="L5" s="242"/>
      <c r="M5" s="242"/>
    </row>
    <row r="6" spans="2:19" ht="15" customHeight="1" x14ac:dyDescent="0.25">
      <c r="I6" s="242"/>
      <c r="J6" s="242"/>
      <c r="L6" s="242"/>
      <c r="M6" s="242"/>
    </row>
    <row r="7" spans="2:19" ht="71.25" customHeight="1" x14ac:dyDescent="0.25">
      <c r="B7" s="263" t="s">
        <v>296</v>
      </c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162"/>
    </row>
    <row r="8" spans="2:19" ht="32.25" thickBot="1" x14ac:dyDescent="0.3">
      <c r="B8" s="141" t="s">
        <v>297</v>
      </c>
      <c r="C8" s="141" t="s">
        <v>298</v>
      </c>
      <c r="D8" s="141" t="s">
        <v>299</v>
      </c>
      <c r="E8" s="141" t="s">
        <v>300</v>
      </c>
      <c r="F8" s="141" t="s">
        <v>282</v>
      </c>
      <c r="G8" s="141" t="s">
        <v>283</v>
      </c>
      <c r="H8" s="35" t="s">
        <v>284</v>
      </c>
      <c r="I8" s="31" t="s">
        <v>285</v>
      </c>
      <c r="J8" s="31" t="s">
        <v>286</v>
      </c>
      <c r="K8" s="35" t="s">
        <v>287</v>
      </c>
      <c r="L8" s="31" t="s">
        <v>288</v>
      </c>
      <c r="M8" s="31" t="s">
        <v>289</v>
      </c>
    </row>
    <row r="9" spans="2:19" ht="108" customHeight="1" thickBot="1" x14ac:dyDescent="0.3">
      <c r="B9" s="198" t="s">
        <v>301</v>
      </c>
      <c r="C9" s="197" t="str">
        <f>+REP_EPG034_EjecucionPresupuesta!P25</f>
        <v>2. SEGURIDAD HUMANA Y JUSTICIA SOCIAL / C. RENOVACIÓN DE LA ARQUITECTURA INSTITUCIONAL DEL SISTEMA DE JUSTICIA - ACCESO EFECTIVO A LA JUSTICIA - 20110C1 - RECURSO 16 - OBJ 2</v>
      </c>
      <c r="D9" s="205" t="s">
        <v>302</v>
      </c>
      <c r="E9" s="212">
        <f>SUMIFS(REP_EPG034_EjecucionPresupuesta!$T$5:$T$43,REP_EPG034_EjecucionPresupuesta!$P$5:$P$43,"2. SEGURIDAD HUMANA Y JUSTICIA SOCIAL / C. RENOVACIÓN DE LA ARQUITECTURA INSTITUCIONAL DEL SISTEMA DE JUSTICIA - ACCESO EFECTIVO A LA JUSTICIA - 20110C1 - RECURSO 16 - OBJ 2")</f>
        <v>1000000000</v>
      </c>
      <c r="F9" s="213">
        <f>SUMIFS(REP_EPG034_EjecucionPresupuesta!$U$5:$U$43,REP_EPG034_EjecucionPresupuesta!$P$5:$P$43,"2. SEGURIDAD HUMANA Y JUSTICIA SOCIAL / C. RENOVACIÓN DE LA ARQUITECTURA INSTITUCIONAL DEL SISTEMA DE JUSTICIA - ACCESO EFECTIVO A LA JUSTICIA - 20110C1 - RECURSO 16 - OBJ 2")</f>
        <v>0</v>
      </c>
      <c r="G9" s="213">
        <f t="shared" ref="G9:G17" si="0">+E9-F9</f>
        <v>1000000000</v>
      </c>
      <c r="H9" s="213">
        <f>SUMIFS(REP_EPG034_EjecucionPresupuesta!$X$5:$X$43,REP_EPG034_EjecucionPresupuesta!$P$5:$P$43,"2. SEGURIDAD HUMANA Y JUSTICIA SOCIAL / C. RENOVACIÓN DE LA ARQUITECTURA INSTITUCIONAL DEL SISTEMA DE JUSTICIA - ACCESO EFECTIVO A LA JUSTICIA - 20110C1 - RECURSO 16 - OBJ 2")</f>
        <v>998127048</v>
      </c>
      <c r="I9" s="57">
        <f>H9/E9</f>
        <v>0.99812704799999996</v>
      </c>
      <c r="J9" s="57">
        <f>H9/G9</f>
        <v>0.99812704799999996</v>
      </c>
      <c r="K9" s="215">
        <f>SUMIFS(REP_EPG034_EjecucionPresupuesta!$Y$5:$Y$43,REP_EPG034_EjecucionPresupuesta!$P$5:$P$43,"2. SEGURIDAD HUMANA Y JUSTICIA SOCIAL / C. RENOVACIÓN DE LA ARQUITECTURA INSTITUCIONAL DEL SISTEMA DE JUSTICIA - ACCESO EFECTIVO A LA JUSTICIA - 20110C1 - RECURSO 16 - OBJ 2")</f>
        <v>753943546</v>
      </c>
      <c r="L9" s="57">
        <f>+K9/E9</f>
        <v>0.75394354600000002</v>
      </c>
      <c r="M9" s="57">
        <f>+K9/G9</f>
        <v>0.75394354600000002</v>
      </c>
    </row>
    <row r="10" spans="2:19" ht="55.5" customHeight="1" thickBot="1" x14ac:dyDescent="0.3">
      <c r="B10" s="276" t="s">
        <v>303</v>
      </c>
      <c r="C10" s="53" t="str">
        <f>REP_EPG034_EjecucionPresupuesta!P26</f>
        <v>2. SEGURIDAD HUMANA Y JUSTICIA SOCIAL / D. CAPACIDADES Y LA OFERTA DEL SISTEMA DE JUSTICIA - ACCESO EFECTIVO A LA JUSTICIA - 20111D1 - RECURSO 15 - OBJ 14</v>
      </c>
      <c r="D10" s="273" t="s">
        <v>304</v>
      </c>
      <c r="E10" s="212">
        <f>SUMIFS(REP_EPG034_EjecucionPresupuesta!$T$5:$T$43,REP_EPG034_EjecucionPresupuesta!$P$5:$P$43,"2. SEGURIDAD HUMANA Y JUSTICIA SOCIAL / D. CAPACIDADES Y LA OFERTA DEL SISTEMA DE JUSTICIA - ACCESO EFECTIVO A LA JUSTICIA - 20111D1 - RECURSO 15 - OBJ 14")</f>
        <v>905264500</v>
      </c>
      <c r="F10" s="213">
        <f>SUMIFS(REP_EPG034_EjecucionPresupuesta!$U$5:$U$47,REP_EPG034_EjecucionPresupuesta!$P$5:$P$47,"2. SEGURIDAD HUMANA Y JUSTICIA SOCIAL / D. CAPACIDADES Y LA OFERTA DEL SISTEMA DE JUSTICIA - ACCESO EFECTIVO A LA JUSTICIA - 20111D1 - RECURSO 14")</f>
        <v>0</v>
      </c>
      <c r="G10" s="213">
        <f>+E10-F10</f>
        <v>905264500</v>
      </c>
      <c r="H10" s="213">
        <f>SUMIFS(REP_EPG034_EjecucionPresupuesta!$X$5:$X$43,REP_EPG034_EjecucionPresupuesta!$P$5:$P$43,"2. SEGURIDAD HUMANA Y JUSTICIA SOCIAL / D. CAPACIDADES Y LA OFERTA DEL SISTEMA DE JUSTICIA - ACCESO EFECTIVO A LA JUSTICIA - 20111D1 - RECURSO 15 - OBJ 14")</f>
        <v>731750000</v>
      </c>
      <c r="I10" s="57">
        <f t="shared" ref="I10:I27" si="1">H10/E10</f>
        <v>0.8083272899798899</v>
      </c>
      <c r="J10" s="57">
        <f t="shared" ref="J10:J28" si="2">H10/G10</f>
        <v>0.8083272899798899</v>
      </c>
      <c r="K10" s="215">
        <f>SUMIFS(REP_EPG034_EjecucionPresupuesta!$Y$5:$Y$43,REP_EPG034_EjecucionPresupuesta!$P$5:$P$43,"2. SEGURIDAD HUMANA Y JUSTICIA SOCIAL / D. CAPACIDADES Y LA OFERTA DEL SISTEMA DE JUSTICIA - ACCESO EFECTIVO A LA JUSTICIA - 20111D1 - RECURSO 15 - OBJ 14")</f>
        <v>332042600</v>
      </c>
      <c r="L10" s="57">
        <f t="shared" ref="L10:L28" si="3">+K10/E10</f>
        <v>0.36679070039750811</v>
      </c>
      <c r="M10" s="57"/>
      <c r="O10" s="231">
        <f>+E10+E11</f>
        <v>6405264500</v>
      </c>
      <c r="P10" s="231">
        <f>+H10+H11</f>
        <v>6029569872.7399998</v>
      </c>
      <c r="Q10" s="233">
        <f>+P10/O10</f>
        <v>0.94134596201921084</v>
      </c>
      <c r="R10" s="232">
        <f>+K10+K11</f>
        <v>1496615054.5</v>
      </c>
      <c r="S10" s="233">
        <f>+R10/O10</f>
        <v>0.23365390367564057</v>
      </c>
    </row>
    <row r="11" spans="2:19" ht="68.25" customHeight="1" thickBot="1" x14ac:dyDescent="0.3">
      <c r="B11" s="277"/>
      <c r="C11" s="53" t="str">
        <f>REP_EPG034_EjecucionPresupuesta!P27</f>
        <v>2. SEGURIDAD HUMANA Y JUSTICIA SOCIAL / D. CAPACIDADES Y LA OFERTA DEL SISTEMA DE JUSTICIA - ACCESO EFECTIVO A LA JUSTICIA - 20111D1 - RECURSO 16 - OBJ 14</v>
      </c>
      <c r="D11" s="275"/>
      <c r="E11" s="212">
        <f>SUMIFS(REP_EPG034_EjecucionPresupuesta!$T$5:$T$43,REP_EPG034_EjecucionPresupuesta!$P$5:$P$43,"2. SEGURIDAD HUMANA Y JUSTICIA SOCIAL / D. CAPACIDADES Y LA OFERTA DEL SISTEMA DE JUSTICIA - ACCESO EFECTIVO A LA JUSTICIA - 20111D1 - RECURSO 16 - OBJ 14")</f>
        <v>5500000000</v>
      </c>
      <c r="F11" s="213">
        <f>SUMIFS(REP_EPG034_EjecucionPresupuesta!$U$5:$U$47,REP_EPG034_EjecucionPresupuesta!$P$5:$P$47,"2. SEGURIDAD HUMANA Y JUSTICIA SOCIAL / D. CAPACIDADES Y LA OFERTA DEL SISTEMA DE JUSTICIA - ACCESO EFECTIVO A LA JUSTICIA - 20111D1 - RECURSO 14")</f>
        <v>0</v>
      </c>
      <c r="G11" s="213">
        <f t="shared" si="0"/>
        <v>5500000000</v>
      </c>
      <c r="H11" s="213">
        <f>SUMIFS(REP_EPG034_EjecucionPresupuesta!$X$5:$X$43,REP_EPG034_EjecucionPresupuesta!$P$5:$P$43,"2. SEGURIDAD HUMANA Y JUSTICIA SOCIAL / D. CAPACIDADES Y LA OFERTA DEL SISTEMA DE JUSTICIA - ACCESO EFECTIVO A LA JUSTICIA - 20111D1 - RECURSO 16 - OBJ 14")</f>
        <v>5297819872.7399998</v>
      </c>
      <c r="I11" s="57">
        <f t="shared" si="1"/>
        <v>0.96323997686181817</v>
      </c>
      <c r="J11" s="57">
        <f t="shared" si="2"/>
        <v>0.96323997686181817</v>
      </c>
      <c r="K11" s="215">
        <f>SUMIFS(REP_EPG034_EjecucionPresupuesta!$Y$5:$Y$43,REP_EPG034_EjecucionPresupuesta!$P$5:$P$43,"2. SEGURIDAD HUMANA Y JUSTICIA SOCIAL / D. CAPACIDADES Y LA OFERTA DEL SISTEMA DE JUSTICIA - ACCESO EFECTIVO A LA JUSTICIA - 20111D1 - RECURSO 16 - OBJ 14")</f>
        <v>1164572454.5</v>
      </c>
      <c r="L11" s="57">
        <f t="shared" si="3"/>
        <v>0.21174044627272728</v>
      </c>
      <c r="M11" s="57">
        <f t="shared" ref="M11:M17" si="4">+K11/G11</f>
        <v>0.21174044627272728</v>
      </c>
    </row>
    <row r="12" spans="2:19" ht="75.75" customHeight="1" thickBot="1" x14ac:dyDescent="0.3">
      <c r="B12" s="278"/>
      <c r="C12" s="53" t="str">
        <f>REP_EPG034_EjecucionPresupuesta!P32</f>
        <v>2. SEGURIDAD HUMANA Y JUSTICIA SOCIAL / A. PRESTACIÓN EFECTIVA DE JUSTICIA CON ENFOQUE DIFERENCIAL Y MÉTODOS DE RESOLUCIÓN DE CONFLICTOS - ACCESO EFECTIVO A LA JUSTICIA - 20110A2 - RECURSO 16 - OBJ 4</v>
      </c>
      <c r="D12" s="206" t="s">
        <v>305</v>
      </c>
      <c r="E12" s="212">
        <f>SUMIFS(REP_EPG034_EjecucionPresupuesta!$T$5:$T$43,REP_EPG034_EjecucionPresupuesta!$P$5:$P$43,"2. SEGURIDAD HUMANA Y JUSTICIA SOCIAL / A. PRESTACIÓN EFECTIVA DE JUSTICIA CON ENFOQUE DIFERENCIAL Y MÉTODOS DE RESOLUCIÓN DE CONFLICTOS - ACCESO EFECTIVO A LA JUSTICIA - 20110A2 - RECURSO 16 - OBJ 4")</f>
        <v>4689000000</v>
      </c>
      <c r="F12" s="213">
        <f>SUMIFS(REP_EPG034_EjecucionPresupuesta!$U$5:$U$47,REP_EPG034_EjecucionPresupuesta!$P$5:$P$47,"2. SEGURIDAD HUMANA Y JUSTICIA SOCIAL / A. PRESTACIÓN EFECTIVA DE JUSTICIA CON ENFOQUE DIFERENCIAL Y MÉTODOS DE RESOLUCIÓN DE CONFLICTOS - ACCESO EFECTIVO A LA JUSTICIA - 20110A2 - RECURSO 4")</f>
        <v>0</v>
      </c>
      <c r="G12" s="213">
        <f>+E12-F12</f>
        <v>4689000000</v>
      </c>
      <c r="H12" s="213">
        <f>SUMIFS(REP_EPG034_EjecucionPresupuesta!$X$5:$X$43,REP_EPG034_EjecucionPresupuesta!$P$5:$P$43,"2. SEGURIDAD HUMANA Y JUSTICIA SOCIAL / A. PRESTACIÓN EFECTIVA DE JUSTICIA CON ENFOQUE DIFERENCIAL Y MÉTODOS DE RESOLUCIÓN DE CONFLICTOS - ACCESO EFECTIVO A LA JUSTICIA - 20110A2 - RECURSO 16 - OBJ 4")</f>
        <v>4594251789</v>
      </c>
      <c r="I12" s="57">
        <f t="shared" si="1"/>
        <v>0.97979351439539353</v>
      </c>
      <c r="J12" s="57">
        <f t="shared" si="2"/>
        <v>0.97979351439539353</v>
      </c>
      <c r="K12" s="215">
        <f>SUMIFS(REP_EPG034_EjecucionPresupuesta!$Y$5:$Y$43,REP_EPG034_EjecucionPresupuesta!$P$5:$P$43,"2. SEGURIDAD HUMANA Y JUSTICIA SOCIAL / A. PRESTACIÓN EFECTIVA DE JUSTICIA CON ENFOQUE DIFERENCIAL Y MÉTODOS DE RESOLUCIÓN DE CONFLICTOS - ACCESO EFECTIVO A LA JUSTICIA - 20110A2 - RECURSO 16 - OBJ 4")</f>
        <v>3104846832.5999999</v>
      </c>
      <c r="L12" s="57">
        <f t="shared" si="3"/>
        <v>0.66215543454894432</v>
      </c>
      <c r="M12" s="57">
        <f>+K12/G12</f>
        <v>0.66215543454894432</v>
      </c>
    </row>
    <row r="13" spans="2:19" ht="78" customHeight="1" thickBot="1" x14ac:dyDescent="0.3">
      <c r="B13" s="270" t="s">
        <v>306</v>
      </c>
      <c r="C13" s="53" t="str">
        <f>REP_EPG034_EjecucionPresupuesta!P28</f>
        <v>2. SEGURIDAD HUMANA Y JUSTICIA SOCIAL / B. JURISDICCIÓN ESPECIAL INDÍGENA, JUSTICIAS PROPIAS Y COMUNITARIA, Y DESARROLLO DE JUSTICIA AMBIENTAL - ACCESO EFECTIVO A LA JUSTICIA - 20110B1 - RECURSO 16 - OBJ 15</v>
      </c>
      <c r="D13" s="205" t="s">
        <v>307</v>
      </c>
      <c r="E13" s="212">
        <f>SUMIFS(REP_EPG034_EjecucionPresupuesta!$T$5:$T$43,REP_EPG034_EjecucionPresupuesta!$P$5:$P$43,"2. SEGURIDAD HUMANA Y JUSTICIA SOCIAL / B. JURISDICCIÓN ESPECIAL INDÍGENA, JUSTICIAS PROPIAS Y COMUNITARIA, Y DESARROLLO DE JUSTICIA AMBIENTAL - ACCESO EFECTIVO A LA JUSTICIA - 20110B1 - RECURSO 16 - OBJ 15")</f>
        <v>9000000000</v>
      </c>
      <c r="F13" s="213">
        <f>SUMIFS(REP_EPG034_EjecucionPresupuesta!$U$5:$U$47,REP_EPG034_EjecucionPresupuesta!$P$5:$P$47,"2. SEGURIDAD HUMANA Y JUSTICIA SOCIAL / B. JURISDICCIÓN ESPECIAL INDÍGENA, JUSTICIAS PROPIAS Y COMUNITARIA, Y DESARROLLO DE JUSTICIA AMBIENTAL - ACCESO EFECTIVO A LA JUSTICIA - 20110B1 - RECURSO 15")</f>
        <v>0</v>
      </c>
      <c r="G13" s="213">
        <f t="shared" si="0"/>
        <v>9000000000</v>
      </c>
      <c r="H13" s="213">
        <f>SUMIFS(REP_EPG034_EjecucionPresupuesta!$X$5:$X$43,REP_EPG034_EjecucionPresupuesta!$P$5:$P$43,"2. SEGURIDAD HUMANA Y JUSTICIA SOCIAL / B. JURISDICCIÓN ESPECIAL INDÍGENA, JUSTICIAS PROPIAS Y COMUNITARIA, Y DESARROLLO DE JUSTICIA AMBIENTAL - ACCESO EFECTIVO A LA JUSTICIA - 20110B1 - RECURSO 16 - OBJ 15")</f>
        <v>8998664790</v>
      </c>
      <c r="I13" s="57">
        <f t="shared" si="1"/>
        <v>0.99985164333333332</v>
      </c>
      <c r="J13" s="57">
        <f t="shared" si="2"/>
        <v>0.99985164333333332</v>
      </c>
      <c r="K13" s="215">
        <f>SUMIFS(REP_EPG034_EjecucionPresupuesta!$Y$5:$Y$43,REP_EPG034_EjecucionPresupuesta!$P$5:$P$43,"2. SEGURIDAD HUMANA Y JUSTICIA SOCIAL / B. JURISDICCIÓN ESPECIAL INDÍGENA, JUSTICIAS PROPIAS Y COMUNITARIA, Y DESARROLLO DE JUSTICIA AMBIENTAL - ACCESO EFECTIVO A LA JUSTICIA - 20110B1 - RECURSO 16 - OBJ 15")</f>
        <v>3642797609.4000001</v>
      </c>
      <c r="L13" s="57">
        <f t="shared" si="3"/>
        <v>0.40475528993333332</v>
      </c>
      <c r="M13" s="57">
        <f t="shared" si="4"/>
        <v>0.40475528993333332</v>
      </c>
    </row>
    <row r="14" spans="2:19" ht="65.25" customHeight="1" thickBot="1" x14ac:dyDescent="0.3">
      <c r="B14" s="271"/>
      <c r="C14" s="53" t="str">
        <f>REP_EPG034_EjecucionPresupuesta!P29</f>
        <v>2. SEGURIDAD HUMANA Y JUSTICIA SOCIAL / C. RENOVACIÓN DE LA ARQUITECTURA INSTITUCIONAL DEL SISTEMA DE JUSTICIA - ACCESO EFECTIVO A LA JUSTICIA - 20110C1 - RECURSO 16 - OBJ 16</v>
      </c>
      <c r="D14" s="205" t="s">
        <v>308</v>
      </c>
      <c r="E14" s="212">
        <f>SUMIFS(REP_EPG034_EjecucionPresupuesta!$T$5:$T$43,REP_EPG034_EjecucionPresupuesta!$P$5:$P$43,"2. SEGURIDAD HUMANA Y JUSTICIA SOCIAL / C. RENOVACIÓN DE LA ARQUITECTURA INSTITUCIONAL DEL SISTEMA DE JUSTICIA - ACCESO EFECTIVO A LA JUSTICIA - 20110C1 - RECURSO 16 - OBJ 16")</f>
        <v>3040000000</v>
      </c>
      <c r="F14" s="213">
        <f>SUMIFS(REP_EPG034_EjecucionPresupuesta!$U$5:$U$47,REP_EPG034_EjecucionPresupuesta!$P$5:$P$47,"2. SEGURIDAD HUMANA Y JUSTICIA SOCIAL / C. RENOVACIÓN DE LA ARQUITECTURA INSTITUCIONAL DEL SISTEMA DE JUSTICIA - ACCESO EFECTIVO A LA JUSTICIA - 20110C1 - RECURSO 16")</f>
        <v>0</v>
      </c>
      <c r="G14" s="213">
        <f t="shared" si="0"/>
        <v>3040000000</v>
      </c>
      <c r="H14" s="213">
        <f>SUMIFS(REP_EPG034_EjecucionPresupuesta!$X$5:$X$43,REP_EPG034_EjecucionPresupuesta!$P$5:$P$43,"2. SEGURIDAD HUMANA Y JUSTICIA SOCIAL / C. RENOVACIÓN DE LA ARQUITECTURA INSTITUCIONAL DEL SISTEMA DE JUSTICIA - ACCESO EFECTIVO A LA JUSTICIA - 20110C1 - RECURSO 16 - OBJ 16")</f>
        <v>3015634790</v>
      </c>
      <c r="I14" s="57">
        <f t="shared" si="1"/>
        <v>0.99198512828947372</v>
      </c>
      <c r="J14" s="57">
        <f t="shared" si="2"/>
        <v>0.99198512828947372</v>
      </c>
      <c r="K14" s="215">
        <f>SUMIFS(REP_EPG034_EjecucionPresupuesta!$Y$5:$Y$43,REP_EPG034_EjecucionPresupuesta!$P$5:$P$43,"2. SEGURIDAD HUMANA Y JUSTICIA SOCIAL / C. RENOVACIÓN DE LA ARQUITECTURA INSTITUCIONAL DEL SISTEMA DE JUSTICIA - ACCESO EFECTIVO A LA JUSTICIA - 20110C1 - RECURSO 16 - OBJ 16")</f>
        <v>1637868166.24</v>
      </c>
      <c r="L14" s="57">
        <f t="shared" si="3"/>
        <v>0.53877242310526319</v>
      </c>
      <c r="M14" s="57">
        <f t="shared" si="4"/>
        <v>0.53877242310526319</v>
      </c>
    </row>
    <row r="15" spans="2:19" ht="78" customHeight="1" thickBot="1" x14ac:dyDescent="0.3">
      <c r="B15" s="271"/>
      <c r="C15" s="53" t="str">
        <f>REP_EPG034_EjecucionPresupuesta!P30</f>
        <v>2. SEGURIDAD HUMANA Y JUSTICIA SOCIAL / A. POLÍTICA DE ESTADO DE TRANSFORMACIÓN DIGITAL DE LA JUSTICIA DE MEDIANO Y LARGO PLAZO - ACCESO EFECTIVO A LA JUSTICIA - 20111A1 - RECURSO 14 - OBJ 17</v>
      </c>
      <c r="D15" s="205" t="s">
        <v>309</v>
      </c>
      <c r="E15" s="212">
        <f>SUMIFS(REP_EPG034_EjecucionPresupuesta!$T$5:$T$43,REP_EPG034_EjecucionPresupuesta!$P$5:$P$43,"2. SEGURIDAD HUMANA Y JUSTICIA SOCIAL / A. POLÍTICA DE ESTADO DE TRANSFORMACIÓN DIGITAL DE LA JUSTICIA DE MEDIANO Y LARGO PLAZO - ACCESO EFECTIVO A LA JUSTICIA - 20111A1 - RECURSO 14 - OBJ 17")</f>
        <v>10886133544</v>
      </c>
      <c r="F15" s="213">
        <f>SUMIFS(REP_EPG034_EjecucionPresupuesta!$U$5:$U$47,REP_EPG034_EjecucionPresupuesta!$P$5:$P$47,"2. SEGURIDAD HUMANA Y JUSTICIA SOCIAL / A. POLÍTICA DE ESTADO DE TRANSFORMACIÓN DIGITAL DE LA JUSTICIA DE MEDIANO Y LARGO PLAZO - ACCESO EFECTIVO A LA JUSTICIA - 20111A1 - RECURSO 17")</f>
        <v>0</v>
      </c>
      <c r="G15" s="213">
        <f t="shared" si="0"/>
        <v>10886133544</v>
      </c>
      <c r="H15" s="213">
        <f>SUMIFS(REP_EPG034_EjecucionPresupuesta!$X$5:$X$43,REP_EPG034_EjecucionPresupuesta!$P$5:$P$43,"2. SEGURIDAD HUMANA Y JUSTICIA SOCIAL / A. POLÍTICA DE ESTADO DE TRANSFORMACIÓN DIGITAL DE LA JUSTICIA DE MEDIANO Y LARGO PLAZO - ACCESO EFECTIVO A LA JUSTICIA - 20111A1 - RECURSO 14 - OBJ 17")</f>
        <v>10876839283</v>
      </c>
      <c r="I15" s="57">
        <f t="shared" si="1"/>
        <v>0.99914622937864628</v>
      </c>
      <c r="J15" s="57">
        <f t="shared" si="2"/>
        <v>0.99914622937864628</v>
      </c>
      <c r="K15" s="215">
        <f>SUMIFS(REP_EPG034_EjecucionPresupuesta!$Y$5:$Y$43,REP_EPG034_EjecucionPresupuesta!$P$5:$P$43,"2. SEGURIDAD HUMANA Y JUSTICIA SOCIAL / A. POLÍTICA DE ESTADO DE TRANSFORMACIÓN DIGITAL DE LA JUSTICIA DE MEDIANO Y LARGO PLAZO - ACCESO EFECTIVO A LA JUSTICIA - 20111A1 - RECURSO 14 - OBJ 17")</f>
        <v>3667724800</v>
      </c>
      <c r="L15" s="57">
        <f t="shared" si="3"/>
        <v>0.33691712352927206</v>
      </c>
      <c r="M15" s="57">
        <f t="shared" si="4"/>
        <v>0.33691712352927206</v>
      </c>
    </row>
    <row r="16" spans="2:19" ht="72" customHeight="1" thickBot="1" x14ac:dyDescent="0.3">
      <c r="B16" s="272"/>
      <c r="C16" s="53" t="str">
        <f>REP_EPG034_EjecucionPresupuesta!P31</f>
        <v>2. SEGURIDAD HUMANA Y JUSTICIA SOCIAL / A. PRESTACIÓN EFECTIVA DE JUSTICIA CON ENFOQUE DIFERENCIAL Y MÉTODOS DE RESOLUCIÓN DE CONFLICTOS - ACCESO EFECTIVO A LA JUSTICIA - 20110A1 - RECURSO 16 - OBJ 18</v>
      </c>
      <c r="D16" s="205" t="s">
        <v>310</v>
      </c>
      <c r="E16" s="212">
        <f>SUMIFS(REP_EPG034_EjecucionPresupuesta!$T$5:$T$43,REP_EPG034_EjecucionPresupuesta!$P$5:$P$43,"2. SEGURIDAD HUMANA Y JUSTICIA SOCIAL / A. PRESTACIÓN EFECTIVA DE JUSTICIA CON ENFOQUE DIFERENCIAL Y MÉTODOS DE RESOLUCIÓN DE CONFLICTOS - ACCESO EFECTIVO A LA JUSTICIA - 20110A1 - RECURSO 16 - OBJ 18")</f>
        <v>4000000000</v>
      </c>
      <c r="F16" s="213">
        <f>SUMIFS(REP_EPG034_EjecucionPresupuesta!$U$5:$U$47,REP_EPG034_EjecucionPresupuesta!$P$5:$P$47,"2. SEGURIDAD HUMANA Y JUSTICIA SOCIAL / A. PRESTACIÓN EFECTIVA DE JUSTICIA CON ENFOQUE DIFERENCIAL Y MÉTODOS DE RESOLUCIÓN DE CONFLICTOS - ACCESO EFECTIVO A LA JUSTICIA - 20110A1 - RECURSO 18")</f>
        <v>0</v>
      </c>
      <c r="G16" s="213">
        <f t="shared" si="0"/>
        <v>4000000000</v>
      </c>
      <c r="H16" s="213">
        <f>SUMIFS(REP_EPG034_EjecucionPresupuesta!$X$5:$X$43,REP_EPG034_EjecucionPresupuesta!$P$5:$P$43,"2. SEGURIDAD HUMANA Y JUSTICIA SOCIAL / A. PRESTACIÓN EFECTIVA DE JUSTICIA CON ENFOQUE DIFERENCIAL Y MÉTODOS DE RESOLUCIÓN DE CONFLICTOS - ACCESO EFECTIVO A LA JUSTICIA - 20110A1 - RECURSO 16 - OBJ 18")</f>
        <v>3917122311</v>
      </c>
      <c r="I16" s="57">
        <f t="shared" si="1"/>
        <v>0.97928057774999999</v>
      </c>
      <c r="J16" s="57">
        <f t="shared" si="2"/>
        <v>0.97928057774999999</v>
      </c>
      <c r="K16" s="215">
        <f>SUMIFS(REP_EPG034_EjecucionPresupuesta!$Y$5:$Y$43,REP_EPG034_EjecucionPresupuesta!$P$5:$P$43,"2. SEGURIDAD HUMANA Y JUSTICIA SOCIAL / A. PRESTACIÓN EFECTIVA DE JUSTICIA CON ENFOQUE DIFERENCIAL Y MÉTODOS DE RESOLUCIÓN DE CONFLICTOS - ACCESO EFECTIVO A LA JUSTICIA - 20110A1 - RECURSO 16 - OBJ 18")</f>
        <v>1885957736</v>
      </c>
      <c r="L16" s="57">
        <f t="shared" si="3"/>
        <v>0.47148943399999999</v>
      </c>
      <c r="M16" s="57">
        <f t="shared" si="4"/>
        <v>0.47148943399999999</v>
      </c>
    </row>
    <row r="17" spans="2:19" ht="74.25" customHeight="1" thickBot="1" x14ac:dyDescent="0.3">
      <c r="B17" s="130" t="s">
        <v>311</v>
      </c>
      <c r="C17" s="53" t="str">
        <f>REP_EPG034_EjecucionPresupuesta!P33</f>
        <v>2. SEGURIDAD HUMANA Y JUSTICIA SOCIAL / B. OFERTA INSTITUCIONAL Y DE LOS MECANISMOS DE JUSTICIA TRANSICIONAL - ACCESO EFECTIVO A LA JUSTICIA - 20113B1 - RECURSO 11 - OBJ 5</v>
      </c>
      <c r="D17" s="205" t="s">
        <v>312</v>
      </c>
      <c r="E17" s="212">
        <f>SUMIFS(REP_EPG034_EjecucionPresupuesta!$T$5:$T$43,REP_EPG034_EjecucionPresupuesta!$P$5:$P$43,"2. SEGURIDAD HUMANA Y JUSTICIA SOCIAL / B. OFERTA INSTITUCIONAL Y DE LOS MECANISMOS DE JUSTICIA TRANSICIONAL - ACCESO EFECTIVO A LA JUSTICIA - 20113B1 - RECURSO 11 - OBJ 5")</f>
        <v>5157723695</v>
      </c>
      <c r="F17" s="213">
        <f>SUMIFS(REP_EPG034_EjecucionPresupuesta!$U$5:$U$47,REP_EPG034_EjecucionPresupuesta!$P$5:$P$47,"2. SEGURIDAD HUMANA Y JUSTICIA SOCIAL / B. OFERTA INSTITUCIONAL Y DE LOS MECANISMOS DE JUSTICIA TRANSICIONAL - ACCESO EFECTIVO A LA JUSTICIA - 20113B1 - RECURSO 11 - OBJ 5")</f>
        <v>131200291</v>
      </c>
      <c r="G17" s="213">
        <f t="shared" si="0"/>
        <v>5026523404</v>
      </c>
      <c r="H17" s="213">
        <f>SUMIFS(REP_EPG034_EjecucionPresupuesta!$X$5:$X$43,REP_EPG034_EjecucionPresupuesta!$P$5:$P$43,"2. SEGURIDAD HUMANA Y JUSTICIA SOCIAL / B. OFERTA INSTITUCIONAL Y DE LOS MECANISMOS DE JUSTICIA TRANSICIONAL - ACCESO EFECTIVO A LA JUSTICIA - 20113B1 - RECURSO 11 - OBJ 5")</f>
        <v>5026523404</v>
      </c>
      <c r="I17" s="57">
        <f t="shared" si="1"/>
        <v>0.97456236534593965</v>
      </c>
      <c r="J17" s="57">
        <f t="shared" si="2"/>
        <v>1</v>
      </c>
      <c r="K17" s="215">
        <f>SUMIFS(REP_EPG034_EjecucionPresupuesta!$Y$5:$Y$43,REP_EPG034_EjecucionPresupuesta!$P$5:$P$43,"2. SEGURIDAD HUMANA Y JUSTICIA SOCIAL / B. OFERTA INSTITUCIONAL Y DE LOS MECANISMOS DE JUSTICIA TRANSICIONAL - ACCESO EFECTIVO A LA JUSTICIA - 20113B1 - RECURSO 11 - OBJ 5")</f>
        <v>4158321790.0700002</v>
      </c>
      <c r="L17" s="57">
        <f t="shared" si="3"/>
        <v>0.80623198061213708</v>
      </c>
      <c r="M17" s="57">
        <f t="shared" si="4"/>
        <v>0.82727592330732935</v>
      </c>
    </row>
    <row r="18" spans="2:19" ht="81.75" customHeight="1" thickBot="1" x14ac:dyDescent="0.3">
      <c r="B18" s="264" t="s">
        <v>313</v>
      </c>
      <c r="C18" s="53" t="str">
        <f>REP_EPG034_EjecucionPresupuesta!P34</f>
        <v>2. SEGURIDAD HUMANA Y JUSTICIA SOCIAL / B. JUSTICIA RESTAURATIVA PARA LA RECOMPOSICIÓN DE LOS LAZOS SOCIALES - ACCESO EFECTIVO A LA JUSTICIA - 20112B1 - RECURSO 16 - OBJ 9</v>
      </c>
      <c r="D18" s="273" t="s">
        <v>314</v>
      </c>
      <c r="E18" s="212">
        <f>SUMIFS(REP_EPG034_EjecucionPresupuesta!$T$5:$T$43,REP_EPG034_EjecucionPresupuesta!$P$5:$P$43,"2. SEGURIDAD HUMANA Y JUSTICIA SOCIAL / B. JUSTICIA RESTAURATIVA PARA LA RECOMPOSICIÓN DE LOS LAZOS SOCIALES - ACCESO EFECTIVO A LA JUSTICIA - 20112B1 - RECURSO 16 - OBJ 9")</f>
        <v>1470000000</v>
      </c>
      <c r="F18" s="213">
        <f>SUMIFS(REP_EPG034_EjecucionPresupuesta!$U$5:$U$47,REP_EPG034_EjecucionPresupuesta!$P$5:$P$47,"2. SEGURIDAD HUMANA Y JUSTICIA SOCIAL / B. JUSTICIA RESTAURATIVA PARA LA RECOMPOSICIÓN DE LOS LAZOS SOCIALES - ACCESO EFECTIVO A LA JUSTICIA - 20112B1 - RECURSO 9")</f>
        <v>0</v>
      </c>
      <c r="G18" s="213">
        <f t="shared" ref="G18:G28" si="5">+E18-F18</f>
        <v>1470000000</v>
      </c>
      <c r="H18" s="213">
        <f>SUMIFS(REP_EPG034_EjecucionPresupuesta!$X$5:$X$43,REP_EPG034_EjecucionPresupuesta!$P$5:$P$43,"2. SEGURIDAD HUMANA Y JUSTICIA SOCIAL / B. JUSTICIA RESTAURATIVA PARA LA RECOMPOSICIÓN DE LOS LAZOS SOCIALES - ACCESO EFECTIVO A LA JUSTICIA - 20112B1 - RECURSO 16 - OBJ 9")</f>
        <v>1448883333</v>
      </c>
      <c r="I18" s="57">
        <f t="shared" si="1"/>
        <v>0.98563492040816325</v>
      </c>
      <c r="J18" s="57">
        <f t="shared" si="2"/>
        <v>0.98563492040816325</v>
      </c>
      <c r="K18" s="215">
        <f>SUMIFS(REP_EPG034_EjecucionPresupuesta!$Y$5:$Y$43,REP_EPG034_EjecucionPresupuesta!$P$5:$P$43,"2. SEGURIDAD HUMANA Y JUSTICIA SOCIAL / B. JUSTICIA RESTAURATIVA PARA LA RECOMPOSICIÓN DE LOS LAZOS SOCIALES - ACCESO EFECTIVO A LA JUSTICIA - 20112B1 - RECURSO 16 - OBJ 9")</f>
        <v>970883333</v>
      </c>
      <c r="L18" s="57">
        <f t="shared" si="3"/>
        <v>0.66046485238095243</v>
      </c>
      <c r="M18" s="57">
        <f t="shared" ref="M18:M28" si="6">+K18/G18</f>
        <v>0.66046485238095243</v>
      </c>
      <c r="O18" s="231">
        <f>+E18+E19+E20</f>
        <v>4000000000</v>
      </c>
      <c r="P18" s="231">
        <f>+H18+H19+H20</f>
        <v>3845329379</v>
      </c>
      <c r="Q18" s="233">
        <f>+P18/O18</f>
        <v>0.96133234474999996</v>
      </c>
      <c r="R18" s="232">
        <f>+K18+K19+K20</f>
        <v>3129661445.3299999</v>
      </c>
      <c r="S18" s="233">
        <f>+R18/O18</f>
        <v>0.7824153613325</v>
      </c>
    </row>
    <row r="19" spans="2:19" ht="69.75" customHeight="1" thickBot="1" x14ac:dyDescent="0.3">
      <c r="B19" s="265"/>
      <c r="C19" s="53" t="str">
        <f>REP_EPG034_EjecucionPresupuesta!P35</f>
        <v>2. SEGURIDAD HUMANA Y JUSTICIA SOCIAL / D. ROBUSTECIMIENTO DE LA ALTERNATIVIDAD PENAL, TRATAMIENTO DIFERENCIADO Y PREVENCIÓN DEL DELITO - ACCESO EFECTIVO A LA JUSTICIA - 20112D1 - RECURSO 16 - OBJ 9</v>
      </c>
      <c r="D19" s="274"/>
      <c r="E19" s="212">
        <f>SUMIFS(REP_EPG034_EjecucionPresupuesta!$T$5:$T$43,REP_EPG034_EjecucionPresupuesta!$P$5:$P$43,"2. SEGURIDAD HUMANA Y JUSTICIA SOCIAL / D. ROBUSTECIMIENTO DE LA ALTERNATIVIDAD PENAL, TRATAMIENTO DIFERENCIADO Y PREVENCIÓN DEL DELITO - ACCESO EFECTIVO A LA JUSTICIA - 20112D1 - RECURSO 16 - OBJ 9")</f>
        <v>1955000000</v>
      </c>
      <c r="F19" s="213">
        <f>SUMIFS(REP_EPG034_EjecucionPresupuesta!$U$5:$U$47,REP_EPG034_EjecucionPresupuesta!$P$5:$P$47,"2. SEGURIDAD HUMANA Y JUSTICIA SOCIAL / D. ROBUSTECIMIENTO DE LA ALTERNATIVIDAD PENAL, TRATAMIENTO DIFERENCIADO Y PREVENCIÓN DEL DELITO - ACCESO EFECTIVO A LA JUSTICIA - 20112D1 - RECURSO 9")</f>
        <v>0</v>
      </c>
      <c r="G19" s="213">
        <f t="shared" si="5"/>
        <v>1955000000</v>
      </c>
      <c r="H19" s="213">
        <f>SUMIFS(REP_EPG034_EjecucionPresupuesta!$X$5:$X$43,REP_EPG034_EjecucionPresupuesta!$P$5:$P$43,"2. SEGURIDAD HUMANA Y JUSTICIA SOCIAL / D. ROBUSTECIMIENTO DE LA ALTERNATIVIDAD PENAL, TRATAMIENTO DIFERENCIADO Y PREVENCIÓN DEL DELITO - ACCESO EFECTIVO A LA JUSTICIA - 20112D1 - RECURSO 16 - OBJ 9")</f>
        <v>1845346046</v>
      </c>
      <c r="I19" s="57">
        <f t="shared" si="1"/>
        <v>0.94391102097186697</v>
      </c>
      <c r="J19" s="57">
        <f t="shared" si="2"/>
        <v>0.94391102097186697</v>
      </c>
      <c r="K19" s="215">
        <f>SUMIFS(REP_EPG034_EjecucionPresupuesta!$Y$5:$Y$43,REP_EPG034_EjecucionPresupuesta!$P$5:$P$43,"2. SEGURIDAD HUMANA Y JUSTICIA SOCIAL / D. ROBUSTECIMIENTO DE LA ALTERNATIVIDAD PENAL, TRATAMIENTO DIFERENCIADO Y PREVENCIÓN DEL DELITO - ACCESO EFECTIVO A LA JUSTICIA - 20112D1 - RECURSO 16 - OBJ 9")</f>
        <v>1661678112.3299999</v>
      </c>
      <c r="L19" s="57">
        <f t="shared" si="3"/>
        <v>0.84996322881329922</v>
      </c>
      <c r="M19" s="57">
        <f t="shared" si="6"/>
        <v>0.84996322881329922</v>
      </c>
    </row>
    <row r="20" spans="2:19" ht="69.75" customHeight="1" thickBot="1" x14ac:dyDescent="0.3">
      <c r="B20" s="265"/>
      <c r="C20" s="53" t="str">
        <f>REP_EPG034_EjecucionPresupuesta!P36</f>
        <v>2. SEGURIDAD HUMANA Y JUSTICIA SOCIAL / E. DE UN ENFOQUE REACTIVO DE LA POLÍTICA CRIMINAL Y PENITENCIARIA A UNO SUSTENTADO EN EVIDENCIA EMPÍRICA - ACCESO EFECTIVO A LA JUSTICIA - 20112E1 - RECURSO 16 - OBJ 9</v>
      </c>
      <c r="D20" s="275"/>
      <c r="E20" s="212">
        <f>SUMIFS(REP_EPG034_EjecucionPresupuesta!$T$5:$T$43,REP_EPG034_EjecucionPresupuesta!$P$5:$P$43,"2. SEGURIDAD HUMANA Y JUSTICIA SOCIAL / E. DE UN ENFOQUE REACTIVO DE LA POLÍTICA CRIMINAL Y PENITENCIARIA A UNO SUSTENTADO EN EVIDENCIA EMPÍRICA - ACCESO EFECTIVO A LA JUSTICIA - 20112E1 - RECURSO 16 - OBJ 9")</f>
        <v>575000000</v>
      </c>
      <c r="F20" s="213">
        <f>SUMIFS(REP_EPG034_EjecucionPresupuesta!$U$5:$U$47,REP_EPG034_EjecucionPresupuesta!$P$5:$P$47,"2. SEGURIDAD HUMANA Y JUSTICIA SOCIAL / E. DE UN ENFOQUE REACTIVO DE LA POLÍTICA CRIMINAL Y PENITENCIARIA A UNO SUSTENTADO EN EVIDENCIA EMPÍRICA - ACCESO EFECTIVO A LA JUSTICIA - 20112E1 - RECURSO 9")</f>
        <v>0</v>
      </c>
      <c r="G20" s="213">
        <f t="shared" si="5"/>
        <v>575000000</v>
      </c>
      <c r="H20" s="213">
        <f>SUMIFS(REP_EPG034_EjecucionPresupuesta!$X$5:$X$43,REP_EPG034_EjecucionPresupuesta!$P$5:$P$43,"2. SEGURIDAD HUMANA Y JUSTICIA SOCIAL / E. DE UN ENFOQUE REACTIVO DE LA POLÍTICA CRIMINAL Y PENITENCIARIA A UNO SUSTENTADO EN EVIDENCIA EMPÍRICA - ACCESO EFECTIVO A LA JUSTICIA - 20112E1 - RECURSO 16 - OBJ 9")</f>
        <v>551100000</v>
      </c>
      <c r="I20" s="57">
        <f t="shared" si="1"/>
        <v>0.95843478260869563</v>
      </c>
      <c r="J20" s="57">
        <f t="shared" si="2"/>
        <v>0.95843478260869563</v>
      </c>
      <c r="K20" s="215">
        <f>SUMIFS(REP_EPG034_EjecucionPresupuesta!$Y$5:$Y$43,REP_EPG034_EjecucionPresupuesta!$P$5:$P$43,"2. SEGURIDAD HUMANA Y JUSTICIA SOCIAL / E. DE UN ENFOQUE REACTIVO DE LA POLÍTICA CRIMINAL Y PENITENCIARIA A UNO SUSTENTADO EN EVIDENCIA EMPÍRICA - ACCESO EFECTIVO A LA JUSTICIA - 20112E1 - RECURSO 16 - OBJ 9")</f>
        <v>497100000</v>
      </c>
      <c r="L20" s="57">
        <f t="shared" si="3"/>
        <v>0.86452173913043473</v>
      </c>
      <c r="M20" s="57">
        <f t="shared" si="6"/>
        <v>0.86452173913043473</v>
      </c>
    </row>
    <row r="21" spans="2:19" ht="69.75" customHeight="1" thickBot="1" x14ac:dyDescent="0.3">
      <c r="B21" s="265"/>
      <c r="C21" s="53" t="str">
        <f>REP_EPG034_EjecucionPresupuesta!P37</f>
        <v>2. SEGURIDAD HUMANA Y JUSTICIA SOCIAL / A. TRATAMIENTO PENITENCIARIO, RESOCIALIZACIÓN Y NO REINCIDENCIA PARA UN PROYECTO DE VIDA DIGNO - ACCESO EFECTIVO A LA JUSTICIA - 20112A1 - RECURSO 16 - OBJ 10</v>
      </c>
      <c r="D21" s="273" t="s">
        <v>315</v>
      </c>
      <c r="E21" s="212">
        <f>SUMIFS(REP_EPG034_EjecucionPresupuesta!$T$5:$T$43,REP_EPG034_EjecucionPresupuesta!$P$5:$P$43,"2. SEGURIDAD HUMANA Y JUSTICIA SOCIAL / A. TRATAMIENTO PENITENCIARIO, RESOCIALIZACIÓN Y NO REINCIDENCIA PARA UN PROYECTO DE VIDA DIGNO - ACCESO EFECTIVO A LA JUSTICIA - 20112A1 - RECURSO 16 - OBJ 10")</f>
        <v>4625000000</v>
      </c>
      <c r="F21" s="213">
        <f>SUMIFS(REP_EPG034_EjecucionPresupuesta!$U$5:$U$47,REP_EPG034_EjecucionPresupuesta!$P$5:$P$47,"2. SEGURIDAD HUMANA Y JUSTICIA SOCIAL / A. TRATAMIENTO PENITENCIARIO, RESOCIALIZACIÓN Y NO REINCIDENCIA PARA UN PROYECTO DE VIDA DIGNO - ACCESO EFECTIVO A LA JUSTICIA - 20112A1 - RECURSO 10")</f>
        <v>0</v>
      </c>
      <c r="G21" s="213">
        <f t="shared" si="5"/>
        <v>4625000000</v>
      </c>
      <c r="H21" s="213">
        <f>SUMIFS(REP_EPG034_EjecucionPresupuesta!$X$5:$X$43,REP_EPG034_EjecucionPresupuesta!$P$5:$P$43,"2. SEGURIDAD HUMANA Y JUSTICIA SOCIAL / A. TRATAMIENTO PENITENCIARIO, RESOCIALIZACIÓN Y NO REINCIDENCIA PARA UN PROYECTO DE VIDA DIGNO - ACCESO EFECTIVO A LA JUSTICIA - 20112A1 - RECURSO 16 - OBJ 10")</f>
        <v>4301024742</v>
      </c>
      <c r="I21" s="57">
        <f t="shared" si="1"/>
        <v>0.92995129556756762</v>
      </c>
      <c r="J21" s="57">
        <f t="shared" si="2"/>
        <v>0.92995129556756762</v>
      </c>
      <c r="K21" s="215">
        <f>SUMIFS(REP_EPG034_EjecucionPresupuesta!$Y$5:$Y$43,REP_EPG034_EjecucionPresupuesta!$P$5:$P$43,"2. SEGURIDAD HUMANA Y JUSTICIA SOCIAL / A. TRATAMIENTO PENITENCIARIO, RESOCIALIZACIÓN Y NO REINCIDENCIA PARA UN PROYECTO DE VIDA DIGNO - ACCESO EFECTIVO A LA JUSTICIA - 20112A1 - RECURSO 16 - OBJ 10")</f>
        <v>2665722907.0799999</v>
      </c>
      <c r="L21" s="57">
        <f t="shared" si="3"/>
        <v>0.57637252044972975</v>
      </c>
      <c r="M21" s="57">
        <f t="shared" si="6"/>
        <v>0.57637252044972975</v>
      </c>
      <c r="O21" s="231">
        <f>+E21+E22+E23</f>
        <v>6000000000</v>
      </c>
      <c r="P21" s="231">
        <f>+H21+H22+H23</f>
        <v>5661328278</v>
      </c>
      <c r="Q21" s="233">
        <f>+P21/O21</f>
        <v>0.94355471300000004</v>
      </c>
      <c r="R21" s="232">
        <f>+K21+K22+K23</f>
        <v>3636355919.0799999</v>
      </c>
      <c r="S21" s="233">
        <f>+R21/O21</f>
        <v>0.60605931984666661</v>
      </c>
    </row>
    <row r="22" spans="2:19" ht="69.75" customHeight="1" thickBot="1" x14ac:dyDescent="0.3">
      <c r="B22" s="265"/>
      <c r="C22" s="53" t="str">
        <f>REP_EPG034_EjecucionPresupuesta!P38</f>
        <v>2. SEGURIDAD HUMANA Y JUSTICIA SOCIAL / C. ATENCIÓN A LA POBLACIÓN CONDENADA, SINDICADA Y POSPENADA EN LOS TERRITORIOS - ACCESO EFECTIVO A LA JUSTICIA - 20112C1 - RECURSO 16 - OBJ 10</v>
      </c>
      <c r="D22" s="274"/>
      <c r="E22" s="212">
        <f>SUMIFS(REP_EPG034_EjecucionPresupuesta!$T$5:$T$43,REP_EPG034_EjecucionPresupuesta!$P$5:$P$43,"2. SEGURIDAD HUMANA Y JUSTICIA SOCIAL / C. ATENCIÓN A LA POBLACIÓN CONDENADA, SINDICADA Y POSPENADA EN LOS TERRITORIOS - ACCESO EFECTIVO A LA JUSTICIA - 20112C1 - RECURSO 16 - OBJ 10")</f>
        <v>1015000000</v>
      </c>
      <c r="F22" s="213">
        <f>SUMIFS(REP_EPG034_EjecucionPresupuesta!$U$5:$U$47,REP_EPG034_EjecucionPresupuesta!$P$5:$P$47,"2. SEGURIDAD HUMANA Y JUSTICIA SOCIAL / C. ATENCIÓN A LA POBLACIÓN CONDENADA, SINDICADA Y POSPENADA EN LOS TERRITORIOS - ACCESO EFECTIVO A LA JUSTICIA - 20112C1 - RECURSO 10")</f>
        <v>0</v>
      </c>
      <c r="G22" s="213">
        <f t="shared" si="5"/>
        <v>1015000000</v>
      </c>
      <c r="H22" s="213">
        <f>SUMIFS(REP_EPG034_EjecucionPresupuesta!$X$5:$X$43,REP_EPG034_EjecucionPresupuesta!$P$5:$P$43,"2. SEGURIDAD HUMANA Y JUSTICIA SOCIAL / C. ATENCIÓN A LA POBLACIÓN CONDENADA, SINDICADA Y POSPENADA EN LOS TERRITORIOS - ACCESO EFECTIVO A LA JUSTICIA - 20112C1 - RECURSO 16 - OBJ 10")</f>
        <v>1003606810</v>
      </c>
      <c r="I22" s="57">
        <f t="shared" si="1"/>
        <v>0.9887751822660098</v>
      </c>
      <c r="J22" s="57">
        <f t="shared" si="2"/>
        <v>0.9887751822660098</v>
      </c>
      <c r="K22" s="215">
        <f>SUMIFS(REP_EPG034_EjecucionPresupuesta!$Y$5:$Y$43,REP_EPG034_EjecucionPresupuesta!$P$5:$P$43,"2. SEGURIDAD HUMANA Y JUSTICIA SOCIAL / C. ATENCIÓN A LA POBLACIÓN CONDENADA, SINDICADA Y POSPENADA EN LOS TERRITORIOS - ACCESO EFECTIVO A LA JUSTICIA - 20112C1 - RECURSO 16 - OBJ 10")</f>
        <v>694850001</v>
      </c>
      <c r="L22" s="57">
        <f t="shared" si="3"/>
        <v>0.68458128177339905</v>
      </c>
      <c r="M22" s="57">
        <f t="shared" si="6"/>
        <v>0.68458128177339905</v>
      </c>
    </row>
    <row r="23" spans="2:19" ht="69.75" customHeight="1" thickBot="1" x14ac:dyDescent="0.3">
      <c r="B23" s="266"/>
      <c r="C23" s="53" t="str">
        <f>REP_EPG034_EjecucionPresupuesta!P39</f>
        <v>2. SEGURIDAD HUMANA Y JUSTICIA SOCIAL / E. DE UN ENFOQUE REACTIVO DE LA POLÍTICA CRIMINAL Y PENITENCIARIA A UNO SUSTENTADO EN EVIDENCIA EMPÍRICA - ACCESO EFECTIVO A LA JUSTICIA - 20112E1 - RECURSO 16 - OBJ 10</v>
      </c>
      <c r="D23" s="275"/>
      <c r="E23" s="212">
        <f>SUMIFS(REP_EPG034_EjecucionPresupuesta!$T$5:$T$43,REP_EPG034_EjecucionPresupuesta!$P$5:$P$43,"2. SEGURIDAD HUMANA Y JUSTICIA SOCIAL / E. DE UN ENFOQUE REACTIVO DE LA POLÍTICA CRIMINAL Y PENITENCIARIA A UNO SUSTENTADO EN EVIDENCIA EMPÍRICA - ACCESO EFECTIVO A LA JUSTICIA - 20112E1 - RECURSO 16 - OBJ 10")</f>
        <v>360000000</v>
      </c>
      <c r="F23" s="213">
        <f>SUMIFS(REP_EPG034_EjecucionPresupuesta!$U$5:$U$47,REP_EPG034_EjecucionPresupuesta!$P$5:$P$47,"2. SEGURIDAD HUMANA Y JUSTICIA SOCIAL / E. DE UN ENFOQUE REACTIVO DE LA POLÍTICA CRIMINAL Y PENITENCIARIA A UNO SUSTENTADO EN EVIDENCIA EMPÍRICA - ACCESO EFECTIVO A LA JUSTICIA - 20112E1 - RECURSO 10")</f>
        <v>0</v>
      </c>
      <c r="G23" s="213">
        <f t="shared" si="5"/>
        <v>360000000</v>
      </c>
      <c r="H23" s="213">
        <f>SUMIFS(REP_EPG034_EjecucionPresupuesta!$X$5:$X$43,REP_EPG034_EjecucionPresupuesta!$P$5:$P$43,"2. SEGURIDAD HUMANA Y JUSTICIA SOCIAL / E. DE UN ENFOQUE REACTIVO DE LA POLÍTICA CRIMINAL Y PENITENCIARIA A UNO SUSTENTADO EN EVIDENCIA EMPÍRICA - ACCESO EFECTIVO A LA JUSTICIA - 20112E1 - RECURSO 16 - OBJ 10")</f>
        <v>356696726</v>
      </c>
      <c r="I23" s="57">
        <f t="shared" si="1"/>
        <v>0.99082423888888893</v>
      </c>
      <c r="J23" s="57">
        <f t="shared" si="2"/>
        <v>0.99082423888888893</v>
      </c>
      <c r="K23" s="215">
        <f>SUMIFS(REP_EPG034_EjecucionPresupuesta!$Y$5:$Y$43,REP_EPG034_EjecucionPresupuesta!$P$5:$P$43,"2. SEGURIDAD HUMANA Y JUSTICIA SOCIAL / E. DE UN ENFOQUE REACTIVO DE LA POLÍTICA CRIMINAL Y PENITENCIARIA A UNO SUSTENTADO EN EVIDENCIA EMPÍRICA - ACCESO EFECTIVO A LA JUSTICIA - 20112E1 - RECURSO 16 - OBJ 10")</f>
        <v>275783011</v>
      </c>
      <c r="L23" s="57">
        <f t="shared" si="3"/>
        <v>0.76606391944444441</v>
      </c>
      <c r="M23" s="57">
        <f t="shared" si="6"/>
        <v>0.76606391944444441</v>
      </c>
    </row>
    <row r="24" spans="2:19" ht="69.75" customHeight="1" thickBot="1" x14ac:dyDescent="0.3">
      <c r="B24" s="130" t="s">
        <v>316</v>
      </c>
      <c r="C24" s="53" t="str">
        <f>REP_EPG034_EjecucionPresupuesta!P40</f>
        <v>2. SEGURIDAD HUMANA Y JUSTICIA SOCIAL / D. TRANSFORMACIÓN DE LA EVIDENCIA PARA EL DISEÑO DE LAS POLÍTICAS DE JUSTICIA - FORTALECIMIENTO DE LA GOBERNANZA E INSTITUCIONALIDAD - 20110D1 - RECURSO 16 - OBJ 7</v>
      </c>
      <c r="D24" s="205" t="s">
        <v>317</v>
      </c>
      <c r="E24" s="212">
        <f>SUMIFS(REP_EPG034_EjecucionPresupuesta!$T$5:$T$43,REP_EPG034_EjecucionPresupuesta!$P$5:$P$43,"2. SEGURIDAD HUMANA Y JUSTICIA SOCIAL / D. TRANSFORMACIÓN DE LA EVIDENCIA PARA EL DISEÑO DE LAS POLÍTICAS DE JUSTICIA - FORTALECIMIENTO DE LA GOBERNANZA E INSTITUCIONALIDAD - 20110D1 - RECURSO 16 - OBJ 7")</f>
        <v>3700000000</v>
      </c>
      <c r="F24" s="213">
        <f>SUMIFS(REP_EPG034_EjecucionPresupuesta!$U$5:$U$47,REP_EPG034_EjecucionPresupuesta!$P$5:$P$47,"2. SEGURIDAD HUMANA Y JUSTICIA SOCIAL / D. TRANSFORMACIÓN DE LA EVIDENCIA PARA EL DISEÑO DE LAS POLÍTICAS DE JUSTICIA - FORTALECIMIENTO DE LA GOBERNANZA E INSTITUCIONALIDAD - 20110D1 - RECURSO 7")</f>
        <v>0</v>
      </c>
      <c r="G24" s="213">
        <f t="shared" si="5"/>
        <v>3700000000</v>
      </c>
      <c r="H24" s="213">
        <f>SUMIFS(REP_EPG034_EjecucionPresupuesta!$X$5:$X$43,REP_EPG034_EjecucionPresupuesta!$P$5:$P$43,"2. SEGURIDAD HUMANA Y JUSTICIA SOCIAL / D. TRANSFORMACIÓN DE LA EVIDENCIA PARA EL DISEÑO DE LAS POLÍTICAS DE JUSTICIA - FORTALECIMIENTO DE LA GOBERNANZA E INSTITUCIONALIDAD - 20110D1 - RECURSO 16 - OBJ 7")</f>
        <v>3111466028</v>
      </c>
      <c r="I24" s="57">
        <f t="shared" si="1"/>
        <v>0.84093676432432429</v>
      </c>
      <c r="J24" s="57">
        <f t="shared" si="2"/>
        <v>0.84093676432432429</v>
      </c>
      <c r="K24" s="215">
        <f>SUMIFS(REP_EPG034_EjecucionPresupuesta!$Y$5:$Y$43,REP_EPG034_EjecucionPresupuesta!$P$5:$P$43,"2. SEGURIDAD HUMANA Y JUSTICIA SOCIAL / D. TRANSFORMACIÓN DE LA EVIDENCIA PARA EL DISEÑO DE LAS POLÍTICAS DE JUSTICIA - FORTALECIMIENTO DE LA GOBERNANZA E INSTITUCIONALIDAD - 20110D1 - RECURSO 16 - OBJ 7")</f>
        <v>2291301053.6799998</v>
      </c>
      <c r="L24" s="57">
        <f t="shared" si="3"/>
        <v>0.61927055504864859</v>
      </c>
      <c r="M24" s="57">
        <f t="shared" si="6"/>
        <v>0.61927055504864859</v>
      </c>
    </row>
    <row r="25" spans="2:19" ht="69.75" customHeight="1" thickBot="1" x14ac:dyDescent="0.3">
      <c r="B25" s="264" t="s">
        <v>318</v>
      </c>
      <c r="C25" s="53" t="str">
        <f>REP_EPG034_EjecucionPresupuesta!P41</f>
        <v>2. SEGURIDAD HUMANA Y JUSTICIA SOCIAL / C. RENOVACIÓN DE LA ARQUITECTURA INSTITUCIONAL DEL SISTEMA DE JUSTICIA - FORTALECIMIENTO DE LA GOBERNANZA E INSTITUCIONALIDAD - 20110C2 - RECURSO 11 - OBJ 8</v>
      </c>
      <c r="D25" s="273" t="s">
        <v>319</v>
      </c>
      <c r="E25" s="212">
        <f>SUMIFS(REP_EPG034_EjecucionPresupuesta!$T$5:$T$43,REP_EPG034_EjecucionPresupuesta!$P$5:$P$43,"2. SEGURIDAD HUMANA Y JUSTICIA SOCIAL / C. RENOVACIÓN DE LA ARQUITECTURA INSTITUCIONAL DEL SISTEMA DE JUSTICIA - FORTALECIMIENTO DE LA GOBERNANZA E INSTITUCIONALIDAD - 20110C2 - RECURSO 11 - OBJ 8")</f>
        <v>3700000000</v>
      </c>
      <c r="F25" s="213">
        <f>SUMIFS(REP_EPG034_EjecucionPresupuesta!$U$5:$U$47,REP_EPG034_EjecucionPresupuesta!$P$5:$P$47,"2. SEGURIDAD HUMANA Y JUSTICIA SOCIAL / C. RENOVACIÓN DE LA ARQUITECTURA INSTITUCIONAL DEL SISTEMA DE JUSTICIA - FORTALECIMIENTO DE LA GOBERNANZA E INSTITUCIONALIDAD - 20110C2 - RECURSO 11 - OBJ 8")</f>
        <v>699840228</v>
      </c>
      <c r="G25" s="213">
        <f>+E25-F25</f>
        <v>3000159772</v>
      </c>
      <c r="H25" s="213">
        <f>SUMIFS(REP_EPG034_EjecucionPresupuesta!$X$5:$X$43,REP_EPG034_EjecucionPresupuesta!$P$5:$P$43,"2. SEGURIDAD HUMANA Y JUSTICIA SOCIAL / C. RENOVACIÓN DE LA ARQUITECTURA INSTITUCIONAL DEL SISTEMA DE JUSTICIA - FORTALECIMIENTO DE LA GOBERNANZA E INSTITUCIONALIDAD - 20110C2 - RECURSO 11 - OBJ 8")</f>
        <v>2995265016</v>
      </c>
      <c r="I25" s="57">
        <f t="shared" si="1"/>
        <v>0.80953108540540542</v>
      </c>
      <c r="J25" s="57">
        <f t="shared" si="2"/>
        <v>0.99836850155592316</v>
      </c>
      <c r="K25" s="215">
        <f>SUMIFS(REP_EPG034_EjecucionPresupuesta!$Y$5:$Y$43,REP_EPG034_EjecucionPresupuesta!$P$5:$P$43,"2. SEGURIDAD HUMANA Y JUSTICIA SOCIAL / C. RENOVACIÓN DE LA ARQUITECTURA INSTITUCIONAL DEL SISTEMA DE JUSTICIA - FORTALECIMIENTO DE LA GOBERNANZA E INSTITUCIONALIDAD - 20110C2 - RECURSO 11 - OBJ 8")</f>
        <v>1979372790</v>
      </c>
      <c r="L25" s="57">
        <f t="shared" si="3"/>
        <v>0.53496561891891892</v>
      </c>
      <c r="M25" s="57"/>
      <c r="O25" s="231">
        <f>+E25+E26</f>
        <v>4362906240</v>
      </c>
      <c r="P25" s="231">
        <f>+H25+H26</f>
        <v>3656229416</v>
      </c>
      <c r="Q25" s="233">
        <f>+P25/O25</f>
        <v>0.83802612636479668</v>
      </c>
      <c r="R25" s="232">
        <f>+K25+K26</f>
        <v>2493777592</v>
      </c>
      <c r="S25" s="233">
        <f>+R25/O25</f>
        <v>0.57158633599240494</v>
      </c>
    </row>
    <row r="26" spans="2:19" ht="69.75" customHeight="1" thickBot="1" x14ac:dyDescent="0.3">
      <c r="B26" s="266"/>
      <c r="C26" s="53" t="str">
        <f>REP_EPG034_EjecucionPresupuesta!P42</f>
        <v>2. SEGURIDAD HUMANA Y JUSTICIA SOCIAL / C. RENOVACIÓN DE LA ARQUITECTURA INSTITUCIONAL DEL SISTEMA DE JUSTICIA - FORTALECIMIENTO DE LA GOBERNANZA E INSTITUCIONALIDAD - 20110C2 - RECURSO 16 - OBJ 8</v>
      </c>
      <c r="D26" s="275"/>
      <c r="E26" s="212">
        <f>SUMIFS(REP_EPG034_EjecucionPresupuesta!$T$5:$T$43,REP_EPG034_EjecucionPresupuesta!$P$5:$P$43,"2. SEGURIDAD HUMANA Y JUSTICIA SOCIAL / C. RENOVACIÓN DE LA ARQUITECTURA INSTITUCIONAL DEL SISTEMA DE JUSTICIA - FORTALECIMIENTO DE LA GOBERNANZA E INSTITUCIONALIDAD - 20110C2 - RECURSO 16 - OBJ 8")</f>
        <v>662906240</v>
      </c>
      <c r="F26" s="213">
        <f>SUMIFS(REP_EPG034_EjecucionPresupuesta!$U$5:$U$47,REP_EPG034_EjecucionPresupuesta!$P$5:$P$47,"2. SEGURIDAD HUMANA Y JUSTICIA SOCIAL / C. RENOVACIÓN DE LA ARQUITECTURA INSTITUCIONAL DEL SISTEMA DE JUSTICIA - FORTALECIMIENTO DE LA GOBERNANZA E INSTITUCIONALIDAD - 20110C2 - RECURSO 8")</f>
        <v>0</v>
      </c>
      <c r="G26" s="213">
        <f t="shared" si="5"/>
        <v>662906240</v>
      </c>
      <c r="H26" s="213">
        <f>SUMIFS(REP_EPG034_EjecucionPresupuesta!$X$5:$X$43,REP_EPG034_EjecucionPresupuesta!$P$5:$P$43,"2. SEGURIDAD HUMANA Y JUSTICIA SOCIAL / C. RENOVACIÓN DE LA ARQUITECTURA INSTITUCIONAL DEL SISTEMA DE JUSTICIA - FORTALECIMIENTO DE LA GOBERNANZA E INSTITUCIONALIDAD - 20110C2 - RECURSO 16 - OBJ 8")</f>
        <v>660964400</v>
      </c>
      <c r="I26" s="57">
        <f t="shared" si="1"/>
        <v>0.99707071696896377</v>
      </c>
      <c r="J26" s="57">
        <f t="shared" si="2"/>
        <v>0.99707071696896377</v>
      </c>
      <c r="K26" s="215">
        <f>SUMIFS(REP_EPG034_EjecucionPresupuesta!$Y$5:$Y$43,REP_EPG034_EjecucionPresupuesta!$P$5:$P$43,"2. SEGURIDAD HUMANA Y JUSTICIA SOCIAL / C. RENOVACIÓN DE LA ARQUITECTURA INSTITUCIONAL DEL SISTEMA DE JUSTICIA - FORTALECIMIENTO DE LA GOBERNANZA E INSTITUCIONALIDAD - 20110C2 - RECURSO 16 - OBJ 8")</f>
        <v>514404802</v>
      </c>
      <c r="L26" s="57">
        <f t="shared" si="3"/>
        <v>0.77598425080445765</v>
      </c>
      <c r="M26" s="57">
        <f t="shared" si="6"/>
        <v>0.77598425080445765</v>
      </c>
    </row>
    <row r="27" spans="2:19" ht="69.75" customHeight="1" thickBot="1" x14ac:dyDescent="0.3">
      <c r="B27" s="264" t="s">
        <v>320</v>
      </c>
      <c r="C27" s="53" t="str">
        <f>REP_EPG034_EjecucionPresupuesta!P43</f>
        <v>2. SEGURIDAD HUMANA Y JUSTICIA SOCIAL / C. RENOVACIÓN DE LA ARQUITECTURA INSTITUCIONAL DEL SISTEMA DE JUSTICIA - FORTALECIMIENTO DE LA GOBERNANZA E INSTITUCIONALIDAD - 20110C2 - RECURSO 11 - OBJ 9</v>
      </c>
      <c r="D27" s="273" t="s">
        <v>321</v>
      </c>
      <c r="E27" s="212">
        <f>SUMIFS(REP_EPG034_EjecucionPresupuesta!$T$5:$T$43,REP_EPG034_EjecucionPresupuesta!$P$5:$P$43,"2. SEGURIDAD HUMANA Y JUSTICIA SOCIAL / C. RENOVACIÓN DE LA ARQUITECTURA INSTITUCIONAL DEL SISTEMA DE JUSTICIA - FORTALECIMIENTO DE LA GOBERNANZA E INSTITUCIONALIDAD - 20110C2 - RECURSO 11 - OBJ 9")</f>
        <v>694906240</v>
      </c>
      <c r="F27" s="213">
        <f>SUMIFS(REP_EPG034_EjecucionPresupuesta!$U$5:$U$47,REP_EPG034_EjecucionPresupuesta!$P$5:$P$47,"2. SEGURIDAD HUMANA Y JUSTICIA SOCIAL / C. RENOVACIÓN DE LA ARQUITECTURA INSTITUCIONAL DEL SISTEMA DE JUSTICIA - FORTALECIMIENTO DE LA GOBERNANZA E INSTITUCIONALIDAD - 20110C2 - RECURSO 11 - OBJ 9")</f>
        <v>700000</v>
      </c>
      <c r="G27" s="213">
        <f>+E27-F27</f>
        <v>694206240</v>
      </c>
      <c r="H27" s="213">
        <f>SUMIFS(REP_EPG034_EjecucionPresupuesta!$X$5:$X$43,REP_EPG034_EjecucionPresupuesta!$P$5:$P$43,"2. SEGURIDAD HUMANA Y JUSTICIA SOCIAL / C. RENOVACIÓN DE LA ARQUITECTURA INSTITUCIONAL DEL SISTEMA DE JUSTICIA - FORTALECIMIENTO DE LA GOBERNANZA E INSTITUCIONALIDAD - 20110C2 - RECURSO 11 - OBJ 9")</f>
        <v>693889842</v>
      </c>
      <c r="I27" s="57">
        <f t="shared" si="1"/>
        <v>0.99853735951486056</v>
      </c>
      <c r="J27" s="57">
        <f t="shared" si="2"/>
        <v>0.99954423054451369</v>
      </c>
      <c r="K27" s="215">
        <f>SUMIFS(REP_EPG034_EjecucionPresupuesta!$Y$5:$Y$43,REP_EPG034_EjecucionPresupuesta!$P$5:$P$43,"2. SEGURIDAD HUMANA Y JUSTICIA SOCIAL / C. RENOVACIÓN DE LA ARQUITECTURA INSTITUCIONAL DEL SISTEMA DE JUSTICIA - FORTALECIMIENTO DE LA GOBERNANZA E INSTITUCIONALIDAD - 20110C2 - RECURSO 11 - OBJ 9")</f>
        <v>423183012</v>
      </c>
      <c r="L27" s="57">
        <f t="shared" si="3"/>
        <v>0.60897857529671917</v>
      </c>
      <c r="M27" s="57"/>
      <c r="O27" s="231">
        <f>+E27+E28</f>
        <v>800000000</v>
      </c>
      <c r="P27" s="231">
        <f>+H27+H28</f>
        <v>798983602</v>
      </c>
      <c r="Q27" s="233">
        <f>+P27/O27</f>
        <v>0.99872950250000003</v>
      </c>
      <c r="R27" s="232">
        <f>+K27+K28</f>
        <v>499121277</v>
      </c>
      <c r="S27" s="233">
        <f>+R27/O27</f>
        <v>0.62390159624999997</v>
      </c>
    </row>
    <row r="28" spans="2:19" ht="69.75" customHeight="1" thickBot="1" x14ac:dyDescent="0.3">
      <c r="B28" s="265"/>
      <c r="C28" s="53" t="str">
        <f>REP_EPG034_EjecucionPresupuesta!P44</f>
        <v>2. SEGURIDAD HUMANA Y JUSTICIA SOCIAL / C. RENOVACIÓN DE LA ARQUITECTURA INSTITUCIONAL DEL SISTEMA DE JUSTICIA - FORTALECIMIENTO DE LA GOBERNANZA E INSTITUCIONALIDAD - 20110C2 - RECURSO 16 - OBJ 9</v>
      </c>
      <c r="D28" s="275"/>
      <c r="E28" s="212">
        <f>SUMIFS(REP_EPG034_EjecucionPresupuesta!$T$5:$T$44,REP_EPG034_EjecucionPresupuesta!$P$5:$P$44,"2. SEGURIDAD HUMANA Y JUSTICIA SOCIAL / C. RENOVACIÓN DE LA ARQUITECTURA INSTITUCIONAL DEL SISTEMA DE JUSTICIA - FORTALECIMIENTO DE LA GOBERNANZA E INSTITUCIONALIDAD - 20110C2 - RECURSO 16 - OBJ 9")</f>
        <v>105093760</v>
      </c>
      <c r="F28" s="213">
        <f>SUMIFS(REP_EPG034_EjecucionPresupuesta!$U$5:$U$47,REP_EPG034_EjecucionPresupuesta!$P$5:$P$47,"2. SEGURIDAD HUMANA Y JUSTICIA SOCIAL / C. RENOVACIÓN DE LA ARQUITECTURA INSTITUCIONAL DEL SISTEMA DE JUSTICIA - FORTALECIMIENTO DE LA GOBERNANZA E INSTITUCIONALIDAD - 20110C2 - RECURSO 9")</f>
        <v>0</v>
      </c>
      <c r="G28" s="213">
        <f t="shared" si="5"/>
        <v>105093760</v>
      </c>
      <c r="H28" s="213">
        <f>SUMIFS(REP_EPG034_EjecucionPresupuesta!$X$5:$X$44,REP_EPG034_EjecucionPresupuesta!$P$5:$P$44,"2. SEGURIDAD HUMANA Y JUSTICIA SOCIAL / C. RENOVACIÓN DE LA ARQUITECTURA INSTITUCIONAL DEL SISTEMA DE JUSTICIA - FORTALECIMIENTO DE LA GOBERNANZA E INSTITUCIONALIDAD - 20110C2 - RECURSO 16 - OBJ 9")</f>
        <v>105093760</v>
      </c>
      <c r="I28" s="57">
        <f>H28/E28</f>
        <v>1</v>
      </c>
      <c r="J28" s="57">
        <f t="shared" si="2"/>
        <v>1</v>
      </c>
      <c r="K28" s="215">
        <f>SUMIFS(REP_EPG034_EjecucionPresupuesta!$Y$5:$Y$44,REP_EPG034_EjecucionPresupuesta!$P$5:$P$44,"2. SEGURIDAD HUMANA Y JUSTICIA SOCIAL / C. RENOVACIÓN DE LA ARQUITECTURA INSTITUCIONAL DEL SISTEMA DE JUSTICIA - FORTALECIMIENTO DE LA GOBERNANZA E INSTITUCIONALIDAD - 20110C2 - RECURSO 16 - OBJ 9")</f>
        <v>75938265</v>
      </c>
      <c r="L28" s="57">
        <f t="shared" si="3"/>
        <v>0.72257634516074032</v>
      </c>
      <c r="M28" s="57">
        <f t="shared" si="6"/>
        <v>0.72257634516074032</v>
      </c>
    </row>
    <row r="29" spans="2:19" ht="15.75" x14ac:dyDescent="0.25">
      <c r="B29" s="267" t="s">
        <v>322</v>
      </c>
      <c r="C29" s="268"/>
      <c r="D29" s="269"/>
      <c r="E29" s="214">
        <f>SUM(E9:E28)</f>
        <v>63041027979</v>
      </c>
      <c r="F29" s="214">
        <f t="shared" ref="F29:M29" si="7">SUM(F9:F28)</f>
        <v>831740519</v>
      </c>
      <c r="G29" s="214">
        <f t="shared" si="7"/>
        <v>62209287460</v>
      </c>
      <c r="H29" s="214">
        <f t="shared" si="7"/>
        <v>60530069990.739998</v>
      </c>
      <c r="I29" s="207">
        <f>+H29/E29</f>
        <v>0.96016946314554952</v>
      </c>
      <c r="J29" s="77">
        <f t="shared" si="7"/>
        <v>19.353203062093474</v>
      </c>
      <c r="K29" s="216">
        <f t="shared" si="7"/>
        <v>32398292821.900002</v>
      </c>
      <c r="L29" s="207">
        <f>+K29/E29</f>
        <v>0.51392392955096489</v>
      </c>
      <c r="M29" s="77">
        <f t="shared" si="7"/>
        <v>10.726848313702977</v>
      </c>
      <c r="O29" s="233">
        <f>+K29/E29</f>
        <v>0.51392392955096489</v>
      </c>
    </row>
    <row r="30" spans="2:19" x14ac:dyDescent="0.25">
      <c r="F30" s="87"/>
      <c r="I30" s="242"/>
      <c r="J30" s="242"/>
      <c r="L30" s="242"/>
      <c r="M30" s="242"/>
    </row>
    <row r="31" spans="2:19" x14ac:dyDescent="0.25">
      <c r="B31" s="262"/>
      <c r="C31" s="262"/>
      <c r="D31" s="262"/>
      <c r="E31" s="262"/>
      <c r="F31" s="262"/>
      <c r="G31" s="262"/>
      <c r="H31" s="262"/>
      <c r="I31" s="262"/>
      <c r="J31" s="262"/>
      <c r="K31" s="262"/>
      <c r="L31" s="262"/>
      <c r="M31" s="242"/>
    </row>
    <row r="32" spans="2:19" ht="15.75" x14ac:dyDescent="0.25">
      <c r="C32" s="56"/>
      <c r="D32" s="56"/>
      <c r="E32" s="56"/>
      <c r="F32" s="56"/>
      <c r="G32" s="56"/>
      <c r="H32" s="56"/>
      <c r="I32" s="242"/>
      <c r="J32" s="242"/>
      <c r="L32" s="242"/>
      <c r="M32" s="242"/>
    </row>
    <row r="33" spans="8:8" x14ac:dyDescent="0.25">
      <c r="H33" s="36"/>
    </row>
    <row r="36" spans="8:8" x14ac:dyDescent="0.25">
      <c r="H36" s="36"/>
    </row>
  </sheetData>
  <mergeCells count="13">
    <mergeCell ref="B31:L31"/>
    <mergeCell ref="B7:L7"/>
    <mergeCell ref="B18:B23"/>
    <mergeCell ref="B29:D29"/>
    <mergeCell ref="B13:B16"/>
    <mergeCell ref="D18:D20"/>
    <mergeCell ref="D21:D23"/>
    <mergeCell ref="B25:B26"/>
    <mergeCell ref="D25:D26"/>
    <mergeCell ref="D27:D28"/>
    <mergeCell ref="B27:B28"/>
    <mergeCell ref="B10:B12"/>
    <mergeCell ref="D10:D11"/>
  </mergeCells>
  <printOptions horizontalCentered="1" verticalCentered="1"/>
  <pageMargins left="3.937007874015748E-2" right="0" top="0" bottom="0.15748031496062992" header="0" footer="0.31496062992125984"/>
  <pageSetup scale="3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">
    <tabColor rgb="FFFF0000"/>
  </sheetPr>
  <dimension ref="A1:M157"/>
  <sheetViews>
    <sheetView zoomScale="80" zoomScaleNormal="80" workbookViewId="0">
      <selection activeCell="W14" sqref="W14"/>
    </sheetView>
  </sheetViews>
  <sheetFormatPr baseColWidth="10" defaultColWidth="11.42578125" defaultRowHeight="15" x14ac:dyDescent="0.25"/>
  <cols>
    <col min="1" max="1" width="3.7109375" style="120" customWidth="1"/>
    <col min="2" max="2" width="42.28515625" style="40" customWidth="1"/>
    <col min="3" max="3" width="23.7109375" style="83" customWidth="1"/>
    <col min="4" max="5" width="22.7109375" style="83" customWidth="1"/>
    <col min="6" max="6" width="22.7109375" style="40" customWidth="1"/>
    <col min="7" max="7" width="20.7109375" style="47" customWidth="1"/>
    <col min="8" max="8" width="18.42578125" style="47" hidden="1" customWidth="1"/>
    <col min="9" max="9" width="22.7109375" style="40" customWidth="1"/>
    <col min="10" max="10" width="18.42578125" style="47" customWidth="1"/>
    <col min="11" max="11" width="18.42578125" style="40" hidden="1" customWidth="1"/>
    <col min="12" max="12" width="11.42578125" style="40"/>
    <col min="13" max="13" width="0" style="40" hidden="1" customWidth="1"/>
    <col min="14" max="16384" width="11.42578125" style="40"/>
  </cols>
  <sheetData>
    <row r="1" spans="1:12" s="120" customFormat="1" ht="12" customHeight="1" x14ac:dyDescent="0.25">
      <c r="C1" s="122"/>
      <c r="D1" s="122"/>
      <c r="E1" s="122"/>
      <c r="G1" s="243"/>
      <c r="H1" s="243"/>
      <c r="J1" s="243"/>
    </row>
    <row r="2" spans="1:12" s="120" customFormat="1" ht="18.75" customHeight="1" x14ac:dyDescent="0.25">
      <c r="C2" s="122"/>
      <c r="D2" s="122"/>
      <c r="E2" s="122"/>
      <c r="G2" s="243"/>
      <c r="H2" s="243"/>
      <c r="J2" s="243"/>
    </row>
    <row r="3" spans="1:12" s="120" customFormat="1" ht="15.75" customHeight="1" x14ac:dyDescent="0.25">
      <c r="C3" s="244"/>
      <c r="D3" s="244"/>
      <c r="E3" s="244"/>
      <c r="G3" s="243"/>
      <c r="H3" s="243"/>
      <c r="J3" s="123"/>
    </row>
    <row r="4" spans="1:12" s="120" customFormat="1" ht="14.25" customHeight="1" x14ac:dyDescent="0.25">
      <c r="C4" s="244"/>
      <c r="D4" s="244"/>
      <c r="E4" s="244"/>
      <c r="G4" s="243"/>
      <c r="H4" s="243"/>
      <c r="J4" s="243"/>
    </row>
    <row r="5" spans="1:12" s="120" customFormat="1" ht="14.25" customHeight="1" x14ac:dyDescent="0.25">
      <c r="C5" s="244"/>
      <c r="D5" s="244"/>
      <c r="E5" s="244"/>
      <c r="F5" s="190"/>
      <c r="G5" s="190"/>
      <c r="H5" s="190"/>
      <c r="I5" s="190"/>
      <c r="J5" s="190"/>
    </row>
    <row r="6" spans="1:12" s="120" customFormat="1" ht="19.5" customHeight="1" x14ac:dyDescent="0.25">
      <c r="C6" s="244"/>
      <c r="D6" s="244"/>
      <c r="E6" s="244"/>
      <c r="F6" s="190"/>
      <c r="G6" s="283" t="s">
        <v>258</v>
      </c>
      <c r="H6" s="283"/>
      <c r="I6" s="283"/>
      <c r="J6" s="283"/>
      <c r="K6" s="283"/>
      <c r="L6" s="283"/>
    </row>
    <row r="7" spans="1:12" s="120" customFormat="1" ht="15.75" customHeight="1" x14ac:dyDescent="0.25">
      <c r="C7" s="122"/>
      <c r="D7" s="122"/>
      <c r="E7" s="122"/>
      <c r="G7" s="243"/>
      <c r="H7" s="243"/>
      <c r="J7" s="243"/>
    </row>
    <row r="8" spans="1:12" ht="50.25" customHeight="1" x14ac:dyDescent="0.25">
      <c r="B8" s="263" t="s">
        <v>323</v>
      </c>
      <c r="C8" s="263"/>
      <c r="D8" s="263"/>
      <c r="E8" s="263"/>
      <c r="F8" s="263"/>
      <c r="G8" s="263"/>
      <c r="H8" s="263"/>
      <c r="I8" s="263"/>
      <c r="J8" s="263"/>
      <c r="K8" s="280"/>
    </row>
    <row r="9" spans="1:12" ht="44.25" customHeight="1" x14ac:dyDescent="0.25">
      <c r="B9" s="90" t="s">
        <v>324</v>
      </c>
      <c r="C9" s="91" t="s">
        <v>300</v>
      </c>
      <c r="D9" s="91" t="s">
        <v>282</v>
      </c>
      <c r="E9" s="91" t="s">
        <v>283</v>
      </c>
      <c r="F9" s="35" t="s">
        <v>284</v>
      </c>
      <c r="G9" s="31" t="s">
        <v>285</v>
      </c>
      <c r="H9" s="31" t="s">
        <v>286</v>
      </c>
      <c r="I9" s="35" t="s">
        <v>287</v>
      </c>
      <c r="J9" s="31" t="s">
        <v>288</v>
      </c>
      <c r="K9" s="31" t="s">
        <v>289</v>
      </c>
    </row>
    <row r="10" spans="1:12" s="61" customFormat="1" ht="30.75" customHeight="1" thickBot="1" x14ac:dyDescent="0.3">
      <c r="A10" s="121"/>
      <c r="B10" s="84" t="s">
        <v>290</v>
      </c>
      <c r="C10" s="85">
        <f>SUM(C11:C14)</f>
        <v>237227900000</v>
      </c>
      <c r="D10" s="85">
        <f>SUM(D11:D14)</f>
        <v>5149546384</v>
      </c>
      <c r="E10" s="85">
        <f>+SUM(E11:E14)</f>
        <v>232078353616</v>
      </c>
      <c r="F10" s="134">
        <f>SUM(F11:F14)</f>
        <v>177578790886</v>
      </c>
      <c r="G10" s="86">
        <f>+F10/C10</f>
        <v>0.7485577829842105</v>
      </c>
      <c r="H10" s="86">
        <f>+F10/E10</f>
        <v>0.76516740195349831</v>
      </c>
      <c r="I10" s="134">
        <f>SUM(I11:I14)</f>
        <v>176637686191</v>
      </c>
      <c r="J10" s="158">
        <f t="shared" ref="J10:J27" si="0">+I10/C10</f>
        <v>0.74459069186634452</v>
      </c>
      <c r="K10" s="158">
        <f>+I10/E10</f>
        <v>0.76111228573806211</v>
      </c>
    </row>
    <row r="11" spans="1:12" ht="24.95" customHeight="1" thickBot="1" x14ac:dyDescent="0.3">
      <c r="A11" s="209"/>
      <c r="B11" s="55" t="s">
        <v>325</v>
      </c>
      <c r="C11" s="63">
        <f>SUMIFS(REP_EPG034_EjecucionPresupuesta!$T$45:$T$71,REP_EPG034_EjecucionPresupuesta!$P$45:$P$71,"SALARIO")</f>
        <v>165523696202</v>
      </c>
      <c r="D11" s="28">
        <f>SUMIFS(REP_EPG034_EjecucionPresupuesta!$U$45:$U$71,REP_EPG034_EjecucionPresupuesta!$P$45:$P$71,"SALARIO")</f>
        <v>0</v>
      </c>
      <c r="E11" s="28">
        <f>+C11-D11</f>
        <v>165523696202</v>
      </c>
      <c r="F11" s="28">
        <f>SUMIFS(REP_EPG034_EjecucionPresupuesta!$X$45:$X$59,REP_EPG034_EjecucionPresupuesta!$P$45:$P$59,"SALARIO")</f>
        <v>122267688224</v>
      </c>
      <c r="G11" s="32">
        <f>F11/C11</f>
        <v>0.73867180971350643</v>
      </c>
      <c r="H11" s="32">
        <f>+F11/E11</f>
        <v>0.73867180971350643</v>
      </c>
      <c r="I11" s="28">
        <f>SUMIFS(REP_EPG034_EjecucionPresupuesta!$Y$45:$Y$59,REP_EPG034_EjecucionPresupuesta!$P$45:$P$59,"SALARIO")</f>
        <v>122262136139</v>
      </c>
      <c r="J11" s="32">
        <f t="shared" si="0"/>
        <v>0.73863826717471959</v>
      </c>
      <c r="K11" s="32">
        <f t="shared" ref="K11:K27" si="1">+I11/E11</f>
        <v>0.73863826717471959</v>
      </c>
    </row>
    <row r="12" spans="1:12" ht="24.95" customHeight="1" thickBot="1" x14ac:dyDescent="0.3">
      <c r="B12" s="53" t="s">
        <v>326</v>
      </c>
      <c r="C12" s="63">
        <f>SUMIFS(REP_EPG034_EjecucionPresupuesta!$T$40:$T$60,REP_EPG034_EjecucionPresupuesta!$P$40:$P$60,"CONTRIBUCIONES INHERENTES A LA NÓMINA")</f>
        <v>55418033570</v>
      </c>
      <c r="D12" s="28">
        <f>SUMIFS(REP_EPG034_EjecucionPresupuesta!$U$39:$U$59,REP_EPG034_EjecucionPresupuesta!$P$39:$P$59,"CONTRIBUCIONES INHERENTES A LA NÓMINA 1")</f>
        <v>0</v>
      </c>
      <c r="E12" s="28">
        <f>+C12-D12</f>
        <v>55418033570</v>
      </c>
      <c r="F12" s="28">
        <f>SUMIFS(REP_EPG034_EjecucionPresupuesta!$X$39:$X$59,REP_EPG034_EjecucionPresupuesta!$P$39:$P$59,"CONTRIBUCIONES INHERENTES A LA NÓMINA")</f>
        <v>46667629941</v>
      </c>
      <c r="G12" s="32">
        <f>F12/C12</f>
        <v>0.84210187433036343</v>
      </c>
      <c r="H12" s="32">
        <f t="shared" ref="H12:H27" si="2">+F12/E12</f>
        <v>0.84210187433036343</v>
      </c>
      <c r="I12" s="28">
        <f>SUMIFS(REP_EPG034_EjecucionPresupuesta!$Y$39:$Y$68,REP_EPG034_EjecucionPresupuesta!$P$39:$P$68,"CONTRIBUCIONES INHERENTES A LA NÓMINA")</f>
        <v>45735120917</v>
      </c>
      <c r="J12" s="32">
        <f t="shared" si="0"/>
        <v>0.82527505887105768</v>
      </c>
      <c r="K12" s="32">
        <f t="shared" si="1"/>
        <v>0.82527505887105768</v>
      </c>
    </row>
    <row r="13" spans="1:12" ht="24.95" customHeight="1" thickBot="1" x14ac:dyDescent="0.3">
      <c r="B13" s="54" t="s">
        <v>327</v>
      </c>
      <c r="C13" s="63">
        <f>SUMIFS(REP_EPG034_EjecucionPresupuesta!$T$40:$T$60,REP_EPG034_EjecucionPresupuesta!$P$40:$P$60,"REMUNERACIONES NO CONSTITUTIVAS DE FACTOR SALARIAL")</f>
        <v>11136623844</v>
      </c>
      <c r="D13" s="28">
        <f>SUMIFS(REP_EPG034_EjecucionPresupuesta!$U$48:$U$75,REP_EPG034_EjecucionPresupuesta!$P$48:$P$75,"REMUNERACIONES NO CONSTITUTIVAS DE FACTOR SALARIAL")</f>
        <v>0</v>
      </c>
      <c r="E13" s="28">
        <f>+C13-D13</f>
        <v>11136623844</v>
      </c>
      <c r="F13" s="28">
        <f>SUMIFS(REP_EPG034_EjecucionPresupuesta!$X$39:$X$68,REP_EPG034_EjecucionPresupuesta!$P$39:$P$68,"REMUNERACIONES NO CONSTITUTIVAS DE FACTOR SALARIAL")</f>
        <v>8643472721</v>
      </c>
      <c r="G13" s="32">
        <f>F13/C13</f>
        <v>0.77613043612465937</v>
      </c>
      <c r="H13" s="32">
        <f t="shared" si="2"/>
        <v>0.77613043612465937</v>
      </c>
      <c r="I13" s="28">
        <f>SUMIFS(REP_EPG034_EjecucionPresupuesta!$Y$41:$Y$68,REP_EPG034_EjecucionPresupuesta!$P$41:$P$68,"REMUNERACIONES NO CONSTITUTIVAS DE FACTOR SALARIAL")</f>
        <v>8640429135</v>
      </c>
      <c r="J13" s="32">
        <f t="shared" si="0"/>
        <v>0.77585714091036151</v>
      </c>
      <c r="K13" s="32">
        <f t="shared" si="1"/>
        <v>0.77585714091036151</v>
      </c>
    </row>
    <row r="14" spans="1:12" ht="34.5" customHeight="1" thickBot="1" x14ac:dyDescent="0.3">
      <c r="B14" s="54" t="s">
        <v>328</v>
      </c>
      <c r="C14" s="63">
        <f>SUMIFS(REP_EPG034_EjecucionPresupuesta!$T$40:$T$60,REP_EPG034_EjecucionPresupuesta!$P$40:$P$60,"OTROS GASTOS DE PERSONAL - DISTRIBUCIÓN PREVIO CONCEPTO DGPPN")</f>
        <v>5149546384</v>
      </c>
      <c r="D14" s="63">
        <f>SUMIFS(REP_EPG034_EjecucionPresupuesta!$U$41:$U$68,REP_EPG034_EjecucionPresupuesta!$P$41:$P$68,"OTROS GASTOS DE PERSONAL - DISTRIBUCIÓN PREVIO CONCEPTO DGPPN")</f>
        <v>5149546384</v>
      </c>
      <c r="E14" s="28">
        <f>+C14-D14</f>
        <v>0</v>
      </c>
      <c r="F14" s="28">
        <f>SUMIFS(REP_EPG034_EjecucionPresupuesta!$X$41:$X$68,REP_EPG034_EjecucionPresupuesta!$P$41:$P$68,"OTROS GASTOS DE PERSONAL - DISTRIBUCIÓN PREVIO CONCEPTO DGPPN")</f>
        <v>0</v>
      </c>
      <c r="G14" s="32">
        <f>F14/C14</f>
        <v>0</v>
      </c>
      <c r="H14" s="32">
        <v>0</v>
      </c>
      <c r="I14" s="28">
        <f>SUMIFS(REP_EPG034_EjecucionPresupuesta!$Y$41:$Y$68,REP_EPG034_EjecucionPresupuesta!$P$41:$P$68,"OTROS GASTOS DE PERSONAL - DISTRIBUCIÓN PREVIO CONCEPTO DGPPN")</f>
        <v>0</v>
      </c>
      <c r="J14" s="32">
        <f t="shared" si="0"/>
        <v>0</v>
      </c>
      <c r="K14" s="32">
        <v>0</v>
      </c>
    </row>
    <row r="15" spans="1:12" s="61" customFormat="1" ht="30.75" customHeight="1" thickBot="1" x14ac:dyDescent="0.3">
      <c r="A15" s="121"/>
      <c r="B15" s="84" t="s">
        <v>329</v>
      </c>
      <c r="C15" s="85">
        <f>SUM(C16:C16)</f>
        <v>147778300000</v>
      </c>
      <c r="D15" s="134">
        <f>SUM(D16:D16)</f>
        <v>0</v>
      </c>
      <c r="E15" s="134">
        <f>+SUM(E16:E16)</f>
        <v>147778300000</v>
      </c>
      <c r="F15" s="85">
        <f>SUM(F16:F16)</f>
        <v>129244942145.63</v>
      </c>
      <c r="G15" s="86">
        <f>+F15/C15</f>
        <v>0.87458674342329024</v>
      </c>
      <c r="H15" s="86">
        <f t="shared" si="2"/>
        <v>0.87458674342329024</v>
      </c>
      <c r="I15" s="134">
        <f>SUM(I16:I16)</f>
        <v>80284304983.970001</v>
      </c>
      <c r="J15" s="158">
        <f t="shared" si="0"/>
        <v>0.54327533192606758</v>
      </c>
      <c r="K15" s="158">
        <f t="shared" si="1"/>
        <v>0.54327533192606758</v>
      </c>
    </row>
    <row r="16" spans="1:12" ht="24.95" customHeight="1" thickBot="1" x14ac:dyDescent="0.3">
      <c r="B16" s="52" t="s">
        <v>329</v>
      </c>
      <c r="C16" s="64">
        <f>SUMIFS(REP_EPG034_EjecucionPresupuesta!$T$40:$T$60,REP_EPG034_EjecucionPresupuesta!$P$40:$P$60,"ADQUISICIÓN DE BIENES  Y SERVICIOS")</f>
        <v>147778300000</v>
      </c>
      <c r="D16" s="28">
        <f>SUMIFS(REP_EPG034_EjecucionPresupuesta!$U$39:$U$59,REP_EPG034_EjecucionPresupuesta!$P$39:$P$59,"ADQUISICIÓN DE BIENES  Y SERVICIOS")</f>
        <v>0</v>
      </c>
      <c r="E16" s="28">
        <f>+C16-D16</f>
        <v>147778300000</v>
      </c>
      <c r="F16" s="28">
        <f>SUMIFS(REP_EPG034_EjecucionPresupuesta!$X$39:$X$59,REP_EPG034_EjecucionPresupuesta!$P$39:$P$59,"ADQUISICIÓN DE BIENES  Y SERVICIOS")</f>
        <v>129244942145.63</v>
      </c>
      <c r="G16" s="32">
        <f>F16/C16</f>
        <v>0.87458674342329024</v>
      </c>
      <c r="H16" s="32">
        <f t="shared" si="2"/>
        <v>0.87458674342329024</v>
      </c>
      <c r="I16" s="28">
        <f>SUMIFS(REP_EPG034_EjecucionPresupuesta!$Y$39:$Y$59,REP_EPG034_EjecucionPresupuesta!$P$39:$P$59,"ADQUISICIÓN DE BIENES  Y SERVICIOS")</f>
        <v>80284304983.970001</v>
      </c>
      <c r="J16" s="32">
        <f t="shared" si="0"/>
        <v>0.54327533192606758</v>
      </c>
      <c r="K16" s="32">
        <f t="shared" si="1"/>
        <v>0.54327533192606758</v>
      </c>
    </row>
    <row r="17" spans="1:13" s="61" customFormat="1" ht="30.75" customHeight="1" thickBot="1" x14ac:dyDescent="0.3">
      <c r="A17" s="121"/>
      <c r="B17" s="84" t="s">
        <v>293</v>
      </c>
      <c r="C17" s="85">
        <f>SUM(C18:C25)</f>
        <v>292294300000</v>
      </c>
      <c r="D17" s="85">
        <f>SUM(D18:D25)</f>
        <v>98569000000</v>
      </c>
      <c r="E17" s="85">
        <f>+SUM(E18:E25)</f>
        <v>193725300000</v>
      </c>
      <c r="F17" s="134">
        <f>SUM(F18:F25)</f>
        <v>73858609416</v>
      </c>
      <c r="G17" s="86">
        <f>+F17/C17</f>
        <v>0.25268576710527713</v>
      </c>
      <c r="H17" s="86">
        <f t="shared" si="2"/>
        <v>0.38125432979585011</v>
      </c>
      <c r="I17" s="134">
        <f>SUM(I18:I25)</f>
        <v>73491269415.600006</v>
      </c>
      <c r="J17" s="158">
        <f t="shared" si="0"/>
        <v>0.25142902005136608</v>
      </c>
      <c r="K17" s="158">
        <f t="shared" si="1"/>
        <v>0.37935813967303189</v>
      </c>
    </row>
    <row r="18" spans="1:13" ht="38.25" customHeight="1" thickBot="1" x14ac:dyDescent="0.3">
      <c r="B18" s="52" t="s">
        <v>330</v>
      </c>
      <c r="C18" s="64">
        <f>SUMIFS(REP_EPG034_EjecucionPresupuesta!$T$40:$T$60,REP_EPG034_EjecucionPresupuesta!$P$40:$P$60,"FONDO PARA LOS NOTARIOS DE INSUFICIENTES INGRESOS. DECRETO 1672 DE 1997")</f>
        <v>81788000000</v>
      </c>
      <c r="D18" s="28">
        <f>SUMIFS(REP_EPG034_EjecucionPresupuesta!$U$48:$U$75,REP_EPG034_EjecucionPresupuesta!$P$48:$P$75,"FONDO PARA LOS NOTARIOS DE INSUFICIENTES INGRESOS. DECRETO 1672 DE 1997")</f>
        <v>0</v>
      </c>
      <c r="E18" s="28">
        <f>+C18-D18</f>
        <v>81788000000</v>
      </c>
      <c r="F18" s="28">
        <f>SUMIFS(REP_EPG034_EjecucionPresupuesta!$X$48:$X$75,REP_EPG034_EjecucionPresupuesta!$P$48:$P$75,"FONDO PARA LOS NOTARIOS DE INSUFICIENTES INGRESOS. DECRETO 1672 DE 1997")</f>
        <v>57094860600</v>
      </c>
      <c r="G18" s="32">
        <f t="shared" ref="G18:G25" si="3">F18/C18</f>
        <v>0.6980835892796009</v>
      </c>
      <c r="H18" s="32">
        <f t="shared" si="2"/>
        <v>0.6980835892796009</v>
      </c>
      <c r="I18" s="28">
        <f>SUMIFS(REP_EPG034_EjecucionPresupuesta!$Y$48:$Y$75,REP_EPG034_EjecucionPresupuesta!$P$48:$P$75,"FONDO PARA LOS NOTARIOS DE INSUFICIENTES INGRESOS. DECRETO 1672 DE 1997")</f>
        <v>57094860600</v>
      </c>
      <c r="J18" s="32">
        <f t="shared" si="0"/>
        <v>0.6980835892796009</v>
      </c>
      <c r="K18" s="32">
        <f t="shared" si="1"/>
        <v>0.6980835892796009</v>
      </c>
    </row>
    <row r="19" spans="1:13" ht="30.75" customHeight="1" thickBot="1" x14ac:dyDescent="0.3">
      <c r="B19" s="53" t="s">
        <v>331</v>
      </c>
      <c r="C19" s="28">
        <f>SUMIFS(REP_EPG034_EjecucionPresupuesta!$T$40:$T$60,REP_EPG034_EjecucionPresupuesta!$P$40:$P$60,"OTRAS TRANSFERENCIAS - DISTRIBUCIÓN PREVIO CONCEPTO DGPPN")</f>
        <v>98569000000</v>
      </c>
      <c r="D19" s="28">
        <f>SUMIFS(REP_EPG034_EjecucionPresupuesta!$U$48:$U$75,REP_EPG034_EjecucionPresupuesta!$P$48:$P$75,"OTRAS TRANSFERENCIAS - DISTRIBUCIÓN PREVIO CONCEPTO DGPPN")</f>
        <v>98569000000</v>
      </c>
      <c r="E19" s="28">
        <f t="shared" ref="E19:E25" si="4">+C19-D19</f>
        <v>0</v>
      </c>
      <c r="F19" s="28">
        <f>SUMIFS(REP_EPG034_EjecucionPresupuesta!$X$48:$X$75,REP_EPG034_EjecucionPresupuesta!$P$48:$P$75,"OTRAS TRANSFERENCIAS - PREVIO CONCEPTO DGPPN")</f>
        <v>0</v>
      </c>
      <c r="G19" s="32">
        <f>F19/C19</f>
        <v>0</v>
      </c>
      <c r="H19" s="32">
        <v>0</v>
      </c>
      <c r="I19" s="28">
        <f>SUMIFS(REP_EPG034_EjecucionPresupuesta!$Y$48:$Y$75,REP_EPG034_EjecucionPresupuesta!$P$48:$P$75,"OTRAS TRANSFERENCIAS - PREVIO CONCEPTO DGPPN")</f>
        <v>0</v>
      </c>
      <c r="J19" s="32">
        <f t="shared" si="0"/>
        <v>0</v>
      </c>
      <c r="K19" s="32">
        <f>IFERROR(I19/E19,0)</f>
        <v>0</v>
      </c>
    </row>
    <row r="20" spans="1:13" ht="24.95" customHeight="1" thickBot="1" x14ac:dyDescent="0.3">
      <c r="B20" s="52" t="s">
        <v>332</v>
      </c>
      <c r="C20" s="64">
        <f>SUMIFS(REP_EPG034_EjecucionPresupuesta!$T$40:$T$60,REP_EPG034_EjecucionPresupuesta!$P$40:$P$60,"MESADAS PENSIONALES (DE PENSIONES)")</f>
        <v>9684600000</v>
      </c>
      <c r="D20" s="28">
        <f>SUMIFS(REP_EPG034_EjecucionPresupuesta!$U$48:$U$75,REP_EPG034_EjecucionPresupuesta!$P$48:$P$75,"MESADAS PENSIONALES (DE PENSIONES)")</f>
        <v>0</v>
      </c>
      <c r="E20" s="28">
        <f t="shared" si="4"/>
        <v>9684600000</v>
      </c>
      <c r="F20" s="28">
        <f>SUMIFS(REP_EPG034_EjecucionPresupuesta!$X$48:$X$75,REP_EPG034_EjecucionPresupuesta!$P$48:$P$75,"MESADAS PENSIONALES (DE PENSIONES)")</f>
        <v>6968442200</v>
      </c>
      <c r="G20" s="32">
        <f t="shared" si="3"/>
        <v>0.71953846312702641</v>
      </c>
      <c r="H20" s="32">
        <f t="shared" si="2"/>
        <v>0.71953846312702641</v>
      </c>
      <c r="I20" s="28">
        <f>SUMIFS(REP_EPG034_EjecucionPresupuesta!$Y$48:$Y$75,REP_EPG034_EjecucionPresupuesta!$P$48:$P$75,"MESADAS PENSIONALES (DE PENSIONES)")</f>
        <v>6968442200</v>
      </c>
      <c r="J20" s="32">
        <f t="shared" si="0"/>
        <v>0.71953846312702641</v>
      </c>
      <c r="K20" s="32">
        <f t="shared" si="1"/>
        <v>0.71953846312702641</v>
      </c>
      <c r="M20" s="40">
        <f>IFERROR(I19/E19,0)</f>
        <v>0</v>
      </c>
    </row>
    <row r="21" spans="1:13" ht="24.95" customHeight="1" thickBot="1" x14ac:dyDescent="0.3">
      <c r="B21" s="53" t="s">
        <v>333</v>
      </c>
      <c r="C21" s="64">
        <f>SUMIFS(REP_EPG034_EjecucionPresupuesta!$T$40:$T$60,REP_EPG034_EjecucionPresupuesta!$P$40:$P$60,"BONOS PENSIONALES (DE PENSIONES)")</f>
        <v>8893200000</v>
      </c>
      <c r="D21" s="28">
        <f>SUMIFS(REP_EPG034_EjecucionPresupuesta!$U$48:$U$75,REP_EPG034_EjecucionPresupuesta!$P$48:$P$75,"BONOS PENSIONALES (DE PENSIONES)")</f>
        <v>0</v>
      </c>
      <c r="E21" s="28">
        <f t="shared" si="4"/>
        <v>8893200000</v>
      </c>
      <c r="F21" s="28">
        <f>SUMIFS(REP_EPG034_EjecucionPresupuesta!$X$48:$X$75,REP_EPG034_EjecucionPresupuesta!$P$48:$P$75,"BONOS PENSIONALES (DE PENSIONES)")</f>
        <v>3994429190</v>
      </c>
      <c r="G21" s="32">
        <f t="shared" si="3"/>
        <v>0.44915544348490982</v>
      </c>
      <c r="H21" s="32">
        <f t="shared" si="2"/>
        <v>0.44915544348490982</v>
      </c>
      <c r="I21" s="28">
        <f>SUMIFS(REP_EPG034_EjecucionPresupuesta!$Y$48:$Y$75,REP_EPG034_EjecucionPresupuesta!$P$48:$P$75,"BONOS PENSIONALES (DE PENSIONES)")</f>
        <v>3627089190</v>
      </c>
      <c r="J21" s="32">
        <f t="shared" si="0"/>
        <v>0.40784972675752262</v>
      </c>
      <c r="K21" s="32">
        <f t="shared" si="1"/>
        <v>0.40784972675752262</v>
      </c>
      <c r="M21" s="191"/>
    </row>
    <row r="22" spans="1:13" ht="44.25" customHeight="1" thickBot="1" x14ac:dyDescent="0.3">
      <c r="B22" s="52" t="s">
        <v>334</v>
      </c>
      <c r="C22" s="64">
        <f>SUMIFS(REP_EPG034_EjecucionPresupuesta!$T$40:$T$60,REP_EPG034_EjecucionPresupuesta!$P$40:$P$60,"INCAPACIDADES Y LICENCIAS DE MATERNIDAD Y PATERNIDAD (NO DE PENSIONES)")</f>
        <v>900000000</v>
      </c>
      <c r="D22" s="28">
        <f>SUMIFS(REP_EPG034_EjecucionPresupuesta!$U$48:$U$75,REP_EPG034_EjecucionPresupuesta!$P$48:$P$75,"INCAPACIDADES Y LICENCIAS DE MATERNIDAD Y PATERNIDAD (NO DE PENSIONES)")</f>
        <v>0</v>
      </c>
      <c r="E22" s="28">
        <f t="shared" si="4"/>
        <v>900000000</v>
      </c>
      <c r="F22" s="28">
        <f>SUMIFS(REP_EPG034_EjecucionPresupuesta!$X$48:$X$75,REP_EPG034_EjecucionPresupuesta!$P$48:$P$75,"INCAPACIDADES Y LICENCIAS DE MATERNIDAD Y PATERNIDAD (NO DE PENSIONES)")</f>
        <v>409309328</v>
      </c>
      <c r="G22" s="32">
        <f t="shared" si="3"/>
        <v>0.45478814222222225</v>
      </c>
      <c r="H22" s="32">
        <f t="shared" si="2"/>
        <v>0.45478814222222225</v>
      </c>
      <c r="I22" s="28">
        <f>SUMIFS(REP_EPG034_EjecucionPresupuesta!$Y$48:$Y$75,REP_EPG034_EjecucionPresupuesta!$P$48:$P$75,"INCAPACIDADES Y LICENCIAS DE MATERNIDAD Y PATERNIDAD (NO DE PENSIONES)")</f>
        <v>409309328</v>
      </c>
      <c r="J22" s="32">
        <f t="shared" si="0"/>
        <v>0.45478814222222225</v>
      </c>
      <c r="K22" s="32">
        <f t="shared" si="1"/>
        <v>0.45478814222222225</v>
      </c>
    </row>
    <row r="23" spans="1:13" ht="24.95" customHeight="1" thickBot="1" x14ac:dyDescent="0.3">
      <c r="B23" s="53" t="s">
        <v>335</v>
      </c>
      <c r="C23" s="64">
        <f>SUMIFS(REP_EPG034_EjecucionPresupuesta!$T$40:$T$60,REP_EPG034_EjecucionPresupuesta!$P$40:$P$60,"AUXILIO FUNERARIO (NO DE PENSIONES)")</f>
        <v>59000000</v>
      </c>
      <c r="D23" s="28">
        <f>SUMIFS(REP_EPG034_EjecucionPresupuesta!$U$48:$U$75,REP_EPG034_EjecucionPresupuesta!$P$48:$P$75,"AUXILIO FUNERARIO (NO DE PENSIONES)")</f>
        <v>0</v>
      </c>
      <c r="E23" s="28">
        <f t="shared" si="4"/>
        <v>59000000</v>
      </c>
      <c r="F23" s="28">
        <f>SUMIFS(REP_EPG034_EjecucionPresupuesta!$X$48:$X$75,REP_EPG034_EjecucionPresupuesta!$P$48:$P$75,"AUXILIO FUNERARIO (NO DE PENSIONES)")</f>
        <v>22300000</v>
      </c>
      <c r="G23" s="32">
        <f t="shared" si="3"/>
        <v>0.37796610169491524</v>
      </c>
      <c r="H23" s="32">
        <f t="shared" si="2"/>
        <v>0.37796610169491524</v>
      </c>
      <c r="I23" s="28">
        <f>SUMIFS(REP_EPG034_EjecucionPresupuesta!$Y$48:$Y$75,REP_EPG034_EjecucionPresupuesta!$P$48:$P$75,"AUXILIO FUNERARIO (NO DE PENSIONES)")</f>
        <v>22300000</v>
      </c>
      <c r="J23" s="32">
        <f t="shared" si="0"/>
        <v>0.37796610169491524</v>
      </c>
      <c r="K23" s="32">
        <f t="shared" si="1"/>
        <v>0.37796610169491524</v>
      </c>
    </row>
    <row r="24" spans="1:13" ht="45.75" thickBot="1" x14ac:dyDescent="0.3">
      <c r="B24" s="53" t="s">
        <v>336</v>
      </c>
      <c r="C24" s="64">
        <f>SUMIFS(REP_EPG034_EjecucionPresupuesta!$T$40:$T$72,REP_EPG034_EjecucionPresupuesta!$P$40:$P$72,"PRESTACIONES ECONÓMICAS FONPRENOR - LEY 1668 DE 1997 (OTRAS PRESTACIONES DE JUBILACIÓN)")</f>
        <v>268000000</v>
      </c>
      <c r="D24" s="28">
        <f>SUMIFS(REP_EPG034_EjecucionPresupuesta!$U$40:$U$72,REP_EPG034_EjecucionPresupuesta!$P$40:$P$72,"PRESTACIONES ECONÓMICAS FONPRENOR - LEY 1668 DE 1997 (OTRAS PRESTACIONES DE JUBILACIÓN)")</f>
        <v>0</v>
      </c>
      <c r="E24" s="28">
        <f t="shared" si="4"/>
        <v>268000000</v>
      </c>
      <c r="F24" s="28">
        <f>SUMIFS(REP_EPG034_EjecucionPresupuesta!$X$40:$X$72,REP_EPG034_EjecucionPresupuesta!$P$40:$P$72,"PRESTACIONES ECONÓMICAS FONPRENOR - LEY 1668 DE 1997 (OTRAS PRESTACIONES DE JUBILACIÓN)")</f>
        <v>50130084</v>
      </c>
      <c r="G24" s="32">
        <f t="shared" si="3"/>
        <v>0.18705255223880596</v>
      </c>
      <c r="H24" s="32">
        <f t="shared" si="2"/>
        <v>0.18705255223880596</v>
      </c>
      <c r="I24" s="28">
        <f>SUMIFS(REP_EPG034_EjecucionPresupuesta!$Y$48:$Y$75,REP_EPG034_EjecucionPresupuesta!$P$48:$P$75,"PRESTACIONES ECONÓMICAS FONPRENOR - LEY 1668 DE 1997 (OTRAS PRESTACIONES DE JUBILACIÓN)")</f>
        <v>50130084</v>
      </c>
      <c r="J24" s="32">
        <f t="shared" si="0"/>
        <v>0.18705255223880596</v>
      </c>
      <c r="K24" s="32">
        <f t="shared" si="1"/>
        <v>0.18705255223880596</v>
      </c>
    </row>
    <row r="25" spans="1:13" ht="24.95" customHeight="1" thickBot="1" x14ac:dyDescent="0.3">
      <c r="B25" s="52" t="s">
        <v>337</v>
      </c>
      <c r="C25" s="64">
        <f>SUMIFS(REP_EPG034_EjecucionPresupuesta!$T$40:$T$72,REP_EPG034_EjecucionPresupuesta!$P$40:$P$72,"SENTENCIAS Y CONCILIACIONES")</f>
        <v>92132500000</v>
      </c>
      <c r="D25" s="28">
        <f>SUMIFS(REP_EPG034_EjecucionPresupuesta!$U$40:$U$72,REP_EPG034_EjecucionPresupuesta!$P$40:$P$72,"SENTENCIAS Y CONCILIACIONES")</f>
        <v>0</v>
      </c>
      <c r="E25" s="28">
        <f t="shared" si="4"/>
        <v>92132500000</v>
      </c>
      <c r="F25" s="28">
        <f>SUMIFS(REP_EPG034_EjecucionPresupuesta!$X$40:$X$72,REP_EPG034_EjecucionPresupuesta!$P$40:$P$72,"SENTENCIAS Y CONCILIACIONES")</f>
        <v>5319138014</v>
      </c>
      <c r="G25" s="32">
        <f t="shared" si="3"/>
        <v>5.7733568653840939E-2</v>
      </c>
      <c r="H25" s="32">
        <f t="shared" si="2"/>
        <v>5.7733568653840939E-2</v>
      </c>
      <c r="I25" s="28">
        <f>SUMIFS(REP_EPG034_EjecucionPresupuesta!$Y$40:$Y$72,REP_EPG034_EjecucionPresupuesta!$P$40:$P$72,"SENTENCIAS Y CONCILIACIONES")</f>
        <v>5319138013.6000004</v>
      </c>
      <c r="J25" s="32">
        <f t="shared" si="0"/>
        <v>5.7733568649499363E-2</v>
      </c>
      <c r="K25" s="32">
        <f t="shared" si="1"/>
        <v>5.7733568649499363E-2</v>
      </c>
    </row>
    <row r="26" spans="1:13" s="61" customFormat="1" ht="30.75" customHeight="1" thickBot="1" x14ac:dyDescent="0.3">
      <c r="A26" s="121"/>
      <c r="B26" s="84" t="s">
        <v>338</v>
      </c>
      <c r="C26" s="85">
        <f>SUM(C27:C29)</f>
        <v>4983300000</v>
      </c>
      <c r="D26" s="85">
        <f t="shared" ref="D26:F26" si="5">SUM(D27:D29)</f>
        <v>0</v>
      </c>
      <c r="E26" s="85">
        <f t="shared" si="5"/>
        <v>4983300000</v>
      </c>
      <c r="F26" s="85">
        <f t="shared" si="5"/>
        <v>4622909089</v>
      </c>
      <c r="G26" s="86">
        <f>+F26/C26</f>
        <v>0.9276802699014709</v>
      </c>
      <c r="H26" s="86">
        <f>+F26/E26</f>
        <v>0.9276802699014709</v>
      </c>
      <c r="I26" s="134">
        <f>SUM(I27:I29)</f>
        <v>4622909089</v>
      </c>
      <c r="J26" s="158">
        <f>+I26/C26</f>
        <v>0.9276802699014709</v>
      </c>
      <c r="K26" s="158">
        <f>+I26/E26</f>
        <v>0.9276802699014709</v>
      </c>
    </row>
    <row r="27" spans="1:13" ht="24.95" customHeight="1" thickBot="1" x14ac:dyDescent="0.3">
      <c r="B27" s="52" t="s">
        <v>339</v>
      </c>
      <c r="C27" s="64">
        <f>SUMIFS(REP_EPG034_EjecucionPresupuesta!$T$40:$T$72,REP_EPG034_EjecucionPresupuesta!$P$40:$P$72,"IMPUESTOS")</f>
        <v>3100705136</v>
      </c>
      <c r="D27" s="28">
        <f>SUMIFS(REP_EPG034_EjecucionPresupuesta!$U$48:$U$72,REP_EPG034_EjecucionPresupuesta!$P$48:$P$72,"IMPUESTOS")</f>
        <v>0</v>
      </c>
      <c r="E27" s="28">
        <f>+C27-D27</f>
        <v>3100705136</v>
      </c>
      <c r="F27" s="133">
        <f>SUMIFS(REP_EPG034_EjecucionPresupuesta!$X$40:$X$72,REP_EPG034_EjecucionPresupuesta!$P$40:$P$72,"IMPUESTOS")</f>
        <v>3042992089</v>
      </c>
      <c r="G27" s="32">
        <f>F27/C27</f>
        <v>0.98138712180983079</v>
      </c>
      <c r="H27" s="32">
        <f t="shared" si="2"/>
        <v>0.98138712180983079</v>
      </c>
      <c r="I27" s="133">
        <f>SUMIFS(REP_EPG034_EjecucionPresupuesta!$Y$40:$Y$72,REP_EPG034_EjecucionPresupuesta!$P$40:$P$72,"IMPUESTOS")</f>
        <v>3042992089</v>
      </c>
      <c r="J27" s="32">
        <f t="shared" si="0"/>
        <v>0.98138712180983079</v>
      </c>
      <c r="K27" s="32">
        <f t="shared" si="1"/>
        <v>0.98138712180983079</v>
      </c>
    </row>
    <row r="28" spans="1:13" ht="24.95" customHeight="1" thickBot="1" x14ac:dyDescent="0.3">
      <c r="B28" s="53" t="s">
        <v>340</v>
      </c>
      <c r="C28" s="64">
        <f>SUMIFS(REP_EPG034_EjecucionPresupuesta!$T$40:$T$72,REP_EPG034_EjecucionPresupuesta!$P$40:$P$72,"CUOTA DE FISCALIZACIÓN Y AUDITAJE")</f>
        <v>1555500000</v>
      </c>
      <c r="D28" s="28">
        <f>SUMIFS(REP_EPG034_EjecucionPresupuesta!$U$48:$U$72,REP_EPG034_EjecucionPresupuesta!$P$48:$P$72,"CUOTA DE FISCALIZACIÓN Y AUDITAJE")</f>
        <v>0</v>
      </c>
      <c r="E28" s="28">
        <f>+C28-D28</f>
        <v>1555500000</v>
      </c>
      <c r="F28" s="133">
        <f>SUMIFS(REP_EPG034_EjecucionPresupuesta!$X$48:$X$72,REP_EPG034_EjecucionPresupuesta!$P$48:$P$72,"CUOTA DE FISCALIZACIÓN Y AUDITAJE")</f>
        <v>1555500000</v>
      </c>
      <c r="G28" s="32">
        <f>F28/C28</f>
        <v>1</v>
      </c>
      <c r="H28" s="32">
        <f>+F28/E28</f>
        <v>1</v>
      </c>
      <c r="I28" s="28">
        <f>SUMIFS(REP_EPG034_EjecucionPresupuesta!$Y$48:$Y$72,REP_EPG034_EjecucionPresupuesta!$P$48:$P$72,"CUOTA DE FISCALIZACIÓN Y AUDITAJE")</f>
        <v>1555500000</v>
      </c>
      <c r="J28" s="32">
        <f>+I28/C28</f>
        <v>1</v>
      </c>
      <c r="K28" s="32">
        <f>+I28/E28</f>
        <v>1</v>
      </c>
    </row>
    <row r="29" spans="1:13" ht="24.95" customHeight="1" thickBot="1" x14ac:dyDescent="0.3">
      <c r="B29" s="250" t="s">
        <v>341</v>
      </c>
      <c r="C29" s="64">
        <f>SUMIFS(REP_EPG034_EjecucionPresupuesta!$T$40:$T$72,REP_EPG034_EjecucionPresupuesta!$P$40:$P$72,"MULTAS, SANCIONES E INTERESES DE MORA")</f>
        <v>327094864</v>
      </c>
      <c r="D29" s="28">
        <f>SUMIFS(REP_EPG034_EjecucionPresupuesta!$U$48:$U$72,REP_EPG034_EjecucionPresupuesta!$P$48:$P$72,"MULTAS, SANCIONES E INTERESES DE MORA")</f>
        <v>0</v>
      </c>
      <c r="E29" s="28">
        <f>+C29-D29</f>
        <v>327094864</v>
      </c>
      <c r="F29" s="133">
        <f>SUMIFS(REP_EPG034_EjecucionPresupuesta!$X$48:$X$72,REP_EPG034_EjecucionPresupuesta!$P$48:$P$72,"MULTAS, SANCIONES E INTERESES DE MORA")</f>
        <v>24417000</v>
      </c>
      <c r="G29" s="32">
        <f>F29/C29</f>
        <v>7.4648069069039244E-2</v>
      </c>
      <c r="H29" s="32">
        <f>+F29/E29</f>
        <v>7.4648069069039244E-2</v>
      </c>
      <c r="I29" s="28">
        <f>SUMIFS(REP_EPG034_EjecucionPresupuesta!$Y$48:$Y$72,REP_EPG034_EjecucionPresupuesta!$P$48:$P$72,"MULTAS, SANCIONES E INTERESES DE MORA")</f>
        <v>24417000</v>
      </c>
      <c r="J29" s="32">
        <f>+I29/C29</f>
        <v>7.4648069069039244E-2</v>
      </c>
      <c r="K29" s="251"/>
    </row>
    <row r="30" spans="1:13" ht="30" customHeight="1" thickBot="1" x14ac:dyDescent="0.3">
      <c r="B30" s="184" t="s">
        <v>342</v>
      </c>
      <c r="C30" s="185">
        <f>+C10+C15+C17+C26</f>
        <v>682283800000</v>
      </c>
      <c r="D30" s="185">
        <f>+D10+D15+D17+D26</f>
        <v>103718546384</v>
      </c>
      <c r="E30" s="185">
        <f>+E10+E15+E17+E26</f>
        <v>578565253616</v>
      </c>
      <c r="F30" s="186">
        <f>+F10+F15+F17+F26</f>
        <v>385305251536.63</v>
      </c>
      <c r="G30" s="252">
        <f>+F30/C30</f>
        <v>0.56472871191816365</v>
      </c>
      <c r="H30" s="202">
        <f>+F30/E30</f>
        <v>0.66596680171941547</v>
      </c>
      <c r="I30" s="177">
        <f>+I10+I15+I17+I26</f>
        <v>335036169679.57001</v>
      </c>
      <c r="J30" s="252">
        <f>+I30/C30</f>
        <v>0.49105104016769857</v>
      </c>
      <c r="K30" s="202">
        <f>+I30/E30</f>
        <v>0.57908104156897244</v>
      </c>
    </row>
    <row r="31" spans="1:13" ht="21" customHeight="1" x14ac:dyDescent="0.25">
      <c r="B31" s="120"/>
      <c r="C31" s="122"/>
      <c r="D31" s="122"/>
      <c r="E31" s="122"/>
      <c r="F31" s="120"/>
      <c r="G31" s="243"/>
      <c r="H31" s="243"/>
      <c r="I31" s="120"/>
      <c r="J31" s="243"/>
      <c r="K31" s="281"/>
    </row>
    <row r="32" spans="1:13" ht="29.25" customHeight="1" x14ac:dyDescent="0.25">
      <c r="A32" s="40"/>
      <c r="B32" s="279"/>
      <c r="C32" s="279"/>
      <c r="D32" s="279"/>
      <c r="E32" s="279"/>
      <c r="F32" s="279"/>
      <c r="G32" s="279"/>
      <c r="H32" s="279"/>
      <c r="I32" s="279"/>
      <c r="J32" s="279"/>
      <c r="K32" s="282"/>
    </row>
    <row r="33" spans="2:10" s="120" customFormat="1" ht="15" customHeight="1" x14ac:dyDescent="0.25">
      <c r="B33" s="124"/>
      <c r="C33" s="125"/>
      <c r="D33" s="125"/>
      <c r="E33" s="125"/>
      <c r="F33" s="126"/>
      <c r="G33" s="243"/>
      <c r="H33" s="243"/>
      <c r="I33" s="124"/>
    </row>
    <row r="34" spans="2:10" s="120" customFormat="1" x14ac:dyDescent="0.25">
      <c r="C34" s="122"/>
      <c r="D34" s="122"/>
      <c r="E34" s="122"/>
      <c r="F34" s="127"/>
      <c r="G34" s="243"/>
      <c r="H34" s="243"/>
    </row>
    <row r="35" spans="2:10" s="120" customFormat="1" x14ac:dyDescent="0.25">
      <c r="C35" s="122"/>
      <c r="D35" s="122"/>
      <c r="E35" s="122"/>
      <c r="G35" s="243"/>
      <c r="H35" s="243"/>
      <c r="I35" s="127"/>
    </row>
    <row r="36" spans="2:10" s="120" customFormat="1" x14ac:dyDescent="0.25">
      <c r="C36" s="122"/>
      <c r="D36" s="122"/>
      <c r="E36" s="122"/>
      <c r="F36" s="127"/>
      <c r="G36" s="243"/>
      <c r="H36" s="243"/>
    </row>
    <row r="37" spans="2:10" s="120" customFormat="1" x14ac:dyDescent="0.25">
      <c r="C37" s="122"/>
      <c r="D37" s="122"/>
      <c r="E37" s="122"/>
      <c r="F37" s="127"/>
      <c r="G37" s="243"/>
      <c r="H37" s="243"/>
      <c r="I37" s="128"/>
    </row>
    <row r="38" spans="2:10" s="120" customFormat="1" x14ac:dyDescent="0.25">
      <c r="C38" s="122"/>
      <c r="D38" s="122"/>
      <c r="E38" s="122"/>
      <c r="G38" s="243"/>
      <c r="H38" s="243"/>
      <c r="J38" s="243"/>
    </row>
    <row r="39" spans="2:10" s="120" customFormat="1" x14ac:dyDescent="0.25">
      <c r="C39" s="122"/>
      <c r="D39" s="122"/>
      <c r="E39" s="122"/>
      <c r="G39" s="243"/>
      <c r="H39" s="243"/>
      <c r="J39" s="243"/>
    </row>
    <row r="40" spans="2:10" s="120" customFormat="1" x14ac:dyDescent="0.25">
      <c r="C40" s="122"/>
      <c r="D40" s="122"/>
      <c r="E40" s="122"/>
      <c r="G40" s="243"/>
      <c r="H40" s="243"/>
      <c r="J40" s="243"/>
    </row>
    <row r="41" spans="2:10" s="120" customFormat="1" x14ac:dyDescent="0.25">
      <c r="C41" s="122"/>
      <c r="D41" s="122"/>
      <c r="E41" s="122"/>
      <c r="G41" s="243"/>
      <c r="H41" s="243"/>
      <c r="J41" s="243"/>
    </row>
    <row r="42" spans="2:10" s="120" customFormat="1" x14ac:dyDescent="0.25">
      <c r="C42" s="122"/>
      <c r="D42" s="122"/>
      <c r="E42" s="122"/>
      <c r="G42" s="243"/>
      <c r="H42" s="243"/>
      <c r="J42" s="243"/>
    </row>
    <row r="43" spans="2:10" s="120" customFormat="1" x14ac:dyDescent="0.25">
      <c r="C43" s="122"/>
      <c r="D43" s="122"/>
      <c r="E43" s="122"/>
      <c r="G43" s="243"/>
      <c r="H43" s="243"/>
      <c r="J43" s="243"/>
    </row>
    <row r="44" spans="2:10" s="120" customFormat="1" x14ac:dyDescent="0.25">
      <c r="C44" s="122"/>
      <c r="D44" s="122"/>
      <c r="E44" s="122"/>
      <c r="G44" s="243"/>
      <c r="H44" s="243"/>
      <c r="J44" s="243"/>
    </row>
    <row r="45" spans="2:10" s="120" customFormat="1" x14ac:dyDescent="0.25">
      <c r="C45" s="122"/>
      <c r="D45" s="122"/>
      <c r="E45" s="122"/>
      <c r="G45" s="243"/>
      <c r="H45" s="243"/>
      <c r="J45" s="243"/>
    </row>
    <row r="46" spans="2:10" s="120" customFormat="1" x14ac:dyDescent="0.25">
      <c r="C46" s="122"/>
      <c r="D46" s="122"/>
      <c r="E46" s="122"/>
      <c r="G46" s="243"/>
      <c r="H46" s="243"/>
      <c r="J46" s="243"/>
    </row>
    <row r="47" spans="2:10" s="120" customFormat="1" x14ac:dyDescent="0.25">
      <c r="C47" s="122"/>
      <c r="D47" s="122"/>
      <c r="E47" s="122"/>
      <c r="G47" s="243"/>
      <c r="H47" s="243"/>
      <c r="J47" s="243"/>
    </row>
    <row r="48" spans="2:10" s="120" customFormat="1" x14ac:dyDescent="0.25">
      <c r="C48" s="122"/>
      <c r="D48" s="122"/>
      <c r="E48" s="122"/>
      <c r="G48" s="243"/>
      <c r="H48" s="243"/>
      <c r="J48" s="243"/>
    </row>
    <row r="49" spans="3:10" s="120" customFormat="1" x14ac:dyDescent="0.25">
      <c r="C49" s="122"/>
      <c r="D49" s="122"/>
      <c r="E49" s="122"/>
      <c r="G49" s="243"/>
      <c r="H49" s="243"/>
      <c r="J49" s="243"/>
    </row>
    <row r="50" spans="3:10" s="120" customFormat="1" x14ac:dyDescent="0.25">
      <c r="C50" s="122"/>
      <c r="D50" s="122"/>
      <c r="E50" s="122"/>
      <c r="G50" s="243"/>
      <c r="H50" s="243"/>
      <c r="J50" s="243"/>
    </row>
    <row r="51" spans="3:10" s="120" customFormat="1" x14ac:dyDescent="0.25">
      <c r="C51" s="122"/>
      <c r="D51" s="122"/>
      <c r="E51" s="122"/>
      <c r="G51" s="243"/>
      <c r="H51" s="243"/>
      <c r="J51" s="243"/>
    </row>
    <row r="52" spans="3:10" s="120" customFormat="1" x14ac:dyDescent="0.25">
      <c r="C52" s="122"/>
      <c r="D52" s="122"/>
      <c r="E52" s="122"/>
      <c r="G52" s="243"/>
      <c r="H52" s="243"/>
      <c r="J52" s="243"/>
    </row>
    <row r="53" spans="3:10" s="120" customFormat="1" x14ac:dyDescent="0.25">
      <c r="C53" s="122"/>
      <c r="D53" s="122"/>
      <c r="E53" s="122"/>
      <c r="G53" s="243"/>
      <c r="H53" s="243"/>
      <c r="J53" s="243"/>
    </row>
    <row r="54" spans="3:10" s="120" customFormat="1" x14ac:dyDescent="0.25">
      <c r="C54" s="122"/>
      <c r="D54" s="122"/>
      <c r="E54" s="122"/>
      <c r="G54" s="243"/>
      <c r="H54" s="243"/>
      <c r="J54" s="243"/>
    </row>
    <row r="55" spans="3:10" s="120" customFormat="1" x14ac:dyDescent="0.25">
      <c r="C55" s="122"/>
      <c r="D55" s="122"/>
      <c r="E55" s="122"/>
      <c r="G55" s="243"/>
      <c r="H55" s="243"/>
      <c r="J55" s="243"/>
    </row>
    <row r="56" spans="3:10" s="120" customFormat="1" x14ac:dyDescent="0.25">
      <c r="C56" s="122"/>
      <c r="D56" s="122"/>
      <c r="E56" s="122"/>
      <c r="G56" s="243"/>
      <c r="H56" s="243"/>
      <c r="J56" s="243"/>
    </row>
    <row r="57" spans="3:10" s="120" customFormat="1" x14ac:dyDescent="0.25">
      <c r="C57" s="122"/>
      <c r="D57" s="122"/>
      <c r="E57" s="122"/>
      <c r="G57" s="243"/>
      <c r="H57" s="243"/>
      <c r="J57" s="243"/>
    </row>
    <row r="58" spans="3:10" s="120" customFormat="1" x14ac:dyDescent="0.25">
      <c r="C58" s="122"/>
      <c r="D58" s="122"/>
      <c r="E58" s="122"/>
      <c r="G58" s="243"/>
      <c r="H58" s="243"/>
      <c r="J58" s="243"/>
    </row>
    <row r="59" spans="3:10" s="120" customFormat="1" x14ac:dyDescent="0.25">
      <c r="C59" s="122"/>
      <c r="D59" s="122"/>
      <c r="E59" s="122"/>
      <c r="G59" s="243"/>
      <c r="H59" s="243"/>
      <c r="J59" s="243"/>
    </row>
    <row r="60" spans="3:10" s="120" customFormat="1" x14ac:dyDescent="0.25">
      <c r="C60" s="122"/>
      <c r="D60" s="122"/>
      <c r="E60" s="122"/>
      <c r="G60" s="243"/>
      <c r="H60" s="243"/>
      <c r="J60" s="243"/>
    </row>
    <row r="61" spans="3:10" s="120" customFormat="1" x14ac:dyDescent="0.25">
      <c r="C61" s="122"/>
      <c r="D61" s="122"/>
      <c r="E61" s="122"/>
      <c r="G61" s="243"/>
      <c r="H61" s="243"/>
      <c r="J61" s="243"/>
    </row>
    <row r="62" spans="3:10" s="120" customFormat="1" x14ac:dyDescent="0.25">
      <c r="C62" s="122"/>
      <c r="D62" s="122"/>
      <c r="E62" s="122"/>
      <c r="G62" s="243"/>
      <c r="H62" s="243"/>
      <c r="J62" s="243"/>
    </row>
    <row r="63" spans="3:10" s="120" customFormat="1" x14ac:dyDescent="0.25">
      <c r="C63" s="122"/>
      <c r="D63" s="122"/>
      <c r="E63" s="122"/>
      <c r="G63" s="243"/>
      <c r="H63" s="243"/>
      <c r="J63" s="243"/>
    </row>
    <row r="64" spans="3:10" s="120" customFormat="1" x14ac:dyDescent="0.25">
      <c r="C64" s="122"/>
      <c r="D64" s="122"/>
      <c r="E64" s="122"/>
      <c r="G64" s="243"/>
      <c r="H64" s="243"/>
      <c r="J64" s="243"/>
    </row>
    <row r="65" spans="3:10" s="120" customFormat="1" x14ac:dyDescent="0.25">
      <c r="C65" s="122"/>
      <c r="D65" s="122"/>
      <c r="E65" s="122"/>
      <c r="G65" s="243"/>
      <c r="H65" s="243"/>
      <c r="J65" s="243"/>
    </row>
    <row r="66" spans="3:10" s="120" customFormat="1" x14ac:dyDescent="0.25">
      <c r="C66" s="122"/>
      <c r="D66" s="122"/>
      <c r="E66" s="122"/>
      <c r="G66" s="243"/>
      <c r="H66" s="243"/>
      <c r="J66" s="243"/>
    </row>
    <row r="67" spans="3:10" s="120" customFormat="1" x14ac:dyDescent="0.25">
      <c r="C67" s="122"/>
      <c r="D67" s="122"/>
      <c r="E67" s="122"/>
      <c r="G67" s="243"/>
      <c r="H67" s="243"/>
      <c r="J67" s="243"/>
    </row>
    <row r="68" spans="3:10" s="120" customFormat="1" x14ac:dyDescent="0.25">
      <c r="C68" s="122"/>
      <c r="D68" s="122"/>
      <c r="E68" s="122"/>
      <c r="G68" s="243"/>
      <c r="H68" s="243"/>
      <c r="J68" s="243"/>
    </row>
    <row r="69" spans="3:10" s="120" customFormat="1" x14ac:dyDescent="0.25">
      <c r="C69" s="122"/>
      <c r="D69" s="122"/>
      <c r="E69" s="122"/>
      <c r="G69" s="243"/>
      <c r="H69" s="243"/>
      <c r="J69" s="243"/>
    </row>
    <row r="70" spans="3:10" s="120" customFormat="1" x14ac:dyDescent="0.25">
      <c r="C70" s="122"/>
      <c r="D70" s="122"/>
      <c r="E70" s="122"/>
      <c r="G70" s="243"/>
      <c r="H70" s="243"/>
      <c r="J70" s="243"/>
    </row>
    <row r="71" spans="3:10" s="120" customFormat="1" x14ac:dyDescent="0.25">
      <c r="C71" s="122"/>
      <c r="D71" s="122"/>
      <c r="E71" s="122"/>
      <c r="G71" s="243"/>
      <c r="H71" s="243"/>
      <c r="J71" s="243"/>
    </row>
    <row r="72" spans="3:10" s="120" customFormat="1" x14ac:dyDescent="0.25">
      <c r="C72" s="122"/>
      <c r="D72" s="122"/>
      <c r="E72" s="122"/>
      <c r="G72" s="243"/>
      <c r="H72" s="243"/>
      <c r="J72" s="243"/>
    </row>
    <row r="73" spans="3:10" s="120" customFormat="1" x14ac:dyDescent="0.25">
      <c r="C73" s="122"/>
      <c r="D73" s="122"/>
      <c r="E73" s="122"/>
      <c r="G73" s="243"/>
      <c r="H73" s="243"/>
      <c r="J73" s="243"/>
    </row>
    <row r="74" spans="3:10" s="120" customFormat="1" x14ac:dyDescent="0.25">
      <c r="C74" s="122"/>
      <c r="D74" s="122"/>
      <c r="E74" s="122"/>
      <c r="G74" s="243"/>
      <c r="H74" s="243"/>
      <c r="J74" s="243"/>
    </row>
    <row r="75" spans="3:10" s="120" customFormat="1" x14ac:dyDescent="0.25">
      <c r="C75" s="122"/>
      <c r="D75" s="122"/>
      <c r="E75" s="122"/>
      <c r="G75" s="243"/>
      <c r="H75" s="243"/>
      <c r="J75" s="243"/>
    </row>
    <row r="76" spans="3:10" s="120" customFormat="1" x14ac:dyDescent="0.25">
      <c r="C76" s="122"/>
      <c r="D76" s="122"/>
      <c r="E76" s="122"/>
      <c r="G76" s="243"/>
      <c r="H76" s="243"/>
      <c r="J76" s="243"/>
    </row>
    <row r="77" spans="3:10" s="120" customFormat="1" x14ac:dyDescent="0.25">
      <c r="C77" s="122"/>
      <c r="D77" s="122"/>
      <c r="E77" s="122"/>
      <c r="G77" s="243"/>
      <c r="H77" s="243"/>
      <c r="J77" s="243"/>
    </row>
    <row r="78" spans="3:10" s="120" customFormat="1" x14ac:dyDescent="0.25">
      <c r="C78" s="122"/>
      <c r="D78" s="122"/>
      <c r="E78" s="122"/>
      <c r="G78" s="243"/>
      <c r="H78" s="243"/>
      <c r="J78" s="243"/>
    </row>
    <row r="79" spans="3:10" s="120" customFormat="1" x14ac:dyDescent="0.25">
      <c r="C79" s="122"/>
      <c r="D79" s="122"/>
      <c r="E79" s="122"/>
      <c r="G79" s="243"/>
      <c r="H79" s="243"/>
      <c r="J79" s="243"/>
    </row>
    <row r="80" spans="3:10" s="120" customFormat="1" x14ac:dyDescent="0.25">
      <c r="C80" s="122"/>
      <c r="D80" s="122"/>
      <c r="E80" s="122"/>
      <c r="G80" s="243"/>
      <c r="H80" s="243"/>
      <c r="J80" s="243"/>
    </row>
    <row r="81" spans="3:10" s="120" customFormat="1" x14ac:dyDescent="0.25">
      <c r="C81" s="122"/>
      <c r="D81" s="122"/>
      <c r="E81" s="122"/>
      <c r="G81" s="243"/>
      <c r="H81" s="243"/>
      <c r="J81" s="243"/>
    </row>
    <row r="82" spans="3:10" s="120" customFormat="1" x14ac:dyDescent="0.25">
      <c r="C82" s="122"/>
      <c r="D82" s="122"/>
      <c r="E82" s="122"/>
      <c r="G82" s="243"/>
      <c r="H82" s="243"/>
      <c r="J82" s="243"/>
    </row>
    <row r="83" spans="3:10" s="120" customFormat="1" x14ac:dyDescent="0.25">
      <c r="C83" s="122"/>
      <c r="D83" s="122"/>
      <c r="E83" s="122"/>
      <c r="G83" s="243"/>
      <c r="H83" s="243"/>
      <c r="J83" s="243"/>
    </row>
    <row r="84" spans="3:10" s="120" customFormat="1" x14ac:dyDescent="0.25">
      <c r="C84" s="122"/>
      <c r="D84" s="122"/>
      <c r="E84" s="122"/>
      <c r="G84" s="243"/>
      <c r="H84" s="243"/>
      <c r="J84" s="243"/>
    </row>
    <row r="85" spans="3:10" s="120" customFormat="1" x14ac:dyDescent="0.25">
      <c r="C85" s="122"/>
      <c r="D85" s="122"/>
      <c r="E85" s="122"/>
      <c r="G85" s="243"/>
      <c r="H85" s="243"/>
      <c r="J85" s="243"/>
    </row>
    <row r="86" spans="3:10" s="120" customFormat="1" x14ac:dyDescent="0.25">
      <c r="C86" s="122"/>
      <c r="D86" s="122"/>
      <c r="E86" s="122"/>
      <c r="G86" s="243"/>
      <c r="H86" s="243"/>
      <c r="J86" s="243"/>
    </row>
    <row r="87" spans="3:10" s="120" customFormat="1" x14ac:dyDescent="0.25">
      <c r="C87" s="122"/>
      <c r="D87" s="122"/>
      <c r="E87" s="122"/>
      <c r="G87" s="243"/>
      <c r="H87" s="243"/>
      <c r="J87" s="243"/>
    </row>
    <row r="88" spans="3:10" s="120" customFormat="1" x14ac:dyDescent="0.25">
      <c r="C88" s="122"/>
      <c r="D88" s="122"/>
      <c r="E88" s="122"/>
      <c r="G88" s="243"/>
      <c r="H88" s="243"/>
      <c r="J88" s="243"/>
    </row>
    <row r="89" spans="3:10" s="120" customFormat="1" x14ac:dyDescent="0.25">
      <c r="C89" s="122"/>
      <c r="D89" s="122"/>
      <c r="E89" s="122"/>
      <c r="G89" s="243"/>
      <c r="H89" s="243"/>
      <c r="J89" s="243"/>
    </row>
    <row r="90" spans="3:10" s="120" customFormat="1" x14ac:dyDescent="0.25">
      <c r="C90" s="122"/>
      <c r="D90" s="122"/>
      <c r="E90" s="122"/>
      <c r="G90" s="243"/>
      <c r="H90" s="243"/>
      <c r="J90" s="243"/>
    </row>
    <row r="91" spans="3:10" s="120" customFormat="1" x14ac:dyDescent="0.25">
      <c r="C91" s="122"/>
      <c r="D91" s="122"/>
      <c r="E91" s="122"/>
      <c r="G91" s="243"/>
      <c r="H91" s="243"/>
      <c r="J91" s="243"/>
    </row>
    <row r="92" spans="3:10" s="120" customFormat="1" x14ac:dyDescent="0.25">
      <c r="C92" s="122"/>
      <c r="D92" s="122"/>
      <c r="E92" s="122"/>
      <c r="G92" s="243"/>
      <c r="H92" s="243"/>
      <c r="J92" s="243"/>
    </row>
    <row r="93" spans="3:10" s="120" customFormat="1" x14ac:dyDescent="0.25">
      <c r="C93" s="122"/>
      <c r="D93" s="122"/>
      <c r="E93" s="122"/>
      <c r="G93" s="243"/>
      <c r="H93" s="243"/>
      <c r="J93" s="243"/>
    </row>
    <row r="94" spans="3:10" s="120" customFormat="1" x14ac:dyDescent="0.25">
      <c r="C94" s="122"/>
      <c r="D94" s="122"/>
      <c r="E94" s="122"/>
      <c r="G94" s="243"/>
      <c r="H94" s="243"/>
      <c r="J94" s="243"/>
    </row>
    <row r="95" spans="3:10" s="120" customFormat="1" x14ac:dyDescent="0.25">
      <c r="C95" s="122"/>
      <c r="D95" s="122"/>
      <c r="E95" s="122"/>
      <c r="G95" s="243"/>
      <c r="H95" s="243"/>
      <c r="J95" s="243"/>
    </row>
    <row r="96" spans="3:10" s="120" customFormat="1" x14ac:dyDescent="0.25">
      <c r="C96" s="122"/>
      <c r="D96" s="122"/>
      <c r="E96" s="122"/>
      <c r="G96" s="243"/>
      <c r="H96" s="243"/>
      <c r="J96" s="243"/>
    </row>
    <row r="97" spans="3:10" s="120" customFormat="1" x14ac:dyDescent="0.25">
      <c r="C97" s="122"/>
      <c r="D97" s="122"/>
      <c r="E97" s="122"/>
      <c r="G97" s="243"/>
      <c r="H97" s="243"/>
      <c r="J97" s="243"/>
    </row>
    <row r="98" spans="3:10" s="120" customFormat="1" x14ac:dyDescent="0.25">
      <c r="C98" s="122"/>
      <c r="D98" s="122"/>
      <c r="E98" s="122"/>
      <c r="G98" s="243"/>
      <c r="H98" s="243"/>
      <c r="J98" s="243"/>
    </row>
    <row r="99" spans="3:10" s="120" customFormat="1" x14ac:dyDescent="0.25">
      <c r="C99" s="122"/>
      <c r="D99" s="122"/>
      <c r="E99" s="122"/>
      <c r="G99" s="243"/>
      <c r="H99" s="243"/>
      <c r="J99" s="243"/>
    </row>
    <row r="100" spans="3:10" s="120" customFormat="1" x14ac:dyDescent="0.25">
      <c r="C100" s="122"/>
      <c r="D100" s="122"/>
      <c r="E100" s="122"/>
      <c r="G100" s="243"/>
      <c r="H100" s="243"/>
      <c r="J100" s="243"/>
    </row>
    <row r="101" spans="3:10" s="120" customFormat="1" x14ac:dyDescent="0.25">
      <c r="C101" s="122"/>
      <c r="D101" s="122"/>
      <c r="E101" s="122"/>
      <c r="G101" s="243"/>
      <c r="H101" s="243"/>
      <c r="J101" s="243"/>
    </row>
    <row r="102" spans="3:10" s="120" customFormat="1" x14ac:dyDescent="0.25">
      <c r="C102" s="122"/>
      <c r="D102" s="122"/>
      <c r="E102" s="122"/>
      <c r="G102" s="243"/>
      <c r="H102" s="243"/>
      <c r="J102" s="243"/>
    </row>
    <row r="103" spans="3:10" s="120" customFormat="1" x14ac:dyDescent="0.25">
      <c r="C103" s="122"/>
      <c r="D103" s="122"/>
      <c r="E103" s="122"/>
      <c r="G103" s="243"/>
      <c r="H103" s="243"/>
      <c r="J103" s="243"/>
    </row>
    <row r="104" spans="3:10" s="120" customFormat="1" x14ac:dyDescent="0.25">
      <c r="C104" s="122"/>
      <c r="D104" s="122"/>
      <c r="E104" s="122"/>
      <c r="G104" s="243"/>
      <c r="H104" s="243"/>
      <c r="J104" s="243"/>
    </row>
    <row r="105" spans="3:10" s="120" customFormat="1" x14ac:dyDescent="0.25">
      <c r="C105" s="122"/>
      <c r="D105" s="122"/>
      <c r="E105" s="122"/>
      <c r="G105" s="243"/>
      <c r="H105" s="243"/>
      <c r="J105" s="243"/>
    </row>
    <row r="106" spans="3:10" s="120" customFormat="1" x14ac:dyDescent="0.25">
      <c r="C106" s="122"/>
      <c r="D106" s="122"/>
      <c r="E106" s="122"/>
      <c r="G106" s="243"/>
      <c r="H106" s="243"/>
      <c r="J106" s="243"/>
    </row>
    <row r="107" spans="3:10" s="120" customFormat="1" x14ac:dyDescent="0.25">
      <c r="C107" s="122"/>
      <c r="D107" s="122"/>
      <c r="E107" s="122"/>
      <c r="G107" s="243"/>
      <c r="H107" s="243"/>
      <c r="J107" s="243"/>
    </row>
    <row r="108" spans="3:10" s="120" customFormat="1" x14ac:dyDescent="0.25">
      <c r="C108" s="122"/>
      <c r="D108" s="122"/>
      <c r="E108" s="122"/>
      <c r="G108" s="243"/>
      <c r="H108" s="243"/>
      <c r="J108" s="243"/>
    </row>
    <row r="109" spans="3:10" s="120" customFormat="1" x14ac:dyDescent="0.25">
      <c r="C109" s="122"/>
      <c r="D109" s="122"/>
      <c r="E109" s="122"/>
      <c r="G109" s="243"/>
      <c r="H109" s="243"/>
      <c r="J109" s="243"/>
    </row>
    <row r="110" spans="3:10" s="120" customFormat="1" x14ac:dyDescent="0.25">
      <c r="C110" s="122"/>
      <c r="D110" s="122"/>
      <c r="E110" s="122"/>
      <c r="G110" s="243"/>
      <c r="H110" s="243"/>
      <c r="J110" s="243"/>
    </row>
    <row r="111" spans="3:10" s="120" customFormat="1" x14ac:dyDescent="0.25">
      <c r="C111" s="122"/>
      <c r="D111" s="122"/>
      <c r="E111" s="122"/>
      <c r="G111" s="243"/>
      <c r="H111" s="243"/>
      <c r="J111" s="243"/>
    </row>
    <row r="112" spans="3:10" s="120" customFormat="1" x14ac:dyDescent="0.25">
      <c r="C112" s="122"/>
      <c r="D112" s="122"/>
      <c r="E112" s="122"/>
      <c r="G112" s="243"/>
      <c r="H112" s="243"/>
      <c r="J112" s="243"/>
    </row>
    <row r="113" spans="3:10" s="120" customFormat="1" x14ac:dyDescent="0.25">
      <c r="C113" s="122"/>
      <c r="D113" s="122"/>
      <c r="E113" s="122"/>
      <c r="G113" s="243"/>
      <c r="H113" s="243"/>
      <c r="J113" s="243"/>
    </row>
    <row r="114" spans="3:10" s="120" customFormat="1" x14ac:dyDescent="0.25">
      <c r="C114" s="122"/>
      <c r="D114" s="122"/>
      <c r="E114" s="122"/>
      <c r="G114" s="243"/>
      <c r="H114" s="243"/>
      <c r="J114" s="243"/>
    </row>
    <row r="115" spans="3:10" s="120" customFormat="1" x14ac:dyDescent="0.25">
      <c r="C115" s="122"/>
      <c r="D115" s="122"/>
      <c r="E115" s="122"/>
      <c r="G115" s="243"/>
      <c r="H115" s="243"/>
      <c r="J115" s="243"/>
    </row>
    <row r="116" spans="3:10" s="120" customFormat="1" x14ac:dyDescent="0.25">
      <c r="C116" s="122"/>
      <c r="D116" s="122"/>
      <c r="E116" s="122"/>
      <c r="G116" s="243"/>
      <c r="H116" s="243"/>
      <c r="J116" s="243"/>
    </row>
    <row r="117" spans="3:10" s="120" customFormat="1" x14ac:dyDescent="0.25">
      <c r="C117" s="122"/>
      <c r="D117" s="122"/>
      <c r="E117" s="122"/>
      <c r="G117" s="243"/>
      <c r="H117" s="243"/>
      <c r="J117" s="243"/>
    </row>
    <row r="118" spans="3:10" s="120" customFormat="1" x14ac:dyDescent="0.25">
      <c r="C118" s="122"/>
      <c r="D118" s="122"/>
      <c r="E118" s="122"/>
      <c r="G118" s="243"/>
      <c r="H118" s="243"/>
      <c r="J118" s="243"/>
    </row>
    <row r="119" spans="3:10" s="120" customFormat="1" x14ac:dyDescent="0.25">
      <c r="C119" s="122"/>
      <c r="D119" s="122"/>
      <c r="E119" s="122"/>
      <c r="G119" s="243"/>
      <c r="H119" s="243"/>
      <c r="J119" s="243"/>
    </row>
    <row r="120" spans="3:10" s="120" customFormat="1" x14ac:dyDescent="0.25">
      <c r="C120" s="122"/>
      <c r="D120" s="122"/>
      <c r="E120" s="122"/>
      <c r="G120" s="243"/>
      <c r="H120" s="243"/>
      <c r="J120" s="243"/>
    </row>
    <row r="121" spans="3:10" s="120" customFormat="1" x14ac:dyDescent="0.25">
      <c r="C121" s="122"/>
      <c r="D121" s="122"/>
      <c r="E121" s="122"/>
      <c r="G121" s="243"/>
      <c r="H121" s="243"/>
      <c r="J121" s="243"/>
    </row>
    <row r="122" spans="3:10" s="120" customFormat="1" x14ac:dyDescent="0.25">
      <c r="C122" s="122"/>
      <c r="D122" s="122"/>
      <c r="E122" s="122"/>
      <c r="G122" s="243"/>
      <c r="H122" s="243"/>
      <c r="J122" s="243"/>
    </row>
    <row r="123" spans="3:10" s="120" customFormat="1" x14ac:dyDescent="0.25">
      <c r="C123" s="122"/>
      <c r="D123" s="122"/>
      <c r="E123" s="122"/>
      <c r="G123" s="243"/>
      <c r="H123" s="243"/>
      <c r="J123" s="243"/>
    </row>
    <row r="124" spans="3:10" s="120" customFormat="1" x14ac:dyDescent="0.25">
      <c r="C124" s="122"/>
      <c r="D124" s="122"/>
      <c r="E124" s="122"/>
      <c r="G124" s="243"/>
      <c r="H124" s="243"/>
      <c r="J124" s="243"/>
    </row>
    <row r="125" spans="3:10" s="120" customFormat="1" x14ac:dyDescent="0.25">
      <c r="C125" s="122"/>
      <c r="D125" s="122"/>
      <c r="E125" s="122"/>
      <c r="G125" s="243"/>
      <c r="H125" s="243"/>
      <c r="J125" s="243"/>
    </row>
    <row r="126" spans="3:10" s="120" customFormat="1" x14ac:dyDescent="0.25">
      <c r="C126" s="122"/>
      <c r="D126" s="122"/>
      <c r="E126" s="122"/>
      <c r="G126" s="243"/>
      <c r="H126" s="243"/>
      <c r="J126" s="243"/>
    </row>
    <row r="127" spans="3:10" s="120" customFormat="1" x14ac:dyDescent="0.25">
      <c r="C127" s="122"/>
      <c r="D127" s="122"/>
      <c r="E127" s="122"/>
      <c r="G127" s="243"/>
      <c r="H127" s="243"/>
      <c r="J127" s="243"/>
    </row>
    <row r="128" spans="3:10" s="120" customFormat="1" x14ac:dyDescent="0.25">
      <c r="C128" s="122"/>
      <c r="D128" s="122"/>
      <c r="E128" s="122"/>
      <c r="G128" s="243"/>
      <c r="H128" s="243"/>
      <c r="J128" s="243"/>
    </row>
    <row r="129" spans="3:10" s="120" customFormat="1" x14ac:dyDescent="0.25">
      <c r="C129" s="122"/>
      <c r="D129" s="122"/>
      <c r="E129" s="122"/>
      <c r="G129" s="243"/>
      <c r="H129" s="243"/>
      <c r="J129" s="243"/>
    </row>
    <row r="130" spans="3:10" s="120" customFormat="1" x14ac:dyDescent="0.25">
      <c r="C130" s="122"/>
      <c r="D130" s="122"/>
      <c r="E130" s="122"/>
      <c r="G130" s="243"/>
      <c r="H130" s="243"/>
      <c r="J130" s="243"/>
    </row>
    <row r="131" spans="3:10" s="120" customFormat="1" x14ac:dyDescent="0.25">
      <c r="C131" s="122"/>
      <c r="D131" s="122"/>
      <c r="E131" s="122"/>
      <c r="G131" s="243"/>
      <c r="H131" s="243"/>
      <c r="J131" s="243"/>
    </row>
    <row r="132" spans="3:10" s="120" customFormat="1" x14ac:dyDescent="0.25">
      <c r="C132" s="122"/>
      <c r="D132" s="122"/>
      <c r="E132" s="122"/>
      <c r="G132" s="243"/>
      <c r="H132" s="243"/>
      <c r="J132" s="243"/>
    </row>
    <row r="133" spans="3:10" s="120" customFormat="1" x14ac:dyDescent="0.25">
      <c r="C133" s="122"/>
      <c r="D133" s="122"/>
      <c r="E133" s="122"/>
      <c r="G133" s="243"/>
      <c r="H133" s="243"/>
      <c r="J133" s="243"/>
    </row>
    <row r="134" spans="3:10" s="120" customFormat="1" x14ac:dyDescent="0.25">
      <c r="C134" s="122"/>
      <c r="D134" s="122"/>
      <c r="E134" s="122"/>
      <c r="G134" s="243"/>
      <c r="H134" s="243"/>
      <c r="J134" s="243"/>
    </row>
    <row r="135" spans="3:10" s="120" customFormat="1" x14ac:dyDescent="0.25">
      <c r="C135" s="122"/>
      <c r="D135" s="122"/>
      <c r="E135" s="122"/>
      <c r="G135" s="243"/>
      <c r="H135" s="243"/>
      <c r="J135" s="243"/>
    </row>
    <row r="136" spans="3:10" s="120" customFormat="1" x14ac:dyDescent="0.25">
      <c r="C136" s="122"/>
      <c r="D136" s="122"/>
      <c r="E136" s="122"/>
      <c r="G136" s="243"/>
      <c r="H136" s="243"/>
      <c r="J136" s="243"/>
    </row>
    <row r="137" spans="3:10" s="120" customFormat="1" x14ac:dyDescent="0.25">
      <c r="C137" s="122"/>
      <c r="D137" s="122"/>
      <c r="E137" s="122"/>
      <c r="G137" s="243"/>
      <c r="H137" s="243"/>
      <c r="J137" s="243"/>
    </row>
    <row r="138" spans="3:10" s="120" customFormat="1" x14ac:dyDescent="0.25">
      <c r="C138" s="122"/>
      <c r="D138" s="122"/>
      <c r="E138" s="122"/>
      <c r="G138" s="243"/>
      <c r="H138" s="243"/>
      <c r="J138" s="243"/>
    </row>
    <row r="139" spans="3:10" s="120" customFormat="1" x14ac:dyDescent="0.25">
      <c r="C139" s="122"/>
      <c r="D139" s="122"/>
      <c r="E139" s="122"/>
      <c r="G139" s="243"/>
      <c r="H139" s="243"/>
      <c r="J139" s="243"/>
    </row>
    <row r="140" spans="3:10" s="120" customFormat="1" x14ac:dyDescent="0.25">
      <c r="C140" s="122"/>
      <c r="D140" s="122"/>
      <c r="E140" s="122"/>
      <c r="G140" s="243"/>
      <c r="H140" s="243"/>
      <c r="J140" s="243"/>
    </row>
    <row r="141" spans="3:10" s="120" customFormat="1" x14ac:dyDescent="0.25">
      <c r="C141" s="122"/>
      <c r="D141" s="122"/>
      <c r="E141" s="122"/>
      <c r="G141" s="243"/>
      <c r="H141" s="243"/>
      <c r="J141" s="243"/>
    </row>
    <row r="142" spans="3:10" s="120" customFormat="1" x14ac:dyDescent="0.25">
      <c r="C142" s="122"/>
      <c r="D142" s="122"/>
      <c r="E142" s="122"/>
      <c r="G142" s="243"/>
      <c r="H142" s="243"/>
      <c r="J142" s="243"/>
    </row>
    <row r="143" spans="3:10" s="120" customFormat="1" x14ac:dyDescent="0.25">
      <c r="C143" s="122"/>
      <c r="D143" s="122"/>
      <c r="E143" s="122"/>
      <c r="G143" s="243"/>
      <c r="H143" s="243"/>
      <c r="J143" s="243"/>
    </row>
    <row r="144" spans="3:10" s="120" customFormat="1" x14ac:dyDescent="0.25">
      <c r="C144" s="122"/>
      <c r="D144" s="122"/>
      <c r="E144" s="122"/>
      <c r="G144" s="243"/>
      <c r="H144" s="243"/>
      <c r="J144" s="243"/>
    </row>
    <row r="145" spans="3:10" s="120" customFormat="1" x14ac:dyDescent="0.25">
      <c r="C145" s="122"/>
      <c r="D145" s="122"/>
      <c r="E145" s="122"/>
      <c r="G145" s="243"/>
      <c r="H145" s="243"/>
      <c r="J145" s="243"/>
    </row>
    <row r="146" spans="3:10" s="120" customFormat="1" x14ac:dyDescent="0.25">
      <c r="C146" s="122"/>
      <c r="D146" s="122"/>
      <c r="E146" s="122"/>
      <c r="G146" s="243"/>
      <c r="H146" s="243"/>
      <c r="J146" s="243"/>
    </row>
    <row r="147" spans="3:10" s="120" customFormat="1" x14ac:dyDescent="0.25">
      <c r="C147" s="122"/>
      <c r="D147" s="122"/>
      <c r="E147" s="122"/>
      <c r="G147" s="243"/>
      <c r="H147" s="243"/>
      <c r="J147" s="243"/>
    </row>
    <row r="148" spans="3:10" s="120" customFormat="1" x14ac:dyDescent="0.25">
      <c r="C148" s="122"/>
      <c r="D148" s="122"/>
      <c r="E148" s="122"/>
      <c r="G148" s="243"/>
      <c r="H148" s="243"/>
      <c r="J148" s="243"/>
    </row>
    <row r="149" spans="3:10" s="120" customFormat="1" x14ac:dyDescent="0.25">
      <c r="C149" s="122"/>
      <c r="D149" s="122"/>
      <c r="E149" s="122"/>
      <c r="G149" s="243"/>
      <c r="H149" s="243"/>
      <c r="J149" s="243"/>
    </row>
    <row r="150" spans="3:10" s="120" customFormat="1" x14ac:dyDescent="0.25">
      <c r="C150" s="122"/>
      <c r="D150" s="122"/>
      <c r="E150" s="122"/>
      <c r="G150" s="243"/>
      <c r="H150" s="243"/>
      <c r="J150" s="243"/>
    </row>
    <row r="151" spans="3:10" s="120" customFormat="1" x14ac:dyDescent="0.25">
      <c r="C151" s="122"/>
      <c r="D151" s="122"/>
      <c r="E151" s="122"/>
      <c r="G151" s="243"/>
      <c r="H151" s="243"/>
      <c r="J151" s="243"/>
    </row>
    <row r="152" spans="3:10" s="120" customFormat="1" x14ac:dyDescent="0.25">
      <c r="C152" s="122"/>
      <c r="D152" s="122"/>
      <c r="E152" s="122"/>
      <c r="G152" s="243"/>
      <c r="H152" s="243"/>
      <c r="J152" s="243"/>
    </row>
    <row r="153" spans="3:10" s="120" customFormat="1" x14ac:dyDescent="0.25">
      <c r="C153" s="122"/>
      <c r="D153" s="122"/>
      <c r="E153" s="122"/>
      <c r="G153" s="243"/>
      <c r="H153" s="243"/>
      <c r="J153" s="243"/>
    </row>
    <row r="154" spans="3:10" s="120" customFormat="1" x14ac:dyDescent="0.25">
      <c r="C154" s="122"/>
      <c r="D154" s="122"/>
      <c r="E154" s="122"/>
      <c r="G154" s="243"/>
      <c r="H154" s="243"/>
      <c r="J154" s="243"/>
    </row>
    <row r="155" spans="3:10" s="120" customFormat="1" x14ac:dyDescent="0.25">
      <c r="C155" s="122"/>
      <c r="D155" s="122"/>
      <c r="E155" s="122"/>
      <c r="G155" s="243"/>
      <c r="H155" s="243"/>
      <c r="J155" s="243"/>
    </row>
    <row r="156" spans="3:10" s="120" customFormat="1" x14ac:dyDescent="0.25">
      <c r="C156" s="122"/>
      <c r="D156" s="122"/>
      <c r="E156" s="122"/>
      <c r="G156" s="243"/>
      <c r="H156" s="243"/>
      <c r="J156" s="243"/>
    </row>
    <row r="157" spans="3:10" s="120" customFormat="1" x14ac:dyDescent="0.25">
      <c r="C157" s="122"/>
      <c r="D157" s="122"/>
      <c r="E157" s="122"/>
      <c r="G157" s="243"/>
      <c r="H157" s="243"/>
      <c r="J157" s="243"/>
    </row>
  </sheetData>
  <mergeCells count="4">
    <mergeCell ref="B32:J32"/>
    <mergeCell ref="B8:K8"/>
    <mergeCell ref="K31:K32"/>
    <mergeCell ref="G6:L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55" orientation="landscape" r:id="rId1"/>
  <ignoredErrors>
    <ignoredError sqref="G10:G13 G20:G23 G15:G16 G25 G17:G18 G27 K19" formula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6">
    <tabColor rgb="FFFF0000"/>
    <pageSetUpPr fitToPage="1"/>
  </sheetPr>
  <dimension ref="B1:P22"/>
  <sheetViews>
    <sheetView showGridLines="0" topLeftCell="C1" zoomScale="70" zoomScaleNormal="70" zoomScaleSheetLayoutView="80" workbookViewId="0">
      <selection activeCell="W14" sqref="W14"/>
    </sheetView>
  </sheetViews>
  <sheetFormatPr baseColWidth="10" defaultColWidth="11.42578125" defaultRowHeight="15" x14ac:dyDescent="0.25"/>
  <cols>
    <col min="1" max="1" width="3.28515625" style="27" customWidth="1"/>
    <col min="2" max="2" width="20.5703125" style="27" bestFit="1" customWidth="1"/>
    <col min="3" max="3" width="59.28515625" style="27" customWidth="1"/>
    <col min="4" max="4" width="42.85546875" style="27" customWidth="1"/>
    <col min="5" max="5" width="25.7109375" style="27" customWidth="1"/>
    <col min="6" max="8" width="22.7109375" style="27" customWidth="1"/>
    <col min="9" max="9" width="19" style="30" customWidth="1"/>
    <col min="10" max="10" width="19" style="30" hidden="1" customWidth="1"/>
    <col min="11" max="11" width="22.7109375" style="27" customWidth="1"/>
    <col min="12" max="12" width="20.140625" style="30" customWidth="1"/>
    <col min="13" max="13" width="17.140625" style="27" hidden="1" customWidth="1"/>
    <col min="14" max="14" width="7.85546875" style="27" bestFit="1" customWidth="1"/>
    <col min="15" max="15" width="11.140625" style="27" customWidth="1"/>
    <col min="16" max="16" width="23.28515625" style="27" customWidth="1"/>
    <col min="17" max="16384" width="11.42578125" style="27"/>
  </cols>
  <sheetData>
    <row r="1" spans="2:16" ht="12" customHeight="1" x14ac:dyDescent="0.25">
      <c r="I1" s="242"/>
      <c r="J1" s="242"/>
      <c r="L1" s="242"/>
    </row>
    <row r="2" spans="2:16" ht="18.75" customHeight="1" x14ac:dyDescent="0.25">
      <c r="I2" s="242"/>
      <c r="J2" s="242"/>
      <c r="L2" s="242"/>
      <c r="M2" s="285"/>
      <c r="N2" s="285"/>
    </row>
    <row r="3" spans="2:16" ht="18.75" customHeight="1" x14ac:dyDescent="0.25">
      <c r="I3" s="242"/>
      <c r="J3" s="242"/>
      <c r="L3" s="242"/>
      <c r="M3" s="150"/>
      <c r="N3" s="26"/>
    </row>
    <row r="4" spans="2:16" ht="15.75" customHeight="1" x14ac:dyDescent="0.25">
      <c r="I4" s="96"/>
      <c r="J4" s="96"/>
      <c r="K4" s="96"/>
      <c r="L4" s="242"/>
      <c r="M4" s="150" t="s">
        <v>343</v>
      </c>
      <c r="N4" s="109"/>
    </row>
    <row r="5" spans="2:16" ht="14.25" customHeight="1" x14ac:dyDescent="0.25">
      <c r="I5" s="242"/>
      <c r="J5" s="242"/>
      <c r="L5" s="242"/>
      <c r="M5" s="109"/>
      <c r="N5" s="110"/>
    </row>
    <row r="6" spans="2:16" ht="9" customHeight="1" x14ac:dyDescent="0.25">
      <c r="I6" s="242"/>
      <c r="J6" s="242"/>
      <c r="L6" s="242"/>
      <c r="M6" s="109"/>
      <c r="N6" s="110"/>
    </row>
    <row r="7" spans="2:16" ht="27.75" customHeight="1" x14ac:dyDescent="0.3">
      <c r="H7" s="190"/>
      <c r="I7" s="261" t="s">
        <v>258</v>
      </c>
      <c r="J7" s="261"/>
      <c r="K7" s="261"/>
      <c r="L7" s="261"/>
      <c r="M7" s="109"/>
      <c r="N7" s="110"/>
    </row>
    <row r="8" spans="2:16" ht="15.75" customHeight="1" x14ac:dyDescent="0.25">
      <c r="H8" s="190"/>
      <c r="I8" s="190"/>
      <c r="J8" s="190"/>
      <c r="K8" s="190"/>
      <c r="L8" s="190"/>
      <c r="M8" s="109"/>
      <c r="N8" s="111"/>
    </row>
    <row r="9" spans="2:16" ht="50.25" customHeight="1" x14ac:dyDescent="0.25">
      <c r="B9" s="263" t="s">
        <v>344</v>
      </c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</row>
    <row r="10" spans="2:16" ht="56.25" customHeight="1" thickBot="1" x14ac:dyDescent="0.3">
      <c r="B10" s="154" t="s">
        <v>297</v>
      </c>
      <c r="C10" s="154" t="s">
        <v>298</v>
      </c>
      <c r="D10" s="154" t="s">
        <v>345</v>
      </c>
      <c r="E10" s="155" t="s">
        <v>300</v>
      </c>
      <c r="F10" s="155" t="s">
        <v>282</v>
      </c>
      <c r="G10" s="155" t="s">
        <v>283</v>
      </c>
      <c r="H10" s="35" t="s">
        <v>284</v>
      </c>
      <c r="I10" s="31" t="s">
        <v>285</v>
      </c>
      <c r="J10" s="31" t="s">
        <v>286</v>
      </c>
      <c r="K10" s="35" t="s">
        <v>287</v>
      </c>
      <c r="L10" s="31" t="s">
        <v>288</v>
      </c>
      <c r="M10" s="31" t="s">
        <v>289</v>
      </c>
      <c r="O10" s="245"/>
    </row>
    <row r="11" spans="2:16" ht="54.95" customHeight="1" thickBot="1" x14ac:dyDescent="0.3">
      <c r="B11" s="273" t="s">
        <v>346</v>
      </c>
      <c r="C11" s="53" t="str">
        <f>REP_EPG034_EjecucionPresupuesta!P65</f>
        <v>CUOTA DE FISCALIZACIÓN Y AUDITAJE</v>
      </c>
      <c r="D11" s="196" t="s">
        <v>347</v>
      </c>
      <c r="E11" s="63">
        <f>SUMIFS(REP_EPG034_EjecucionPresupuesta!$T$65:$T$72,REP_EPG034_EjecucionPresupuesta!$P$65:$P$72,"1. ORDENAMIENTO DEL TERRITORIO ALREDEDOR DEL AGUA Y JUSTICIA AMBIENTAL / A. ACCESO Y FORMALIZACIÓN DE LA PROPIEDAD - C-1204-0800-3-10306A")</f>
        <v>15070568600</v>
      </c>
      <c r="F11" s="71">
        <f>SUMIFS(REP_EPG034_EjecucionPresupuesta!$U$60:$U$83,REP_EPG034_EjecucionPresupuesta!$P$60:$P$83,"1. ORDENAMIENTO DEL TERRITORIO ALREDEDOR DEL AGUA Y JUSTICIA AMBIENTAL / A. ACCESO Y FORMALIZACIÓN DE LA PROPIEDAD - C-1204-0800-3-10306A")</f>
        <v>0</v>
      </c>
      <c r="G11" s="71">
        <f t="shared" ref="G11:G18" si="0">+E11-F11</f>
        <v>15070568600</v>
      </c>
      <c r="H11" s="71">
        <f>SUMIFS(REP_EPG034_EjecucionPresupuesta!$X$60:$X$77,REP_EPG034_EjecucionPresupuesta!$P$60:$P$77,"1. ORDENAMIENTO DEL TERRITORIO ALREDEDOR DEL AGUA Y JUSTICIA AMBIENTAL / A. ACCESO Y FORMALIZACIÓN DE LA PROPIEDAD - C-1204-0800-3-10306A")</f>
        <v>14129275704</v>
      </c>
      <c r="I11" s="143">
        <f t="shared" ref="I11:I17" si="1">+H11/E11</f>
        <v>0.93754098329110158</v>
      </c>
      <c r="J11" s="143">
        <f t="shared" ref="J11:J18" si="2">+H11/G11</f>
        <v>0.93754098329110158</v>
      </c>
      <c r="K11" s="71">
        <f>SUMIFS(REP_EPG034_EjecucionPresupuesta!$Y$60:$Y$77,REP_EPG034_EjecucionPresupuesta!$P$60:$P$77,"1. ORDENAMIENTO DEL TERRITORIO ALREDEDOR DEL AGUA Y JUSTICIA AMBIENTAL / A. ACCESO Y FORMALIZACIÓN DE LA PROPIEDAD - C-1204-0800-3-10306A")</f>
        <v>9538763531.9799995</v>
      </c>
      <c r="L11" s="143">
        <f t="shared" ref="L11:L17" si="3">+K11/E11</f>
        <v>0.63293985682663623</v>
      </c>
      <c r="M11" s="143">
        <f t="shared" ref="M11:M18" si="4">+K11/G11</f>
        <v>0.63293985682663623</v>
      </c>
      <c r="O11" s="88"/>
      <c r="P11" s="89"/>
    </row>
    <row r="12" spans="2:16" ht="54.95" customHeight="1" thickBot="1" x14ac:dyDescent="0.3">
      <c r="B12" s="274"/>
      <c r="C12" s="53" t="str">
        <f>REP_EPG034_EjecucionPresupuesta!P66</f>
        <v>MULTAS, SANCIONES E INTERESES DE MORA</v>
      </c>
      <c r="D12" s="286" t="s">
        <v>348</v>
      </c>
      <c r="E12" s="63">
        <f>SUMIFS(REP_EPG034_EjecucionPresupuesta!$T$66:$T$72,REP_EPG034_EjecucionPresupuesta!$P$66:$P$72,"1. ORDENAMIENTO DEL TERRITORIO ALREDEDOR DEL AGUA Y JUSTICIA AMBIENTAL / B. ACTUALIZACIÓN CATASTRAL MULTIPROPÓSITO - C-1209-0800-15-10305B - RECURSO 14")</f>
        <v>12000000000</v>
      </c>
      <c r="F12" s="71">
        <f>SUMIFS(REP_EPG034_EjecucionPresupuesta!$U$60:$U$83,REP_EPG034_EjecucionPresupuesta!$P$60:$P$83,"1. ORDENAMIENTO DEL TERRITORIO ALREDEDOR DEL AGUA Y JUSTICIA AMBIENTAL / B. ACTUALIZACIÓN CATASTRAL MULTIPROPÓSITO - 10305B - C-1209-0800-15-10305B")</f>
        <v>0</v>
      </c>
      <c r="G12" s="71">
        <f t="shared" si="0"/>
        <v>12000000000</v>
      </c>
      <c r="H12" s="71">
        <f>SUMIFS(REP_EPG034_EjecucionPresupuesta!$X$60:$X$77,REP_EPG034_EjecucionPresupuesta!$P$60:$P$77,"1. ORDENAMIENTO DEL TERRITORIO ALREDEDOR DEL AGUA Y JUSTICIA AMBIENTAL / B. ACTUALIZACIÓN CATASTRAL MULTIPROPÓSITO - C-1209-0800-15-10305B - RECURSO 14")</f>
        <v>6030064473.8699999</v>
      </c>
      <c r="I12" s="143">
        <f t="shared" si="1"/>
        <v>0.50250537282249996</v>
      </c>
      <c r="J12" s="143">
        <f t="shared" si="2"/>
        <v>0.50250537282249996</v>
      </c>
      <c r="K12" s="71">
        <f>SUMIFS(REP_EPG034_EjecucionPresupuesta!$Y$60:$Y$77,REP_EPG034_EjecucionPresupuesta!$P$60:$P$77,"1. ORDENAMIENTO DEL TERRITORIO ALREDEDOR DEL AGUA Y JUSTICIA AMBIENTAL / B. ACTUALIZACIÓN CATASTRAL MULTIPROPÓSITO - C-1209-0800-15-10305B - RECURSO 14")</f>
        <v>818008466.52999997</v>
      </c>
      <c r="L12" s="143">
        <f t="shared" si="3"/>
        <v>6.8167372210833327E-2</v>
      </c>
      <c r="M12" s="143">
        <f t="shared" si="4"/>
        <v>6.8167372210833327E-2</v>
      </c>
      <c r="O12" s="88"/>
      <c r="P12" s="89"/>
    </row>
    <row r="13" spans="2:16" ht="54.95" customHeight="1" thickBot="1" x14ac:dyDescent="0.3">
      <c r="B13" s="274"/>
      <c r="C13" s="53" t="str">
        <f>REP_EPG034_EjecucionPresupuesta!P67</f>
        <v>1. ORDENAMIENTO DEL TERRITORIO ALREDEDOR DEL AGUA Y JUSTICIA AMBIENTAL / A. ACCESO Y FORMALIZACIÓN DE LA PROPIEDAD - C-1204-0800-3-10306A</v>
      </c>
      <c r="D13" s="287"/>
      <c r="E13" s="63">
        <f>SUMIFS(REP_EPG034_EjecucionPresupuesta!$T$60:$T$78,REP_EPG034_EjecucionPresupuesta!$P$60:$P$78,"1. ORDENAMIENTO DEL TERRITORIO ALREDEDOR DEL AGUA Y JUSTICIA AMBIENTAL / B. ACTUALIZACIÓN CATASTRAL MULTIPROPÓSITO - C-1209-0800-15-10305B - RECURSO 20")</f>
        <v>8186425298</v>
      </c>
      <c r="F13" s="71">
        <f>SUMIFS(REP_EPG034_EjecucionPresupuesta!$U$60:$U$83,REP_EPG034_EjecucionPresupuesta!$P$60:$P$83,"1. ORDENAMIENTO DEL TERRITORIO ALREDEDOR DEL AGUA Y JUSTICIA AMBIENTAL / B. ACTUALIZACIÓN CATASTRAL MULTIPROPÓSITO - C-1209-0800-15-10305B")</f>
        <v>0</v>
      </c>
      <c r="G13" s="71">
        <f t="shared" si="0"/>
        <v>8186425298</v>
      </c>
      <c r="H13" s="71">
        <f>SUMIFS(REP_EPG034_EjecucionPresupuesta!$X$60:$X$83,REP_EPG034_EjecucionPresupuesta!$P$60:$P$83,"1. ORDENAMIENTO DEL TERRITORIO ALREDEDOR DEL AGUA Y JUSTICIA AMBIENTAL / B. ACTUALIZACIÓN CATASTRAL MULTIPROPÓSITO - C-1209-0800-15-10305B - RECURSO 20")</f>
        <v>4815231257</v>
      </c>
      <c r="I13" s="143">
        <f t="shared" si="1"/>
        <v>0.58819705570102665</v>
      </c>
      <c r="J13" s="143">
        <f t="shared" si="2"/>
        <v>0.58819705570102665</v>
      </c>
      <c r="K13" s="71">
        <f>SUMIFS(REP_EPG034_EjecucionPresupuesta!$Y$60:$Y$83,REP_EPG034_EjecucionPresupuesta!$P$60:$P$83,"1. ORDENAMIENTO DEL TERRITORIO ALREDEDOR DEL AGUA Y JUSTICIA AMBIENTAL / B. ACTUALIZACIÓN CATASTRAL MULTIPROPÓSITO - C-1209-0800-15-10305B - RECURSO 20")</f>
        <v>3146680450</v>
      </c>
      <c r="L13" s="143">
        <f t="shared" si="3"/>
        <v>0.3843778371456899</v>
      </c>
      <c r="M13" s="143">
        <f t="shared" si="4"/>
        <v>0.3843778371456899</v>
      </c>
    </row>
    <row r="14" spans="2:16" ht="54.95" customHeight="1" thickBot="1" x14ac:dyDescent="0.3">
      <c r="B14" s="275"/>
      <c r="C14" s="53" t="str">
        <f>REP_EPG034_EjecucionPresupuesta!P68</f>
        <v>1. ORDENAMIENTO DEL TERRITORIO ALREDEDOR DEL AGUA Y JUSTICIA AMBIENTAL / B. ACTUALIZACIÓN CATASTRAL MULTIPROPÓSITO - C-1209-0800-15-10305B - RECURSO 14</v>
      </c>
      <c r="D14" s="196" t="s">
        <v>349</v>
      </c>
      <c r="E14" s="63">
        <f>SUMIFS(REP_EPG034_EjecucionPresupuesta!$T$60:$T$78,REP_EPG034_EjecucionPresupuesta!$P$60:$P$78,"5. CONVERGENCIA REGIONAL / B. ENTIDADES PÚBLICAS TERRITORIALES Y NACIONALES FORTALECIDAS - C-1209-0800-17-53105B")</f>
        <v>33536785131</v>
      </c>
      <c r="F14" s="71">
        <f>SUMIFS(REP_EPG034_EjecucionPresupuesta!$U$60:$U$83,REP_EPG034_EjecucionPresupuesta!$P$60:$P$83,"5. CONVERGENCIA REGIONAL / B. ENTIDADES PÚBLICAS TERRITORIALES Y NACIONALES FORTALECIDAS")</f>
        <v>0</v>
      </c>
      <c r="G14" s="71">
        <f t="shared" si="0"/>
        <v>33536785131</v>
      </c>
      <c r="H14" s="71">
        <f>SUMIFS(REP_EPG034_EjecucionPresupuesta!$X$60:$X$83,REP_EPG034_EjecucionPresupuesta!$P$60:$P$83,"5. CONVERGENCIA REGIONAL / B. ENTIDADES PÚBLICAS TERRITORIALES Y NACIONALES FORTALECIDAS - C-1209-0800-17-53105B")</f>
        <v>21097909598</v>
      </c>
      <c r="I14" s="143">
        <f t="shared" si="1"/>
        <v>0.62909755707317261</v>
      </c>
      <c r="J14" s="143">
        <f t="shared" si="2"/>
        <v>0.62909755707317261</v>
      </c>
      <c r="K14" s="71">
        <f>SUMIFS(REP_EPG034_EjecucionPresupuesta!$Y$60:$Y$83,REP_EPG034_EjecucionPresupuesta!$P$60:$P$83,"5. CONVERGENCIA REGIONAL / B. ENTIDADES PÚBLICAS TERRITORIALES Y NACIONALES FORTALECIDAS - C-1209-0800-17-53105B")</f>
        <v>993139783.5</v>
      </c>
      <c r="L14" s="143">
        <f t="shared" si="3"/>
        <v>2.9613446238828157E-2</v>
      </c>
      <c r="M14" s="143">
        <f t="shared" si="4"/>
        <v>2.9613446238828157E-2</v>
      </c>
    </row>
    <row r="15" spans="2:16" ht="54.95" customHeight="1" thickBot="1" x14ac:dyDescent="0.3">
      <c r="B15" s="273" t="s">
        <v>350</v>
      </c>
      <c r="C15" s="53" t="str">
        <f>REP_EPG034_EjecucionPresupuesta!P69</f>
        <v>1. ORDENAMIENTO DEL TERRITORIO ALREDEDOR DEL AGUA Y JUSTICIA AMBIENTAL / B. ACTUALIZACIÓN CATASTRAL MULTIPROPÓSITO - C-1209-0800-15-10305B - RECURSO 20</v>
      </c>
      <c r="D15" s="196" t="s">
        <v>351</v>
      </c>
      <c r="E15" s="63">
        <f>SUMIFS(REP_EPG034_EjecucionPresupuesta!$T$60:$T$78,REP_EPG034_EjecucionPresupuesta!$P$60:$P$78,"1. ORDENAMIENTO DEL TERRITORIO ALREDEDOR DEL AGUA Y JUSTICIA AMBIENTAL / C. SISTEMA DE ADMINISTRACIÓN DEL TERRITORIO (SAT) - C-1299-0800-8-10305C")</f>
        <v>63319764661</v>
      </c>
      <c r="F15" s="71">
        <f>SUMIFS(REP_EPG034_EjecucionPresupuesta!$U$60:$U$83,REP_EPG034_EjecucionPresupuesta!$P$60:$P$83,"1. ORDENAMIENTO DEL TERRITORIO ALREDEDOR DEL AGUA Y JUSTICIA AMBIENTAL / C. SISTEMA DE ADMINISTRACIÓN DEL TERRITORIO (SAT) - C-1299-0800-8-10305C")</f>
        <v>0</v>
      </c>
      <c r="G15" s="71">
        <f t="shared" si="0"/>
        <v>63319764661</v>
      </c>
      <c r="H15" s="71">
        <f>SUMIFS(REP_EPG034_EjecucionPresupuesta!$X$60:$X$83,REP_EPG034_EjecucionPresupuesta!$P$60:$P$83,"1. ORDENAMIENTO DEL TERRITORIO ALREDEDOR DEL AGUA Y JUSTICIA AMBIENTAL / C. SISTEMA DE ADMINISTRACIÓN DEL TERRITORIO (SAT) - C-1299-0800-8-10305C")</f>
        <v>46755005531.580002</v>
      </c>
      <c r="I15" s="143">
        <f t="shared" si="1"/>
        <v>0.7383951248381283</v>
      </c>
      <c r="J15" s="143">
        <f t="shared" si="2"/>
        <v>0.7383951248381283</v>
      </c>
      <c r="K15" s="71">
        <f>SUMIFS(REP_EPG034_EjecucionPresupuesta!$Y$60:$Y$83,REP_EPG034_EjecucionPresupuesta!$P$60:$P$83,"1. ORDENAMIENTO DEL TERRITORIO ALREDEDOR DEL AGUA Y JUSTICIA AMBIENTAL / C. SISTEMA DE ADMINISTRACIÓN DEL TERRITORIO (SAT) - C-1299-0800-8-10305C")</f>
        <v>31196366372.650002</v>
      </c>
      <c r="L15" s="143">
        <f t="shared" si="3"/>
        <v>0.49267975867674874</v>
      </c>
      <c r="M15" s="143">
        <f t="shared" si="4"/>
        <v>0.49267975867674874</v>
      </c>
    </row>
    <row r="16" spans="2:16" ht="54.95" customHeight="1" thickBot="1" x14ac:dyDescent="0.3">
      <c r="B16" s="274"/>
      <c r="C16" s="53" t="str">
        <f>REP_EPG034_EjecucionPresupuesta!P70</f>
        <v>5. CONVERGENCIA REGIONAL / B. ENTIDADES PÚBLICAS TERRITORIALES Y NACIONALES FORTALECIDAS - C-1209-0800-17-53105B</v>
      </c>
      <c r="D16" s="196" t="s">
        <v>352</v>
      </c>
      <c r="E16" s="63">
        <f>SUMIFS(REP_EPG034_EjecucionPresupuesta!$T$60:$T$78,REP_EPG034_EjecucionPresupuesta!$P$60:$P$78,"1. ORDENAMIENTO DEL TERRITORIO ALREDEDOR DEL AGUA Y JUSTICIA AMBIENTAL / C. SISTEMA DE ADMINISTRACIÓN DEL TERRITORIO (SAT) - C-1299-0800-9-10305C")</f>
        <v>20225300946</v>
      </c>
      <c r="F16" s="71">
        <f>SUMIFS(REP_EPG034_EjecucionPresupuesta!$U$60:$U$83,REP_EPG034_EjecucionPresupuesta!$P$60:$P$83,"1. ORDENAMIENTO DEL TERRITORIO ALREDEDOR DEL AGUA Y JUSTICIA AMBIENTAL / C. SISTEMA DE ADMINISTRACIÓN DEL TERRITORIO (SAT) - C-1299-0800-9-10305")</f>
        <v>0</v>
      </c>
      <c r="G16" s="71">
        <f t="shared" si="0"/>
        <v>20225300946</v>
      </c>
      <c r="H16" s="71">
        <f>SUMIFS(REP_EPG034_EjecucionPresupuesta!$X$60:$X$83,REP_EPG034_EjecucionPresupuesta!$P$60:$P$83,"1. ORDENAMIENTO DEL TERRITORIO ALREDEDOR DEL AGUA Y JUSTICIA AMBIENTAL / C. SISTEMA DE ADMINISTRACIÓN DEL TERRITORIO (SAT) - C-1299-0800-9-10305C")</f>
        <v>17098067986</v>
      </c>
      <c r="I16" s="143">
        <f t="shared" si="1"/>
        <v>0.84538015190233895</v>
      </c>
      <c r="J16" s="143">
        <f t="shared" si="2"/>
        <v>0.84538015190233895</v>
      </c>
      <c r="K16" s="71">
        <f>SUMIFS(REP_EPG034_EjecucionPresupuesta!$Y$60:$Y$83,REP_EPG034_EjecucionPresupuesta!$P$60:$P$83,"1. ORDENAMIENTO DEL TERRITORIO ALREDEDOR DEL AGUA Y JUSTICIA AMBIENTAL / C. SISTEMA DE ADMINISTRACIÓN DEL TERRITORIO (SAT) - C-1299-0800-9-10305C")</f>
        <v>6399106507.3500004</v>
      </c>
      <c r="L16" s="143">
        <f t="shared" si="3"/>
        <v>0.31639116394040928</v>
      </c>
      <c r="M16" s="143">
        <f t="shared" si="4"/>
        <v>0.31639116394040928</v>
      </c>
    </row>
    <row r="17" spans="2:13" ht="54.95" customHeight="1" thickBot="1" x14ac:dyDescent="0.3">
      <c r="B17" s="275"/>
      <c r="C17" s="53" t="str">
        <f>REP_EPG034_EjecucionPresupuesta!P71</f>
        <v>1. ORDENAMIENTO DEL TERRITORIO ALREDEDOR DEL AGUA Y JUSTICIA AMBIENTAL / C. SISTEMA DE ADMINISTRACIÓN DEL TERRITORIO (SAT) - C-1299-0800-8-10305C</v>
      </c>
      <c r="D17" s="196" t="s">
        <v>353</v>
      </c>
      <c r="E17" s="63">
        <f>SUMIFS(REP_EPG034_EjecucionPresupuesta!$T$60:$T$78,REP_EPG034_EjecucionPresupuesta!$P$60:$P$78,"5. CONVERGENCIA REGIONAL / B. ENTIDADES PÚBLICAS TERRITORIALES Y NACIONALES FORTALECIDAS - C-1299-0800-10-53105B")</f>
        <v>1500000000</v>
      </c>
      <c r="F17" s="71">
        <f>SUMIFS(REP_EPG034_EjecucionPresupuesta!$U$60:$U$83,REP_EPG034_EjecucionPresupuesta!$P$60:$P$83,"5. CONVERGENCIA REGIONAL / B. ENTIDADES PÚBLICAS TERRITORIALES Y NACIONALES FORTALECIDAS - C-1299-0800-10-53105BS")</f>
        <v>0</v>
      </c>
      <c r="G17" s="71">
        <f t="shared" si="0"/>
        <v>1500000000</v>
      </c>
      <c r="H17" s="71">
        <f>SUMIFS(REP_EPG034_EjecucionPresupuesta!$X$60:$X$83,REP_EPG034_EjecucionPresupuesta!$P$60:$P$83,"5. CONVERGENCIA REGIONAL / B. ENTIDADES PÚBLICAS TERRITORIALES Y NACIONALES FORTALECIDAS - C-1299-0800-10-53105B")</f>
        <v>1350044171</v>
      </c>
      <c r="I17" s="143">
        <f t="shared" si="1"/>
        <v>0.90002944733333334</v>
      </c>
      <c r="J17" s="143">
        <f t="shared" si="2"/>
        <v>0.90002944733333334</v>
      </c>
      <c r="K17" s="71">
        <f>SUMIFS(REP_EPG034_EjecucionPresupuesta!$Y$60:$Y$83,REP_EPG034_EjecucionPresupuesta!$P$60:$P$83,"5. CONVERGENCIA REGIONAL / B. ENTIDADES PÚBLICAS TERRITORIALES Y NACIONALES FORTALECIDAS - C-1299-0800-10-53105B")</f>
        <v>909781813</v>
      </c>
      <c r="L17" s="143">
        <f t="shared" si="3"/>
        <v>0.6065212086666667</v>
      </c>
      <c r="M17" s="143">
        <f t="shared" si="4"/>
        <v>0.6065212086666667</v>
      </c>
    </row>
    <row r="18" spans="2:13" ht="30" customHeight="1" x14ac:dyDescent="0.25">
      <c r="B18" s="288" t="s">
        <v>354</v>
      </c>
      <c r="C18" s="288"/>
      <c r="D18" s="289"/>
      <c r="E18" s="119">
        <f>SUM(E11:E17)</f>
        <v>153838844636</v>
      </c>
      <c r="F18" s="132">
        <f>SUM(F12:F17)</f>
        <v>0</v>
      </c>
      <c r="G18" s="132">
        <f t="shared" si="0"/>
        <v>153838844636</v>
      </c>
      <c r="H18" s="132">
        <f>SUM(H11:H17)</f>
        <v>111275598721.45</v>
      </c>
      <c r="I18" s="203">
        <f>+H18/E18</f>
        <v>0.72332575679920486</v>
      </c>
      <c r="J18" s="203">
        <f t="shared" si="2"/>
        <v>0.72332575679920486</v>
      </c>
      <c r="K18" s="132">
        <f>SUM(K11:K17)</f>
        <v>53001846925.010002</v>
      </c>
      <c r="L18" s="203">
        <f>+K18/E18</f>
        <v>0.34452837350942367</v>
      </c>
      <c r="M18" s="203">
        <f t="shared" si="4"/>
        <v>0.34452837350942367</v>
      </c>
    </row>
    <row r="21" spans="2:13" ht="23.25" customHeight="1" x14ac:dyDescent="0.25">
      <c r="C21" s="284"/>
      <c r="D21" s="284"/>
      <c r="E21" s="284"/>
      <c r="F21" s="284"/>
      <c r="G21" s="284"/>
      <c r="H21" s="284"/>
      <c r="I21" s="284"/>
      <c r="J21" s="284"/>
      <c r="K21" s="284"/>
      <c r="L21" s="284"/>
    </row>
    <row r="22" spans="2:13" ht="15" customHeight="1" x14ac:dyDescent="0.25">
      <c r="C22" s="284"/>
      <c r="D22" s="284"/>
      <c r="E22" s="284"/>
      <c r="F22" s="284"/>
      <c r="G22" s="284"/>
      <c r="H22" s="284"/>
      <c r="I22" s="284"/>
      <c r="J22" s="284"/>
      <c r="K22" s="284"/>
      <c r="L22" s="284"/>
    </row>
  </sheetData>
  <mergeCells count="9">
    <mergeCell ref="C21:L21"/>
    <mergeCell ref="C22:L22"/>
    <mergeCell ref="M2:N2"/>
    <mergeCell ref="B9:M9"/>
    <mergeCell ref="D12:D13"/>
    <mergeCell ref="B15:B17"/>
    <mergeCell ref="B18:D18"/>
    <mergeCell ref="B11:B14"/>
    <mergeCell ref="I7:L7"/>
  </mergeCells>
  <printOptions horizontalCentered="1" verticalCentered="1"/>
  <pageMargins left="0.78740157480314965" right="0" top="0" bottom="0" header="0.31496062992125984" footer="0.31496062992125984"/>
  <pageSetup scale="44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8">
    <tabColor rgb="FF00B050"/>
  </sheetPr>
  <dimension ref="B1:M38"/>
  <sheetViews>
    <sheetView showGridLines="0" topLeftCell="A14" zoomScale="80" zoomScaleNormal="80" workbookViewId="0">
      <selection activeCell="W14" sqref="W14"/>
    </sheetView>
  </sheetViews>
  <sheetFormatPr baseColWidth="10" defaultColWidth="11.42578125" defaultRowHeight="15" x14ac:dyDescent="0.25"/>
  <cols>
    <col min="1" max="1" width="6.7109375" style="40" customWidth="1"/>
    <col min="2" max="2" width="52.85546875" style="40" customWidth="1"/>
    <col min="3" max="3" width="25.7109375" style="40" customWidth="1"/>
    <col min="4" max="6" width="22.7109375" style="40" customWidth="1"/>
    <col min="7" max="7" width="19.140625" style="47" customWidth="1"/>
    <col min="8" max="8" width="19.140625" style="47" hidden="1" customWidth="1"/>
    <col min="9" max="9" width="30.85546875" style="40" customWidth="1"/>
    <col min="10" max="10" width="18.140625" style="47" customWidth="1"/>
    <col min="11" max="11" width="17.85546875" style="40" hidden="1" customWidth="1"/>
    <col min="12" max="12" width="0" style="40" hidden="1" customWidth="1"/>
    <col min="13" max="16384" width="11.42578125" style="40"/>
  </cols>
  <sheetData>
    <row r="1" spans="2:13" ht="12" customHeight="1" x14ac:dyDescent="0.25">
      <c r="G1" s="242"/>
      <c r="H1" s="242"/>
      <c r="J1" s="242"/>
    </row>
    <row r="2" spans="2:13" ht="18.75" customHeight="1" x14ac:dyDescent="0.25">
      <c r="G2" s="242"/>
      <c r="H2" s="242"/>
      <c r="J2" s="242"/>
    </row>
    <row r="3" spans="2:13" ht="18.75" customHeight="1" x14ac:dyDescent="0.25">
      <c r="G3" s="242"/>
      <c r="H3" s="242"/>
      <c r="J3" s="242"/>
    </row>
    <row r="4" spans="2:13" ht="18.75" customHeight="1" x14ac:dyDescent="0.25">
      <c r="G4" s="242"/>
      <c r="H4" s="242"/>
      <c r="J4" s="242"/>
    </row>
    <row r="5" spans="2:13" ht="18.75" customHeight="1" x14ac:dyDescent="0.3">
      <c r="F5" s="190"/>
      <c r="G5" s="190"/>
      <c r="H5" s="190"/>
      <c r="I5" s="151" t="s">
        <v>258</v>
      </c>
      <c r="J5" s="190"/>
    </row>
    <row r="6" spans="2:13" ht="15.75" customHeight="1" x14ac:dyDescent="0.25">
      <c r="F6" s="190"/>
      <c r="G6" s="190"/>
      <c r="H6" s="190"/>
      <c r="I6" s="190"/>
      <c r="J6" s="190"/>
    </row>
    <row r="7" spans="2:13" ht="50.25" customHeight="1" x14ac:dyDescent="0.25">
      <c r="B7" s="263" t="s">
        <v>355</v>
      </c>
      <c r="C7" s="263"/>
      <c r="D7" s="263"/>
      <c r="E7" s="263"/>
      <c r="F7" s="263"/>
      <c r="G7" s="263"/>
      <c r="H7" s="263"/>
      <c r="I7" s="263"/>
      <c r="J7" s="263"/>
      <c r="K7" s="263"/>
    </row>
    <row r="8" spans="2:13" ht="66" customHeight="1" x14ac:dyDescent="0.25">
      <c r="B8" s="90" t="s">
        <v>324</v>
      </c>
      <c r="C8" s="156" t="s">
        <v>300</v>
      </c>
      <c r="D8" s="156" t="s">
        <v>282</v>
      </c>
      <c r="E8" s="156" t="s">
        <v>283</v>
      </c>
      <c r="F8" s="35" t="s">
        <v>284</v>
      </c>
      <c r="G8" s="31" t="s">
        <v>285</v>
      </c>
      <c r="H8" s="31" t="s">
        <v>286</v>
      </c>
      <c r="I8" s="35" t="s">
        <v>287</v>
      </c>
      <c r="J8" s="31" t="s">
        <v>288</v>
      </c>
      <c r="K8" s="31" t="s">
        <v>289</v>
      </c>
    </row>
    <row r="9" spans="2:13" s="61" customFormat="1" ht="24.75" customHeight="1" thickBot="1" x14ac:dyDescent="0.3">
      <c r="B9" s="66" t="s">
        <v>356</v>
      </c>
      <c r="C9" s="67">
        <f>SUM(C10:C12)</f>
        <v>1384683700000</v>
      </c>
      <c r="D9" s="67">
        <f>SUM(D10:D12)</f>
        <v>0</v>
      </c>
      <c r="E9" s="67">
        <f>+C9-D9</f>
        <v>1384683700000</v>
      </c>
      <c r="F9" s="67">
        <f>SUM(F10:F12)</f>
        <v>1065228357957.5</v>
      </c>
      <c r="G9" s="59">
        <f>+F9/C9</f>
        <v>0.76929363576497656</v>
      </c>
      <c r="H9" s="59">
        <f>+F9/E9</f>
        <v>0.76929363576497656</v>
      </c>
      <c r="I9" s="67">
        <f>SUM(I10:I12)</f>
        <v>1062943874497.6</v>
      </c>
      <c r="J9" s="59">
        <f t="shared" ref="J9:J18" si="0">+I9/C9</f>
        <v>0.76764381244438706</v>
      </c>
      <c r="K9" s="59">
        <f>+I9/E9</f>
        <v>0.76764381244438706</v>
      </c>
      <c r="M9" s="210"/>
    </row>
    <row r="10" spans="2:13" ht="24.95" customHeight="1" thickBot="1" x14ac:dyDescent="0.3">
      <c r="B10" s="44" t="s">
        <v>325</v>
      </c>
      <c r="C10" s="68">
        <f>SUMIFS(REP_EPG034_EjecucionPresupuesta!$T$72:$T$92,REP_EPG034_EjecucionPresupuesta!$P$72:$P$92,"SALARIO")</f>
        <v>776737000000</v>
      </c>
      <c r="D10" s="68">
        <f>SUMIFS(REP_EPG034_EjecucionPresupuesta!$U$73:$U$92,REP_EPG034_EjecucionPresupuesta!$P$73:$P$92,"SALARIO")</f>
        <v>0</v>
      </c>
      <c r="E10" s="68">
        <f t="shared" ref="E10:E30" si="1">+C10-D10</f>
        <v>776737000000</v>
      </c>
      <c r="F10" s="69">
        <f>SUMIFS(REP_EPG034_EjecucionPresupuesta!$X$72:$X$92,REP_EPG034_EjecucionPresupuesta!$P$72:$P$92,"SALARIO")</f>
        <v>577177850127</v>
      </c>
      <c r="G10" s="32">
        <f>F10/C10</f>
        <v>0.74308015470744926</v>
      </c>
      <c r="H10" s="32">
        <f t="shared" ref="H10:H28" si="2">+F10/E10</f>
        <v>0.74308015470744926</v>
      </c>
      <c r="I10" s="65">
        <f>SUMIFS(REP_EPG034_EjecucionPresupuesta!$Y$72:$Y$92,REP_EPG034_EjecucionPresupuesta!$P$72:$P$92,"SALARIO")</f>
        <v>575200362620.5</v>
      </c>
      <c r="J10" s="32">
        <f t="shared" si="0"/>
        <v>0.74053426400506217</v>
      </c>
      <c r="K10" s="32">
        <f t="shared" ref="K10:K28" si="3">+I10/E10</f>
        <v>0.74053426400506217</v>
      </c>
    </row>
    <row r="11" spans="2:13" ht="24.95" customHeight="1" thickBot="1" x14ac:dyDescent="0.3">
      <c r="B11" s="45" t="s">
        <v>326</v>
      </c>
      <c r="C11" s="68">
        <f>SUMIFS(REP_EPG034_EjecucionPresupuesta!$T$73:$T$92,REP_EPG034_EjecucionPresupuesta!$P$73:$P$92,"CONTRIBUCIONES INHERENTES A LA NÓMINA")</f>
        <v>357631400000</v>
      </c>
      <c r="D11" s="68">
        <f>SUMIFS(REP_EPG034_EjecucionPresupuesta!$U$73:$U$92,REP_EPG034_EjecucionPresupuesta!$P$73:$P$92,"CONTRIBUCIONES INHERENTES A LA NÓMINA")</f>
        <v>0</v>
      </c>
      <c r="E11" s="68">
        <f t="shared" si="1"/>
        <v>357631400000</v>
      </c>
      <c r="F11" s="69">
        <f>SUMIFS(REP_EPG034_EjecucionPresupuesta!$X$72:$X$92,REP_EPG034_EjecucionPresupuesta!$P$72:$P$92,"CONTRIBUCIONES INHERENTES A LA NÓMINA")</f>
        <v>289055481093</v>
      </c>
      <c r="G11" s="32">
        <f>F11/C11</f>
        <v>0.80824972609508006</v>
      </c>
      <c r="H11" s="32">
        <f t="shared" si="2"/>
        <v>0.80824972609508006</v>
      </c>
      <c r="I11" s="65">
        <f>SUMIFS(REP_EPG034_EjecucionPresupuesta!$Y$72:$Y$92,REP_EPG034_EjecucionPresupuesta!$P$72:$P$92,"CONTRIBUCIONES INHERENTES A LA NÓMINA")</f>
        <v>288982429493</v>
      </c>
      <c r="J11" s="32">
        <f t="shared" si="0"/>
        <v>0.80804546103334329</v>
      </c>
      <c r="K11" s="32">
        <f t="shared" si="3"/>
        <v>0.80804546103334329</v>
      </c>
      <c r="L11" s="171">
        <f>IFERROR(A1/B1,0)</f>
        <v>0</v>
      </c>
      <c r="M11" s="170"/>
    </row>
    <row r="12" spans="2:13" ht="24.95" customHeight="1" thickBot="1" x14ac:dyDescent="0.3">
      <c r="B12" s="45" t="s">
        <v>327</v>
      </c>
      <c r="C12" s="68">
        <f>SUMIFS(REP_EPG034_EjecucionPresupuesta!$T$73:$T$92,REP_EPG034_EjecucionPresupuesta!$P$73:$P$92,"REMUNERACIONES NO CONSTITUTIVAS DE FACTOR SALARIAL")</f>
        <v>250315300000</v>
      </c>
      <c r="D12" s="68">
        <f>SUMIFS(REP_EPG034_EjecucionPresupuesta!$U$73:$U$92,REP_EPG034_EjecucionPresupuesta!$P$73:$P$92,"REMUNERACIONES NO CONSTITUTIVAS DE FACTOR SALARIAL")</f>
        <v>0</v>
      </c>
      <c r="E12" s="68">
        <f t="shared" si="1"/>
        <v>250315300000</v>
      </c>
      <c r="F12" s="69">
        <f>SUMIFS(REP_EPG034_EjecucionPresupuesta!$X$72:$X$92,REP_EPG034_EjecucionPresupuesta!$P$72:$P$92,"REMUNERACIONES NO CONSTITUTIVAS DE FACTOR SALARIAL")</f>
        <v>198995026737.5</v>
      </c>
      <c r="G12" s="32">
        <f>F12/C12</f>
        <v>0.79497748135052071</v>
      </c>
      <c r="H12" s="32">
        <f t="shared" si="2"/>
        <v>0.79497748135052071</v>
      </c>
      <c r="I12" s="65">
        <f>SUMIFS(REP_EPG034_EjecucionPresupuesta!$Y$72:$Y$92,REP_EPG034_EjecucionPresupuesta!$P$72:$P$92,"REMUNERACIONES NO CONSTITUTIVAS DE FACTOR SALARIAL")</f>
        <v>198761082384.10001</v>
      </c>
      <c r="J12" s="32">
        <f t="shared" si="0"/>
        <v>0.79404288265279832</v>
      </c>
      <c r="K12" s="32">
        <f>+I12/E12</f>
        <v>0.79404288265279832</v>
      </c>
      <c r="M12" s="246"/>
    </row>
    <row r="13" spans="2:13" s="61" customFormat="1" ht="24.75" customHeight="1" thickBot="1" x14ac:dyDescent="0.3">
      <c r="B13" s="66" t="s">
        <v>357</v>
      </c>
      <c r="C13" s="67">
        <f>SUM(C14:C14)</f>
        <v>269397924000</v>
      </c>
      <c r="D13" s="67">
        <f>SUM(D14:D14)</f>
        <v>10077243096</v>
      </c>
      <c r="E13" s="67">
        <f>+C13-D13</f>
        <v>259320680904</v>
      </c>
      <c r="F13" s="67">
        <f>SUM(F14:F14)</f>
        <v>219078719191.51001</v>
      </c>
      <c r="G13" s="59">
        <f>+F13/C13</f>
        <v>0.81321606320733941</v>
      </c>
      <c r="H13" s="59">
        <f t="shared" si="2"/>
        <v>0.84481776936492203</v>
      </c>
      <c r="I13" s="62">
        <f>SUM(I14:I14)</f>
        <v>169588613887.22</v>
      </c>
      <c r="J13" s="59">
        <f t="shared" si="0"/>
        <v>0.62950972809731076</v>
      </c>
      <c r="K13" s="59">
        <f t="shared" si="3"/>
        <v>0.65397257671863573</v>
      </c>
    </row>
    <row r="14" spans="2:13" ht="24.95" customHeight="1" thickBot="1" x14ac:dyDescent="0.3">
      <c r="B14" s="49" t="s">
        <v>357</v>
      </c>
      <c r="C14" s="70">
        <f>SUMIFS(REP_EPG034_EjecucionPresupuesta!$T$73:$T$92,REP_EPG034_EjecucionPresupuesta!$P$73:$P$92,"ADQUISICIÓN DE BIENES  Y SERVICIOS")</f>
        <v>269397924000</v>
      </c>
      <c r="D14" s="70">
        <f>SUMIFS(REP_EPG034_EjecucionPresupuesta!$U$73:$U$92,REP_EPG034_EjecucionPresupuesta!$P$73:$P$92,"ADQUISICIÓN DE BIENES  Y SERVICIOS")</f>
        <v>10077243096</v>
      </c>
      <c r="E14" s="68">
        <f t="shared" si="1"/>
        <v>259320680904</v>
      </c>
      <c r="F14" s="71">
        <f>SUMIFS(REP_EPG034_EjecucionPresupuesta!$X$73:$X$92,REP_EPG034_EjecucionPresupuesta!$P$73:$P$92,"ADQUISICIÓN DE BIENES  Y SERVICIOS")</f>
        <v>219078719191.51001</v>
      </c>
      <c r="G14" s="32">
        <f>F14/C14</f>
        <v>0.81321606320733941</v>
      </c>
      <c r="H14" s="32">
        <f t="shared" si="2"/>
        <v>0.84481776936492203</v>
      </c>
      <c r="I14" s="71">
        <f>SUMIFS(REP_EPG034_EjecucionPresupuesta!$Y$73:$Y$92,REP_EPG034_EjecucionPresupuesta!$P$73:$P$92,"ADQUISICIÓN DE BIENES  Y SERVICIOS")</f>
        <v>169588613887.22</v>
      </c>
      <c r="J14" s="32">
        <f t="shared" si="0"/>
        <v>0.62950972809731076</v>
      </c>
      <c r="K14" s="32">
        <f>+I14/E14</f>
        <v>0.65397257671863573</v>
      </c>
    </row>
    <row r="15" spans="2:13" s="61" customFormat="1" ht="24.75" customHeight="1" thickBot="1" x14ac:dyDescent="0.3">
      <c r="B15" s="66" t="s">
        <v>293</v>
      </c>
      <c r="C15" s="67">
        <f>SUM(C16:C22)</f>
        <v>167574032000</v>
      </c>
      <c r="D15" s="67">
        <f>SUM(D16:D22)</f>
        <v>49470646485.660004</v>
      </c>
      <c r="E15" s="67">
        <f t="shared" si="1"/>
        <v>118103385514.34</v>
      </c>
      <c r="F15" s="67">
        <f>SUM(F16:F22)</f>
        <v>109587788964.94</v>
      </c>
      <c r="G15" s="59">
        <f>+F15/C15</f>
        <v>0.65396641506447728</v>
      </c>
      <c r="H15" s="59">
        <f t="shared" si="2"/>
        <v>0.92789710038950546</v>
      </c>
      <c r="I15" s="62">
        <f>SUM(I16:I22)</f>
        <v>93465548996.100006</v>
      </c>
      <c r="J15" s="59">
        <f t="shared" si="0"/>
        <v>0.5577567590908119</v>
      </c>
      <c r="K15" s="59">
        <f t="shared" si="3"/>
        <v>0.79138755073834455</v>
      </c>
    </row>
    <row r="16" spans="2:13" ht="24.95" customHeight="1" thickBot="1" x14ac:dyDescent="0.3">
      <c r="B16" s="49" t="s">
        <v>358</v>
      </c>
      <c r="C16" s="70">
        <f>SUMIFS(REP_EPG034_EjecucionPresupuesta!$T$71:$T$91,REP_EPG034_EjecucionPresupuesta!$P$71:$P$91,"ATENCIÓN REHABILITACIÓN AL RECLUSO")</f>
        <v>44485732000</v>
      </c>
      <c r="D16" s="70">
        <f>SUMIFS(REP_EPG034_EjecucionPresupuesta!$U$71:$U$91,REP_EPG034_EjecucionPresupuesta!$P$71:$P$91,"ATENCIÓN REHABILITACIÓN AL RECLUSO")</f>
        <v>6341321243.7600002</v>
      </c>
      <c r="E16" s="68">
        <f t="shared" si="1"/>
        <v>38144410756.239998</v>
      </c>
      <c r="F16" s="71">
        <f>SUMIFS(REP_EPG034_EjecucionPresupuesta!$X$71:$X$113,REP_EPG034_EjecucionPresupuesta!$P$71:$P$113,"ATENCIÓN REHABILITACIÓN AL RECLUSO")</f>
        <v>32824419150.449997</v>
      </c>
      <c r="G16" s="32">
        <f>IFERROR(A1/B1,0)</f>
        <v>0</v>
      </c>
      <c r="H16" s="32">
        <f>IFERROR(A1/B1,0)</f>
        <v>0</v>
      </c>
      <c r="I16" s="71">
        <f>SUMIFS(REP_EPG034_EjecucionPresupuesta!$Y$71:$Y$101,REP_EPG034_EjecucionPresupuesta!$P$71:$P$101,"ATENCIÓN REHABILITACIÓN AL RECLUSO")</f>
        <v>23440787542.43</v>
      </c>
      <c r="J16" s="32">
        <f>IFERROR(A1/B1,0)</f>
        <v>0</v>
      </c>
      <c r="K16" s="32">
        <f>IFERROR(I16/E16,0)</f>
        <v>0.61452745179961521</v>
      </c>
    </row>
    <row r="17" spans="2:11" ht="30.75" thickBot="1" x14ac:dyDescent="0.3">
      <c r="B17" s="45" t="s">
        <v>359</v>
      </c>
      <c r="C17" s="70">
        <f>SUMIFS(REP_EPG034_EjecucionPresupuesta!$T$71:$T$91,REP_EPG034_EjecucionPresupuesta!$P$71:$P$91,"IMPLEMENTACIÓN Y DESARROLLO DEL SISTEMA INTEGRAL DE TRATAMIENTO PROGRESIVO PENITENCIARIO")</f>
        <v>4229200000</v>
      </c>
      <c r="D17" s="70">
        <f>SUMIFS(REP_EPG034_EjecucionPresupuesta!$U$71:$U$91,REP_EPG034_EjecucionPresupuesta!$P$71:$P$91,"IMPLEMENTACIÓN Y DESARROLLO DEL SISTEMA INTEGRAL DE TRATAMIENTO PROGRESIVO PENITENCIARIO")</f>
        <v>593427166.89999998</v>
      </c>
      <c r="E17" s="68">
        <f t="shared" si="1"/>
        <v>3635772833.0999999</v>
      </c>
      <c r="F17" s="71">
        <f>SUMIFS(REP_EPG034_EjecucionPresupuesta!$X$71:$X$113,REP_EPG034_EjecucionPresupuesta!$P$71:$P$113,"IMPLEMENTACIÓN Y DESARROLLO DEL SISTEMA INTEGRAL DE TRATAMIENTO PROGRESIVO PENITENCIARIO")</f>
        <v>3327591214.9400001</v>
      </c>
      <c r="G17" s="32">
        <f>F17/C17</f>
        <v>0.78681339613638512</v>
      </c>
      <c r="H17" s="32">
        <f t="shared" si="2"/>
        <v>0.91523628336888352</v>
      </c>
      <c r="I17" s="71">
        <f>SUMIFS(REP_EPG034_EjecucionPresupuesta!$Y$71:$Y$101,REP_EPG034_EjecucionPresupuesta!$P$71:$P$101,"IMPLEMENTACIÓN Y DESARROLLO DEL SISTEMA INTEGRAL DE TRATAMIENTO PROGRESIVO PENITENCIARIO")</f>
        <v>2196406515.4000001</v>
      </c>
      <c r="J17" s="32">
        <f t="shared" si="0"/>
        <v>0.51934326004918185</v>
      </c>
      <c r="K17" s="32">
        <f t="shared" si="3"/>
        <v>0.60410994201946866</v>
      </c>
    </row>
    <row r="18" spans="2:11" ht="24.95" customHeight="1" thickBot="1" x14ac:dyDescent="0.3">
      <c r="B18" s="45" t="s">
        <v>360</v>
      </c>
      <c r="C18" s="70">
        <f>SUMIFS(REP_EPG034_EjecucionPresupuesta!$T$71:$T$91,REP_EPG034_EjecucionPresupuesta!$P$71:$P$91,"SERVICIO POSTPENITENCIARIO LEY 65 DE 1993")</f>
        <v>165500000</v>
      </c>
      <c r="D18" s="70">
        <f>SUMIFS(REP_EPG034_EjecucionPresupuesta!$U$71:$U$91,REP_EPG034_EjecucionPresupuesta!$P$71:$P$91,"SERVICIO POSTPENITENCIARIO LEY 65 DE 1993")</f>
        <v>30000000</v>
      </c>
      <c r="E18" s="68">
        <f t="shared" si="1"/>
        <v>135500000</v>
      </c>
      <c r="F18" s="71">
        <f>SUMIFS(REP_EPG034_EjecucionPresupuesta!$X$71:$X$113,REP_EPG034_EjecucionPresupuesta!$P$71:$P$113,"SERVICIO POSTPENITENCIARIO LEY 65 DE 1993")</f>
        <v>131311616</v>
      </c>
      <c r="G18" s="32">
        <f>F18/C18</f>
        <v>0.79342366163141997</v>
      </c>
      <c r="H18" s="32">
        <f t="shared" si="2"/>
        <v>0.96908941697416973</v>
      </c>
      <c r="I18" s="71">
        <f>SUMIFS(REP_EPG034_EjecucionPresupuesta!$Y$71:$Y$113,REP_EPG034_EjecucionPresupuesta!$P$71:$P$113,"SERVICIO POSTPENITENCIARIO LEY 65 DE 1993")</f>
        <v>59427125</v>
      </c>
      <c r="J18" s="32">
        <f t="shared" si="0"/>
        <v>0.35907628398791541</v>
      </c>
      <c r="K18" s="32">
        <f t="shared" si="3"/>
        <v>0.43857656826568264</v>
      </c>
    </row>
    <row r="19" spans="2:11" ht="21.75" customHeight="1" thickBot="1" x14ac:dyDescent="0.3">
      <c r="B19" s="49" t="s">
        <v>331</v>
      </c>
      <c r="C19" s="70">
        <f>SUMIFS(REP_EPG034_EjecucionPresupuesta!$T$71:$T$91,REP_EPG034_EjecucionPresupuesta!$P$71:$P$91,"OTRAS TRANSFERENCIAS - DISTRIBUCIÓN PREVIO CONCEPTO DGPPN")</f>
        <v>25000000000</v>
      </c>
      <c r="D19" s="70">
        <f>SUMIFS(REP_EPG034_EjecucionPresupuesta!$U$71:$U$91,REP_EPG034_EjecucionPresupuesta!$P$71:$P$91,"OTRAS TRANSFERENCIAS - DISTRIBUCIÓN PREVIO CONCEPTO DGPPN")</f>
        <v>25000000000</v>
      </c>
      <c r="E19" s="68">
        <f t="shared" si="1"/>
        <v>0</v>
      </c>
      <c r="F19" s="71">
        <f>SUMIFS(REP_EPG034_EjecucionPresupuesta!$X$71:$X$101,REP_EPG034_EjecucionPresupuesta!$P$71:$P$101,"OTRAS TRANSFERENCIAS - DISTRIBUCIÓN PREVIO CONCEPTO DGPPN")</f>
        <v>0</v>
      </c>
      <c r="G19" s="32">
        <v>0</v>
      </c>
      <c r="H19" s="32">
        <f>IFERROR(F19/E19,0)</f>
        <v>0</v>
      </c>
      <c r="I19" s="71">
        <f>SUMIFS(REP_EPG034_EjecucionPresupuesta!$Y$71:$Y$101,REP_EPG034_EjecucionPresupuesta!$P$71:$P$101,"OTRAS TRANSFERENCIAS - DISTRIBUCIÓN PREVIO CONCEPTO DGPPN")</f>
        <v>0</v>
      </c>
      <c r="J19" s="32">
        <v>0</v>
      </c>
      <c r="K19" s="32">
        <f>IFERROR(I19/E19,0)</f>
        <v>0</v>
      </c>
    </row>
    <row r="20" spans="2:11" ht="33.75" customHeight="1" thickBot="1" x14ac:dyDescent="0.3">
      <c r="B20" s="44" t="s">
        <v>334</v>
      </c>
      <c r="C20" s="70">
        <f>SUMIFS(REP_EPG034_EjecucionPresupuesta!$T$71:$T$101,REP_EPG034_EjecucionPresupuesta!$P$71:$P$101,"INCAPACIDADES Y LICENCIAS DE MATERNIDAD Y PATERNIDAD (NO DE PENSIONES)")</f>
        <v>3393600000</v>
      </c>
      <c r="D20" s="70">
        <f>SUMIFS(REP_EPG034_EjecucionPresupuesta!$U$71:$U$91,REP_EPG034_EjecucionPresupuesta!$P$71:$P$91,"INCAPACIDADES Y LICENCIAS DE MATERNIDAD Y PATERNIDAD (NO DE PENSIONES)")</f>
        <v>0</v>
      </c>
      <c r="E20" s="68">
        <f t="shared" si="1"/>
        <v>3393600000</v>
      </c>
      <c r="F20" s="71">
        <f>SUMIFS(REP_EPG034_EjecucionPresupuesta!$X$71:$X$101,REP_EPG034_EjecucionPresupuesta!$P$71:$P$101,"INCAPACIDADES Y LICENCIAS DE MATERNIDAD Y PATERNIDAD (NO DE PENSIONES)")</f>
        <v>3199184338</v>
      </c>
      <c r="G20" s="32">
        <f>F20/C20</f>
        <v>0.94271108498349832</v>
      </c>
      <c r="H20" s="32">
        <f t="shared" si="2"/>
        <v>0.94271108498349832</v>
      </c>
      <c r="I20" s="65">
        <f>SUMIFS(REP_EPG034_EjecucionPresupuesta!$Y$71:$Y$101,REP_EPG034_EjecucionPresupuesta!$P$71:$P$101,"INCAPACIDADES Y LICENCIAS DE MATERNIDAD Y PATERNIDAD (NO DE PENSIONES)")</f>
        <v>3125282768</v>
      </c>
      <c r="J20" s="32">
        <f t="shared" ref="J20:J28" si="4">+I20/C20</f>
        <v>0.9209343375766148</v>
      </c>
      <c r="K20" s="32">
        <f t="shared" si="3"/>
        <v>0.9209343375766148</v>
      </c>
    </row>
    <row r="21" spans="2:11" ht="24.95" customHeight="1" thickBot="1" x14ac:dyDescent="0.3">
      <c r="B21" s="45" t="s">
        <v>361</v>
      </c>
      <c r="C21" s="70">
        <f>SUMIFS(REP_EPG034_EjecucionPresupuesta!$T$71:$T$113,REP_EPG034_EjecucionPresupuesta!$P$71:$P$113,"INDEMNIZACIÓN POR DISMINUCIÓN DE LA CAPACIDAD PSICOFÍSICA (NO DE PENSIONES)")</f>
        <v>300000000</v>
      </c>
      <c r="D21" s="70">
        <f>SUMIFS(REP_EPG034_EjecucionPresupuesta!$U$71:$U$91,REP_EPG034_EjecucionPresupuesta!$P$71:$P$91,"PRESTACIONES SOCIALES (NO DE PENSIONES)")</f>
        <v>0</v>
      </c>
      <c r="E21" s="68">
        <f t="shared" si="1"/>
        <v>300000000</v>
      </c>
      <c r="F21" s="71">
        <f>SUMIFS(REP_EPG034_EjecucionPresupuesta!$X$71:$X$113,REP_EPG034_EjecucionPresupuesta!$P$71:$P$113,"INDEMNIZACIÓN POR DISMINUCIÓN DE LA CAPACIDAD PSICOFÍSICA (NO DE PENSIONES)")</f>
        <v>225291767</v>
      </c>
      <c r="G21" s="32">
        <f>F21/C21</f>
        <v>0.75097255666666662</v>
      </c>
      <c r="H21" s="32">
        <f t="shared" si="2"/>
        <v>0.75097255666666662</v>
      </c>
      <c r="I21" s="71">
        <f>SUMIFS(REP_EPG034_EjecucionPresupuesta!$Y$71:$Y$101,REP_EPG034_EjecucionPresupuesta!$P$71:$P$101,"INDEMNIZACIÓN POR DISMINUCIÓN DE LA CAPACIDAD PSICOFÍSICA (NO DE PENSIONES)")</f>
        <v>225291767</v>
      </c>
      <c r="J21" s="32">
        <f t="shared" si="4"/>
        <v>0.75097255666666662</v>
      </c>
      <c r="K21" s="32">
        <f t="shared" si="3"/>
        <v>0.75097255666666662</v>
      </c>
    </row>
    <row r="22" spans="2:11" ht="24.95" customHeight="1" thickBot="1" x14ac:dyDescent="0.3">
      <c r="B22" s="45" t="s">
        <v>337</v>
      </c>
      <c r="C22" s="70">
        <f>SUMIFS(REP_EPG034_EjecucionPresupuesta!$T$71:$T$101,REP_EPG034_EjecucionPresupuesta!$P$71:$P$101,"SENTENCIAS Y CONCILIACIONES")</f>
        <v>90000000000</v>
      </c>
      <c r="D22" s="70">
        <f>SUMIFS(REP_EPG034_EjecucionPresupuesta!$U$71:$U$91,REP_EPG034_EjecucionPresupuesta!$P$71:$P$91,"SENTENCIAS Y CONCILIACIONES")</f>
        <v>17505898075</v>
      </c>
      <c r="E22" s="68">
        <f t="shared" si="1"/>
        <v>72494101925</v>
      </c>
      <c r="F22" s="71">
        <f>SUMIFS(REP_EPG034_EjecucionPresupuesta!$X$71:$X$89,REP_EPG034_EjecucionPresupuesta!$P$71:$P$89,"SENTENCIAS Y CONCILIACIONES")</f>
        <v>69879990878.550003</v>
      </c>
      <c r="G22" s="32">
        <f>F22/C22</f>
        <v>0.77644434309499999</v>
      </c>
      <c r="H22" s="32">
        <f t="shared" si="2"/>
        <v>0.96394036236003766</v>
      </c>
      <c r="I22" s="71">
        <f>SUMIFS(REP_EPG034_EjecucionPresupuesta!$Y$71:$Y$101,REP_EPG034_EjecucionPresupuesta!$P$71:$P$101,"SENTENCIAS Y CONCILIACIONES")</f>
        <v>64418353278.269997</v>
      </c>
      <c r="J22" s="32">
        <f t="shared" si="4"/>
        <v>0.71575948086966668</v>
      </c>
      <c r="K22" s="32">
        <f t="shared" si="3"/>
        <v>0.88860130090190093</v>
      </c>
    </row>
    <row r="23" spans="2:11" s="61" customFormat="1" ht="24.75" customHeight="1" thickBot="1" x14ac:dyDescent="0.3">
      <c r="B23" s="66" t="s">
        <v>362</v>
      </c>
      <c r="C23" s="67">
        <f>SUM(C24:C24)</f>
        <v>96251351000</v>
      </c>
      <c r="D23" s="67">
        <f>SUM(D24:D24)</f>
        <v>0</v>
      </c>
      <c r="E23" s="67">
        <f t="shared" si="1"/>
        <v>96251351000</v>
      </c>
      <c r="F23" s="67">
        <f>SUM(F24:F24)</f>
        <v>88352738358.559998</v>
      </c>
      <c r="G23" s="59">
        <f>F23/C23</f>
        <v>0.91793764389405819</v>
      </c>
      <c r="H23" s="59">
        <f t="shared" si="2"/>
        <v>0.91793764389405819</v>
      </c>
      <c r="I23" s="135">
        <f>SUM(I24:I24)</f>
        <v>73148031034.130005</v>
      </c>
      <c r="J23" s="59">
        <f t="shared" si="4"/>
        <v>0.75996887601224428</v>
      </c>
      <c r="K23" s="59">
        <f t="shared" si="3"/>
        <v>0.75996887601224428</v>
      </c>
    </row>
    <row r="24" spans="2:11" ht="24.95" customHeight="1" thickBot="1" x14ac:dyDescent="0.3">
      <c r="B24" s="49" t="s">
        <v>363</v>
      </c>
      <c r="C24" s="70">
        <f>SUMIFS(REP_EPG034_EjecucionPresupuesta!$T$84:$T$113,REP_EPG034_EjecucionPresupuesta!$P$84:$P$113,"GASTOS DE COMERCIALIZACIÓN Y PRODUCCIÓN")</f>
        <v>96251351000</v>
      </c>
      <c r="D24" s="70">
        <f>SUMIFS(REP_EPG034_EjecucionPresupuesta!$U$84:$U$113,REP_EPG034_EjecucionPresupuesta!$P$84:$P$113,"GASTOS DE COMERCIALIZACIÓN Y PRODUCCIÓN")</f>
        <v>0</v>
      </c>
      <c r="E24" s="68">
        <f t="shared" si="1"/>
        <v>96251351000</v>
      </c>
      <c r="F24" s="71">
        <f>SUMIFS(REP_EPG034_EjecucionPresupuesta!$X$84:$X$113,REP_EPG034_EjecucionPresupuesta!$P$84:$P$113,"GASTOS DE COMERCIALIZACIÓN Y PRODUCCIÓN")</f>
        <v>88352738358.559998</v>
      </c>
      <c r="G24" s="32">
        <f>F24/C24</f>
        <v>0.91793764389405819</v>
      </c>
      <c r="H24" s="32">
        <f t="shared" si="2"/>
        <v>0.91793764389405819</v>
      </c>
      <c r="I24" s="71">
        <f>SUMIFS(REP_EPG034_EjecucionPresupuesta!$Y$84:$Y$113,REP_EPG034_EjecucionPresupuesta!$P$84:$P$113,"GASTOS DE COMERCIALIZACIÓN Y PRODUCCIÓN")</f>
        <v>73148031034.130005</v>
      </c>
      <c r="J24" s="32">
        <f t="shared" si="4"/>
        <v>0.75996887601224428</v>
      </c>
      <c r="K24" s="32">
        <f t="shared" si="3"/>
        <v>0.75996887601224428</v>
      </c>
    </row>
    <row r="25" spans="2:11" s="61" customFormat="1" ht="24.75" customHeight="1" thickBot="1" x14ac:dyDescent="0.3">
      <c r="B25" s="66" t="s">
        <v>294</v>
      </c>
      <c r="C25" s="67">
        <f>SUM(C26:C30)</f>
        <v>16752000000</v>
      </c>
      <c r="D25" s="67">
        <f>SUM(D26:D30)</f>
        <v>542044090.58000004</v>
      </c>
      <c r="E25" s="67">
        <f t="shared" si="1"/>
        <v>16209955909.42</v>
      </c>
      <c r="F25" s="67">
        <f>SUM(F26:F30)</f>
        <v>15720254586.42</v>
      </c>
      <c r="G25" s="86">
        <f>+F25/C25</f>
        <v>0.93841061284742122</v>
      </c>
      <c r="H25" s="86">
        <f t="shared" si="2"/>
        <v>0.96979008914420162</v>
      </c>
      <c r="I25" s="135">
        <f>SUM(I26:I30)</f>
        <v>12086067223.42</v>
      </c>
      <c r="J25" s="59">
        <f t="shared" si="4"/>
        <v>0.72147010646012422</v>
      </c>
      <c r="K25" s="59">
        <f t="shared" si="3"/>
        <v>0.74559531752930264</v>
      </c>
    </row>
    <row r="26" spans="2:11" ht="24.95" customHeight="1" thickBot="1" x14ac:dyDescent="0.3">
      <c r="B26" s="44" t="s">
        <v>339</v>
      </c>
      <c r="C26" s="70">
        <f>SUMIFS(REP_EPG034_EjecucionPresupuesta!$T$84:$T$101,REP_EPG034_EjecucionPresupuesta!$P$84:$P$101,"IMPUESTOS")</f>
        <v>10986000000</v>
      </c>
      <c r="D26" s="70">
        <f>SUMIFS(REP_EPG034_EjecucionPresupuesta!$U$84:$U$113,REP_EPG034_EjecucionPresupuesta!$P$84:$P$113,"IMPUESTOS")</f>
        <v>8662088</v>
      </c>
      <c r="E26" s="68">
        <f t="shared" si="1"/>
        <v>10977337912</v>
      </c>
      <c r="F26" s="71">
        <f>SUMIFS(REP_EPG034_EjecucionPresupuesta!$X$84:$X$113,REP_EPG034_EjecucionPresupuesta!$P$84:$P$113,"IMPUESTOS")</f>
        <v>10972181702</v>
      </c>
      <c r="G26" s="32">
        <f>F26/C26</f>
        <v>0.99874219024212629</v>
      </c>
      <c r="H26" s="32">
        <f t="shared" si="2"/>
        <v>0.99953028593623205</v>
      </c>
      <c r="I26" s="71">
        <f>SUMIFS(REP_EPG034_EjecucionPresupuesta!$Y$84:$Y$101,REP_EPG034_EjecucionPresupuesta!$P$84:$P$101,"IMPUESTOS")</f>
        <v>10969719562</v>
      </c>
      <c r="J26" s="32">
        <f t="shared" si="4"/>
        <v>0.99851807409430182</v>
      </c>
      <c r="K26" s="32">
        <f t="shared" si="3"/>
        <v>0.99930599294099598</v>
      </c>
    </row>
    <row r="27" spans="2:11" ht="24.95" customHeight="1" thickBot="1" x14ac:dyDescent="0.3">
      <c r="B27" s="45" t="s">
        <v>364</v>
      </c>
      <c r="C27" s="70">
        <f>SUMIFS(REP_EPG034_EjecucionPresupuesta!$T$84:$T$101,REP_EPG034_EjecucionPresupuesta!$P$84:$P$101,"TASAS Y DERECHOS ADMINISTRATIVOS")</f>
        <v>362500000</v>
      </c>
      <c r="D27" s="70">
        <f>SUMIFS(REP_EPG034_EjecucionPresupuesta!$U$84:$U$113,REP_EPG034_EjecucionPresupuesta!$P$84:$P$113,"TASAS Y DERECHOS ADMINISTRATIVOS")</f>
        <v>189368002.58000001</v>
      </c>
      <c r="E27" s="68">
        <f t="shared" si="1"/>
        <v>173131997.41999999</v>
      </c>
      <c r="F27" s="71">
        <f>SUMIFS(REP_EPG034_EjecucionPresupuesta!$X$84:$X$113,REP_EPG034_EjecucionPresupuesta!$P$84:$P$113,"TASAS Y DERECHOS ADMINISTRATIVOS")</f>
        <v>48948161.420000002</v>
      </c>
      <c r="G27" s="32">
        <f>F27/C27</f>
        <v>0.1350294108137931</v>
      </c>
      <c r="H27" s="32">
        <f t="shared" si="2"/>
        <v>0.28272163522296179</v>
      </c>
      <c r="I27" s="71">
        <f>SUMIFS(REP_EPG034_EjecucionPresupuesta!$Y$84:$Y$113,REP_EPG034_EjecucionPresupuesta!$P$84:$P$113,"TASAS Y DERECHOS ADMINISTRATIVOS")</f>
        <v>47861661.420000002</v>
      </c>
      <c r="J27" s="32">
        <f t="shared" si="4"/>
        <v>0.13203216943448276</v>
      </c>
      <c r="K27" s="32">
        <f t="shared" si="3"/>
        <v>0.27644607659607051</v>
      </c>
    </row>
    <row r="28" spans="2:11" ht="24.95" customHeight="1" thickBot="1" x14ac:dyDescent="0.3">
      <c r="B28" s="45" t="s">
        <v>340</v>
      </c>
      <c r="C28" s="70">
        <f>SUMIFS(REP_EPG034_EjecucionPresupuesta!$T$84:$T$101,REP_EPG034_EjecucionPresupuesta!$P$84:$P$101,"CUOTA DE FISCALIZACIÓN Y AUDITAJE")</f>
        <v>3991000000</v>
      </c>
      <c r="D28" s="70">
        <f>SUMIFS(REP_EPG034_EjecucionPresupuesta!$U$84:$U$101,REP_EPG034_EjecucionPresupuesta!$P$84:$P$101,"CUOTA DE FISCALIZACIÓN Y AUDITAJE")</f>
        <v>0</v>
      </c>
      <c r="E28" s="68">
        <f t="shared" si="1"/>
        <v>3991000000</v>
      </c>
      <c r="F28" s="71">
        <f>SUMIFS(REP_EPG034_EjecucionPresupuesta!$X$84:$X$101,REP_EPG034_EjecucionPresupuesta!$P$84:$P$101,"CUOTA DE FISCALIZACIÓN Y AUDITAJE")</f>
        <v>3630638723</v>
      </c>
      <c r="G28" s="32">
        <f>F28/C28</f>
        <v>0.90970652042094713</v>
      </c>
      <c r="H28" s="32">
        <f t="shared" si="2"/>
        <v>0.90970652042094713</v>
      </c>
      <c r="I28" s="71">
        <f>SUMIFS(REP_EPG034_EjecucionPresupuesta!$Y$84:$Y$101,REP_EPG034_EjecucionPresupuesta!$P$84:$P$101,"CUOTA DE FISCALIZACIÓN Y AUDITAJE")</f>
        <v>0</v>
      </c>
      <c r="J28" s="32">
        <f t="shared" si="4"/>
        <v>0</v>
      </c>
      <c r="K28" s="32">
        <f t="shared" si="3"/>
        <v>0</v>
      </c>
    </row>
    <row r="29" spans="2:11" ht="24.95" customHeight="1" thickBot="1" x14ac:dyDescent="0.3">
      <c r="B29" s="45" t="s">
        <v>365</v>
      </c>
      <c r="C29" s="70">
        <f>SUMIFS(REP_EPG034_EjecucionPresupuesta!$T$84:$T$101,REP_EPG034_EjecucionPresupuesta!$P$84:$P$101,"CONTRIBUCIÓN NACIONAL DE VALORIZACIÓN")</f>
        <v>50000000</v>
      </c>
      <c r="D29" s="70">
        <f>SUMIFS(REP_EPG034_EjecucionPresupuesta!$U$84:$U$101,REP_EPG034_EjecucionPresupuesta!$P$84:$P$101,"CONTRIBUCIÓN NACIONAL DE VALORIZACIÓN")</f>
        <v>50000000</v>
      </c>
      <c r="E29" s="68">
        <f>+C29-D29</f>
        <v>0</v>
      </c>
      <c r="F29" s="71">
        <f>SUMIFS(REP_EPG034_EjecucionPresupuesta!$X$84:$X$101,REP_EPG034_EjecucionPresupuesta!$P$84:$P$101,"CONTRIBUCIÓN NACIONAL DE VALORIZACIÓN")</f>
        <v>0</v>
      </c>
      <c r="G29" s="32">
        <f>F29/C29</f>
        <v>0</v>
      </c>
      <c r="H29" s="32" t="e">
        <f>+F29/E29</f>
        <v>#DIV/0!</v>
      </c>
      <c r="I29" s="71">
        <f>SUMIFS(REP_EPG034_EjecucionPresupuesta!$Y$84:$Y$101,REP_EPG034_EjecucionPresupuesta!$P$84:$P$101,"CONTRIBUCIÓN NACIONAL DE VALORIZACIÓN")</f>
        <v>0</v>
      </c>
      <c r="J29" s="32">
        <f>+I29/C29</f>
        <v>0</v>
      </c>
      <c r="K29" s="32" t="e">
        <f>+I29/E29</f>
        <v>#DIV/0!</v>
      </c>
    </row>
    <row r="30" spans="2:11" ht="24.95" customHeight="1" thickBot="1" x14ac:dyDescent="0.3">
      <c r="B30" s="48" t="s">
        <v>366</v>
      </c>
      <c r="C30" s="70">
        <f>SUMIFS(REP_EPG034_EjecucionPresupuesta!$T$84:$T$101,REP_EPG034_EjecucionPresupuesta!$P$84:$P$101,"MULTAS, SANCIONES E INTERESES DE MORA")</f>
        <v>1362500000</v>
      </c>
      <c r="D30" s="70">
        <f>SUMIFS(REP_EPG034_EjecucionPresupuesta!$U$84:$U$113,REP_EPG034_EjecucionPresupuesta!$P$84:$P$113,"MULTAS, SANCIONES E INTERESES DE MORA")</f>
        <v>294014000</v>
      </c>
      <c r="E30" s="68">
        <f t="shared" si="1"/>
        <v>1068486000</v>
      </c>
      <c r="F30" s="71">
        <f>SUMIFS(REP_EPG034_EjecucionPresupuesta!$X$84:$X$113,REP_EPG034_EjecucionPresupuesta!$P$84:$P$113,"MULTAS, SANCIONES E INTERESES DE MORA")</f>
        <v>1068486000</v>
      </c>
      <c r="G30" s="32">
        <f>IFERROR(F30/C30,0)</f>
        <v>0.78420990825688075</v>
      </c>
      <c r="H30" s="32">
        <f>IFERROR(F30/E30,0)</f>
        <v>1</v>
      </c>
      <c r="I30" s="71">
        <f>SUMIFS(REP_EPG034_EjecucionPresupuesta!$Y$84:$Y$113,REP_EPG034_EjecucionPresupuesta!$P$84:$P$113,"MULTAS, SANCIONES E INTERESES DE MORA")</f>
        <v>1068486000</v>
      </c>
      <c r="J30" s="32">
        <f>IFERROR(I30/E30,0)</f>
        <v>1</v>
      </c>
      <c r="K30" s="32">
        <f>IFERROR(I30/E30,0)</f>
        <v>1</v>
      </c>
    </row>
    <row r="31" spans="2:11" ht="24.95" customHeight="1" x14ac:dyDescent="0.25">
      <c r="B31" s="179" t="s">
        <v>295</v>
      </c>
      <c r="C31" s="180">
        <f>+C9+C13+C15+C23+C25</f>
        <v>1934659007000</v>
      </c>
      <c r="D31" s="180">
        <f>+D9+D13+D15+D23+D25</f>
        <v>60089933672.240005</v>
      </c>
      <c r="E31" s="180">
        <f>+E9+E13+E15+E23+E25</f>
        <v>1874569073327.76</v>
      </c>
      <c r="F31" s="180">
        <f>+F9+F13+F15+F23+F25</f>
        <v>1497967859058.9299</v>
      </c>
      <c r="G31" s="202">
        <f>+F31/C31</f>
        <v>0.77428004296311115</v>
      </c>
      <c r="H31" s="202">
        <f>+F31/E31</f>
        <v>0.7990998466648751</v>
      </c>
      <c r="I31" s="180">
        <f>+I9+I13+I15+I23+I25</f>
        <v>1411232135638.4702</v>
      </c>
      <c r="J31" s="202">
        <f>+I31/C31</f>
        <v>0.72944747913318986</v>
      </c>
      <c r="K31" s="202">
        <f>+I31/E31</f>
        <v>0.75283016012487181</v>
      </c>
    </row>
    <row r="33" spans="2:10" ht="15" customHeight="1" x14ac:dyDescent="0.25">
      <c r="B33" s="284"/>
      <c r="C33" s="284"/>
      <c r="D33" s="284"/>
      <c r="E33" s="284"/>
      <c r="F33" s="284"/>
      <c r="G33" s="284"/>
      <c r="H33" s="284"/>
      <c r="I33" s="284"/>
      <c r="J33" s="284"/>
    </row>
    <row r="34" spans="2:10" ht="15" customHeight="1" x14ac:dyDescent="0.25">
      <c r="B34" s="56"/>
      <c r="C34" s="56"/>
      <c r="D34" s="56"/>
      <c r="E34" s="56"/>
      <c r="F34" s="56"/>
      <c r="G34" s="242"/>
      <c r="H34" s="242"/>
      <c r="J34" s="242"/>
    </row>
    <row r="35" spans="2:10" x14ac:dyDescent="0.25">
      <c r="C35" s="115"/>
      <c r="D35" s="115"/>
      <c r="E35" s="115"/>
      <c r="F35" s="46"/>
      <c r="G35" s="242"/>
      <c r="H35" s="242"/>
      <c r="J35" s="242"/>
    </row>
    <row r="36" spans="2:10" s="47" customFormat="1" x14ac:dyDescent="0.25">
      <c r="B36" s="40"/>
      <c r="C36" s="116"/>
      <c r="D36" s="116"/>
      <c r="E36" s="116"/>
      <c r="F36" s="40"/>
      <c r="G36" s="242"/>
      <c r="H36" s="242"/>
      <c r="I36" s="40"/>
      <c r="J36" s="242"/>
    </row>
    <row r="37" spans="2:10" s="47" customFormat="1" x14ac:dyDescent="0.25">
      <c r="B37" s="40"/>
      <c r="C37" s="46"/>
      <c r="D37" s="40"/>
      <c r="E37" s="40"/>
      <c r="F37" s="46"/>
      <c r="G37" s="242"/>
      <c r="H37" s="242"/>
      <c r="I37" s="40"/>
      <c r="J37" s="242"/>
    </row>
    <row r="38" spans="2:10" s="47" customFormat="1" x14ac:dyDescent="0.25">
      <c r="B38" s="40"/>
      <c r="C38" s="40"/>
      <c r="D38" s="40"/>
      <c r="E38" s="40"/>
      <c r="F38" s="46"/>
      <c r="G38" s="242"/>
      <c r="H38" s="242"/>
      <c r="I38" s="40"/>
      <c r="J38" s="242"/>
    </row>
  </sheetData>
  <mergeCells count="2">
    <mergeCell ref="B33:J33"/>
    <mergeCell ref="B7:K7"/>
  </mergeCells>
  <printOptions horizontalCentered="1" verticalCentered="1"/>
  <pageMargins left="0.70866141732283472" right="0.70866141732283472" top="0" bottom="0" header="0.31496062992125984" footer="0.31496062992125984"/>
  <pageSetup scale="49" pageOrder="overThenDown" orientation="landscape" r:id="rId1"/>
  <ignoredErrors>
    <ignoredError sqref="G9 G15 H19 K19 H30 J30:K30 H16 E13 G13 E15 J16:K16 G25 E24:F24 E23:F23 E25:F25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0">
    <tabColor rgb="FF00B050"/>
    <pageSetUpPr fitToPage="1"/>
  </sheetPr>
  <dimension ref="A1:M21"/>
  <sheetViews>
    <sheetView showGridLines="0" topLeftCell="A9" zoomScale="70" zoomScaleNormal="70" workbookViewId="0">
      <selection activeCell="W14" sqref="W14"/>
    </sheetView>
  </sheetViews>
  <sheetFormatPr baseColWidth="10" defaultColWidth="11.42578125" defaultRowHeight="15" x14ac:dyDescent="0.25"/>
  <cols>
    <col min="1" max="1" width="5" style="27" customWidth="1"/>
    <col min="2" max="2" width="24.42578125" style="27" bestFit="1" customWidth="1"/>
    <col min="3" max="3" width="50" style="27" customWidth="1"/>
    <col min="4" max="4" width="36" style="27" customWidth="1"/>
    <col min="5" max="5" width="25.7109375" style="27" customWidth="1"/>
    <col min="6" max="8" width="22.7109375" style="27" customWidth="1"/>
    <col min="9" max="9" width="19.42578125" style="30" customWidth="1"/>
    <col min="10" max="10" width="20.42578125" style="30" hidden="1" customWidth="1"/>
    <col min="11" max="11" width="22.7109375" style="27" customWidth="1"/>
    <col min="12" max="12" width="18.140625" style="30" customWidth="1"/>
    <col min="13" max="13" width="19.7109375" style="30" hidden="1" customWidth="1"/>
    <col min="14" max="16384" width="11.42578125" style="27"/>
  </cols>
  <sheetData>
    <row r="1" spans="2:13" ht="12" customHeight="1" x14ac:dyDescent="0.25">
      <c r="I1" s="242"/>
      <c r="J1" s="242"/>
      <c r="L1" s="242"/>
      <c r="M1" s="242"/>
    </row>
    <row r="2" spans="2:13" ht="12" customHeight="1" x14ac:dyDescent="0.25">
      <c r="I2" s="242"/>
      <c r="J2" s="242"/>
      <c r="L2" s="242"/>
      <c r="M2" s="242"/>
    </row>
    <row r="3" spans="2:13" ht="12" customHeight="1" x14ac:dyDescent="0.25">
      <c r="I3" s="242"/>
      <c r="J3" s="242"/>
      <c r="L3" s="242"/>
      <c r="M3" s="242"/>
    </row>
    <row r="4" spans="2:13" ht="12" customHeight="1" x14ac:dyDescent="0.25">
      <c r="I4" s="242"/>
      <c r="J4" s="242"/>
      <c r="L4" s="242"/>
      <c r="M4" s="242"/>
    </row>
    <row r="5" spans="2:13" ht="12" customHeight="1" x14ac:dyDescent="0.25">
      <c r="I5" s="242"/>
      <c r="J5" s="242"/>
      <c r="L5" s="242"/>
      <c r="M5" s="242"/>
    </row>
    <row r="6" spans="2:13" ht="12" customHeight="1" x14ac:dyDescent="0.25">
      <c r="I6" s="242"/>
      <c r="J6" s="242"/>
      <c r="L6" s="242"/>
      <c r="M6" s="242"/>
    </row>
    <row r="7" spans="2:13" ht="18.75" customHeight="1" x14ac:dyDescent="0.25">
      <c r="I7" s="242"/>
      <c r="J7" s="242"/>
      <c r="L7" s="242"/>
      <c r="M7" s="242"/>
    </row>
    <row r="8" spans="2:13" ht="23.25" customHeight="1" x14ac:dyDescent="0.3">
      <c r="H8" s="190"/>
      <c r="I8" s="261" t="s">
        <v>258</v>
      </c>
      <c r="J8" s="261"/>
      <c r="K8" s="261"/>
      <c r="L8" s="261"/>
      <c r="M8" s="92"/>
    </row>
    <row r="9" spans="2:13" ht="14.25" customHeight="1" x14ac:dyDescent="0.25">
      <c r="H9" s="190"/>
      <c r="I9" s="190"/>
      <c r="J9" s="190"/>
      <c r="K9" s="190"/>
      <c r="L9" s="190"/>
      <c r="M9" s="242"/>
    </row>
    <row r="10" spans="2:13" ht="15.75" customHeight="1" x14ac:dyDescent="0.25">
      <c r="I10" s="242"/>
      <c r="J10" s="242"/>
      <c r="L10" s="242"/>
      <c r="M10" s="242"/>
    </row>
    <row r="11" spans="2:13" ht="50.25" customHeight="1" x14ac:dyDescent="0.25">
      <c r="B11" s="263" t="s">
        <v>367</v>
      </c>
      <c r="C11" s="263"/>
      <c r="D11" s="263"/>
      <c r="E11" s="263"/>
      <c r="F11" s="263"/>
      <c r="G11" s="263"/>
      <c r="H11" s="263"/>
      <c r="I11" s="263"/>
      <c r="J11" s="263"/>
      <c r="K11" s="263"/>
      <c r="L11" s="263"/>
      <c r="M11" s="263"/>
    </row>
    <row r="12" spans="2:13" ht="62.1" customHeight="1" thickBot="1" x14ac:dyDescent="0.3">
      <c r="B12" s="154" t="s">
        <v>297</v>
      </c>
      <c r="C12" s="154" t="s">
        <v>299</v>
      </c>
      <c r="D12" s="154" t="s">
        <v>345</v>
      </c>
      <c r="E12" s="155" t="s">
        <v>281</v>
      </c>
      <c r="F12" s="155" t="s">
        <v>282</v>
      </c>
      <c r="G12" s="155" t="s">
        <v>283</v>
      </c>
      <c r="H12" s="35" t="s">
        <v>284</v>
      </c>
      <c r="I12" s="31" t="s">
        <v>285</v>
      </c>
      <c r="J12" s="31" t="s">
        <v>286</v>
      </c>
      <c r="K12" s="35" t="s">
        <v>287</v>
      </c>
      <c r="L12" s="31" t="s">
        <v>288</v>
      </c>
      <c r="M12" s="31" t="s">
        <v>289</v>
      </c>
    </row>
    <row r="13" spans="2:13" ht="70.5" customHeight="1" thickBot="1" x14ac:dyDescent="0.3">
      <c r="B13" s="273" t="s">
        <v>368</v>
      </c>
      <c r="C13" s="52" t="str">
        <f>+REP_EPG034_EjecucionPresupuesta!P94</f>
        <v>2. SEGURIDAD HUMANA Y JUSTICIA SOCIAL / A. TRATAMIENTO PENITENCIARIO, RESOCIALIZACIÓN Y NO REINCIDENCIA PARA UN PROYECTO DE VIDA DIGNO - C-1206-0800-11-20112A</v>
      </c>
      <c r="D13" s="199" t="s">
        <v>369</v>
      </c>
      <c r="E13" s="64">
        <f>SUMIFS(REP_EPG034_EjecucionPresupuesta!$T$92:$T$96,REP_EPG034_EjecucionPresupuesta!$P$92:$P$96,"2. SEGURIDAD HUMANA Y JUSTICIA SOCIAL / A. TRATAMIENTO PENITENCIARIO, RESOCIALIZACIÓN Y NO REINCIDENCIA PARA UN PROYECTO DE VIDA DIGNO - C-1206-0800-11-20112A")</f>
        <v>700000000</v>
      </c>
      <c r="F13" s="71">
        <f>SUMIFS(REP_EPG034_EjecucionPresupuesta!$U$92:$U$101,REP_EPG034_EjecucionPresupuesta!$P$92:$P$101,"2. SEGURIDAD HUMANA Y JUSTICIA SOCIAL / A. TRATAMIENTO PENITENCIARIO, RESOCIALIZACIÓN Y NO REINCIDENCIA PARA UN PROYECTO DE VIDA DIGNO - C-1206-0800-11-20112A")</f>
        <v>0</v>
      </c>
      <c r="G13" s="71">
        <f>+E13-F13</f>
        <v>700000000</v>
      </c>
      <c r="H13" s="71">
        <f>SUMIFS(REP_EPG034_EjecucionPresupuesta!$X$92:$X$96,REP_EPG034_EjecucionPresupuesta!$P$92:$P$96,"2. SEGURIDAD HUMANA Y JUSTICIA SOCIAL / A. TRATAMIENTO PENITENCIARIO, RESOCIALIZACIÓN Y NO REINCIDENCIA PARA UN PROYECTO DE VIDA DIGNO - C-1206-0800-11-20112A")</f>
        <v>697500000</v>
      </c>
      <c r="I13" s="32">
        <f>H13/E13</f>
        <v>0.99642857142857144</v>
      </c>
      <c r="J13" s="32">
        <f>H13/G13</f>
        <v>0.99642857142857144</v>
      </c>
      <c r="K13" s="71">
        <f>SUMIFS(REP_EPG034_EjecucionPresupuesta!$Y$94:$Y$97,REP_EPG034_EjecucionPresupuesta!$P$94:$P$97,"2. SEGURIDAD HUMANA Y JUSTICIA SOCIAL / A. TRATAMIENTO PENITENCIARIO, RESOCIALIZACIÓN Y NO REINCIDENCIA PARA UN PROYECTO DE VIDA DIGNO - C-1206-0800-11-20112A")</f>
        <v>279000000</v>
      </c>
      <c r="L13" s="32">
        <f>+K13/E13</f>
        <v>0.39857142857142858</v>
      </c>
      <c r="M13" s="32">
        <f>+K13/G13</f>
        <v>0.39857142857142858</v>
      </c>
    </row>
    <row r="14" spans="2:13" ht="70.5" customHeight="1" thickBot="1" x14ac:dyDescent="0.3">
      <c r="B14" s="275"/>
      <c r="C14" s="52" t="str">
        <f>REP_EPG034_EjecucionPresupuesta!P95</f>
        <v>2. SEGURIDAD HUMANA Y JUSTICIA SOCIAL / C. ATENCIÓN A LA POBLACIÓN CONDENADA, SINDICADA Y POSPENADA EN LOS TERRITORIOS - C-1206-0800-12-20112C</v>
      </c>
      <c r="D14" s="197" t="s">
        <v>370</v>
      </c>
      <c r="E14" s="64">
        <f>SUMIFS(REP_EPG034_EjecucionPresupuesta!$T$93:$T$96,REP_EPG034_EjecucionPresupuesta!$P$93:$P$96,"2. SEGURIDAD HUMANA Y JUSTICIA SOCIAL / C. ATENCIÓN A LA POBLACIÓN CONDENADA, SINDICADA Y POSPENADA EN LOS TERRITORIOS - C-1206-0800-12-20112C")</f>
        <v>1000000000</v>
      </c>
      <c r="F14" s="71">
        <f>SUMIFS(REP_EPG034_EjecucionPresupuesta!$U$92:$U$101,REP_EPG034_EjecucionPresupuesta!$P$92:$P$101,"2. SEGURIDAD HUMANA Y JUSTICIA SOCIAL / C. ATENCIÓN A LA POBLACIÓN CONDENADA, SINDICADA Y POSPENADA EN LOS TERRITORIOS - C-1206-0800-12-20112C")</f>
        <v>0</v>
      </c>
      <c r="G14" s="71">
        <f>+E14-F14</f>
        <v>1000000000</v>
      </c>
      <c r="H14" s="71">
        <f>SUMIFS(REP_EPG034_EjecucionPresupuesta!$X$92:$X$96,REP_EPG034_EjecucionPresupuesta!$P$92:$P$96,"2. SEGURIDAD HUMANA Y JUSTICIA SOCIAL / C. ATENCIÓN A LA POBLACIÓN CONDENADA, SINDICADA Y POSPENADA EN LOS TERRITORIOS - C-1206-0800-12-20112C")</f>
        <v>850000000</v>
      </c>
      <c r="I14" s="32">
        <f>H14/E14</f>
        <v>0.85</v>
      </c>
      <c r="J14" s="32">
        <f>H14/G14</f>
        <v>0.85</v>
      </c>
      <c r="K14" s="71">
        <f>SUMIFS(REP_EPG034_EjecucionPresupuesta!$Y$92:$Y$97,REP_EPG034_EjecucionPresupuesta!$P$92:$P$97,"2. SEGURIDAD HUMANA Y JUSTICIA SOCIAL / C. ATENCIÓN A LA POBLACIÓN CONDENADA, SINDICADA Y POSPENADA EN LOS TERRITORIOS - C-1206-0800-12-20112C")</f>
        <v>255000000</v>
      </c>
      <c r="L14" s="32">
        <f>+K14/E14</f>
        <v>0.255</v>
      </c>
      <c r="M14" s="32">
        <f>+K14/G14</f>
        <v>0.255</v>
      </c>
    </row>
    <row r="15" spans="2:13" ht="89.25" customHeight="1" thickBot="1" x14ac:dyDescent="0.3">
      <c r="B15" s="273" t="s">
        <v>371</v>
      </c>
      <c r="C15" s="52" t="str">
        <f>REP_EPG034_EjecucionPresupuesta!P94</f>
        <v>2. SEGURIDAD HUMANA Y JUSTICIA SOCIAL / A. TRATAMIENTO PENITENCIARIO, RESOCIALIZACIÓN Y NO REINCIDENCIA PARA UN PROYECTO DE VIDA DIGNO - C-1206-0800-11-20112A</v>
      </c>
      <c r="D15" s="199" t="s">
        <v>372</v>
      </c>
      <c r="E15" s="64">
        <f>SUMIFS(REP_EPG034_EjecucionPresupuesta!$T$93:$T$96,REP_EPG034_EjecucionPresupuesta!$P$93:$P$96,"2. SEGURIDAD HUMANA Y JUSTICIA SOCIAL / C. ATENCIÓN A LA POBLACIÓN CONDENADA, SINDICADA Y POSPENADA EN LOS TERRITORIOS - C-1299-0800-6-20112C")</f>
        <v>500000000</v>
      </c>
      <c r="F15" s="71">
        <f>SUMIFS(REP_EPG034_EjecucionPresupuesta!$U$93:$U$101,REP_EPG034_EjecucionPresupuesta!$P$93:$P$101,"2. SEGURIDAD HUMANA Y JUSTICIA SOCIAL / C. ATENCIÓN A LA POBLACIÓN CONDENADA, SINDICADA Y POSPENADA EN LOS TERRITORIOS - C-1299-0800-6-20112C")</f>
        <v>0</v>
      </c>
      <c r="G15" s="71">
        <f>+E15-F15</f>
        <v>500000000</v>
      </c>
      <c r="H15" s="71">
        <f>SUMIFS(REP_EPG034_EjecucionPresupuesta!$X$93:$X$96,REP_EPG034_EjecucionPresupuesta!$P$93:$P$96,"2. SEGURIDAD HUMANA Y JUSTICIA SOCIAL / C. ATENCIÓN A LA POBLACIÓN CONDENADA, SINDICADA Y POSPENADA EN LOS TERRITORIOS - C-1299-0800-6-20112C")</f>
        <v>414855000</v>
      </c>
      <c r="I15" s="32">
        <f>H15/E15</f>
        <v>0.82970999999999995</v>
      </c>
      <c r="J15" s="32">
        <f>H15/G15</f>
        <v>0.82970999999999995</v>
      </c>
      <c r="K15" s="71">
        <f>SUMIFS(REP_EPG034_EjecucionPresupuesta!$Y$92:$Y$97,REP_EPG034_EjecucionPresupuesta!$P$92:$P$97,"2. SEGURIDAD HUMANA Y JUSTICIA SOCIAL / C. ATENCIÓN A LA POBLACIÓN CONDENADA, SINDICADA Y POSPENADA EN LOS TERRITORIOS - C-1299-0800-6-20112C")</f>
        <v>0</v>
      </c>
      <c r="L15" s="32">
        <f>+K15/E15</f>
        <v>0</v>
      </c>
      <c r="M15" s="32">
        <f>+K15/G15</f>
        <v>0</v>
      </c>
    </row>
    <row r="16" spans="2:13" ht="63.75" customHeight="1" thickBot="1" x14ac:dyDescent="0.3">
      <c r="B16" s="274"/>
      <c r="C16" s="52" t="str">
        <f>REP_EPG034_EjecucionPresupuesta!P95</f>
        <v>2. SEGURIDAD HUMANA Y JUSTICIA SOCIAL / C. ATENCIÓN A LA POBLACIÓN CONDENADA, SINDICADA Y POSPENADA EN LOS TERRITORIOS - C-1206-0800-12-20112C</v>
      </c>
      <c r="D16" s="197" t="s">
        <v>373</v>
      </c>
      <c r="E16" s="64">
        <f>SUMIFS(REP_EPG034_EjecucionPresupuesta!$T$93:$T$97,REP_EPG034_EjecucionPresupuesta!$P$93:$P$97,"2. SEGURIDAD HUMANA Y JUSTICIA SOCIAL / C. ATENCIÓN A LA POBLACIÓN CONDENADA, SINDICADA Y POSPENADA EN LOS TERRITORIOS - C-1299-0800-7-20112C")</f>
        <v>1800000000</v>
      </c>
      <c r="F16" s="71">
        <f>SUMIFS(REP_EPG034_EjecucionPresupuesta!$U$94:$U$97,REP_EPG034_EjecucionPresupuesta!$P$94:$P$97,"2. SEGURIDAD HUMANA Y JUSTICIA SOCIAL / C. ATENCIÓN A LA POBLACIÓN CONDENADA, SINDICADA Y POSPENADA EN LOS TERRITORIOS - C-1299-0800-7-20112C")</f>
        <v>0</v>
      </c>
      <c r="G16" s="71">
        <f>+E16-F16</f>
        <v>1800000000</v>
      </c>
      <c r="H16" s="71">
        <f>SUMIFS(REP_EPG034_EjecucionPresupuesta!$X$93:$X$97,REP_EPG034_EjecucionPresupuesta!$P$93:$P$97,"2. SEGURIDAD HUMANA Y JUSTICIA SOCIAL / C. ATENCIÓN A LA POBLACIÓN CONDENADA, SINDICADA Y POSPENADA EN LOS TERRITORIOS - C-1299-0800-7-20112C")</f>
        <v>1791257348</v>
      </c>
      <c r="I16" s="32">
        <f>H16/E16</f>
        <v>0.99514297111111116</v>
      </c>
      <c r="J16" s="32">
        <f>H16/G16</f>
        <v>0.99514297111111116</v>
      </c>
      <c r="K16" s="71">
        <f>SUMIFS(REP_EPG034_EjecucionPresupuesta!$Y$92:$Y$97,REP_EPG034_EjecucionPresupuesta!$P$92:$P$97,"2. SEGURIDAD HUMANA Y JUSTICIA SOCIAL / C. ATENCIÓN A LA POBLACIÓN CONDENADA, SINDICADA Y POSPENADA EN LOS TERRITORIOS - C-1299-0800-7-20112C")</f>
        <v>889817719.99000001</v>
      </c>
      <c r="L16" s="32">
        <f>+K16/E16</f>
        <v>0.49434317777222225</v>
      </c>
      <c r="M16" s="32">
        <f>+K16/G16</f>
        <v>0.49434317777222225</v>
      </c>
    </row>
    <row r="17" spans="1:13" ht="30" customHeight="1" x14ac:dyDescent="0.25">
      <c r="B17" s="290" t="s">
        <v>322</v>
      </c>
      <c r="C17" s="290"/>
      <c r="D17" s="291"/>
      <c r="E17" s="77">
        <f>SUM(E13:E16)</f>
        <v>4000000000</v>
      </c>
      <c r="F17" s="192">
        <f>SUM(F13:F16)</f>
        <v>0</v>
      </c>
      <c r="G17" s="132">
        <f>+E17-F17</f>
        <v>4000000000</v>
      </c>
      <c r="H17" s="132">
        <f>SUM(H13:H16)</f>
        <v>3753612348</v>
      </c>
      <c r="I17" s="203">
        <f>+H17/E17</f>
        <v>0.93840308699999997</v>
      </c>
      <c r="J17" s="203">
        <f>H17/G17</f>
        <v>0.93840308699999997</v>
      </c>
      <c r="K17" s="132">
        <f>SUM(K13:K16)</f>
        <v>1423817719.99</v>
      </c>
      <c r="L17" s="203">
        <f>+K17/E17</f>
        <v>0.35595442999749999</v>
      </c>
      <c r="M17" s="203">
        <f>+K17/G17</f>
        <v>0.35595442999749999</v>
      </c>
    </row>
    <row r="19" spans="1:13" ht="15.75" customHeight="1" x14ac:dyDescent="0.25">
      <c r="A19" s="284"/>
      <c r="B19" s="284"/>
      <c r="C19" s="284"/>
      <c r="D19" s="284"/>
      <c r="E19" s="284"/>
      <c r="F19" s="284"/>
      <c r="G19" s="284"/>
      <c r="H19" s="284"/>
      <c r="I19" s="284"/>
      <c r="J19" s="284"/>
      <c r="K19" s="284"/>
      <c r="L19" s="284"/>
      <c r="M19" s="27"/>
    </row>
    <row r="21" spans="1:13" ht="51" customHeight="1" x14ac:dyDescent="0.25">
      <c r="I21" s="242"/>
      <c r="J21" s="242"/>
      <c r="L21" s="242"/>
      <c r="M21" s="242"/>
    </row>
  </sheetData>
  <mergeCells count="6">
    <mergeCell ref="I8:L8"/>
    <mergeCell ref="A19:L19"/>
    <mergeCell ref="B11:M11"/>
    <mergeCell ref="B17:D17"/>
    <mergeCell ref="B13:B14"/>
    <mergeCell ref="B15:B16"/>
  </mergeCells>
  <printOptions horizontalCentered="1" verticalCentered="1"/>
  <pageMargins left="0" right="0" top="0" bottom="0" header="0.31496062992125984" footer="0.31496062992125984"/>
  <pageSetup scale="51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2">
    <tabColor rgb="FF7030A0"/>
    <pageSetUpPr fitToPage="1"/>
  </sheetPr>
  <dimension ref="B1:K29"/>
  <sheetViews>
    <sheetView showGridLines="0" topLeftCell="A15" zoomScale="80" zoomScaleNormal="80" workbookViewId="0">
      <selection activeCell="W14" sqref="W14"/>
    </sheetView>
  </sheetViews>
  <sheetFormatPr baseColWidth="10" defaultColWidth="11.42578125" defaultRowHeight="15" x14ac:dyDescent="0.25"/>
  <cols>
    <col min="1" max="1" width="4.42578125" style="27" customWidth="1"/>
    <col min="2" max="2" width="39.42578125" style="27" customWidth="1"/>
    <col min="3" max="3" width="25.7109375" style="27" customWidth="1"/>
    <col min="4" max="6" width="22.7109375" style="27" customWidth="1"/>
    <col min="7" max="7" width="19.42578125" style="30" customWidth="1"/>
    <col min="8" max="8" width="19.42578125" style="30" hidden="1" customWidth="1"/>
    <col min="9" max="9" width="22.7109375" style="27" customWidth="1"/>
    <col min="10" max="10" width="19.85546875" style="30" customWidth="1"/>
    <col min="11" max="11" width="19.85546875" style="30" hidden="1" customWidth="1"/>
    <col min="12" max="16384" width="11.42578125" style="27"/>
  </cols>
  <sheetData>
    <row r="1" spans="2:11" ht="23.25" customHeight="1" x14ac:dyDescent="0.25">
      <c r="G1" s="242"/>
      <c r="H1" s="242"/>
      <c r="J1" s="242"/>
      <c r="K1" s="242"/>
    </row>
    <row r="2" spans="2:11" ht="18.75" customHeight="1" x14ac:dyDescent="0.25">
      <c r="G2" s="242"/>
      <c r="H2" s="242"/>
      <c r="J2" s="242"/>
      <c r="K2" s="242"/>
    </row>
    <row r="3" spans="2:11" ht="18.75" customHeight="1" x14ac:dyDescent="0.25">
      <c r="G3" s="242"/>
      <c r="H3" s="242"/>
      <c r="J3" s="242"/>
      <c r="K3" s="242"/>
    </row>
    <row r="4" spans="2:11" ht="24" customHeight="1" x14ac:dyDescent="0.3">
      <c r="F4" s="190"/>
      <c r="G4" s="261" t="s">
        <v>258</v>
      </c>
      <c r="H4" s="261"/>
      <c r="I4" s="261"/>
      <c r="J4" s="261"/>
      <c r="K4" s="99"/>
    </row>
    <row r="5" spans="2:11" ht="24" customHeight="1" x14ac:dyDescent="0.25">
      <c r="F5" s="190"/>
      <c r="G5" s="190"/>
      <c r="H5" s="190"/>
      <c r="I5" s="190"/>
      <c r="J5" s="190"/>
      <c r="K5" s="242"/>
    </row>
    <row r="6" spans="2:11" ht="15.75" customHeight="1" x14ac:dyDescent="0.25">
      <c r="G6" s="242"/>
      <c r="H6" s="242"/>
      <c r="J6" s="242"/>
      <c r="K6" s="242"/>
    </row>
    <row r="7" spans="2:11" ht="52.5" customHeight="1" x14ac:dyDescent="0.25">
      <c r="B7" s="292" t="s">
        <v>374</v>
      </c>
      <c r="C7" s="263"/>
      <c r="D7" s="263"/>
      <c r="E7" s="263"/>
      <c r="F7" s="263"/>
      <c r="G7" s="263"/>
      <c r="H7" s="263"/>
      <c r="I7" s="263"/>
      <c r="J7" s="263"/>
      <c r="K7" s="263"/>
    </row>
    <row r="8" spans="2:11" ht="50.25" customHeight="1" x14ac:dyDescent="0.25">
      <c r="B8" s="33" t="s">
        <v>299</v>
      </c>
      <c r="C8" s="34" t="s">
        <v>300</v>
      </c>
      <c r="D8" s="34" t="s">
        <v>282</v>
      </c>
      <c r="E8" s="34" t="s">
        <v>283</v>
      </c>
      <c r="F8" s="35" t="s">
        <v>284</v>
      </c>
      <c r="G8" s="31" t="s">
        <v>285</v>
      </c>
      <c r="H8" s="31" t="s">
        <v>286</v>
      </c>
      <c r="I8" s="35" t="s">
        <v>287</v>
      </c>
      <c r="J8" s="31" t="s">
        <v>288</v>
      </c>
      <c r="K8" s="31" t="s">
        <v>289</v>
      </c>
    </row>
    <row r="9" spans="2:11" s="61" customFormat="1" ht="24.75" customHeight="1" thickBot="1" x14ac:dyDescent="0.3">
      <c r="B9" s="66" t="s">
        <v>290</v>
      </c>
      <c r="C9" s="100">
        <f>SUM(C10:C12)</f>
        <v>55440500000</v>
      </c>
      <c r="D9" s="100">
        <f>SUM(D10:D12)</f>
        <v>0</v>
      </c>
      <c r="E9" s="100">
        <f>+SUM(E10:E12)</f>
        <v>55440500000</v>
      </c>
      <c r="F9" s="67">
        <f>SUM(F10:F12)</f>
        <v>36073640055</v>
      </c>
      <c r="G9" s="59">
        <f t="shared" ref="G9:G15" si="0">+F9/C9</f>
        <v>0.65067306490742327</v>
      </c>
      <c r="H9" s="59">
        <f>+F9/E9</f>
        <v>0.65067306490742327</v>
      </c>
      <c r="I9" s="135">
        <f>SUM(I10:I12)</f>
        <v>36073639996</v>
      </c>
      <c r="J9" s="59">
        <f t="shared" ref="J9:J19" si="1">+I9/C9</f>
        <v>0.65067306384321932</v>
      </c>
      <c r="K9" s="59">
        <f>+I9/E9</f>
        <v>0.65067306384321932</v>
      </c>
    </row>
    <row r="10" spans="2:11" ht="24.95" customHeight="1" thickBot="1" x14ac:dyDescent="0.3">
      <c r="B10" s="74" t="s">
        <v>325</v>
      </c>
      <c r="C10" s="101">
        <f>SUMIFS(REP_EPG034_EjecucionPresupuesta!$T$96:$T$105,REP_EPG034_EjecucionPresupuesta!$P$96:$P$105,"SALARIO")</f>
        <v>37643686000</v>
      </c>
      <c r="D10" s="58">
        <f>SUMIFS(REP_EPG034_EjecucionPresupuesta!$U$96:$U$105,REP_EPG034_EjecucionPresupuesta!$P$96:$P$105,"SALARIO")</f>
        <v>0</v>
      </c>
      <c r="E10" s="58">
        <f>+C10-D10</f>
        <v>37643686000</v>
      </c>
      <c r="F10" s="58">
        <f>SUMIFS(REP_EPG034_EjecucionPresupuesta!$X$96:$X$105,REP_EPG034_EjecucionPresupuesta!$P$96:$P$105,"SALARIO")</f>
        <v>24239286742</v>
      </c>
      <c r="G10" s="138">
        <f>+F10/C10</f>
        <v>0.64391374271903123</v>
      </c>
      <c r="H10" s="138">
        <f t="shared" ref="H10:H26" si="2">+F10/E10</f>
        <v>0.64391374271903123</v>
      </c>
      <c r="I10" s="58">
        <f>SUMIFS(REP_EPG034_EjecucionPresupuesta!$Y$96:$Y$105,REP_EPG034_EjecucionPresupuesta!$P$96:$P$105,"SALARIO")</f>
        <v>24239286683</v>
      </c>
      <c r="J10" s="138">
        <f t="shared" si="1"/>
        <v>0.64391374115170341</v>
      </c>
      <c r="K10" s="138">
        <f t="shared" ref="K10:K26" si="3">+I10/E10</f>
        <v>0.64391374115170341</v>
      </c>
    </row>
    <row r="11" spans="2:11" ht="24.95" customHeight="1" thickBot="1" x14ac:dyDescent="0.3">
      <c r="B11" s="74" t="s">
        <v>326</v>
      </c>
      <c r="C11" s="101">
        <f>SUMIFS(REP_EPG034_EjecucionPresupuesta!$T$97:$T$105,REP_EPG034_EjecucionPresupuesta!$P$97:$P$105,"CONTRIBUCIONES INHERENTES A LA NÓMINA")</f>
        <v>13354242000</v>
      </c>
      <c r="D11" s="58">
        <f>SUMIFS(REP_EPG034_EjecucionPresupuesta!$U$99:$U$106,REP_EPG034_EjecucionPresupuesta!$P$99:$P$106,"CONTRIBUCIONES INHERENTES A LA NÓMINA")</f>
        <v>0</v>
      </c>
      <c r="E11" s="58">
        <f>+C11-D11</f>
        <v>13354242000</v>
      </c>
      <c r="F11" s="58">
        <f>SUMIFS(REP_EPG034_EjecucionPresupuesta!$X$97:$X$105,REP_EPG034_EjecucionPresupuesta!$P$97:$P$105,"CONTRIBUCIONES INHERENTES A LA NÓMINA")</f>
        <v>9114786617</v>
      </c>
      <c r="G11" s="138">
        <f>+F11/C11</f>
        <v>0.68253867325453588</v>
      </c>
      <c r="H11" s="138">
        <f t="shared" si="2"/>
        <v>0.68253867325453588</v>
      </c>
      <c r="I11" s="58">
        <f>SUMIFS(REP_EPG034_EjecucionPresupuesta!$Y$97:$Y$105,REP_EPG034_EjecucionPresupuesta!$P$97:$P$105,"CONTRIBUCIONES INHERENTES A LA NÓMINA")</f>
        <v>9114786617</v>
      </c>
      <c r="J11" s="138">
        <f t="shared" si="1"/>
        <v>0.68253867325453588</v>
      </c>
      <c r="K11" s="138">
        <f t="shared" si="3"/>
        <v>0.68253867325453588</v>
      </c>
    </row>
    <row r="12" spans="2:11" ht="39" customHeight="1" thickBot="1" x14ac:dyDescent="0.3">
      <c r="B12" s="74" t="s">
        <v>327</v>
      </c>
      <c r="C12" s="101">
        <f>SUMIFS(REP_EPG034_EjecucionPresupuesta!$T$97:$T$105,REP_EPG034_EjecucionPresupuesta!$P$97:$P$105,"REMUNERACIONES NO CONSTITUTIVAS DE FACTOR SALARIAL")</f>
        <v>4442572000</v>
      </c>
      <c r="D12" s="58">
        <f>SUMIFS(REP_EPG034_EjecucionPresupuesta!$U$99:$U$106,REP_EPG034_EjecucionPresupuesta!$P$99:$P$106,"REMUNERACIONES NO CONSTITUTIVAS DE FACTOR SALARIAL")</f>
        <v>0</v>
      </c>
      <c r="E12" s="58">
        <f>+C12-D12</f>
        <v>4442572000</v>
      </c>
      <c r="F12" s="58">
        <f>SUMIFS(REP_EPG034_EjecucionPresupuesta!$X$97:$X$105,REP_EPG034_EjecucionPresupuesta!$P$97:$P$105,"REMUNERACIONES NO CONSTITUTIVAS DE FACTOR SALARIAL")</f>
        <v>2719566696</v>
      </c>
      <c r="G12" s="138">
        <f t="shared" si="0"/>
        <v>0.61216040978064057</v>
      </c>
      <c r="H12" s="138">
        <f t="shared" si="2"/>
        <v>0.61216040978064057</v>
      </c>
      <c r="I12" s="58">
        <f>SUMIFS(REP_EPG034_EjecucionPresupuesta!$Y$97:$Y$105,REP_EPG034_EjecucionPresupuesta!$P$97:$P$105,"REMUNERACIONES NO CONSTITUTIVAS DE FACTOR SALARIAL")</f>
        <v>2719566696</v>
      </c>
      <c r="J12" s="138">
        <f t="shared" si="1"/>
        <v>0.61216040978064057</v>
      </c>
      <c r="K12" s="138">
        <f t="shared" si="3"/>
        <v>0.61216040978064057</v>
      </c>
    </row>
    <row r="13" spans="2:11" s="61" customFormat="1" ht="24.75" customHeight="1" thickBot="1" x14ac:dyDescent="0.3">
      <c r="B13" s="66" t="s">
        <v>375</v>
      </c>
      <c r="C13" s="100">
        <f>SUM(C14:C14)</f>
        <v>18831900000</v>
      </c>
      <c r="D13" s="100">
        <f>SUM(D14:D14)</f>
        <v>788793283</v>
      </c>
      <c r="E13" s="100">
        <f>+SUM(E14:E14)</f>
        <v>18043106717</v>
      </c>
      <c r="F13" s="67">
        <f>SUM(F14:F14)</f>
        <v>15618693207.08</v>
      </c>
      <c r="G13" s="59">
        <f t="shared" si="0"/>
        <v>0.82937426425798777</v>
      </c>
      <c r="H13" s="59">
        <f t="shared" si="2"/>
        <v>0.86563214706058644</v>
      </c>
      <c r="I13" s="62">
        <f>SUM(I14:I14)</f>
        <v>11321805153.17</v>
      </c>
      <c r="J13" s="59">
        <f t="shared" si="1"/>
        <v>0.60120355105804513</v>
      </c>
      <c r="K13" s="59">
        <f t="shared" si="3"/>
        <v>0.62748645955204208</v>
      </c>
    </row>
    <row r="14" spans="2:11" ht="32.25" customHeight="1" thickBot="1" x14ac:dyDescent="0.3">
      <c r="B14" s="74" t="s">
        <v>376</v>
      </c>
      <c r="C14" s="101">
        <f>SUMIFS(REP_EPG034_EjecucionPresupuesta!$T$97:$T$105,REP_EPG034_EjecucionPresupuesta!$P$97:$P$105,"ADQUISICIÓN DE BIENES  Y SERVICIOS")</f>
        <v>18831900000</v>
      </c>
      <c r="D14" s="58">
        <f>SUMIFS(REP_EPG034_EjecucionPresupuesta!$U$99:$U$106,REP_EPG034_EjecucionPresupuesta!$P$99:$P$106,"ADQUISICIÓN DE BIENES  Y SERVICIOS")</f>
        <v>788793283</v>
      </c>
      <c r="E14" s="58">
        <f>+C14-D14</f>
        <v>18043106717</v>
      </c>
      <c r="F14" s="58">
        <f>SUMIFS(REP_EPG034_EjecucionPresupuesta!$X$97:$X$105,REP_EPG034_EjecucionPresupuesta!$P$97:$P$105,"ADQUISICIÓN DE BIENES  Y SERVICIOS")</f>
        <v>15618693207.08</v>
      </c>
      <c r="G14" s="138">
        <f>+F14/C14</f>
        <v>0.82937426425798777</v>
      </c>
      <c r="H14" s="138">
        <f t="shared" si="2"/>
        <v>0.86563214706058644</v>
      </c>
      <c r="I14" s="58">
        <f>SUMIFS(REP_EPG034_EjecucionPresupuesta!$Y$97:$Y$105,REP_EPG034_EjecucionPresupuesta!$P$97:$P$105,"ADQUISICIÓN DE BIENES  Y SERVICIOS")</f>
        <v>11321805153.17</v>
      </c>
      <c r="J14" s="138">
        <f t="shared" si="1"/>
        <v>0.60120355105804513</v>
      </c>
      <c r="K14" s="138">
        <f t="shared" si="3"/>
        <v>0.62748645955204208</v>
      </c>
    </row>
    <row r="15" spans="2:11" s="61" customFormat="1" ht="24.75" customHeight="1" thickBot="1" x14ac:dyDescent="0.3">
      <c r="B15" s="66" t="s">
        <v>293</v>
      </c>
      <c r="C15" s="100">
        <f>SUM(C16:C19)</f>
        <v>70249656930</v>
      </c>
      <c r="D15" s="100">
        <f>SUM(D16:D19)</f>
        <v>8350477840</v>
      </c>
      <c r="E15" s="100">
        <f>SUM(E16:E19)</f>
        <v>61899179090</v>
      </c>
      <c r="F15" s="100">
        <f>SUM(F16:F19)</f>
        <v>46532321295.229996</v>
      </c>
      <c r="G15" s="59">
        <f t="shared" si="0"/>
        <v>0.66238503259306947</v>
      </c>
      <c r="H15" s="59">
        <f t="shared" si="2"/>
        <v>0.75174375459120479</v>
      </c>
      <c r="I15" s="135">
        <f>SUM(I16:I19)</f>
        <v>29877906989.040001</v>
      </c>
      <c r="J15" s="59">
        <f t="shared" si="1"/>
        <v>0.42531036156961916</v>
      </c>
      <c r="K15" s="59">
        <f t="shared" si="3"/>
        <v>0.48268664347871565</v>
      </c>
    </row>
    <row r="16" spans="2:11" ht="52.5" customHeight="1" thickBot="1" x14ac:dyDescent="0.3">
      <c r="B16" s="76" t="s">
        <v>377</v>
      </c>
      <c r="C16" s="80">
        <f>SUMIFS(REP_EPG034_EjecucionPresupuesta!$T$100:$T$104,REP_EPG034_EjecucionPresupuesta!$P$100:$P$104,"DEFENSA DE LOS INTERESES DEL ESTADO EN CONTROVERSIAS INTERNACIONALES")</f>
        <v>46120387695</v>
      </c>
      <c r="D16" s="58">
        <f>SUMIFS(REP_EPG034_EjecucionPresupuesta!$U$100:$U$111,REP_EPG034_EjecucionPresupuesta!$P$100:$P$111,"DEFENSA DE LOS INTERESES DEL ESTADO EN CONTROVERSIAS INTERNACIONALES")</f>
        <v>5487065535</v>
      </c>
      <c r="E16" s="167">
        <f>+C16-D16</f>
        <v>40633322160</v>
      </c>
      <c r="F16" s="75">
        <f>SUMIFS(REP_EPG034_EjecucionPresupuesta!$X$97:$X$105,REP_EPG034_EjecucionPresupuesta!$P$97:$P$105,"DEFENSA DE LOS INTERESES DEL ESTADO EN CONTROVERSIAS INTERNACIONALES")</f>
        <v>32310962498.27</v>
      </c>
      <c r="G16" s="138">
        <f>+F16/C16</f>
        <v>0.70057872696011392</v>
      </c>
      <c r="H16" s="138">
        <f t="shared" si="2"/>
        <v>0.79518387325162787</v>
      </c>
      <c r="I16" s="58">
        <f>SUMIFS(REP_EPG034_EjecucionPresupuesta!$Y$97:$Y$105,REP_EPG034_EjecucionPresupuesta!$P$97:$P$105,"DEFENSA DE LOS INTERESES DEL ESTADO EN CONTROVERSIAS INTERNACIONALES")</f>
        <v>15658514193.08</v>
      </c>
      <c r="J16" s="138">
        <f t="shared" si="1"/>
        <v>0.33951393246370237</v>
      </c>
      <c r="K16" s="138">
        <f t="shared" si="3"/>
        <v>0.38536140686262804</v>
      </c>
    </row>
    <row r="17" spans="2:11" ht="52.5" customHeight="1" thickBot="1" x14ac:dyDescent="0.3">
      <c r="B17" s="76" t="s">
        <v>331</v>
      </c>
      <c r="C17" s="80">
        <f>SUMIFS(REP_EPG034_EjecucionPresupuesta!$T$101:$T$108,REP_EPG034_EjecucionPresupuesta!$P$101:$P$108,"OTRAS TRANSFERENCIAS - DISTRIBUCIÓN PREVIO CONCEPTO DGPPN")</f>
        <v>2863412305</v>
      </c>
      <c r="D17" s="58">
        <f>SUMIFS(REP_EPG034_EjecucionPresupuesta!$U$100:$U$104,REP_EPG034_EjecucionPresupuesta!$P$100:$P$104,"OTRAS TRANSFERENCIAS - DISTRIBUCIÓN PREVIO CONCEPTO DGPPN")</f>
        <v>2863412305</v>
      </c>
      <c r="E17" s="167">
        <f>+C17-D17</f>
        <v>0</v>
      </c>
      <c r="F17" s="75">
        <f>SUMIFS(REP_EPG034_EjecucionPresupuesta!$X$97:$X$105,REP_EPG034_EjecucionPresupuesta!$P$97:$P$105,"OTRAS TRANSFERENCIAS - DISTRIBUCIÓN PREVIO CONCEPTO DGPPN")</f>
        <v>0</v>
      </c>
      <c r="G17" s="138">
        <f>+F17/C17</f>
        <v>0</v>
      </c>
      <c r="H17" s="138" t="e">
        <f>+F17/E17</f>
        <v>#DIV/0!</v>
      </c>
      <c r="I17" s="58">
        <f>SUMIFS(REP_EPG034_EjecucionPresupuesta!$Y$97:$Y$105,REP_EPG034_EjecucionPresupuesta!$P$97:$P$105,"OTRAS TRANSFERENCIAS - DISTRIBUCIÓN PREVIO CONCEPTO DGPPN")</f>
        <v>0</v>
      </c>
      <c r="J17" s="138">
        <f>+I17/C17</f>
        <v>0</v>
      </c>
      <c r="K17" s="138" t="e">
        <f>+I17/E17</f>
        <v>#DIV/0!</v>
      </c>
    </row>
    <row r="18" spans="2:11" ht="36" customHeight="1" thickBot="1" x14ac:dyDescent="0.3">
      <c r="B18" s="76" t="s">
        <v>337</v>
      </c>
      <c r="C18" s="80">
        <f>SUMIFS(REP_EPG034_EjecucionPresupuesta!$T$103:$T$111,REP_EPG034_EjecucionPresupuesta!$P$103:$P$111,"SENTENCIAS Y CONCILIACIONES")</f>
        <v>21003156930</v>
      </c>
      <c r="D18" s="58">
        <f>SUMIFS(REP_EPG034_EjecucionPresupuesta!$U$100:$U$111,REP_EPG034_EjecucionPresupuesta!$P$100:$P$111,"SENTENCIAS Y CONCILIACIONES")</f>
        <v>0</v>
      </c>
      <c r="E18" s="167">
        <f>+C18-D18</f>
        <v>21003156930</v>
      </c>
      <c r="F18" s="75">
        <f>SUMIFS(REP_EPG034_EjecucionPresupuesta!$X$97:$X$105,REP_EPG034_EjecucionPresupuesta!$P$97:$P$105,"SENTENCIAS Y CONCILIACIONES")</f>
        <v>14184012242.959999</v>
      </c>
      <c r="G18" s="138">
        <f>+F18/C18</f>
        <v>0.67532763242368432</v>
      </c>
      <c r="H18" s="138">
        <f>+F18/E18</f>
        <v>0.67532763242368432</v>
      </c>
      <c r="I18" s="58">
        <f>SUMIFS(REP_EPG034_EjecucionPresupuesta!$Y$97:$Y$105,REP_EPG034_EjecucionPresupuesta!$P$97:$P$105,"SENTENCIAS Y CONCILIACIONES")</f>
        <v>14184012242.959999</v>
      </c>
      <c r="J18" s="138">
        <f>+I18/C18</f>
        <v>0.67532763242368432</v>
      </c>
      <c r="K18" s="138">
        <f>+I18/E18</f>
        <v>0.67532763242368432</v>
      </c>
    </row>
    <row r="19" spans="2:11" ht="38.25" customHeight="1" thickBot="1" x14ac:dyDescent="0.3">
      <c r="B19" s="76" t="s">
        <v>378</v>
      </c>
      <c r="C19" s="80">
        <f>SUMIFS(REP_EPG034_EjecucionPresupuesta!$T$101:$T$111,REP_EPG034_EjecucionPresupuesta!$P$101:$P$111,"INCAPACIDADES Y LICENCIAS DE MATERNIDAD Y PATERNIDAD (NO DE PENSIONES)")</f>
        <v>262700000</v>
      </c>
      <c r="D19" s="58">
        <f>SUMIFS(REP_EPG034_EjecucionPresupuesta!$U$102:$U$111,REP_EPG034_EjecucionPresupuesta!$P$102:$P$111,"INCAPACIDADES Y LICENCIAS DE MATERNIDAD Y PATERNIDAD (NO DE PENSIONES)")</f>
        <v>0</v>
      </c>
      <c r="E19" s="167">
        <f>+C19-D19</f>
        <v>262700000</v>
      </c>
      <c r="F19" s="58">
        <f>SUMIFS(REP_EPG034_EjecucionPresupuesta!$X$97:$X$105,REP_EPG034_EjecucionPresupuesta!$P$97:$P$105,"INCAPACIDADES Y LICENCIAS DE MATERNIDAD Y PATERNIDAD (NO DE PENSIONES)")</f>
        <v>37346554</v>
      </c>
      <c r="G19" s="138">
        <f>+F19/C19</f>
        <v>0.14216427103159499</v>
      </c>
      <c r="H19" s="138">
        <f t="shared" si="2"/>
        <v>0.14216427103159499</v>
      </c>
      <c r="I19" s="58">
        <f>SUMIFS(REP_EPG034_EjecucionPresupuesta!$Y$97:$Y$105,REP_EPG034_EjecucionPresupuesta!$P$97:$P$105,"INCAPACIDADES Y LICENCIAS DE MATERNIDAD Y PATERNIDAD (NO DE PENSIONES)")</f>
        <v>35380553</v>
      </c>
      <c r="J19" s="138">
        <f t="shared" si="1"/>
        <v>0.13468044537495241</v>
      </c>
      <c r="K19" s="138">
        <f t="shared" si="3"/>
        <v>0.13468044537495241</v>
      </c>
    </row>
    <row r="20" spans="2:11" s="61" customFormat="1" ht="39.75" customHeight="1" thickBot="1" x14ac:dyDescent="0.3">
      <c r="B20" s="66" t="s">
        <v>362</v>
      </c>
      <c r="C20" s="100">
        <f>+C21</f>
        <v>289800000</v>
      </c>
      <c r="D20" s="100">
        <f>SUM(D21)</f>
        <v>0</v>
      </c>
      <c r="E20" s="100">
        <f>+E21</f>
        <v>289800000</v>
      </c>
      <c r="F20" s="100">
        <f>SUM(F21)</f>
        <v>0</v>
      </c>
      <c r="G20" s="59">
        <f>F20/C20</f>
        <v>0</v>
      </c>
      <c r="H20" s="59">
        <f t="shared" ref="H20:H25" si="4">+F20/E20</f>
        <v>0</v>
      </c>
      <c r="I20" s="67">
        <f>SUM(I21)</f>
        <v>0</v>
      </c>
      <c r="J20" s="59">
        <f t="shared" ref="J20:J26" si="5">+I20/C20</f>
        <v>0</v>
      </c>
      <c r="K20" s="59">
        <f t="shared" ref="K20:K25" si="6">+I20/E20</f>
        <v>0</v>
      </c>
    </row>
    <row r="21" spans="2:11" ht="33" customHeight="1" thickBot="1" x14ac:dyDescent="0.3">
      <c r="B21" s="74" t="s">
        <v>379</v>
      </c>
      <c r="C21" s="80">
        <f>SUMIFS(REP_EPG034_EjecucionPresupuesta!$T$101:$T$106,REP_EPG034_EjecucionPresupuesta!$P$101:$P$106,"CUOTA DE FISCALIZACIÓN Y AUDITAJE")</f>
        <v>289800000</v>
      </c>
      <c r="D21" s="58">
        <f>SUMIFS(REP_EPG034_EjecucionPresupuesta!$U$102:$U$106,REP_EPG034_EjecucionPresupuesta!$P$102:$P$106,"CUOTA DE FISCALIZACIÓN Y AUDITAJE")</f>
        <v>0</v>
      </c>
      <c r="E21" s="58">
        <f>+C21-D21</f>
        <v>289800000</v>
      </c>
      <c r="F21" s="58">
        <f>SUMIFS(REP_EPG034_EjecucionPresupuesta!$X$97:$X$106,REP_EPG034_EjecucionPresupuesta!$P$97:$P$106,"CUOTA DE FISCALIZACIÓN Y AUDITAJE")</f>
        <v>0</v>
      </c>
      <c r="G21" s="138">
        <f>F21/C21</f>
        <v>0</v>
      </c>
      <c r="H21" s="138">
        <f t="shared" si="4"/>
        <v>0</v>
      </c>
      <c r="I21" s="58">
        <f>SUMIFS(REP_EPG034_EjecucionPresupuesta!$Y$97:$Y$106,REP_EPG034_EjecucionPresupuesta!$P$97:$P$106,"CUOTA DE FISCALIZACIÓN Y AUDITAJE")</f>
        <v>0</v>
      </c>
      <c r="J21" s="138">
        <f t="shared" si="5"/>
        <v>0</v>
      </c>
      <c r="K21" s="138">
        <f t="shared" si="6"/>
        <v>0</v>
      </c>
    </row>
    <row r="22" spans="2:11" ht="33" customHeight="1" thickBot="1" x14ac:dyDescent="0.3">
      <c r="B22" s="187" t="s">
        <v>295</v>
      </c>
      <c r="C22" s="188">
        <f>+C9+C13+C15+C20</f>
        <v>144811856930</v>
      </c>
      <c r="D22" s="188">
        <f>+D9+D13+D15+D20</f>
        <v>9139271123</v>
      </c>
      <c r="E22" s="188">
        <f>+E9+E13+E15+E20</f>
        <v>135672585807</v>
      </c>
      <c r="F22" s="188">
        <f>+F9+F13+F15+F20</f>
        <v>98224654557.309998</v>
      </c>
      <c r="G22" s="253">
        <f>+F22/C22</f>
        <v>0.67829152004307491</v>
      </c>
      <c r="H22" s="189">
        <f t="shared" si="4"/>
        <v>0.7239830653558762</v>
      </c>
      <c r="I22" s="188">
        <f>+I9+I13+I15+I20</f>
        <v>77273352138.209991</v>
      </c>
      <c r="J22" s="253">
        <f>+I22/C22</f>
        <v>0.53361205205429296</v>
      </c>
      <c r="K22" s="189">
        <f t="shared" si="6"/>
        <v>0.56955759837978326</v>
      </c>
    </row>
    <row r="23" spans="2:11" s="61" customFormat="1" ht="39.75" hidden="1" customHeight="1" thickBot="1" x14ac:dyDescent="0.3">
      <c r="B23" s="66" t="s">
        <v>380</v>
      </c>
      <c r="C23" s="100">
        <f>SUM(C24)</f>
        <v>0</v>
      </c>
      <c r="D23" s="100">
        <f>SUM(D24)</f>
        <v>0</v>
      </c>
      <c r="E23" s="100">
        <f>+SUM(E24)</f>
        <v>0</v>
      </c>
      <c r="F23" s="100">
        <f>SUM(F24)</f>
        <v>0</v>
      </c>
      <c r="G23" s="59" t="e">
        <f>F23/C23</f>
        <v>#DIV/0!</v>
      </c>
      <c r="H23" s="59" t="e">
        <f t="shared" si="4"/>
        <v>#DIV/0!</v>
      </c>
      <c r="I23" s="67">
        <f>SUM(I24)</f>
        <v>0</v>
      </c>
      <c r="J23" s="59" t="e">
        <f t="shared" si="5"/>
        <v>#DIV/0!</v>
      </c>
      <c r="K23" s="59" t="e">
        <f t="shared" si="6"/>
        <v>#DIV/0!</v>
      </c>
    </row>
    <row r="24" spans="2:11" ht="33" hidden="1" customHeight="1" thickBot="1" x14ac:dyDescent="0.3">
      <c r="B24" s="74" t="s">
        <v>381</v>
      </c>
      <c r="C24" s="103">
        <f>SUMIFS(REP_EPG034_EjecucionPresupuesta!$T$102:$T$113,REP_EPG034_EjecucionPresupuesta!$P$102:$P$113,"APORTES AL FONDO DE CONTINGENCIAS")</f>
        <v>0</v>
      </c>
      <c r="D24" s="104">
        <f>SUMIFS(REP_EPG034_EjecucionPresupuesta!$U$102:$U$111,REP_EPG034_EjecucionPresupuesta!$P$102:$P$111,"APORTES AL FONDO DE CONTINGENCIAS")</f>
        <v>0</v>
      </c>
      <c r="E24" s="104">
        <f>+C24-D24</f>
        <v>0</v>
      </c>
      <c r="F24" s="104">
        <f>SUMIFS(REP_EPG034_EjecucionPresupuesta!$X$102:$X$113,REP_EPG034_EjecucionPresupuesta!$P$102:$P$113,"APORTES AL FONDO DE CONTINGENCIAS")</f>
        <v>0</v>
      </c>
      <c r="G24" s="144" t="e">
        <f>+F24/C24</f>
        <v>#DIV/0!</v>
      </c>
      <c r="H24" s="144" t="e">
        <f t="shared" si="4"/>
        <v>#DIV/0!</v>
      </c>
      <c r="I24" s="104">
        <f>SUMIFS(REP_EPG034_EjecucionPresupuesta!$Y$102:$Y$113,REP_EPG034_EjecucionPresupuesta!$P$102:$P$113,"APORTES AL FONDO DE CONTINGENCIAS")</f>
        <v>0</v>
      </c>
      <c r="J24" s="144" t="e">
        <f t="shared" si="5"/>
        <v>#DIV/0!</v>
      </c>
      <c r="K24" s="144" t="e">
        <f t="shared" si="6"/>
        <v>#DIV/0!</v>
      </c>
    </row>
    <row r="25" spans="2:11" ht="33" hidden="1" customHeight="1" thickBot="1" x14ac:dyDescent="0.3">
      <c r="B25" s="179" t="s">
        <v>382</v>
      </c>
      <c r="C25" s="181">
        <f>+C23</f>
        <v>0</v>
      </c>
      <c r="D25" s="181">
        <f>+D23</f>
        <v>0</v>
      </c>
      <c r="E25" s="181">
        <f>+E23</f>
        <v>0</v>
      </c>
      <c r="F25" s="181">
        <f>+F23</f>
        <v>0</v>
      </c>
      <c r="G25" s="178" t="e">
        <f>+F25/C25</f>
        <v>#DIV/0!</v>
      </c>
      <c r="H25" s="178" t="e">
        <f t="shared" si="4"/>
        <v>#DIV/0!</v>
      </c>
      <c r="I25" s="181">
        <f>+I23</f>
        <v>0</v>
      </c>
      <c r="J25" s="178" t="e">
        <f t="shared" si="5"/>
        <v>#DIV/0!</v>
      </c>
      <c r="K25" s="178" t="e">
        <f t="shared" si="6"/>
        <v>#DIV/0!</v>
      </c>
    </row>
    <row r="26" spans="2:11" s="73" customFormat="1" ht="35.25" hidden="1" customHeight="1" thickBot="1" x14ac:dyDescent="0.3">
      <c r="B26" s="72" t="s">
        <v>383</v>
      </c>
      <c r="C26" s="77">
        <f>+C22+C25</f>
        <v>144811856930</v>
      </c>
      <c r="D26" s="77">
        <f>+D22+D25</f>
        <v>9139271123</v>
      </c>
      <c r="E26" s="77">
        <f>+E22+E25</f>
        <v>135672585807</v>
      </c>
      <c r="F26" s="77">
        <f>+F22+F25</f>
        <v>98224654557.309998</v>
      </c>
      <c r="G26" s="159">
        <f>+F26/C26</f>
        <v>0.67829152004307491</v>
      </c>
      <c r="H26" s="159">
        <f t="shared" si="2"/>
        <v>0.7239830653558762</v>
      </c>
      <c r="I26" s="77">
        <f>+I22+I25</f>
        <v>77273352138.209991</v>
      </c>
      <c r="J26" s="159">
        <f t="shared" si="5"/>
        <v>0.53361205205429296</v>
      </c>
      <c r="K26" s="159">
        <f t="shared" si="3"/>
        <v>0.56955759837978326</v>
      </c>
    </row>
    <row r="28" spans="2:11" ht="15" customHeight="1" x14ac:dyDescent="0.25">
      <c r="B28" s="284"/>
      <c r="C28" s="284"/>
      <c r="D28" s="284"/>
      <c r="E28" s="284"/>
      <c r="F28" s="284"/>
      <c r="G28" s="284"/>
      <c r="H28" s="284"/>
      <c r="I28" s="284"/>
      <c r="J28" s="284"/>
      <c r="K28" s="27"/>
    </row>
    <row r="29" spans="2:11" ht="15" customHeight="1" x14ac:dyDescent="0.25">
      <c r="B29" s="56"/>
      <c r="C29" s="56"/>
      <c r="D29" s="56"/>
      <c r="E29" s="56"/>
      <c r="F29" s="56"/>
      <c r="G29" s="242"/>
      <c r="H29" s="242"/>
      <c r="J29" s="242"/>
      <c r="K29" s="242"/>
    </row>
  </sheetData>
  <mergeCells count="3">
    <mergeCell ref="B28:J28"/>
    <mergeCell ref="B7:K7"/>
    <mergeCell ref="G4:J4"/>
  </mergeCells>
  <printOptions horizontalCentered="1" verticalCentered="1"/>
  <pageMargins left="0.59055118110236227" right="0" top="0" bottom="0" header="0.31496062992125984" footer="0.31496062992125984"/>
  <pageSetup scale="66" orientation="landscape" r:id="rId1"/>
  <ignoredErrors>
    <ignoredError sqref="G12:G13 G9 J10 J15 J11 J12 J14 J16 J19 F23:K23 D24:E24 C23:E23 H26 J26:K26 G24:H24 J24:K24 E13" formula="1"/>
    <ignoredError sqref="G15 G26" evalError="1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2e8ca07-96c7-4cff-8236-e170392099ed">
      <Terms xmlns="http://schemas.microsoft.com/office/infopath/2007/PartnerControls"/>
    </lcf76f155ced4ddcb4097134ff3c332f>
    <TaxCatchAll xmlns="484c3a85-4dde-40e4-b89c-53b88490b6d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B0C0B07C95B34394823B294D74619A" ma:contentTypeVersion="13" ma:contentTypeDescription="Crear nuevo documento." ma:contentTypeScope="" ma:versionID="8e1f52d90aaa9485dbcc811b192f4b7b">
  <xsd:schema xmlns:xsd="http://www.w3.org/2001/XMLSchema" xmlns:xs="http://www.w3.org/2001/XMLSchema" xmlns:p="http://schemas.microsoft.com/office/2006/metadata/properties" xmlns:ns2="92e8ca07-96c7-4cff-8236-e170392099ed" xmlns:ns3="484c3a85-4dde-40e4-b89c-53b88490b6dc" targetNamespace="http://schemas.microsoft.com/office/2006/metadata/properties" ma:root="true" ma:fieldsID="3c03ceabdf12214be8adeccf646673e4" ns2:_="" ns3:_="">
    <xsd:import namespace="92e8ca07-96c7-4cff-8236-e170392099ed"/>
    <xsd:import namespace="484c3a85-4dde-40e4-b89c-53b88490b6d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e8ca07-96c7-4cff-8236-e170392099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Etiquetas de imagen" ma:readOnly="false" ma:fieldId="{5cf76f15-5ced-4ddc-b409-7134ff3c332f}" ma:taxonomyMulti="true" ma:sspId="c7ec9755-0539-4a6c-b55f-adec7fd451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4c3a85-4dde-40e4-b89c-53b88490b6d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845be65a-0b0e-45b8-9830-c03086aaa9a9}" ma:internalName="TaxCatchAll" ma:showField="CatchAllData" ma:web="484c3a85-4dde-40e4-b89c-53b88490b6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5342C52-8D52-4900-BC72-C061AD0780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7909E6-5C27-4837-9DA7-E914A879827F}">
  <ds:schemaRefs>
    <ds:schemaRef ds:uri="http://purl.org/dc/dcmitype/"/>
    <ds:schemaRef ds:uri="http://purl.org/dc/terms/"/>
    <ds:schemaRef ds:uri="http://schemas.microsoft.com/office/2006/documentManagement/types"/>
    <ds:schemaRef ds:uri="484c3a85-4dde-40e4-b89c-53b88490b6dc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92e8ca07-96c7-4cff-8236-e170392099ed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86F26B0-CFB7-4CB4-BB5C-3250EDE9D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2e8ca07-96c7-4cff-8236-e170392099ed"/>
    <ds:schemaRef ds:uri="484c3a85-4dde-40e4-b89c-53b88490b6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6</vt:i4>
      </vt:variant>
    </vt:vector>
  </HeadingPairs>
  <TitlesOfParts>
    <vt:vector size="18" baseType="lpstr">
      <vt:lpstr>REP_EPG034_EjecucionPresupuesta</vt:lpstr>
      <vt:lpstr>SECTOR</vt:lpstr>
      <vt:lpstr>FTO MJD</vt:lpstr>
      <vt:lpstr>MJD Inversión</vt:lpstr>
      <vt:lpstr>FTO SNR</vt:lpstr>
      <vt:lpstr>SNR Inversión </vt:lpstr>
      <vt:lpstr>FTO INPEC</vt:lpstr>
      <vt:lpstr>INPEC Inversión </vt:lpstr>
      <vt:lpstr>FTO AGENCIA</vt:lpstr>
      <vt:lpstr>AGENCIA Inversión  </vt:lpstr>
      <vt:lpstr>FTO USPEC</vt:lpstr>
      <vt:lpstr>USPEC Inversión  </vt:lpstr>
      <vt:lpstr>'FTO INPEC'!Área_de_impresión</vt:lpstr>
      <vt:lpstr>'FTO MJD'!Área_de_impresión</vt:lpstr>
      <vt:lpstr>'FTO SNR'!Área_de_impresión</vt:lpstr>
      <vt:lpstr>'MJD Inversión'!Área_de_impresión</vt:lpstr>
      <vt:lpstr>SECTOR!Área_de_impresión</vt:lpstr>
      <vt:lpstr>'USPEC Inversión  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Belkis Roncancio</dc:creator>
  <cp:keywords/>
  <dc:description/>
  <cp:lastModifiedBy>MILTON ALFREDO VERA MOTTA</cp:lastModifiedBy>
  <cp:revision/>
  <cp:lastPrinted>2024-11-07T16:41:33Z</cp:lastPrinted>
  <dcterms:created xsi:type="dcterms:W3CDTF">2014-09-01T14:31:28Z</dcterms:created>
  <dcterms:modified xsi:type="dcterms:W3CDTF">2024-11-12T13:58:09Z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0x01010017B0C0B07C95B34394823B294D74619A</vt:lpwstr>
  </property>
  <property fmtid="{D5CDD505-2E9C-101B-9397-08002B2CF9AE}" pid="3" name="MediaServiceImageTags">
    <vt:lpwstr/>
  </property>
</Properties>
</file>