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cgicvl01\Downloads\Proposición 10\"/>
    </mc:Choice>
  </mc:AlternateContent>
  <xr:revisionPtr revIDLastSave="0" documentId="13_ncr:1_{F46E4482-DC61-4097-ACE5-023557F44D43}" xr6:coauthVersionLast="47" xr6:coauthVersionMax="47" xr10:uidLastSave="{00000000-0000-0000-0000-000000000000}"/>
  <bookViews>
    <workbookView xWindow="-120" yWindow="-120" windowWidth="20730" windowHeight="11040" xr2:uid="{00000000-000D-0000-FFFF-FFFF00000000}"/>
  </bookViews>
  <sheets>
    <sheet name="PTI Gestión Agost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7" i="1" l="1"/>
  <c r="O87" i="1"/>
  <c r="N87" i="1"/>
  <c r="M87" i="1"/>
  <c r="L87" i="1"/>
  <c r="K87" i="1"/>
  <c r="P86" i="1"/>
  <c r="O86" i="1"/>
  <c r="N86" i="1"/>
  <c r="M86" i="1"/>
  <c r="L86" i="1"/>
  <c r="K86" i="1"/>
  <c r="O85" i="1"/>
  <c r="L85" i="1"/>
  <c r="K85" i="1"/>
  <c r="P84" i="1"/>
  <c r="N84" i="1"/>
  <c r="L84" i="1"/>
  <c r="K84" i="1"/>
  <c r="P83" i="1"/>
  <c r="O83" i="1"/>
  <c r="N83" i="1"/>
  <c r="M83" i="1"/>
  <c r="L83" i="1"/>
  <c r="K83" i="1"/>
  <c r="P82" i="1"/>
  <c r="O82" i="1"/>
  <c r="N82" i="1"/>
  <c r="M82" i="1"/>
  <c r="P81" i="1"/>
  <c r="O81" i="1"/>
  <c r="N81" i="1"/>
  <c r="M81" i="1"/>
  <c r="L81" i="1"/>
  <c r="P80" i="1"/>
  <c r="O80" i="1"/>
  <c r="N80" i="1"/>
  <c r="M80" i="1"/>
  <c r="L80" i="1"/>
  <c r="K80" i="1"/>
  <c r="P79" i="1"/>
  <c r="O79" i="1"/>
  <c r="N79" i="1"/>
  <c r="M79" i="1"/>
  <c r="L79" i="1"/>
  <c r="K79" i="1"/>
  <c r="P78" i="1"/>
  <c r="O78" i="1"/>
  <c r="N78" i="1"/>
  <c r="M78" i="1"/>
  <c r="L78" i="1"/>
  <c r="K78" i="1"/>
  <c r="P77" i="1"/>
  <c r="O77" i="1"/>
  <c r="N77" i="1"/>
  <c r="M77" i="1"/>
  <c r="L77" i="1"/>
  <c r="K77" i="1"/>
  <c r="P76" i="1"/>
  <c r="O76" i="1"/>
  <c r="N76" i="1"/>
  <c r="M76" i="1"/>
  <c r="L76" i="1"/>
  <c r="K76" i="1"/>
  <c r="P75" i="1"/>
  <c r="O75" i="1"/>
  <c r="N75" i="1"/>
  <c r="M75" i="1"/>
  <c r="L75" i="1"/>
  <c r="K75" i="1"/>
  <c r="O70" i="1"/>
  <c r="O69" i="1"/>
  <c r="P68" i="1"/>
  <c r="O68" i="1"/>
  <c r="N68" i="1"/>
  <c r="M68" i="1"/>
  <c r="L68" i="1"/>
  <c r="P67" i="1"/>
  <c r="O67" i="1"/>
  <c r="M67" i="1"/>
  <c r="L67" i="1"/>
  <c r="P66" i="1"/>
  <c r="O66" i="1"/>
  <c r="N66" i="1"/>
  <c r="N65" i="1"/>
  <c r="H65" i="1"/>
  <c r="P64" i="1"/>
  <c r="O64" i="1"/>
  <c r="N64" i="1"/>
  <c r="M64" i="1"/>
  <c r="L64" i="1"/>
  <c r="K64" i="1"/>
  <c r="H64" i="1"/>
  <c r="P63" i="1"/>
  <c r="O63" i="1"/>
  <c r="N63" i="1"/>
  <c r="M63" i="1"/>
  <c r="L63" i="1"/>
  <c r="K63" i="1"/>
  <c r="P62" i="1"/>
  <c r="O62" i="1"/>
  <c r="N62" i="1"/>
  <c r="M62" i="1"/>
  <c r="L62" i="1"/>
  <c r="P61" i="1"/>
  <c r="O61" i="1"/>
  <c r="N61" i="1"/>
  <c r="M61" i="1"/>
  <c r="L61" i="1"/>
  <c r="K61" i="1"/>
  <c r="P60" i="1"/>
  <c r="O60" i="1"/>
  <c r="N60" i="1"/>
  <c r="M60" i="1"/>
  <c r="L60" i="1"/>
  <c r="P59" i="1"/>
  <c r="O59" i="1"/>
  <c r="N59" i="1"/>
  <c r="M59" i="1"/>
  <c r="L59" i="1"/>
  <c r="P58" i="1"/>
  <c r="O58" i="1"/>
  <c r="P57" i="1"/>
  <c r="O57" i="1"/>
  <c r="N57" i="1"/>
  <c r="M57" i="1"/>
  <c r="L57" i="1"/>
  <c r="P56" i="1"/>
  <c r="O56" i="1"/>
  <c r="N56" i="1"/>
  <c r="M56" i="1"/>
  <c r="L56" i="1"/>
  <c r="P55" i="1"/>
  <c r="O55" i="1"/>
  <c r="N55" i="1"/>
  <c r="M55" i="1"/>
  <c r="L55" i="1"/>
  <c r="P54" i="1"/>
  <c r="O54" i="1"/>
  <c r="N54" i="1"/>
  <c r="M54" i="1"/>
  <c r="L54" i="1"/>
  <c r="K54" i="1"/>
  <c r="P53" i="1"/>
  <c r="O53" i="1"/>
  <c r="N53" i="1"/>
  <c r="M53" i="1"/>
  <c r="L53" i="1"/>
  <c r="K53" i="1"/>
  <c r="P52" i="1"/>
  <c r="O52" i="1"/>
  <c r="N52" i="1"/>
  <c r="M52" i="1"/>
  <c r="L52" i="1"/>
  <c r="P51" i="1"/>
  <c r="O51" i="1"/>
  <c r="N51" i="1"/>
  <c r="M51" i="1"/>
  <c r="L51" i="1"/>
  <c r="P50" i="1"/>
  <c r="O50" i="1"/>
  <c r="N50" i="1"/>
  <c r="M50" i="1"/>
  <c r="L50" i="1"/>
  <c r="P49" i="1"/>
  <c r="O49" i="1"/>
  <c r="N49" i="1"/>
  <c r="M49" i="1"/>
  <c r="L49" i="1"/>
  <c r="P48" i="1"/>
  <c r="O48" i="1"/>
  <c r="N48" i="1"/>
  <c r="M48" i="1"/>
  <c r="L48" i="1"/>
  <c r="P47" i="1"/>
  <c r="O47" i="1"/>
  <c r="N47" i="1"/>
  <c r="M47" i="1"/>
  <c r="L47" i="1"/>
  <c r="P46" i="1"/>
  <c r="O46" i="1"/>
  <c r="N46" i="1"/>
  <c r="M46" i="1"/>
  <c r="L46" i="1"/>
  <c r="P45" i="1"/>
  <c r="O45" i="1"/>
  <c r="N45" i="1"/>
  <c r="M45" i="1"/>
  <c r="L45" i="1"/>
  <c r="N44" i="1"/>
  <c r="M44" i="1"/>
  <c r="L44" i="1"/>
  <c r="K44" i="1"/>
  <c r="P43" i="1"/>
  <c r="O43" i="1"/>
  <c r="N43" i="1"/>
  <c r="M43" i="1"/>
  <c r="L43" i="1"/>
  <c r="P42" i="1"/>
  <c r="O42" i="1"/>
  <c r="N42" i="1"/>
  <c r="M42" i="1"/>
  <c r="L42" i="1"/>
  <c r="P41" i="1"/>
  <c r="O41" i="1"/>
  <c r="N41" i="1"/>
  <c r="P40" i="1"/>
  <c r="O40" i="1"/>
  <c r="P39" i="1"/>
  <c r="O39" i="1"/>
  <c r="P38" i="1"/>
  <c r="O38" i="1"/>
  <c r="N38" i="1"/>
  <c r="M38" i="1"/>
  <c r="L38" i="1"/>
  <c r="K38" i="1"/>
  <c r="P37" i="1"/>
  <c r="O37" i="1"/>
  <c r="N37" i="1"/>
  <c r="M37" i="1"/>
  <c r="L37" i="1"/>
  <c r="P36" i="1"/>
  <c r="O36" i="1"/>
  <c r="N36" i="1"/>
  <c r="M36" i="1"/>
  <c r="L36" i="1"/>
  <c r="P35" i="1"/>
  <c r="O35" i="1"/>
  <c r="N35" i="1"/>
  <c r="M35" i="1"/>
  <c r="L35" i="1"/>
  <c r="P34" i="1"/>
  <c r="O34" i="1"/>
  <c r="N34" i="1"/>
  <c r="M34" i="1"/>
  <c r="L34" i="1"/>
  <c r="K34" i="1"/>
  <c r="P33" i="1"/>
  <c r="O33" i="1"/>
  <c r="N33" i="1"/>
  <c r="M33" i="1"/>
  <c r="L33" i="1"/>
  <c r="K33" i="1"/>
  <c r="P32" i="1"/>
  <c r="O32" i="1"/>
  <c r="N32" i="1"/>
  <c r="M32" i="1"/>
  <c r="L32" i="1"/>
  <c r="K32" i="1"/>
  <c r="P31" i="1"/>
  <c r="O31" i="1"/>
  <c r="N31" i="1"/>
  <c r="M31" i="1"/>
  <c r="L31" i="1"/>
  <c r="K31" i="1"/>
  <c r="P30" i="1"/>
  <c r="O30" i="1"/>
  <c r="N30" i="1"/>
  <c r="M30" i="1"/>
  <c r="L30" i="1"/>
  <c r="P29" i="1"/>
  <c r="O29" i="1"/>
  <c r="N29" i="1"/>
  <c r="M29" i="1"/>
  <c r="L29" i="1"/>
  <c r="P28" i="1"/>
  <c r="O28" i="1"/>
  <c r="N28" i="1"/>
  <c r="M28" i="1"/>
  <c r="L28" i="1"/>
  <c r="P27" i="1"/>
  <c r="O27" i="1"/>
  <c r="N27" i="1"/>
  <c r="M27" i="1"/>
  <c r="L27" i="1"/>
  <c r="O26" i="1"/>
  <c r="N26" i="1"/>
  <c r="M26" i="1"/>
  <c r="L26" i="1"/>
  <c r="K26" i="1"/>
  <c r="O25" i="1"/>
  <c r="N25" i="1"/>
  <c r="M25" i="1"/>
  <c r="L25" i="1"/>
  <c r="K25" i="1"/>
  <c r="O24" i="1"/>
  <c r="N24" i="1"/>
  <c r="M24" i="1"/>
  <c r="L24" i="1"/>
  <c r="K24" i="1"/>
  <c r="O23" i="1"/>
  <c r="N23" i="1"/>
  <c r="M23" i="1"/>
  <c r="L23" i="1"/>
  <c r="O22" i="1"/>
  <c r="N22" i="1"/>
  <c r="M22" i="1"/>
  <c r="L22" i="1"/>
  <c r="K22" i="1"/>
  <c r="P21" i="1"/>
  <c r="O21" i="1"/>
  <c r="P20" i="1"/>
  <c r="O20" i="1"/>
  <c r="N20" i="1"/>
  <c r="M20" i="1"/>
  <c r="L20" i="1"/>
  <c r="K20" i="1"/>
  <c r="P19" i="1"/>
  <c r="O19" i="1"/>
  <c r="N19" i="1"/>
  <c r="M19" i="1"/>
  <c r="L19" i="1"/>
  <c r="K19" i="1"/>
  <c r="P18" i="1"/>
  <c r="O18" i="1"/>
  <c r="N18" i="1"/>
  <c r="M18" i="1"/>
  <c r="L18" i="1"/>
  <c r="K18" i="1"/>
  <c r="P17" i="1"/>
  <c r="O17" i="1"/>
  <c r="N17" i="1"/>
  <c r="M17" i="1"/>
  <c r="L17" i="1"/>
  <c r="K17" i="1"/>
  <c r="P16" i="1"/>
  <c r="O16" i="1"/>
  <c r="N16" i="1"/>
  <c r="K16" i="1"/>
  <c r="P15" i="1"/>
  <c r="O15" i="1"/>
  <c r="N15" i="1"/>
  <c r="P14" i="1"/>
  <c r="O14" i="1"/>
  <c r="K14" i="1"/>
  <c r="P13" i="1"/>
  <c r="O13" i="1"/>
  <c r="N13" i="1"/>
  <c r="M13" i="1"/>
  <c r="L13" i="1"/>
  <c r="K13" i="1"/>
  <c r="P12" i="1"/>
  <c r="O12" i="1"/>
  <c r="N12" i="1"/>
  <c r="M12" i="1"/>
  <c r="L12" i="1"/>
  <c r="K12" i="1"/>
  <c r="P10" i="1"/>
  <c r="O10" i="1"/>
  <c r="N10" i="1"/>
  <c r="M10" i="1"/>
  <c r="L10" i="1"/>
  <c r="K10" i="1"/>
</calcChain>
</file>

<file path=xl/sharedStrings.xml><?xml version="1.0" encoding="utf-8"?>
<sst xmlns="http://schemas.openxmlformats.org/spreadsheetml/2006/main" count="441" uniqueCount="275">
  <si>
    <t xml:space="preserve">CODIGO </t>
  </si>
  <si>
    <t xml:space="preserve">VERSION </t>
  </si>
  <si>
    <t>FECHA</t>
  </si>
  <si>
    <t>FECHA DE REALIZACION: 14 DE MAYO 2024</t>
  </si>
  <si>
    <t>EPS:</t>
  </si>
  <si>
    <t>SERVICIO OCCIDENTAL DE SALUD EPS S.O.S</t>
  </si>
  <si>
    <t>Componente</t>
  </si>
  <si>
    <t>CRITERIO EVALUADO</t>
  </si>
  <si>
    <t>CAUSAS</t>
  </si>
  <si>
    <t>ACCIONES DE MEJORAMIENTO</t>
  </si>
  <si>
    <t>DEPENDENCIA DE LA EPS RESPONSABLE DE LA ACCIÓN DE MEJORA</t>
  </si>
  <si>
    <t>NOMBRE DEL RESPONSABLE DE EJECUTAR LA ACCIÓN DE MEJORA EN LA EPS</t>
  </si>
  <si>
    <t>INDICADOR</t>
  </si>
  <si>
    <t>META ABRIL 2025</t>
  </si>
  <si>
    <t xml:space="preserve">LÍNEA BASE </t>
  </si>
  <si>
    <t>RESULTADO INDICADOR MES</t>
  </si>
  <si>
    <t>FECHA DE INICIO DD/MM/AAAA</t>
  </si>
  <si>
    <t>FECHA DE TERMINACIÓN
 DD/MM/AAAA</t>
  </si>
  <si>
    <t>ORDEN / SEGUIMIENTO INDICADORES FENIX</t>
  </si>
  <si>
    <t>NUMERADOR</t>
  </si>
  <si>
    <t>DENOMINADOR</t>
  </si>
  <si>
    <t>MARZO 2024</t>
  </si>
  <si>
    <t>Técnico Científico</t>
  </si>
  <si>
    <r>
      <rPr>
        <b/>
        <sz val="10"/>
        <color rgb="FF000000"/>
        <rFont val="Calibri"/>
      </rPr>
      <t>Orden 1:</t>
    </r>
    <r>
      <rPr>
        <sz val="10"/>
        <color rgb="FF000000"/>
        <rFont val="Calibri"/>
      </rPr>
      <t xml:space="preserve"> Continuar con las estrategias que impacten en la reducción y resolución de fondo y de acuerdo con el término establecido por la circular Externa 202315100000010-5 de junio 22 de 2023 de la Superintendencia Nacional de Salud, las reclamaciones en salud interpuesta por la población afiliada, con especial atención en las clasificadas como “riesgo vital”, con el fin de mejorar la calidad, el acceso y la oportunidad en la atención, así como en la autorización de servicios, medicamentos y tecnologías en salud.</t>
    </r>
  </si>
  <si>
    <t xml:space="preserve">Insuficiente capacidad instalada de la red contratada para Oncología y morbilidad general (solicitudes de casos de riesgo vital), para todos los territorios en los cuales opera la EPS; lo cual limita el acceso y la oportunidad de la atención en los servicios (respuesta de PQRS de Riesgo Vital, Corte Marzo 2024: 179 horas.) 
Las  principales causas de riesgo vital de la EPS están asociadas a: 
50% Central de Referencia
44% hospitalización
</t>
  </si>
  <si>
    <t xml:space="preserve">Implementar un sistema de alertas que identifique 7X24 las PQR de riesgo vital, con el fin de desplegar acciones que permitan generar respuestas oportunas.
Anexos: 
1. Avance plan de trabajo implementación metodología alertas </t>
  </si>
  <si>
    <t>Gerencia de Acceso
Gerencia de Tecnología
Gerencia de Experiencia al Usuario</t>
  </si>
  <si>
    <t>Diana Lorena Tamayo
Oscar Florez
Andres Arango</t>
  </si>
  <si>
    <r>
      <rPr>
        <b/>
        <sz val="10"/>
        <color rgb="FF000000"/>
        <rFont val="Calibri"/>
      </rPr>
      <t xml:space="preserve">Oportunidad en la respuesta PQR Riesgo Vital: </t>
    </r>
    <r>
      <rPr>
        <sz val="10"/>
        <color rgb="FF000000"/>
        <rFont val="Calibri"/>
      </rPr>
      <t>(sumatoria de las horas transcurridas entre la hora de registro y la hora de solución)/ total de PQR de riesgo vital</t>
    </r>
  </si>
  <si>
    <t>≤ 24 horas</t>
  </si>
  <si>
    <t>Ejecutar una reunión integral (auditoria médica + Acceso + Gestión de riesgo + Involucrados claves) con seguimiento semanal (martes y viernes) en la cual se evalúan los casos de pacientes de referencia y riesgos vital para realizar intervención al prestador o directa al afiliado según corresponda. 
Anexos: 
1. Acta de reunión - Central de Referencia</t>
  </si>
  <si>
    <t>Gerencia de Acceso
Gerencia de Auditoría 
Gerencia de Redes
Gerencia de Riesgos en Salud</t>
  </si>
  <si>
    <t>Diana Lorena Tamayo
Julian Villegas
John Jairo Castillo
Angelica Lopez</t>
  </si>
  <si>
    <t xml:space="preserve">Reconfigurar la red de prestadores oncológicos en los territorios donde opera la EPS a través de la ampliación o ajustes en la contratación. 
Implementar mecanismo de alertas para garantizar la gestión oportuna en el diagnóstico de los pacientes incidentes y prevalentes en la consulta especializada para los territorios donde opera la EPS.
Anexos: 
1. Base de Datos de Incidentes con la gestión (variables programación, asignación de cita, programación) (Riesgos) (Orden 2)
2. Indicador de Oportunidad de cita e inicio de tratamiento (UDA) (Orden 2)
3. Informe de PCI (Plan Compras de Inteligente) </t>
  </si>
  <si>
    <t>Gerencia de Redes integrales
Gerencia de Riesgos en Salud
Gerencia de Experiencia al Usuario</t>
  </si>
  <si>
    <t>Jhon Jairo Castillo
Angelica Lopez
Andres Arango</t>
  </si>
  <si>
    <r>
      <rPr>
        <b/>
        <sz val="10"/>
        <color rgb="FF000000"/>
        <rFont val="Calibri"/>
      </rPr>
      <t xml:space="preserve">Tasa de PQR Oncología: </t>
    </r>
    <r>
      <rPr>
        <sz val="10"/>
        <color rgb="FF000000"/>
        <rFont val="Calibri"/>
      </rPr>
      <t>Cantidad de PQR de Oncología/ Población BDUA * 10.000</t>
    </r>
  </si>
  <si>
    <t xml:space="preserve">Optimizar la red ambulatoria mediante la contratación de centrales especializadas que garantice el acceso y la oportunidad en la atención en los territorios donde opera la EPS.
Anexos: 
Informe de PCI (Plan Compras de Inteligente) 
Informe PQRD por principales especialidades </t>
  </si>
  <si>
    <t>Redes integrales
Gerencia de Experiencia al Usuario</t>
  </si>
  <si>
    <t>Jhon Jairo Castillo
Andres Arango</t>
  </si>
  <si>
    <r>
      <rPr>
        <b/>
        <sz val="10"/>
        <color rgb="FF000000"/>
        <rFont val="Calibri"/>
      </rPr>
      <t xml:space="preserve">Proporción de PQR en la asignación de citas de medicina especializada: </t>
    </r>
    <r>
      <rPr>
        <sz val="10"/>
        <color rgb="FF000000"/>
        <rFont val="Calibri"/>
      </rPr>
      <t>(Cantidad de PQRD recibidas / Total de las PQRD mes) *100%</t>
    </r>
  </si>
  <si>
    <t>Ausencia de un modelo de autogestión por parte de la red de prestación, que permita identificar la ruta de acceso y prestación de los servicios de salud de la población afiliada sin que medie un mecanismo de autorización.</t>
  </si>
  <si>
    <t xml:space="preserve">Implementar modelos de contratación especial que garanticen el acceso directo a la prestación de los servicios que incluyan acciones de seguimiento para evaluar el acceso y la prestación de servicios, incluido un modelo de autogestión. 
Anexos: 
1. Análisis de medición.
2. Informe de avance en la contratación (pgp, bolsa, etc) </t>
  </si>
  <si>
    <t xml:space="preserve">Gerencia dGerencia de Redes integralese Acceso
</t>
  </si>
  <si>
    <t>Diana Lorena Tamayo
Jhon Jairo Castillo</t>
  </si>
  <si>
    <r>
      <rPr>
        <b/>
        <sz val="10"/>
        <color rgb="FF000000"/>
        <rFont val="Calibri"/>
      </rPr>
      <t xml:space="preserve">Oportunidad de Autorizaciones: </t>
    </r>
    <r>
      <rPr>
        <sz val="10"/>
        <color rgb="FF000000"/>
        <rFont val="Calibri"/>
      </rPr>
      <t>Fecha autorización del servicio - Fecha radicación de solicitud del servicio</t>
    </r>
  </si>
  <si>
    <t>5 días hábiles</t>
  </si>
  <si>
    <t>Gerencia de Acceso
Gerencia de Redes integrales</t>
  </si>
  <si>
    <r>
      <rPr>
        <b/>
        <sz val="10"/>
        <color rgb="FF000000"/>
        <rFont val="Calibri"/>
      </rPr>
      <t xml:space="preserve">Prestación por acceso directo: </t>
    </r>
    <r>
      <rPr>
        <sz val="10"/>
        <color rgb="FF000000"/>
        <rFont val="Calibri"/>
      </rPr>
      <t>(Número de usuarios de consumo de servicios acceso directo / Población total consultada x acceso directo) *100%</t>
    </r>
  </si>
  <si>
    <t>Sin medición</t>
  </si>
  <si>
    <t>NA</t>
  </si>
  <si>
    <t xml:space="preserve">Concentración en la entrega de medicamentos ambulatorios en un solo operador, lo cual deriva una baja capacidad en los volúmenes de entrega de los medicamentos formulados, generando un nivel de servicio del 32,7% en la dispensación.
</t>
  </si>
  <si>
    <t xml:space="preserve">
Ejecutar un modelo de contratación de medicamentos a través de otros operadores, que garanticen la entrega de medicamentos.
Anexos: 
1. Informe de experiencia al usuario.
2. Informe y estructura de reporte </t>
  </si>
  <si>
    <t xml:space="preserve">
Gerencia de Experiencia al Usuario</t>
  </si>
  <si>
    <t>Andres Arango</t>
  </si>
  <si>
    <r>
      <rPr>
        <b/>
        <sz val="10"/>
        <color rgb="FF000000"/>
        <rFont val="Calibri"/>
      </rPr>
      <t xml:space="preserve">Tasa de PQR asociada a Medicamentos: </t>
    </r>
    <r>
      <rPr>
        <sz val="10"/>
        <color rgb="FF000000"/>
        <rFont val="Calibri"/>
      </rPr>
      <t>Cantidad de PQR de medicamentos / Población BDUA  del mes de análisis * 10.000</t>
    </r>
  </si>
  <si>
    <t>Gerencia de Acceso
Gerencia de Redes integrales
Gerencia de Experiencia al Usuario</t>
  </si>
  <si>
    <t>Diana Lorena Tamayo
Jhon Jairo Castillo
Andres Arango</t>
  </si>
  <si>
    <r>
      <rPr>
        <b/>
        <sz val="10"/>
        <color rgb="FF000000"/>
        <rFont val="Calibri"/>
      </rPr>
      <t xml:space="preserve">Oportunidad en los tiempos de la entrega de los medicamentos pendientes (horas): </t>
    </r>
    <r>
      <rPr>
        <sz val="10"/>
        <color rgb="FF000000"/>
        <rFont val="Calibri"/>
      </rPr>
      <t>Cociente entre el número de medicamentos entregados en menos de 48 horas/ número de medicamentos pendientes reportados.</t>
    </r>
  </si>
  <si>
    <r>
      <rPr>
        <sz val="10"/>
        <color rgb="FF000000"/>
        <rFont val="Calibri"/>
      </rPr>
      <t>&lt;</t>
    </r>
    <r>
      <rPr>
        <sz val="10"/>
        <color rgb="FF000000"/>
        <rFont val="Calibri"/>
      </rPr>
      <t xml:space="preserve"> 48%</t>
    </r>
  </si>
  <si>
    <r>
      <rPr>
        <sz val="10"/>
        <color rgb="FF000000"/>
        <rFont val="Calibri"/>
      </rPr>
      <t xml:space="preserve">Baja articulación en doble vía (cliente-proveedor) entre PQR y tutelas para el </t>
    </r>
    <r>
      <rPr>
        <b/>
        <sz val="10"/>
        <color rgb="FF000000"/>
        <rFont val="Calibri"/>
      </rPr>
      <t>monitoreo continuo de los usuarios multi quejosos</t>
    </r>
    <r>
      <rPr>
        <sz val="10"/>
        <color rgb="FF000000"/>
        <rFont val="Calibri"/>
      </rPr>
      <t xml:space="preserve"> o con acciones de tutela con probabilidad de aumentar el riesgo jurídico  y generar de insatisfacción de usuarios.</t>
    </r>
  </si>
  <si>
    <r>
      <rPr>
        <sz val="10"/>
        <color rgb="FF000000"/>
        <rFont val="Calibri"/>
      </rPr>
      <t>- Continuar campaña "</t>
    </r>
    <r>
      <rPr>
        <b/>
        <sz val="10"/>
        <color rgb="FF000000"/>
        <rFont val="Calibri"/>
      </rPr>
      <t>De la Mano Contigo</t>
    </r>
    <r>
      <rPr>
        <sz val="10"/>
        <color rgb="FF000000"/>
        <rFont val="Calibri"/>
      </rPr>
      <t>" y gestoras de experiencia.
Anexos: 
1. Imagen tablero B.I.
2. Informe de Campañas</t>
    </r>
  </si>
  <si>
    <t>Gerencia de Experiencia al Usuario</t>
  </si>
  <si>
    <r>
      <rPr>
        <b/>
        <sz val="10"/>
        <color rgb="FF000000"/>
        <rFont val="Calibri"/>
      </rPr>
      <t xml:space="preserve">Tasa de PQR SNS x 10.000 Usuarios: </t>
    </r>
    <r>
      <rPr>
        <sz val="10"/>
        <color rgb="FF000000"/>
        <rFont val="Calibri"/>
      </rPr>
      <t>(Cantidad de PQR SNS/Población)*10.000</t>
    </r>
  </si>
  <si>
    <r>
      <rPr>
        <b/>
        <sz val="10"/>
        <color rgb="FF000000"/>
        <rFont val="Calibri"/>
      </rPr>
      <t xml:space="preserve">% de PQRD con respuesta efectiva: </t>
    </r>
    <r>
      <rPr>
        <sz val="10"/>
        <color rgb="FF000000"/>
        <rFont val="Calibri"/>
      </rPr>
      <t>Numero de PQR con respuesta efectiva en el mes / Número de PQR notificados en el periodo</t>
    </r>
  </si>
  <si>
    <r>
      <rPr>
        <b/>
        <sz val="10"/>
        <color rgb="FF000000"/>
        <rFont val="Calibri"/>
      </rPr>
      <t>% Oportunidad de cierre de PQR Campaña de la mano contigo:</t>
    </r>
    <r>
      <rPr>
        <sz val="10"/>
        <color rgb="FF000000"/>
        <rFont val="Calibri"/>
      </rPr>
      <t xml:space="preserve"> Cantidad de PQR Campaña de la mano contigo cerradas oportunamente en el Periodo / Total de PQR Campaña de la mano contigo Ingresadas en el Periodo)*100</t>
    </r>
  </si>
  <si>
    <r>
      <rPr>
        <b/>
        <sz val="10"/>
        <color rgb="FF000000"/>
        <rFont val="Calibri"/>
      </rPr>
      <t>Orden 2:</t>
    </r>
    <r>
      <rPr>
        <sz val="10"/>
        <color rgb="FF000000"/>
        <rFont val="Calibri"/>
      </rPr>
      <t xml:space="preserve"> Intensificar las acciones de identificación, seguimiento y resolución de las barreras de acceso para cumplir las rutas integrales de atención (RÍAS) concentrándose en los grupos de riesgo priorizados en la entidad: cáncer, riesgo cardiovascular y salud materno perinatal e infantil.</t>
    </r>
  </si>
  <si>
    <t>Debilidad en la ejecución del proceso que operativice y articule la gestión de las RÍAS priorizadas y redes integrales de prestadores de servicios de salud (RIPSS), el cual debe contemplar las etapas de planeación de la atención (identificación), resolución de las barreras de acceso (seguimiento) y evaluación de resultados en salud, incluyendo las acciones de demanda inducida, en un ciclo de mejoramiento continuo.</t>
  </si>
  <si>
    <t>1. Ejecutar un plan de acción de manera estructurada que contemple: la caracterización de las cohortes priorizadas, la estadificación de riesgos, la planeación y construccion de mapas de red por municipio a nivel de CUPS y RIAS priorizadas para identificar la completitud en las coberturas de servicios, brechas contractuales y de acceso. Este plan debe permitir estructurar el proceso contractual y sistematizar a traves de la plataforma SOMA, la autogestion y articulación de la red de prestacion de servicios en salud para la operacion de las rutas. Finalmente este debe contener todas las variables de evaluacion y seguimiento desde la gestion contractual y la exigencia al cumplimiento de indicadores de resultados en salud y el acceso oportuno. (Planear)
Anexos: 
1. Plan de trabajo con avances 
2. mapas de red por territorio y por cada una de las RIAS priorizadas</t>
  </si>
  <si>
    <t>Gerencia de Riesgos en Salud
Gerencia de Redes</t>
  </si>
  <si>
    <t>Angelica Lopez
John Jairo Castillo</t>
  </si>
  <si>
    <r>
      <rPr>
        <b/>
        <sz val="10"/>
        <color rgb="FF000000"/>
        <rFont val="Calibri"/>
      </rPr>
      <t xml:space="preserve">Ejecución plan de acción: </t>
    </r>
    <r>
      <rPr>
        <sz val="10"/>
        <color rgb="FF000000"/>
        <rFont val="Calibri"/>
      </rPr>
      <t>Total de acciones del plan ejecutadas en el mes / Total de acciones del plan por ejecutar en el mes *100</t>
    </r>
    <r>
      <rPr>
        <b/>
        <sz val="10"/>
        <color rgb="FF000000"/>
        <rFont val="Calibri"/>
      </rPr>
      <t xml:space="preserve">
</t>
    </r>
  </si>
  <si>
    <t>Sin calcular</t>
  </si>
  <si>
    <t xml:space="preserve">2. Implementar un tablero de inteligencia de negocios de seguimiento nominal por cohortes priorizadas en los territorios donde opera la EPS con el fin de identificar los diferentes riesgos en salud y operativos que generan barreras de acceso para el cumplimiento de la ruta. (Planear)
3. Ejecutar un cronograma por cohorte priorizada por territorio donde la opera la EPS, para articular la operacion entre los diferentes niveles de atención, para garantizar la ejecución de la ruta y la prestación de servicios de manera oportuna. (Planear)
4. Ajustar los anexos contractuales en función de las exigencias del modelo de RIAS en cumplimiento de lo establecido por el Decreto 441 de 2021, donde exista la claridad y la exigencia de la completitud del reporte de información y de resultados en salud. (Planear)
5. Ejecutar un cronograma por cohorte priorizada por territorio donde opera la EPS, con el fin de operativizar el modelo de gestion integral de riesgo en salud para identificar brechas en el acceso, oportunidad, completitud de la atención, adherencia a tratamiento, garantizando el cierre de las mismas, mediante la exigencia de ejecucion de planes de accion con la red de prestación de servicios en salud. Asi mismo con el equipo de cohortes de riesgo en salud, ejecutar las acciones de Demanda Inducida en los territorios deonde opera la EPS.(Hacer)
6. Reorientar la actual figura del modelo de acompañamiento en funcion de la evaluacion de las RIAS por cohorte priorizadas. (Verificar)
7. Ejecutar acciones de penalización a la contratacion por incumplimiento de la entrega completa de información y de resultados en salud. (Actuar)
Anexos: 
1. BD Población Nominal 
2. Avances implementación tableros BI
</t>
  </si>
  <si>
    <t>Gerencia de Riesgos en Salud</t>
  </si>
  <si>
    <t>Angelica Lopez</t>
  </si>
  <si>
    <r>
      <rPr>
        <b/>
        <sz val="10"/>
        <color rgb="FF000000"/>
        <rFont val="Calibri"/>
      </rPr>
      <t xml:space="preserve">Proporción de mujeres entre 25 y 65 años que se realizan las pruebas de tamización para el cáncer de cuello uterino: </t>
    </r>
    <r>
      <rPr>
        <sz val="10"/>
        <color rgb="FF000000"/>
        <rFont val="Calibri"/>
      </rPr>
      <t>Número de mujeres tamizadas para cáncer de cuello uterino con la tecnología indicada según edad  / Total de mujeres objeto de tamización  *100</t>
    </r>
  </si>
  <si>
    <t>≥ 85%</t>
  </si>
  <si>
    <r>
      <rPr>
        <b/>
        <sz val="10"/>
        <color rgb="FF000000"/>
        <rFont val="Calibri"/>
      </rPr>
      <t xml:space="preserve">Proporción de mujeres entre los 50 y 69 años con toma de mamografía en los últimos 2 años: </t>
    </r>
    <r>
      <rPr>
        <sz val="10"/>
        <color rgb="FF000000"/>
        <rFont val="Calibri"/>
      </rPr>
      <t>Número de mujeres de 50-69 años que cuentan con mamografía en los últimos 2 años / Total de mujeres entre 50 y 69 años objeto de tamización * 100</t>
    </r>
  </si>
  <si>
    <t>≥ 70%</t>
  </si>
  <si>
    <t>49,81%</t>
  </si>
  <si>
    <r>
      <rPr>
        <b/>
        <sz val="10"/>
        <color rgb="FF000000"/>
        <rFont val="Calibri"/>
      </rPr>
      <t xml:space="preserve">Proporción de mujeres con citología cervico uterina anormal que cumplen el estándar de 30 días para la toma de colposcopia: </t>
    </r>
    <r>
      <rPr>
        <sz val="10"/>
        <color rgb="FF000000"/>
        <rFont val="Calibri"/>
      </rPr>
      <t>Número de mujeres que cumplen el estándar de 30 días para toma de colposcopia / Número de mujeres con citologia anormal *100</t>
    </r>
  </si>
  <si>
    <t>≥ 80%</t>
  </si>
  <si>
    <t>27,60%</t>
  </si>
  <si>
    <r>
      <rPr>
        <b/>
        <sz val="10"/>
        <color rgb="FF000000"/>
        <rFont val="Calibri"/>
      </rPr>
      <t>Tiempo promedio de espera para el inicio del tratamiento en cáncer de mama:</t>
    </r>
    <r>
      <rPr>
        <sz val="10"/>
        <color rgb="FF000000"/>
        <rFont val="Calibri"/>
      </rPr>
      <t xml:space="preserve"> Sumatoria de la diferencia de días calendario entre fecha de inicio de tratamiento y la fecha de diagnóstico de cáncer de mama incidentes  / Número total de casos de cáncer de mama diagnosticados en el periodo (días)</t>
    </r>
  </si>
  <si>
    <t xml:space="preserve"> ≤ 30 días </t>
  </si>
  <si>
    <t>71,04</t>
  </si>
  <si>
    <r>
      <rPr>
        <b/>
        <sz val="10"/>
        <color rgb="FF000000"/>
        <rFont val="Calibri"/>
      </rPr>
      <t xml:space="preserve">Tiempo promedio de espera para el inicio del tratamiento de cáncer de cuello uterino: </t>
    </r>
    <r>
      <rPr>
        <sz val="10"/>
        <color rgb="FF000000"/>
        <rFont val="Calibri"/>
      </rPr>
      <t>Sumatoria de la diferencia de días calendario entre fecha de inicio de tratamiento y la fecha de diagnóstico de cáncer de cuello uterino / Número total de casos de cáncer de cuello uterino diagnosticados en el periodo (días)</t>
    </r>
  </si>
  <si>
    <t>64,32</t>
  </si>
  <si>
    <r>
      <rPr>
        <b/>
        <sz val="10"/>
        <color rgb="FF000000"/>
        <rFont val="Calibri"/>
      </rPr>
      <t>Razón mortalidad materna a 42 días:</t>
    </r>
    <r>
      <rPr>
        <sz val="10"/>
        <color rgb="FF000000"/>
        <rFont val="Calibri"/>
      </rPr>
      <t xml:space="preserve"> Número de muertes de mujeres durante el embarazo, parto o puerperio (42 días después del parto) por cualquier causa relacionado o agravada por el embarazo, parto o puerperio o su manejo, pero no por causas accidentales / Número total de nacidos vivos * 100.000</t>
    </r>
  </si>
  <si>
    <t>≤ 32 por 100.000 NV</t>
  </si>
  <si>
    <r>
      <rPr>
        <b/>
        <sz val="10"/>
        <color rgb="FF000000"/>
        <rFont val="Calibri"/>
      </rPr>
      <t>Tasa incidencia de Sífilis Congénita:</t>
    </r>
    <r>
      <rPr>
        <sz val="10"/>
        <color rgb="FF000000"/>
        <rFont val="Calibri"/>
      </rPr>
      <t>Número de casos nuevos de sífilis congénita / Total de nacidos vivos en el periodo por 1.000 nacidos vivos (incluidos mortinatos)</t>
    </r>
  </si>
  <si>
    <t>≤ 0.5 casos por 1.000 NV (incluidos mortinatos)</t>
  </si>
  <si>
    <r>
      <rPr>
        <b/>
        <sz val="10"/>
        <color rgb="FF000000"/>
        <rFont val="Calibri"/>
      </rPr>
      <t>Tasa de mortalidad en menores de 5 años por desnutrición:</t>
    </r>
    <r>
      <rPr>
        <sz val="10"/>
        <color rgb="FF000000"/>
        <rFont val="Calibri"/>
      </rPr>
      <t>Número de muertes por desnutrición en menores de 5 años / Número total de menores de 5 años * 100.000</t>
    </r>
  </si>
  <si>
    <t>≤ 5 por cada 100.000
 menores de 5 años.</t>
  </si>
  <si>
    <r>
      <rPr>
        <b/>
        <sz val="10"/>
        <color rgb="FF000000"/>
        <rFont val="Calibri"/>
      </rPr>
      <t>Tasa de mortalidad en menores de 5 años por Enfermedad Diarreica Aguda (EDA):</t>
    </r>
    <r>
      <rPr>
        <sz val="10"/>
        <color rgb="FF000000"/>
        <rFont val="Calibri"/>
      </rPr>
      <t xml:space="preserve">Número de muertes por EDA en menores de 5 años / Número total de menores de 5 años * 100.000 </t>
    </r>
  </si>
  <si>
    <t>≤ 2,95 por cada 100.000 menores de 5 años.</t>
  </si>
  <si>
    <r>
      <rPr>
        <b/>
        <sz val="10"/>
        <color rgb="FF000000"/>
        <rFont val="Calibri"/>
      </rPr>
      <t>Tasa de mortalidad en menores de 5 años por Infección Respiratoria Aguda (IRA):</t>
    </r>
    <r>
      <rPr>
        <sz val="10"/>
        <color rgb="FF000000"/>
        <rFont val="Calibri"/>
      </rPr>
      <t>Número de muertes por IRA en menores de 5 años/Número total de afiliados menores de 5 años con estado de afiliación activos o suspendidos * 100.000</t>
    </r>
  </si>
  <si>
    <t>≤ 6,7 por cada 100.000 menores de 5 años.</t>
  </si>
  <si>
    <r>
      <rPr>
        <b/>
        <sz val="10"/>
        <color rgb="FF000000"/>
        <rFont val="Calibri"/>
      </rPr>
      <t>Porcentaje de tamización para virus de inmunodeficiencia humana (VIH) en gestantes:</t>
    </r>
    <r>
      <rPr>
        <sz val="10"/>
        <color rgb="FF000000"/>
        <rFont val="Calibri"/>
      </rPr>
      <t>Porcentaje de tamización para virus de inmunodeficiencia humana (VIH) en gestantes</t>
    </r>
  </si>
  <si>
    <t>≥95%</t>
  </si>
  <si>
    <r>
      <rPr>
        <b/>
        <sz val="10"/>
        <color rgb="FF000000"/>
        <rFont val="Calibri"/>
      </rPr>
      <t>Cobertura de vacunación de tercera dosis de pentavalente en niños y niñas menores de un año:</t>
    </r>
    <r>
      <rPr>
        <sz val="10"/>
        <color rgb="FF000000"/>
        <rFont val="Calibri"/>
      </rPr>
      <t>Cobertura de vacunación de tercera dosis de pentavalente en niños y niñas menores de un año</t>
    </r>
  </si>
  <si>
    <r>
      <rPr>
        <b/>
        <sz val="10"/>
        <color rgb="FF000000"/>
        <rFont val="Calibri"/>
      </rPr>
      <t>Proporción de gestantes con captación temprana al control prenatal (antes semana 10):</t>
    </r>
    <r>
      <rPr>
        <sz val="10"/>
        <color rgb="FF000000"/>
        <rFont val="Calibri"/>
      </rPr>
      <t>Número de gestantes que ingresan al control prenatal antes de las 10 semanas de gestación / Total de gestantes * 100</t>
    </r>
  </si>
  <si>
    <t>≥80%</t>
  </si>
  <si>
    <r>
      <rPr>
        <b/>
        <sz val="10"/>
        <color rgb="FF000000"/>
        <rFont val="Calibri"/>
      </rPr>
      <t xml:space="preserve">Control de la presión arterial (&lt;140/90): </t>
    </r>
    <r>
      <rPr>
        <sz val="10"/>
        <color rgb="FF000000"/>
        <rFont val="Calibri"/>
      </rPr>
      <t>Número de pacientes del denominador, con cifras de presión arterial &lt; 140/90 mmHg en el último semestre / Número total de pacientes del tipo de población a la que se le mide el indicador   * 100</t>
    </r>
  </si>
  <si>
    <t>≥60%</t>
  </si>
  <si>
    <r>
      <rPr>
        <b/>
        <sz val="10"/>
        <color rgb="FF000000"/>
        <rFont val="Calibri"/>
      </rPr>
      <t xml:space="preserve">Control de hipertensión arterial (&lt;150/90): </t>
    </r>
    <r>
      <rPr>
        <sz val="10"/>
        <color rgb="FF000000"/>
        <rFont val="Calibri"/>
      </rPr>
      <t>Número de pacientes del denominador, con cifras de presión arterial &lt; 150/90 mmHg en el último semestre / Número total de pacientes del tipo de población a la que se le mide el indicador *100</t>
    </r>
  </si>
  <si>
    <r>
      <rPr>
        <b/>
        <sz val="10"/>
        <color rgb="FF000000"/>
        <rFont val="Calibri"/>
      </rPr>
      <t xml:space="preserve">Proporción de pacientes diabéticos controlados: </t>
    </r>
    <r>
      <rPr>
        <sz val="10"/>
        <color rgb="FF000000"/>
        <rFont val="Calibri"/>
      </rPr>
      <t>Número de pacientes con diagnóstico de Diabetes Mellitus con hemoglobina glicosilada menor a 7% en los últimos seis meses / Número total de pacientes con diagnóstico de Diabetes Mellitus reportados *100</t>
    </r>
  </si>
  <si>
    <t>≥50%</t>
  </si>
  <si>
    <r>
      <rPr>
        <b/>
        <sz val="10"/>
        <color rgb="FF000000"/>
        <rFont val="Calibri"/>
      </rPr>
      <t>8.</t>
    </r>
    <r>
      <rPr>
        <sz val="10"/>
        <color rgb="FF000000"/>
        <rFont val="Calibri"/>
      </rPr>
      <t xml:space="preserve"> Sistematizar la captura de información que genera la red de prestación de servicios, que es requerida para el cálculo de indicadores de resultados en salud, para fortalecer los atributos de calidad, completitud y suficiencia de los datos.  Este proceso permitira mejorar la velocidad de reporte de la información que a su vez facilitara la toma oportuna de decisiones. A si mismo este proceso fortalecera la evaluación de manuera oportuna en el cumplimiento de las rutas. Finalmente garantizara la unificación de las fuentes de información.
Anexos: Avance de plan de trabajo de implementación</t>
    </r>
  </si>
  <si>
    <t>Gerencia de auditoria</t>
  </si>
  <si>
    <t>Julian Villegas</t>
  </si>
  <si>
    <r>
      <rPr>
        <b/>
        <sz val="10"/>
        <color rgb="FF000000"/>
        <rFont val="Calibri"/>
      </rPr>
      <t>% Cobertura de Reporte en Plataforma Procex:</t>
    </r>
    <r>
      <rPr>
        <sz val="10"/>
        <color rgb="FF000000"/>
        <rFont val="Calibri"/>
      </rPr>
      <t xml:space="preserve"> Numero de IPS con reporte/ Numero de IPS Objeto a reporte </t>
    </r>
  </si>
  <si>
    <t>≥ 90%</t>
  </si>
  <si>
    <r>
      <rPr>
        <b/>
        <sz val="10"/>
        <color rgb="FF000000"/>
        <rFont val="Calibri"/>
      </rPr>
      <t>Orden 3:</t>
    </r>
    <r>
      <rPr>
        <sz val="10"/>
        <color rgb="FF000000"/>
        <rFont val="Calibri"/>
      </rPr>
      <t xml:space="preserve"> Fortalecer la red de servicios en los departamentos donde hace presencia; identificando y gestionando la suficiencia, oferta y demanda de prestadores. Además, se demostrará con resultados tangibles la garantía de la prestación de los servicios de salud, abarcando coberturas, gestión de riesgo, trazabilidad de sus procesos, satisfacción del usuario y afiliaciones.</t>
    </r>
  </si>
  <si>
    <t>Débil evaluación y seguimiento periódico a la ejecución contractual.</t>
  </si>
  <si>
    <t>Redefinir el esquema metodológico unificado (manual de supervisión contractual) de evaluación y seguimiento de la ejecución contractual, identificando los indicadores de gestión, calidad y resultados en salud a través de un modelo de incentivos y descuentos, con el fin de garantizar la exigencia al cumplimiento de la operación de la red, conforme a los resultados obtenidos de las Unidades Técnicas y reuniones periódicas con la red de prestadores.
Anexo: Informe de Evaluación de Desempeño Red Primaria</t>
  </si>
  <si>
    <t>Gerencia de Auditoría 
Gerencia de Redes
Gerencia de Acceso
Gerencia de Riesgos en Salud</t>
  </si>
  <si>
    <t>Julian Villegas
John Jairo Castillo
Diana Lorena Tamayo
Angelica Lopez</t>
  </si>
  <si>
    <r>
      <rPr>
        <b/>
        <sz val="10"/>
        <color rgb="FF000000"/>
        <rFont val="Calibri"/>
      </rPr>
      <t>% Cumplimiento de Desempeño de la Red del Nivel Complementario: (</t>
    </r>
    <r>
      <rPr>
        <sz val="10"/>
        <color rgb="FF000000"/>
        <rFont val="Calibri"/>
      </rPr>
      <t xml:space="preserve">Cantidad de prestadores con cumplimiento &gt;=80% / Total de prestadores evaluados) *100  </t>
    </r>
  </si>
  <si>
    <t xml:space="preserve">≥ 80% </t>
  </si>
  <si>
    <t>Implementar un modelo de pago por resultados para la baja complejidad que contribuya a  la generación de valor en el desempeño integral y la gestión del riesgo en salud.
Anexo: Informe de Evaluación de Desempeño Red Complementaria</t>
  </si>
  <si>
    <r>
      <rPr>
        <b/>
        <sz val="10"/>
        <color rgb="FF000000"/>
        <rFont val="Calibri"/>
      </rPr>
      <t>% Cumplimiento de Desempeño de la Red del Nivel Primario: (</t>
    </r>
    <r>
      <rPr>
        <sz val="10"/>
        <color rgb="FF000000"/>
        <rFont val="Calibri"/>
      </rPr>
      <t xml:space="preserve">Cantidad de prestadores con cumplimiento &gt;=80% / Total de prestadores evaluados) *100  </t>
    </r>
  </si>
  <si>
    <t xml:space="preserve">Suscribir los otrosí a los contratos ya formalizados o suscribir contratos que incluyan el esquema metodológico unificado de evaluación y seguimiento de acuerdo a los lineamientos del decreto 441.
Anexo:  Registro de contratos actualizados </t>
  </si>
  <si>
    <t>Gerencia de Redes
Gerencia Jurídica</t>
  </si>
  <si>
    <t>John Jairo Castillo
Alexandra Acosta</t>
  </si>
  <si>
    <r>
      <rPr>
        <b/>
        <sz val="10"/>
        <color rgb="FF000000"/>
        <rFont val="Calibri"/>
      </rPr>
      <t xml:space="preserve">% de Contratos  u otrosi Ajustados: </t>
    </r>
    <r>
      <rPr>
        <sz val="10"/>
        <color rgb="FF000000"/>
        <rFont val="Calibri"/>
      </rPr>
      <t>(Total de contratos u otro si ajustados /  Total de contratos a ajustar) * 100</t>
    </r>
  </si>
  <si>
    <t>Financiero</t>
  </si>
  <si>
    <r>
      <rPr>
        <b/>
        <sz val="10"/>
        <color rgb="FF000000"/>
        <rFont val="Calibri"/>
      </rPr>
      <t>Orden 4:</t>
    </r>
    <r>
      <rPr>
        <b/>
        <sz val="10"/>
        <color rgb="FF000000"/>
        <rFont val="Calibri"/>
      </rPr>
      <t xml:space="preserve"> Auditar, conciliar y revelar el impacto en los Estados Financieros de la Entidad, garantizando la razonabilidad de las cifras, reconociendo la totalidad de los hechos económicos.</t>
    </r>
  </si>
  <si>
    <t>1. Resolución 2024100000003061-6 Superintendencia Nacional de Salud 
2. Necesidad de garantizar la fiabilidad de la información financiera para el seguimiento, control y toma de decisiones.</t>
  </si>
  <si>
    <t>Ejecución plan de trabajo realizando conciliación y/o depuración de partidas contables. 
Ver Anexo No. 4-1 PLAN DE DEPURACION CONTABLE.</t>
  </si>
  <si>
    <t>Gerencia de contabilidad</t>
  </si>
  <si>
    <t>Orlando Diaz</t>
  </si>
  <si>
    <r>
      <rPr>
        <b/>
        <sz val="10"/>
        <color rgb="FF000000"/>
        <rFont val="Calibri"/>
      </rPr>
      <t xml:space="preserve"> % Valor acumulado conciliado y depurado:</t>
    </r>
    <r>
      <rPr>
        <sz val="10"/>
        <color rgb="FF000000"/>
        <rFont val="Calibri"/>
      </rPr>
      <t xml:space="preserve"> Saldo conciliado y depurado / total saldo por conciliar y depurar</t>
    </r>
  </si>
  <si>
    <r>
      <rPr>
        <b/>
        <sz val="10"/>
        <color rgb="FF000000"/>
        <rFont val="Calibri"/>
      </rPr>
      <t>Orden 5:</t>
    </r>
    <r>
      <rPr>
        <b/>
        <sz val="10"/>
        <color rgb="FF000000"/>
        <rFont val="Calibri"/>
      </rPr>
      <t xml:space="preserve"> Diseñar, implementar y adoptar estrategias para el recaudo efectivo de la cartera radicada y conciliada ante los entes territoriales, ADRES y demás deudores, adelantando las acciones jurídicas que se consideren necesarias de acuerdo con el análisis individualizado de los recursos del sistema general de seguridad social en salud pendientes por recaudar.</t>
    </r>
  </si>
  <si>
    <t>- Generación de glosas no pertinentes por el proceso de auditoría ADRES .
- Nuevos motivos de glosa diferentes a los subsanados por la EPS posteriores a la radicación de primera instancia por auditoría de ADRES.
- Demora en respuesta de auditoría ADRES (glosas)  con glosas subsanables por la EPS posterior a cierre de ventanas de radicación de APF y CAPVI.
- No hubo continuidad en los cronogramas de radicación de los procesos de CAPVI y APF por la ADRES.
-Cambios en normatividad que han generado modificaciones en la dinámica de recobros ante ADRES que implica ajuste en el procesos
- No reconocimiento de recursos ejecutados por Presupuestos Máximos y atenciones por COVID.
Estas situaciones de glosas injustificadas y malos procedimientos por parte del equipo auditor de ADRES, han generado la necesidad de iniciar por parte de la EPS un proceso de demanda en contra de ADRES por $77.784 millones, el cual ya se encuentra radicado.</t>
  </si>
  <si>
    <r>
      <rPr>
        <sz val="10"/>
        <color rgb="FF000000"/>
        <rFont val="Calibri"/>
      </rPr>
      <t xml:space="preserve">Realizar seguimiento a la carteras ADRES PBS NO UPC por $23.783 millones ,a traves de mesas de trabajo de conciliación con la ADRES que permita la disminución de la cartera y el recaudo oportuno de los rubros de las diferentes líneas que la componen:
 1. Recobros aprobados pendiente por pago y los que se encuentran en proceso jurídico de ADRES validado soportes de desistimientos enviados.
2. COVID_19, 3. Excepciones de presupuesto máximos
Anexo:
</t>
    </r>
    <r>
      <rPr>
        <b/>
        <sz val="10"/>
        <color rgb="FF000000"/>
        <rFont val="Calibri"/>
      </rPr>
      <t>CARTERA VENCIDA</t>
    </r>
    <r>
      <rPr>
        <sz val="10"/>
        <color rgb="FF000000"/>
        <rFont val="Calibri"/>
      </rPr>
      <t xml:space="preserve">
ANEXO No.5.1. -INDICADOR DE RECUPERACION DE CARTERA VENCIDA DEL PBS NO UPC
ANEXO No. 5.1.1. COMPROBANTE DE CONTABILIZACION  UNICLASS Pago COVID $6.489.739 
ANEXO No. 5.1.2. COMPROBANTE DE CONTABILIZACION  UNICLASS Pago NO PBS_$802.623.389  
</t>
    </r>
    <r>
      <rPr>
        <b/>
        <sz val="10"/>
        <color rgb="FF000000"/>
        <rFont val="Calibri"/>
      </rPr>
      <t>CARTERA CORRIENTE</t>
    </r>
    <r>
      <rPr>
        <sz val="10"/>
        <color rgb="FF000000"/>
        <rFont val="Calibri"/>
      </rPr>
      <t xml:space="preserve">
ANEXO No.5.2.- DETALLE DE INGRESOS DE LA CARTERA CORRIENTE  DEL PBS NO UPC
ANEXO No.5.2.1.- INGRESOS  CON SELLO CARTERA CORRIENTE  DEL PBS NO UPC
ANEXO No.5.2.2.- INGRESOS  SIN SELLO CARTERA CORRIENTE  DEL PBS NO UPC
ANEXO No.5.2.3.- INGRESOS  CON SELLO CARTERA CORRIENTE  DEL PBS NO UPC-SUBSIDIADO</t>
    </r>
  </si>
  <si>
    <t>Gestión de Ingresos</t>
  </si>
  <si>
    <t>Carlos Andres Velasquez</t>
  </si>
  <si>
    <r>
      <rPr>
        <b/>
        <sz val="10"/>
        <color rgb="FF000000"/>
        <rFont val="Calibri"/>
      </rPr>
      <t>Recuperación y Disminución de cartera vencida PBS NO UPC:</t>
    </r>
    <r>
      <rPr>
        <sz val="10"/>
        <color rgb="FF000000"/>
        <rFont val="Calibri"/>
      </rPr>
      <t xml:space="preserve"> (valor recuperación del saldo de la cartera PBS NO UPC no demandada/Saldo de cartera PBS NO UPC no demandada corte marzo 2024)*100</t>
    </r>
  </si>
  <si>
    <r>
      <rPr>
        <b/>
        <sz val="10"/>
        <color rgb="FF000000"/>
        <rFont val="Calibri"/>
      </rPr>
      <t xml:space="preserve">Recuperación y Disminución  de cartera corriente de  PBS NO UPC: </t>
    </r>
    <r>
      <rPr>
        <sz val="10"/>
        <color rgb="FF000000"/>
        <rFont val="Calibri"/>
      </rPr>
      <t>Valor recuperación de cartera corriente PBS NO UPC / Saldo de cartera PBS NO UPC del mes anterior*100</t>
    </r>
  </si>
  <si>
    <r>
      <rPr>
        <sz val="10"/>
        <color rgb="FF000000"/>
        <rFont val="Calibri"/>
      </rPr>
      <t xml:space="preserve">Realiza el seguimiento a la cartera PBS NO UPC que se encuentra en procesos juridicos que la EPS tiene instaurados ante los diferentes juzgados 
</t>
    </r>
    <r>
      <rPr>
        <b/>
        <sz val="10"/>
        <color rgb="FF000000"/>
        <rFont val="Calibri"/>
      </rPr>
      <t xml:space="preserve">VER
</t>
    </r>
    <r>
      <rPr>
        <sz val="10"/>
        <color rgb="FF000000"/>
        <rFont val="Calibri"/>
      </rPr>
      <t>ANEXO No.5.3.- SEGUIMIENTO A PROCESOS JURIDICOS DE CARTERA PBS NO UPC</t>
    </r>
  </si>
  <si>
    <t xml:space="preserve">Carlos Andres Velasquez
</t>
  </si>
  <si>
    <t>Seguimiento a los procesos juridicos para la recuperacion de la cartera PBS NO UPC / Seguimientos planeados a los procesos juridicos para la recuperación de la cartera PBS NO UPC</t>
  </si>
  <si>
    <t>Asegurar aclaración del 100% de las CXC relacionadas en la cuenta contable 130101 por conceptos de:-UPC regimen contributivo.-Cuenta de Alto Costo - CAC.-Rendimientos de cuentas maestras.
VER ANEXO No. 5.4 - DETALLE CUENTA CXC 130101 MARZO 2024</t>
  </si>
  <si>
    <r>
      <rPr>
        <b/>
        <sz val="10"/>
        <color rgb="FF000000"/>
        <rFont val="Calibri"/>
      </rPr>
      <t xml:space="preserve">Aclaración de cartera UPC: </t>
    </r>
    <r>
      <rPr>
        <sz val="10"/>
        <color rgb="FF000000"/>
        <rFont val="Calibri"/>
      </rPr>
      <t>(CXC UPC aclarada / CXC UPC por aclarar)*100</t>
    </r>
  </si>
  <si>
    <t>0.00%</t>
  </si>
  <si>
    <t>1. Recobros de covid_19 con fecha de prestacion de servicio del 25 de agosto del 2020 hacia atras, la ADRES y el MSPS debe generar la resolcuión para apertura de ventana de radicaición de estos eventos, el cual todabia no se han notificado
2. Recobros de covid_19 con fecha de prestacion de servicio del 25 de agosto del 2020 en adelante, la EPS se debe ajustar a la gestion interna de las IPS para la generacion de los ID SISMIESTRA el cual es el requisito indispensables para la radicación, y estas contantemente tiene dificultades.
3. Recobros de excepciones de presupuestos maximos la dificulta que se presenta en la radicación correponde al reporte de suministro que las IPS deben gestionar.
4. Demora en la respuesta de la auditoria ADRES (glosas) con posibles glosas subsanables por la EPS</t>
  </si>
  <si>
    <t>Realiza el proceso de radicación contante durante las ventanas dspuestas por la ADRES y el MSPS para los recobros de COVID_19 y excepciones de PM Enviar comunicacion a la ADRES solicitando  apertura de ventana de radicación de los recobros de COVID_19 con fecha anterior al 25 de agosto del 2020.Ver 
ANEXO No. 5.5. - DETALLE DE RADICACION DE RECOBROS PBS NO UPC  EXCEPCIONES PM
ANEXO No. 5.6. - DETALLE DE RADICACION DE RECOBROS PBS NO UPC COVID-19</t>
  </si>
  <si>
    <r>
      <rPr>
        <b/>
        <sz val="10"/>
        <color rgb="FF000000"/>
        <rFont val="Calibri"/>
      </rPr>
      <t xml:space="preserve">Radicacion PBS NO UPC: </t>
    </r>
    <r>
      <rPr>
        <sz val="10"/>
        <color rgb="FF000000"/>
        <rFont val="Calibri"/>
      </rPr>
      <t>Recobros radicados del mes en curso / Pendiente por radicar del mes inmediatamente anterior*100</t>
    </r>
  </si>
  <si>
    <t>-No pago oportuno en las fechas definidas para los colectivos.-Pagos de los colectivos de manera corriente por gestión administrativa y contable de las empresas.Independientes.-No contar con la capacidad de pago.-Finalización de contrato de trabajo del contratante.</t>
  </si>
  <si>
    <t>Realizar el seguimiento y aclaración de la cartera PAC por un valor de $3.567 millones, con el apoyo de campañas comerciales con acuerdos de pago (p.e amnistía a los usuarios desafiliados y con cartera mayor a 180 días), con el fin de garantizar la recuperación de los saldos adeudados y re-afiliación.VERAnexo No. 5.7.- INFORME RECUPERACION CARTERA PACAnexo No. 5.8.- INFORME DE MEDIOS DE RECAUDO DE RECUPERACION CARTERA PAC Anexo No. 5.9.- INFORME DE SEGUIMIENTO ACOMULADO DE RECUPERACION DE CARTERA PAC</t>
  </si>
  <si>
    <r>
      <rPr>
        <b/>
        <sz val="10"/>
        <color rgb="FF000000"/>
        <rFont val="Calibri"/>
      </rPr>
      <t xml:space="preserve">Recuperación y Disminución de cartera PAC: </t>
    </r>
    <r>
      <rPr>
        <sz val="10"/>
        <color rgb="FF000000"/>
        <rFont val="Calibri"/>
      </rPr>
      <t>(Total recuperacion cartera PAC / Total cartera PAC - Corte marzo 2024)*100</t>
    </r>
  </si>
  <si>
    <t>-No pago oportuno de las prestaciones económicas y asistenciales-Demora por las aseguradoras en el proceso de Auditoría en la respuesta de las glosas-Alta generación de glosas generadas y no conciliadas-Dificultad en la comunicación con algunas aseguradoras</t>
  </si>
  <si>
    <t>Realizar mesas de técnicas entre EPS (medicina del trabajo y recobros) con las 4 aseguradoras pareto; y constituir la política de deterioro, para realizar los castigos correspondientes a la cartera según la normatividad (art 18 Ley 776 del 2002 y Art 22 de la Ley 1562 del 2012 sobre la extemporaneidad de la prestación mayor a 5 años).
CARTERA VENCIDAANEXO No. 5.9.-INDICADOR DE RECUPERACION DE CARTERA VENCIDA DE ARL ANEXO No. 5.10.- COMPROBANTES CONTABLE CARTERA VENCIDA ARL CARTERA  CORRIENTEANEXO No. 5.11.-DETALLE DE INGRESOS DE LA CARTERA CORRIENTE DE ARLANEXO No. 5.12.-COMPROBANTES CONTABLE CARTERA CORRIENTE DE ARL</t>
  </si>
  <si>
    <r>
      <rPr>
        <b/>
        <sz val="10"/>
        <color rgb="FF000000"/>
        <rFont val="Calibri"/>
      </rPr>
      <t xml:space="preserve">Recuperación y Disminución de cartera vencida ARL:  </t>
    </r>
    <r>
      <rPr>
        <sz val="10"/>
        <color rgb="FF000000"/>
        <rFont val="Calibri"/>
      </rPr>
      <t>valor recuperación del saldo de la cartera ARL/Saldo de cartera ARL corte marzo 2024*100</t>
    </r>
  </si>
  <si>
    <r>
      <rPr>
        <b/>
        <sz val="10"/>
        <color rgb="FF000000"/>
        <rFont val="Calibri"/>
      </rPr>
      <t xml:space="preserve">Recuperación y Disminución de cartera corriente ARL: </t>
    </r>
    <r>
      <rPr>
        <sz val="10"/>
        <color rgb="FF000000"/>
        <rFont val="Calibri"/>
      </rPr>
      <t xml:space="preserve"> Valor recuperación de cartera corriente ARL/Saldo de cartera ARL del mes anterior*100</t>
    </r>
  </si>
  <si>
    <t>Cambios en normatividad que han generado modificaciones en la dinámica de recobros ante ADRES que implica ajuste en aplicativos y procesos</t>
  </si>
  <si>
    <r>
      <rPr>
        <sz val="10"/>
        <color rgb="FF000000"/>
        <rFont val="Calibri"/>
      </rPr>
      <t xml:space="preserve">Realizar depuración de cartera por glosas de licencia de maternidad y parternidad correspondiente al de 2006 al 2020 por $5.708.093.785. 
Gestionar el recobro del 95% de la glosas por licencia de maternidad y partenidad generadas desde año 2021 con corte abril 2024 por $1.128.214.529.
</t>
    </r>
    <r>
      <rPr>
        <b/>
        <sz val="10"/>
        <color rgb="FF000000"/>
        <rFont val="Calibri"/>
      </rPr>
      <t xml:space="preserve">VER
</t>
    </r>
    <r>
      <rPr>
        <sz val="10"/>
        <color rgb="FF000000"/>
        <rFont val="Calibri"/>
      </rPr>
      <t>ANEXO No.5.</t>
    </r>
  </si>
  <si>
    <t>Medicina del Trabajo</t>
  </si>
  <si>
    <t>Sergio Naza</t>
  </si>
  <si>
    <r>
      <rPr>
        <b/>
        <sz val="10"/>
        <color rgb="FF000000"/>
        <rFont val="Calibri"/>
      </rPr>
      <t xml:space="preserve">% valor depurado cartera periodo 2006 al 2020: </t>
    </r>
    <r>
      <rPr>
        <sz val="10"/>
        <color rgb="FF000000"/>
        <rFont val="Calibri"/>
      </rPr>
      <t>Saldo depurado cartera licencia 2.006 a 2.020 / total saldo por depurar  cartera licencia 2.006 a 2.020</t>
    </r>
  </si>
  <si>
    <r>
      <rPr>
        <b/>
        <sz val="10"/>
        <color rgb="FF000000"/>
        <rFont val="Calibri"/>
      </rPr>
      <t xml:space="preserve">Recuperación cartera  licencias periodo 2021 a 2024: </t>
    </r>
    <r>
      <rPr>
        <sz val="10"/>
        <color rgb="FF000000"/>
        <rFont val="Calibri"/>
      </rPr>
      <t>(Total recuperacion cartera licencias periodo 2021 a 2024 / Total cartera licencias Corte abril 2024)*100</t>
    </r>
  </si>
  <si>
    <t>A corte del 31 de enero de 2024 se evidencia un total de $1.089 millones en anticipos pendientes por legalizar, de los cuales $85.7 millones son mayores a 90 días, correspondiente al 7,86%.  Si bien la legalización de anticipos depende en su mayoría a la gestión del prestador y las condiciones del paciente, se encuentran oportunidades en el fortalecimiento del seguimiento a la gestión de legalización por parte de la EPS</t>
  </si>
  <si>
    <r>
      <rPr>
        <sz val="10"/>
        <color rgb="FF000000"/>
        <rFont val="Calibri"/>
      </rPr>
      <t xml:space="preserve">1. Asegurar la legalización total de anticipos mayores a 90 días con corte al 31 de enero de 2024 por valor de $85.7.
2. Asegurar el término de 90 días para la legalización de anticipos que están dentro del tiempo con corte al 31 de enero 2024 y los que se generen mes a mes.
</t>
    </r>
    <r>
      <rPr>
        <b/>
        <sz val="10"/>
        <color rgb="FF000000"/>
        <rFont val="Calibri"/>
      </rPr>
      <t>VER</t>
    </r>
    <r>
      <rPr>
        <sz val="10"/>
        <color rgb="FF000000"/>
        <rFont val="Calibri"/>
      </rPr>
      <t xml:space="preserve">
ANEXO DENOMINADO CONCILIACIÓN MÓDULO DE CONTABILIDAD VS ANTICIPO DE PROVEEDORES</t>
    </r>
  </si>
  <si>
    <t>Gerencia de Redes</t>
  </si>
  <si>
    <t>John Jairo Castillo</t>
  </si>
  <si>
    <r>
      <rPr>
        <b/>
        <sz val="10"/>
        <color rgb="FF000000"/>
        <rFont val="Calibri"/>
      </rPr>
      <t xml:space="preserve"> Legalización de anticipos superiores a 90 días
 </t>
    </r>
    <r>
      <rPr>
        <sz val="10"/>
        <color rgb="FF000000"/>
        <rFont val="Calibri"/>
      </rPr>
      <t>Valor legalizado en el periodo  / Valor Total de anticipos mayores a 90 días pendientes por legalizar *100</t>
    </r>
  </si>
  <si>
    <r>
      <rPr>
        <b/>
        <sz val="10"/>
        <color rgb="FF000000"/>
        <rFont val="Calibri"/>
      </rPr>
      <t xml:space="preserve">Oportunidad en legalización de anticipos
</t>
    </r>
    <r>
      <rPr>
        <sz val="10"/>
        <color rgb="FF000000"/>
        <rFont val="Calibri"/>
      </rPr>
      <t>Sumatoria días transcurridos (Fecha legalización anticipo - Fecha de radicación de anticipo) / Cantidad total de anticipos legalizados del periodo</t>
    </r>
    <r>
      <rPr>
        <b/>
        <sz val="10"/>
        <color rgb="FF000000"/>
        <rFont val="Calibri"/>
      </rPr>
      <t xml:space="preserve"> </t>
    </r>
  </si>
  <si>
    <t>&lt;90 dias</t>
  </si>
  <si>
    <t xml:space="preserve">El incumplimiento en la norma "Decretos 2265 de 2017,1355 de 2018 y 2497 de 2018, estableció los plazos y condiciones para el giro de los recursos territoriales que financian el régimen subsidiado a la Administradora de Recursos del Sistema General de Seguridad Social en Salud – ADRES" algunos entes territoriales, principalmente el Municipio de Buenaventura en el valor  de esfuerzo propio sin situación de fondos que les corresponde en el proceso de la LMA mensual.
</t>
  </si>
  <si>
    <t xml:space="preserve">Para la cartera corriente el 99.9% el recurso es girado por ADRES en el proceso de Liquidación Mensual de Afiliados y el 0,1% correspondiente a esfuerzo propio sin situación de fondos para la cual se realiza gestión de cobro asi:
Seguimiento a la cartera y gestion de cobro ( Envíos de derecho de peticion, correos electronicos, visitas presenciales)
Correr traslado a los entes de control (PQRS al Ministerio de Salud, PQRS a la Supersalud, comunicaciones a la Contraloria y Procuraduria).
Presentar créditos al municipio de Buenaventura en el marco del proceso de reorganización empresarial ley 550.
VER
ANEXO No.5.- Giro Liquidacion LMA EPS </t>
  </si>
  <si>
    <r>
      <rPr>
        <b/>
        <sz val="10"/>
        <color rgb="FF000000"/>
        <rFont val="Calibri"/>
      </rPr>
      <t>Recuperación y Disminución  de cartera corriente Entes Territoriales:</t>
    </r>
    <r>
      <rPr>
        <sz val="10"/>
        <color rgb="FF000000"/>
        <rFont val="Calibri"/>
      </rPr>
      <t xml:space="preserve"> (Total recaudo mensual de la cartera corriente de LMA / Valor total de la cartera corriente  2024)*100</t>
    </r>
  </si>
  <si>
    <r>
      <rPr>
        <b/>
        <sz val="10"/>
        <color rgb="FF000000"/>
        <rFont val="Calibri"/>
      </rPr>
      <t xml:space="preserve">Recuperación y Disminución  de cartera vencida Entes Territoriales: </t>
    </r>
    <r>
      <rPr>
        <sz val="10"/>
        <color rgb="FF000000"/>
        <rFont val="Calibri"/>
      </rPr>
      <t>Total recaudo mensual de la cartera vencida de LMA / Valor total de la cartera vencida*100</t>
    </r>
  </si>
  <si>
    <r>
      <rPr>
        <b/>
        <sz val="10"/>
        <color rgb="FF000000"/>
        <rFont val="Calibri"/>
      </rPr>
      <t>Orden 6:</t>
    </r>
    <r>
      <rPr>
        <sz val="10"/>
        <color rgb="FF000000"/>
        <rFont val="Calibri"/>
      </rPr>
      <t xml:space="preserve"> Diseñar, implementar y adoptar estrategias para la conciliación, depuración y pago de obligaciones pendientes con la red prestadora y proveedora de servicios y tecnologías en salud, garantizando la estabilización del flujo de recursos y la atención a la población afiliada. Esta actividad incluirá la presentación de un plan de pagos que resulte acorde con sus obligaciones y el detalle de las fuentes de financiación.</t>
    </r>
  </si>
  <si>
    <t>Al cierre de marzo de 2024 la EPS contaba con un saldo en la cuenta por pagar de $590.814 millones y un saldo de glosa pendiente por conciliar por $72.923 millones. Cabe resaltar que de los $590.814 millones, $42.584 millones corresponde a facturas de recobros ante ADRES. 
Las causas inherentes a la orden son: 
1. Aumento significativo de las frecuencias de uso de la pobalción afiliada. 
2. Inconsistencias de los códigos facturados por los prestadores de salud generando glosas por cobertura. 
3. Falta de oportunidad de actualización y parametrización de los convenios de los prestadores. 
4. Inasistencia de los prestadores a las mesas de conciliación de la cartera para la aclaración de los pasivos.</t>
  </si>
  <si>
    <t>Gestionar la revisión y conciliación del 98% ($579.584 millones) de la cuenta por pagar por prestación de servicios de salud de la EPS con corte al mes de marzo 2024 que comprende 662 prestadores, activos y no activos en red, pero con cuenta por pagar por la EPS (Ver Anexo No 6.1.1 Base y cronograma de conciliación de cuentas por pagar). Los resultados de esta conciliación se reportan como insumo para la depuración de las cuentas según la Orden 4. Adicionalmente, la EPS convocará a conciliar trimestralmente a la totalidad de entidades que tengan saldo reportado en la circular 030 de SISPRO, aún cuando no cuenten con saldo en la cuenta por pagar de la EPS a dicho corte. 
Anexos: 
Anexo No 6.1.1 Base y cronograma de conciliación de cuentas por pagar
Anexo 6.1.2 Actas de conciliación de cartera 
Anexo 6.1.3 Informe y detalle de citas y saldo contable conciliado</t>
  </si>
  <si>
    <t>Dirección Financiera</t>
  </si>
  <si>
    <t>Gabriel Ricardo Bolívar C.</t>
  </si>
  <si>
    <r>
      <rPr>
        <b/>
        <sz val="10"/>
        <color rgb="FF000000"/>
        <rFont val="Calibri"/>
      </rPr>
      <t xml:space="preserve">% del saldo revisado y conciliado de la cuenta por pagar a corte marzo 2024: </t>
    </r>
    <r>
      <rPr>
        <sz val="10"/>
        <color rgb="FF000000"/>
        <rFont val="Calibri"/>
      </rPr>
      <t>(Saldo conciliado de la cuenta por pagar a corte marzo 2024 / Saldo pendiente de la cuenta por pagar a corte marzo 2024)*100</t>
    </r>
  </si>
  <si>
    <t>Gestionar la revisión y conciliación trimestral del 96.5% de la cuenta por pagar de los cortes corrientes de la circular 030 (junio, septiembre y diciembre 2024) entre julio de 2024 y marzo de 2025. Para estos cortes los valores y cantidad de IPS a conciliar están sujetos a los resultados del cierre contable de cada corte. Los resultados de esta conciliación se reportarán como insumo para la depuración de las cuentas según la Orden 4. Este indicador se mide de forma mensual con una meta acumulada trimestral. Adicionalmente, la EPS convocará a conciliar trimestralmente a la totalidad de entidades que tengan saldo reportado en la circular 030 de SISPRO, aún cuando no cuenten con saldo en la cuenta por pagar de la EPS a dicho corte.
Anexo No 6.2.1 Base y cronograma de conciliación de cuentas por pagar
Anexo 6.2.2 Actas de conciliación de cartera 
Anexo 6.2.3 Informe y detalle de citas y saldo contable conciliado
Nota: estos entregables se comenzarán a generar desde el inicio de medición del indicador (julio de 2024)</t>
  </si>
  <si>
    <r>
      <rPr>
        <b/>
        <sz val="10"/>
        <color rgb="FF000000"/>
        <rFont val="Calibri"/>
      </rPr>
      <t>% del saldo revisado y conciliado de la cuenta por pagar al corte corriente de la circular 030 (junio, septiembre y diciembre 2024):</t>
    </r>
    <r>
      <rPr>
        <sz val="10"/>
        <color rgb="FF000000"/>
        <rFont val="Calibri"/>
      </rPr>
      <t xml:space="preserve"> (Saldo conciliado de la cuenta por pagar a corte corriente de circular 030 / Saldo pendiente de la cuenta por pagar a corte corriente de circular 030)*100</t>
    </r>
  </si>
  <si>
    <t>96.50% (cada corte trimestral)</t>
  </si>
  <si>
    <t xml:space="preserve">Gestionar y conciliar el 70% ($51.046 Millones) del plan de conciliación y depuración de las glosas pendientes  al corte de marzo 2024 por valor total de $72.923 Millones. 
Ver Anexos: 
6.3.1 Informe de gestión del indicador glosa conciliada línea base corte marzo 2024- mes junio
6.3.2 Actas PDF conciliación de glosas con IPS
</t>
  </si>
  <si>
    <r>
      <rPr>
        <b/>
        <sz val="10"/>
        <color rgb="FF000000"/>
        <rFont val="Calibri"/>
      </rPr>
      <t xml:space="preserve">% de cumplimiento conciliación y depuración de la glosa (pendiente de conciliar) del saldo del mes de marzo 2024 de la EPS: </t>
    </r>
    <r>
      <rPr>
        <sz val="10"/>
        <color rgb="FF000000"/>
        <rFont val="Calibri"/>
      </rPr>
      <t>Valor Glosa Mensual Conciliada acumulada / total Saldo Glosa Acumulada a marzo 2024 *100</t>
    </r>
  </si>
  <si>
    <t>Gestionar y conciliar el 59% del plan de conciliación y depuración de las glosas corrientes generadas a partir de abril 2024, conciliando el mes anterior acumulado de cada mes en gestion.
Ver Anexos:
 6.4.1 Informe de gestión del indicador glosa conciliada línea base corriente desde abril 2024- mes junio
6.4.2 Actas PDF conciliación de glosas con IPS</t>
  </si>
  <si>
    <r>
      <rPr>
        <b/>
        <sz val="10"/>
        <color rgb="FF000000"/>
        <rFont val="Calibri"/>
      </rPr>
      <t>% de cumplimiento conciliación y depuración de la glosa (pendiente de conciliar) del saldo acumulado linea corriente desde abril 2024:</t>
    </r>
    <r>
      <rPr>
        <sz val="10"/>
        <color rgb="FF000000"/>
        <rFont val="Calibri"/>
      </rPr>
      <t xml:space="preserve"> Valor Glosa Mensual Conciliada / total Saldo Glosa acumulada mes anterior*100</t>
    </r>
  </si>
  <si>
    <t>58.80%</t>
  </si>
  <si>
    <t>1. Aumento significativo en frecuencias de uso de la población afiliada. 
2. Insuficiencia en UPC y presupuestos máximos.</t>
  </si>
  <si>
    <t>1. Asegurar el pago del corriente vencido a partir de la fecha de intervención
6.4 ANEXO DE PAGOS CE008</t>
  </si>
  <si>
    <t>Planeación Financiera</t>
  </si>
  <si>
    <t>Victoria Eugenia Arce</t>
  </si>
  <si>
    <r>
      <rPr>
        <b/>
        <sz val="10"/>
        <color rgb="FF000000"/>
        <rFont val="Calibri"/>
      </rPr>
      <t>% de cumplimiento acumulado de pago del pasivo salud corriente:</t>
    </r>
    <r>
      <rPr>
        <sz val="10"/>
        <color rgb="FF000000"/>
        <rFont val="Calibri"/>
      </rPr>
      <t xml:space="preserve"> (Pago acumulado del pasivo salud corriente / Saldo pasivo salud corriente mes anterior)*100</t>
    </r>
  </si>
  <si>
    <t>2. Gestionar el 46,3% de los $620.442 millones de CXP liquidadas pendientes de pago con corte a mar-2024 (FT004 marzo 2024 línea de negocio y concepto de acreencias 1 y 2 por $818.854M menos $154.950M de reservas no conocidas y conocidas no liquidadas además del NO PBS (recobro) por valor de $43.463M). 
6.4 ANEXO DE PAGOS CE008</t>
  </si>
  <si>
    <r>
      <rPr>
        <b/>
        <sz val="10"/>
        <color rgb="FF000000"/>
        <rFont val="Calibri"/>
      </rPr>
      <t xml:space="preserve">% de cumplimiento acumulado de pago del pasivo salud vencido corte mar-2024: </t>
    </r>
    <r>
      <rPr>
        <sz val="10"/>
        <color rgb="FF000000"/>
        <rFont val="Calibri"/>
      </rPr>
      <t>(Pago acumulado del pasivo salud vencido corte mar-2024 / Saldo pasivo salud corte mar-2024)*100</t>
    </r>
  </si>
  <si>
    <t xml:space="preserve"> NA</t>
  </si>
  <si>
    <t>3.  Asegurar el pago de las cuotas convenidas en los acuerdos de pago con los acreedores del sistema.
6.4 ANEXO DE PAGOS CE008</t>
  </si>
  <si>
    <r>
      <rPr>
        <b/>
        <sz val="10"/>
        <color rgb="FF000000"/>
        <rFont val="Calibri"/>
      </rPr>
      <t xml:space="preserve">% de cumplimiento acumulado de pago de los acuerdos vigentes al periodo: </t>
    </r>
    <r>
      <rPr>
        <sz val="10"/>
        <color rgb="FF000000"/>
        <rFont val="Calibri"/>
      </rPr>
      <t>(Pago acumulado de acuerdos vigentes al periodo / Cuota del acuerdo de pago establecido para el periodo)*100</t>
    </r>
  </si>
  <si>
    <r>
      <rPr>
        <sz val="10"/>
        <color rgb="FF000000"/>
        <rFont val="Calibri"/>
      </rPr>
      <t>Orden 7: Diseñar, implementar y adoptar</t>
    </r>
    <r>
      <rPr>
        <b/>
        <sz val="10"/>
        <color rgb="FF000000"/>
        <rFont val="Calibri"/>
      </rPr>
      <t xml:space="preserve"> estrategias de mejora del indicador de siniestralidad</t>
    </r>
    <r>
      <rPr>
        <sz val="10"/>
        <color rgb="FF000000"/>
        <rFont val="Calibri"/>
      </rPr>
      <t xml:space="preserve">, que sean </t>
    </r>
    <r>
      <rPr>
        <b/>
        <sz val="10"/>
        <color rgb="FF000000"/>
        <rFont val="Calibri"/>
      </rPr>
      <t>eficientes para la gestión del riesgo en salud, adecuado a las características de los territorios</t>
    </r>
    <r>
      <rPr>
        <sz val="10"/>
        <color rgb="FF000000"/>
        <rFont val="Calibri"/>
      </rPr>
      <t xml:space="preserve"> y del fortalecimiento del modelo de atención en salud; de tal forma que se </t>
    </r>
    <r>
      <rPr>
        <b/>
        <sz val="10"/>
        <color rgb="FF000000"/>
        <rFont val="Calibri"/>
      </rPr>
      <t>garanticen servicios accesibles, oportunos, seguros, pertinentes, continuos y en un costo eficiente.</t>
    </r>
  </si>
  <si>
    <t>Brecha en cumplimiento de indicadores financieros por aumento significativo en frecuencias de uso en la población afiliada, aunada a una insuficiencia en UPC y presupuestos máximos.</t>
  </si>
  <si>
    <t>Cumplimiento de los ingresos proyectados PBS y PAC asegurando los ingresos operacionales:</t>
  </si>
  <si>
    <r>
      <rPr>
        <b/>
        <sz val="10"/>
        <color rgb="FF000000"/>
        <rFont val="Calibri"/>
      </rPr>
      <t xml:space="preserve">Cumplimiento presupuestal de Ingresos operacionales EPS: </t>
    </r>
    <r>
      <rPr>
        <sz val="10"/>
        <color rgb="FF000000"/>
        <rFont val="Calibri"/>
      </rPr>
      <t>Ingresos operacionales ejecutados acumulados a la fecha de corte / Ingresos operacionales proyectados acumulados durante el período de la intervención.</t>
    </r>
  </si>
  <si>
    <t xml:space="preserve">Implementar un Plan Inteligente de Compras (14 iniciativas planteadas) con el fin de garantizar la oportunidad y el acceso a la prestación de servicios de salud y una reduccón en el impacto del costo médico. 
Anexo: 
Plan de trabajo con avances </t>
  </si>
  <si>
    <t>Dirección Salud</t>
  </si>
  <si>
    <t>Nathalia Ruiz</t>
  </si>
  <si>
    <r>
      <rPr>
        <b/>
        <sz val="10"/>
        <color rgb="FF000000"/>
        <rFont val="Calibri"/>
      </rPr>
      <t>Avance plan de compras inteligente: (</t>
    </r>
    <r>
      <rPr>
        <sz val="10"/>
        <color rgb="FF000000"/>
        <rFont val="Calibri"/>
      </rPr>
      <t>Total iniciativas ejecutadas mes/ total iniciativas planeadas mes) X 100</t>
    </r>
  </si>
  <si>
    <t>17,39%</t>
  </si>
  <si>
    <t>24,6%</t>
  </si>
  <si>
    <r>
      <rPr>
        <b/>
        <sz val="10"/>
        <color rgb="FF000000"/>
        <rFont val="Calibri"/>
      </rPr>
      <t>Seguimiento costo médico mes:</t>
    </r>
    <r>
      <rPr>
        <sz val="10"/>
        <color rgb="FF000000"/>
        <rFont val="Calibri"/>
      </rPr>
      <t xml:space="preserve"> (1 Informe costo médico mes ejecutado/ 1 informe costo médico mes requerido) X 100% 
</t>
    </r>
    <r>
      <rPr>
        <b/>
        <sz val="10"/>
        <color rgb="FF000000"/>
        <rFont val="Calibri"/>
      </rPr>
      <t>Dentro del informe se evaluará el resultado de la siniestralidad conforme a las instrucciones dadas por SNS y JAHV McGregor</t>
    </r>
  </si>
  <si>
    <t xml:space="preserve">Orden 8: Ejecutar un plan de trabajo para cumplir con la adecuada aplicación de la metodología para el cálculo de las reservas técnicas, teniendo en cuenta los requerimientos formulados por esta Superintendencia. </t>
  </si>
  <si>
    <t>Ausencia de la verificación de la metodología del cálculo de Reservas Técnicas por parte de la Entidad de Inspección, Vigilancia y Control, que garantice la normalización de la ejecución periódica del método por parte de la EPS.</t>
  </si>
  <si>
    <t xml:space="preserve">Ejecutar un diagnóstico a través de una firma externa experta en la evaluación y ejecución de Metodología de Reservas Técnicas en aseguramiento en salud, que permita evaluar y presentar los elementos requeridos para la verificación de la metodología referida, proceso que debe incluir la sustentación y acompañamiento en reunones técnicas con la Superintendencia Nacional de Salud - SNS. </t>
  </si>
  <si>
    <t>Actuaria</t>
  </si>
  <si>
    <t>John Walter Gómez Bohórquez</t>
  </si>
  <si>
    <r>
      <rPr>
        <b/>
        <sz val="10"/>
        <color rgb="FF000000"/>
        <rFont val="Calibri"/>
      </rPr>
      <t xml:space="preserve">Diagnóstico de evaluación Metodología de Reserva Técnica EPS SOS SA =  </t>
    </r>
    <r>
      <rPr>
        <sz val="10"/>
        <color rgb="FF000000"/>
        <rFont val="Calibri"/>
      </rPr>
      <t>Total de acciones ajustadas en la  Metodología de Reserva Técnica /  Total de acciones con necesidad de ajuste en la  Metodología de Reserva Técnica *100</t>
    </r>
  </si>
  <si>
    <t xml:space="preserve">Ejecutar un plan de trabajo para garantizar la adecuada aplicación del cálculo de las reservas técnicas, que garantice su estandarización y sistematización. </t>
  </si>
  <si>
    <t>Gerencia de Tecnología</t>
  </si>
  <si>
    <t>Oscar Eduardo Flórez Arce</t>
  </si>
  <si>
    <r>
      <rPr>
        <b/>
        <sz val="10"/>
        <color rgb="FF000000"/>
        <rFont val="Calibri"/>
      </rPr>
      <t xml:space="preserve">Plan Sistematización de las Reservas Técnicas (constitución y liberación, reserva conocidas no liquidadas, Reserva liquidadas pendientes de pago, Reserva IBNR): </t>
    </r>
    <r>
      <rPr>
        <sz val="10"/>
        <color rgb="FF000000"/>
        <rFont val="Calibri"/>
      </rPr>
      <t>Total de acciones  ejecutadas / Total de acciones planteadas *100</t>
    </r>
  </si>
  <si>
    <t>Asegurar la consistencia del detalle de reservas técnicas permitiendo efectuar la rectificación que se requiera,a través de los impactos tecnológicos que equilibren esta operación. La evaluación del ejercicio se realizará a traves de auditorías de información cruzada.</t>
  </si>
  <si>
    <t>Dirección de Planeación y Riesgos</t>
  </si>
  <si>
    <t>Cristhian Renato Andrade Giron</t>
  </si>
  <si>
    <r>
      <rPr>
        <b/>
        <sz val="10"/>
        <color rgb="FF000000"/>
        <rFont val="Calibri"/>
      </rPr>
      <t xml:space="preserve">Indicador de consistencia=
</t>
    </r>
    <r>
      <rPr>
        <sz val="10"/>
        <color rgb="FF000000"/>
        <rFont val="Calibri"/>
      </rPr>
      <t>Total de registros sin inconsistencia / Total de registros *100</t>
    </r>
  </si>
  <si>
    <t xml:space="preserve">Realizar seguimiento a la información detallada de la reserva técnica, permitiendo efectuar la trazabilidad en el tiempo.
Anexos:
 Informe avance asesoria técnica KPMG
Tablero plan de acción sistematización reserva técnica (imagen).
PPT de evaluación de consistencia y trazabilidad de reserva técnica
</t>
  </si>
  <si>
    <r>
      <rPr>
        <b/>
        <sz val="10"/>
        <color rgb="FF000000"/>
        <rFont val="Calibri"/>
      </rPr>
      <t>Indicador de trazabilidad=
 V</t>
    </r>
    <r>
      <rPr>
        <sz val="10"/>
        <color rgb="FF000000"/>
        <rFont val="Calibri"/>
      </rPr>
      <t>alor total con trazabilidad / Valor total reservado *100</t>
    </r>
  </si>
  <si>
    <r>
      <rPr>
        <b/>
        <sz val="10"/>
        <color rgb="FF000000"/>
        <rFont val="Calibri"/>
      </rPr>
      <t>Orden 9</t>
    </r>
    <r>
      <rPr>
        <b/>
        <sz val="10"/>
        <color rgb="FF000000"/>
        <rFont val="Calibri"/>
      </rPr>
      <t xml:space="preserve">: Implementar medidas de salvamento definidas en el artículo 9.1.1.1.2 del Decreto 2555 de 2010 orientadas a la recuperación financiera de la EPS, que le permitan cumplir con las condiciones financieras y de solvencia, establecidas en el Decreto 2702 de 2014, incorporado en el Decreto Único Reglamentario 780 de 2016 y modificados. </t>
    </r>
  </si>
  <si>
    <t>Cumplimiento mensual de las condiciones de habilitación financiera - Proyección - Capital mínimo
Anexo 9.1 - Capital mínimo</t>
  </si>
  <si>
    <t xml:space="preserve">Mónica Reyes </t>
  </si>
  <si>
    <r>
      <rPr>
        <b/>
        <sz val="10"/>
        <color rgb="FF000000"/>
        <rFont val="Calibri"/>
      </rPr>
      <t xml:space="preserve">Capital mínimo: </t>
    </r>
    <r>
      <rPr>
        <sz val="10"/>
        <color rgb="FF000000"/>
        <rFont val="Calibri"/>
      </rPr>
      <t>Nivel programado en el mes / Nivel alcanzado en el mes</t>
    </r>
  </si>
  <si>
    <t>No aplica</t>
  </si>
  <si>
    <t xml:space="preserve">Cumplimiento mensual de las condiciones de habilitación financiera - Proyección - Patrimonio Adecuado
Anexo 9.2 - Patrimonio adecuado </t>
  </si>
  <si>
    <r>
      <rPr>
        <b/>
        <sz val="10"/>
        <color rgb="FF000000"/>
        <rFont val="Calibri"/>
      </rPr>
      <t xml:space="preserve">Patrimonio adecuado: </t>
    </r>
    <r>
      <rPr>
        <sz val="10"/>
        <color rgb="FF000000"/>
        <rFont val="Calibri"/>
      </rPr>
      <t>Nivel programado en el mes / Nivel alcanzado en el mes</t>
    </r>
  </si>
  <si>
    <t>Cumplimiento mensual de las condiciones de habilitación financiera - Proyección - Inversión de Reservas Técnicas.
Anexo 9.3 - Inversiones de reservas técnicas</t>
  </si>
  <si>
    <r>
      <rPr>
        <b/>
        <sz val="10"/>
        <color rgb="FF000000"/>
        <rFont val="Calibri"/>
      </rPr>
      <t xml:space="preserve">Inversiones reserva técnica: </t>
    </r>
    <r>
      <rPr>
        <sz val="10"/>
        <color rgb="FF000000"/>
        <rFont val="Calibri"/>
      </rPr>
      <t>Nivel programado en el mes / Nivel alcanzado en el mes</t>
    </r>
  </si>
  <si>
    <t xml:space="preserve">Consitución gradual de inversiones de reserva técnica sobre las eficiencias resultantes del plan de ahorros en salud
</t>
  </si>
  <si>
    <r>
      <rPr>
        <b/>
        <sz val="10"/>
        <color rgb="FF000000"/>
        <rFont val="Calibri"/>
      </rPr>
      <t xml:space="preserve">Constitución inversiones reserva técnica:  </t>
    </r>
    <r>
      <rPr>
        <sz val="10"/>
        <color rgb="FF000000"/>
        <rFont val="Calibri"/>
      </rPr>
      <t>Saldo inversiones de reserva técnica programado en el mes / Saldo inversiones de reserva téncia alcanzado en el mes</t>
    </r>
  </si>
  <si>
    <t>Jurídico</t>
  </si>
  <si>
    <r>
      <rPr>
        <b/>
        <sz val="10"/>
        <color theme="1"/>
        <rFont val="Calibri"/>
      </rPr>
      <t>Orden 10:</t>
    </r>
    <r>
      <rPr>
        <sz val="10"/>
        <color theme="1"/>
        <rFont val="Calibri"/>
      </rPr>
      <t xml:space="preserve"> Implementar y ejecutar las estrategias necesarias para garantizar prestación de los servicios de salud a la población afiliada, de manera que se reduzca el riesgo jurídico por la interposición de acciones de tutela.</t>
    </r>
  </si>
  <si>
    <t xml:space="preserve">Gestión no efectiva de las PQRD, al no garantizar soluciones adecuadas y seguimiento hasta la prestacion efectiva de los servicios objeto de la reclamación.  </t>
  </si>
  <si>
    <t xml:space="preserve">Ejecutar mesas de trabajo de forma conjunta entre las áreas de Tutelas y PQR (2 veces en el mes) para el análisis e identificación de causas principales en las reclamaciones donde una PQR deriva en un accion juridica. A  partir de las bases de datos analizadas, según la caracterizacion realizada por el área de PQRD se identifican las sedes, prestadores y servicios más recurrentes. Se incluye un análisis de los usuarios con mayor número de quejas.  
Socializar de manera mensual con las áreas internas involucradas los resultados del análisis de las mesas de trabajo para que acorde a los hallazgos evidenciados se incorporen estrategias a sus planes de trabajo.
Anexos: 
Actas de reuniones 
Informe del analisis de identificación de causas prinicipales
</t>
  </si>
  <si>
    <t>Gerencia Jurídica</t>
  </si>
  <si>
    <t>Alexandra Acosta</t>
  </si>
  <si>
    <r>
      <rPr>
        <b/>
        <sz val="10"/>
        <color theme="1"/>
        <rFont val="Calibri"/>
      </rPr>
      <t>Tasa de Tutelas PBS y PBS NO UPC x 10.000 Usuarios:</t>
    </r>
    <r>
      <rPr>
        <sz val="10"/>
        <color theme="1"/>
        <rFont val="Calibri"/>
      </rPr>
      <t xml:space="preserve"> (Cantidad de Tutelas PBS y PBS NO UPC / Población)*10.000</t>
    </r>
  </si>
  <si>
    <r>
      <rPr>
        <b/>
        <sz val="10"/>
        <color theme="1"/>
        <rFont val="Calibri"/>
      </rPr>
      <t>Tasa de Tutelas General x 10.000 Usuarios:</t>
    </r>
    <r>
      <rPr>
        <sz val="10"/>
        <color theme="1"/>
        <rFont val="Calibri"/>
      </rPr>
      <t xml:space="preserve"> (Cantidad de Tutelas / Población)*10.000</t>
    </r>
  </si>
  <si>
    <r>
      <rPr>
        <b/>
        <sz val="10"/>
        <color theme="1"/>
        <rFont val="Calibri"/>
      </rPr>
      <t xml:space="preserve">% de admisiones de tutela PBS y PBS NO UPC donde previamente el afiliado presentó una PQR: </t>
    </r>
    <r>
      <rPr>
        <sz val="10"/>
        <color theme="1"/>
        <rFont val="Calibri"/>
      </rPr>
      <t>No. de Admisiones de tutela PBS y PBS NO UPC con PQR interpuesta en un periodo de 12 meses previos/ No. de admisiones de tutela PBS y PBS NO UPC en el mes</t>
    </r>
  </si>
  <si>
    <t>Inoportunidad en la programacion de servicios por parte de los prestadores, por insuficiencia o exigencia de requisitos no pactados contractualmente (Pagos anticipados)</t>
  </si>
  <si>
    <t>Realizar de manera semanal reunión con el equipo de cumplimiento de fallos (Enfermera Tutelas - Auxiliar administrativo Tutelas) para identificar el avance del indicador, socializar situaciones que dificulten la materialización de los servicios y hacer seguimiento a hallazgos de inconsistencias en el diligenciamiento de los registros de la gestión diaria del contacto directo con los usuarios y prestadores de servicios que permiten monitorear la ruta de la prestación del servicio.
Anexos: 
Acta de seguimiento con el equipo de tutelas.}</t>
  </si>
  <si>
    <r>
      <rPr>
        <b/>
        <sz val="10"/>
        <color theme="1"/>
        <rFont val="Calibri"/>
      </rPr>
      <t xml:space="preserve">% de materialización de servicios ordenados por fallos de tutela: </t>
    </r>
    <r>
      <rPr>
        <sz val="10"/>
        <color theme="1"/>
        <rFont val="Calibri"/>
      </rPr>
      <t xml:space="preserve">No. de Fallos de tutela PBS y NO PBS NO UPC con prestación efectiva / No. de fallos de tutela PBS y NO PBS NO UPC notificados en el periodo </t>
    </r>
  </si>
  <si>
    <t>Realizar de manera semanal reunión con el equipo de desacatos (Medico Eventos NO PBS Tutelas - Auxiliar administrativo Tutelas) para identificar el avance del indicador, socializar situaciones que dificulten la materialización de los servicios y hacer seguimiento a hallazgos de inconsistencias en el diligenciamiento de los registros de la gestión diaria del contacto directo con los usuarios y prestadores de servicios que permiten monitorear la ruta de la prestación del servicio.
Anexos: 
Acta de seguimiento equipo de tutelas continuidades.</t>
  </si>
  <si>
    <r>
      <rPr>
        <b/>
        <sz val="10"/>
        <color theme="1"/>
        <rFont val="Calibri"/>
      </rPr>
      <t xml:space="preserve">% materializacion Incidentes de Desacato: </t>
    </r>
    <r>
      <rPr>
        <sz val="10"/>
        <color theme="1"/>
        <rFont val="Calibri"/>
      </rPr>
      <t>No de incidentes de desacato por servicios y tecnologías incluidas y NO incluidas en el plan de beneficios de salud, con tramite efectivo/ Total de incidentes de desacato por servicios y tecnologías incluidas y NO incluidas en el plan de beneficios de salud,  notificados a la EPS en el periodo * 100</t>
    </r>
  </si>
  <si>
    <t xml:space="preserve">Ausencia de un modelo estructurado para garantizar el seguimiento de los usuarios con fallo de tutela con prestaciones continuas. </t>
  </si>
  <si>
    <t>Identificar usuarios con Incidentes de desacatos recibidos en el mes de fallos con servicios continuos recepcionados en un periodo igual o mayor a 3 meses. Haciendo un análisis de la participación por sedes y usuarios recurrentes.
Realizar evaluación mensual del resultado con el equipo de seguimiento de las oficinas con mayor participación en los asuntos de tutela para impactar su volumen.
Anexos: 
Acta de seguimiento equipo de tutelas continuidades.</t>
  </si>
  <si>
    <r>
      <rPr>
        <b/>
        <sz val="10"/>
        <color theme="1"/>
        <rFont val="Calibri"/>
      </rPr>
      <t>% de incidentes de desacatos asociados a servicios continuos:</t>
    </r>
    <r>
      <rPr>
        <sz val="10"/>
        <color theme="1"/>
        <rFont val="Calibri"/>
      </rPr>
      <t xml:space="preserve"> No. de Incidentes de desacatos recibidos en el mes de fallo con servicios continuos recepcionado en un periodo igual o mayor a 3 meses / No. de Incidentes de desacato en el mes</t>
    </r>
  </si>
  <si>
    <r>
      <rPr>
        <b/>
        <sz val="10"/>
        <color theme="1"/>
        <rFont val="Calibri"/>
      </rPr>
      <t>Orden 11:</t>
    </r>
    <r>
      <rPr>
        <sz val="10"/>
        <color theme="1"/>
        <rFont val="Calibri"/>
      </rPr>
      <t xml:space="preserve"> Realizar liquidación de los acuerdos de voluntades terminados con la red prestadora de servicios de salud y proveedores de tecnologias en salud, asi como, el seguimiento a los que se encuentran en ejecución y adoptar las medidas a que hubiere lugar en caso de evidenciar inclumplimiento, de acuerdo con lo establecido en el articulo segundo del Decreto 441 de 2022</t>
    </r>
  </si>
  <si>
    <t>Se detectan dos causas que están afectando la eficiencia en la liquidación de contratos  para dar cumplimiento a los tiempos establecidos en los acuerdos contractuales:
1. Las mesas de conciliación que se notifican a los prestadores para dar inicio al proceso no son atendidas por estos, por lo que se deben agotar todas las instancias de notificación para poder dar inicio al trámite.
2. Se detecta una debilidad de coordinación entre las áreas involucrados en la preparación de los documentos que soportan la liquidación.</t>
  </si>
  <si>
    <t>1.Planear y ejecutar el cronograma mensual de contratos terminados que serán objeto de liquidación para asegurar contar con los informes financieros y  técnicos ( médico)   que  los soporten.
2. Remitir mensual a los prestadores  el  acta de liquidación de contratos mutuo acuerdo para su aceptación y firma, conforme al estandar diseñando
3. Si los prestadores no suscriben el acta de mutuo acuerdo y no existen obligaciones pendientes, enviar acta de liquidación unilateral conforme al estandar.
Anexos:
Acta de liquidación de mutuo acuerdo o unilateral según corresponda / Seguimiento liquidaciones plan de intervencion
Informe financiero
Informe de salud</t>
  </si>
  <si>
    <t>Gerencia Jurídica
Gerencia de Auditoría en salud
Direccion Financiera</t>
  </si>
  <si>
    <t>Alexandra Acosta
Julián Villegas
Mónica Reyes</t>
  </si>
  <si>
    <r>
      <rPr>
        <b/>
        <sz val="10"/>
        <color theme="1"/>
        <rFont val="Calibri"/>
      </rPr>
      <t>Liquidación de contratos Restantes :</t>
    </r>
    <r>
      <rPr>
        <sz val="10"/>
        <color theme="1"/>
        <rFont val="Calibri"/>
      </rPr>
      <t xml:space="preserve"> Contratos Liquidados mutuo acuerdo y/o unilaterales  / Contratos Objeto de Liquidación- Contratos donde obre proceso judicial en contra de la entidad</t>
    </r>
  </si>
  <si>
    <r>
      <rPr>
        <b/>
        <sz val="10"/>
        <color theme="1"/>
        <rFont val="Calibri"/>
      </rPr>
      <t>Liquidación de Contratos Corriente (contratos terminados cuatro meses atrás respecto al mes de medición ):</t>
    </r>
    <r>
      <rPr>
        <sz val="10"/>
        <color theme="1"/>
        <rFont val="Calibri"/>
      </rPr>
      <t xml:space="preserve"> Contratos Liquidados mutuo acuerdo  y/o unilaterales /Contratos Objeto de Liquidación (contratos terminados cuatro meses atrás respecto al mes de medición)- Contratos donde obre proceso judicial en contra de la entidad</t>
    </r>
  </si>
  <si>
    <t>N.A</t>
  </si>
  <si>
    <r>
      <rPr>
        <b/>
        <sz val="10"/>
        <color theme="1"/>
        <rFont val="Calibri"/>
      </rPr>
      <t xml:space="preserve">Orden 12: </t>
    </r>
    <r>
      <rPr>
        <sz val="10"/>
        <color theme="1"/>
        <rFont val="Calibri"/>
      </rPr>
      <t>Realizar seguimiento a la totalidad de los procesos jurídicos notificados o adelantados en contra de la entidad, con la finalidad de validar la efectividad de la defensa técnica de los casos, la oportunidad para su gestión.</t>
    </r>
  </si>
  <si>
    <t xml:space="preserve">A corte a enero de 2024, la EPS registra 233 procesos activos en contra (entre judiciales y administrativos sancionatorios SNS) con pretensiones de $212.037,3 millones.
</t>
  </si>
  <si>
    <t>Generar informe mensual de procesos judiciales y realizar reunión mensual para revisar procesos judiciales activos incluyendo los nuevos procesos notificados y los procesos judiciales terminados
Anexos: 
Informe de procesos judiciales
Acta y presentación de la reunión.</t>
  </si>
  <si>
    <r>
      <rPr>
        <b/>
        <sz val="10"/>
        <color theme="1"/>
        <rFont val="Calibri"/>
      </rPr>
      <t xml:space="preserve">Informe y Comité Procesos Judiciales: </t>
    </r>
    <r>
      <rPr>
        <sz val="10"/>
        <color theme="1"/>
        <rFont val="Calibri"/>
      </rPr>
      <t>(Informe y comité ejecutado/Informe y comité por ejecutar)*100%</t>
    </r>
  </si>
  <si>
    <t>Realizar reunión  bimensual con las áreas técnicas acorde a las causas más representativas de interposición de acciones judiciales
Anexos: 
Acta de seguimiento areas tecnicas</t>
  </si>
  <si>
    <t>Gerencia Juridica
Medicina del trabajo
Auditoria Medica</t>
  </si>
  <si>
    <r>
      <rPr>
        <b/>
        <sz val="10"/>
        <color theme="1"/>
        <rFont val="Calibri"/>
      </rPr>
      <t>Ejecución del Comité Jurídico y áreas técnicas:</t>
    </r>
    <r>
      <rPr>
        <sz val="10"/>
        <color theme="1"/>
        <rFont val="Calibri"/>
      </rPr>
      <t xml:space="preserve"> (Comités ejecutados/comités programados) *100</t>
    </r>
  </si>
  <si>
    <t>Analizar trimestralmente estrategia de defensa para procesos judiciales con cuantías superiores a $1.000 M
Anexos: 
Matriz de seguimiento a  estrategias de defensa procesos judiciales.</t>
  </si>
  <si>
    <r>
      <rPr>
        <b/>
        <sz val="10"/>
        <color theme="1"/>
        <rFont val="Calibri"/>
      </rPr>
      <t>Informe estrategia de defensa para procesos judiciales:</t>
    </r>
    <r>
      <rPr>
        <sz val="10"/>
        <color theme="1"/>
        <rFont val="Calibri"/>
      </rPr>
      <t xml:space="preserve"> (Informes generados /Informes por generar) *100</t>
    </r>
  </si>
  <si>
    <t>Realizar seguimiento a la oportunidad de la primera intervención de la EPS en los nuevos procesos judiciales reportados en el período.
Anexos: 
Informe de procesos judiciales
Acta y presentación de la reunión.</t>
  </si>
  <si>
    <r>
      <rPr>
        <b/>
        <sz val="10"/>
        <color theme="1"/>
        <rFont val="Calibri"/>
      </rPr>
      <t>Oportunidad defensa técnica:</t>
    </r>
    <r>
      <rPr>
        <sz val="10"/>
        <color theme="1"/>
        <rFont val="Calibri"/>
      </rPr>
      <t xml:space="preserve"> (Nuevos procesos judiciales reportados en el período con primera intervención de la EPS oportuna/Nuevos procesos judiciales reportados en el período) *100</t>
    </r>
  </si>
  <si>
    <t>Realizar seguimiento a la efectividad de la defensa técnica de la EPS en los procesos judiciales.
Anexos:
Informe de procesos judiciales
Acta y presentación de la reunión.</t>
  </si>
  <si>
    <r>
      <rPr>
        <b/>
        <sz val="10"/>
        <color theme="1"/>
        <rFont val="Calibri"/>
      </rPr>
      <t>Efectividad defensa técnica:</t>
    </r>
    <r>
      <rPr>
        <sz val="10"/>
        <color theme="1"/>
        <rFont val="Calibri"/>
      </rPr>
      <t xml:space="preserve"> (Valor total de condenas pagadas por la EPS en el período/Valor total de pretensiones de procesos activos en contra de la EPS en el período) *100</t>
    </r>
  </si>
  <si>
    <t>&lt;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</si>
</sst>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164" formatCode="mmm\-d"/>
    <numFmt numFmtId="165" formatCode="dd/mm/yyyy"/>
    <numFmt numFmtId="166" formatCode="#,##0.0"/>
    <numFmt numFmtId="167" formatCode="0.0"/>
    <numFmt numFmtId="168" formatCode="0.0%"/>
    <numFmt numFmtId="169" formatCode="#,##0.000"/>
    <numFmt numFmtId="170" formatCode="0.000"/>
    <numFmt numFmtId="171" formatCode="&quot;$&quot;#,##0"/>
    <numFmt numFmtId="172" formatCode="d/m/yyyy"/>
    <numFmt numFmtId="173" formatCode="0.000%"/>
  </numFmts>
  <fonts count="8" x14ac:knownFonts="1">
    <font>
      <sz val="10"/>
      <color rgb="FF000000"/>
      <name val="Arial"/>
      <scheme val="minor"/>
    </font>
    <font>
      <sz val="10"/>
      <color rgb="FF000000"/>
      <name val="Calibri"/>
    </font>
    <font>
      <sz val="10"/>
      <name val="Arial"/>
    </font>
    <font>
      <b/>
      <sz val="10"/>
      <color rgb="FF000000"/>
      <name val="Calibri"/>
    </font>
    <font>
      <sz val="10"/>
      <color theme="1"/>
      <name val="Calibri"/>
    </font>
    <font>
      <sz val="10"/>
      <color theme="1"/>
      <name val="Calibri"/>
    </font>
    <font>
      <sz val="9"/>
      <color rgb="FF000000"/>
      <name val="Calibri"/>
    </font>
    <font>
      <b/>
      <sz val="10"/>
      <color theme="1"/>
      <name val="Calibri"/>
    </font>
  </fonts>
  <fills count="6">
    <fill>
      <patternFill patternType="none"/>
    </fill>
    <fill>
      <patternFill patternType="gray125"/>
    </fill>
    <fill>
      <patternFill patternType="solid">
        <fgColor theme="0"/>
        <bgColor theme="0"/>
      </patternFill>
    </fill>
    <fill>
      <patternFill patternType="solid">
        <fgColor rgb="FFC2D69B"/>
        <bgColor rgb="FFC2D69B"/>
      </patternFill>
    </fill>
    <fill>
      <patternFill patternType="solid">
        <fgColor rgb="FFFABF8F"/>
        <bgColor rgb="FFFABF8F"/>
      </patternFill>
    </fill>
    <fill>
      <patternFill patternType="solid">
        <fgColor rgb="FFFFFFFF"/>
        <bgColor rgb="FFFFFFFF"/>
      </patternFill>
    </fill>
  </fills>
  <borders count="3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style="thin">
        <color rgb="FF666666"/>
      </left>
      <right style="thin">
        <color rgb="FF666666"/>
      </right>
      <top style="thin">
        <color rgb="FF666666"/>
      </top>
      <bottom/>
      <diagonal/>
    </border>
    <border>
      <left/>
      <right style="thin">
        <color rgb="FF7F7F7F"/>
      </right>
      <top style="thin">
        <color rgb="FF7F7F7F"/>
      </top>
      <bottom/>
      <diagonal/>
    </border>
    <border>
      <left style="thin">
        <color rgb="FF7F7F7F"/>
      </left>
      <right style="thin">
        <color rgb="FF7F7F7F"/>
      </right>
      <top/>
      <bottom/>
      <diagonal/>
    </border>
    <border>
      <left style="thin">
        <color rgb="FF7F7F7F"/>
      </left>
      <right/>
      <top/>
      <bottom style="thin">
        <color rgb="FF7F7F7F"/>
      </bottom>
      <diagonal/>
    </border>
    <border>
      <left style="thin">
        <color rgb="FF666666"/>
      </left>
      <right style="thin">
        <color rgb="FF666666"/>
      </right>
      <top/>
      <bottom style="thin">
        <color rgb="FF666666"/>
      </bottom>
      <diagonal/>
    </border>
    <border>
      <left/>
      <right style="thin">
        <color rgb="FF7F7F7F"/>
      </right>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
      <left style="thin">
        <color rgb="FF000000"/>
      </left>
      <right style="thin">
        <color rgb="FF000000"/>
      </right>
      <top style="thin">
        <color rgb="FF000000"/>
      </top>
      <bottom/>
      <diagonal/>
    </border>
  </borders>
  <cellStyleXfs count="1">
    <xf numFmtId="0" fontId="0" fillId="0" borderId="0"/>
  </cellStyleXfs>
  <cellXfs count="172">
    <xf numFmtId="0" fontId="0" fillId="0" borderId="0" xfId="0"/>
    <xf numFmtId="0" fontId="3" fillId="0" borderId="2" xfId="0" applyFont="1" applyBorder="1" applyAlignment="1">
      <alignment vertical="center" wrapText="1"/>
    </xf>
    <xf numFmtId="0" fontId="3" fillId="0" borderId="3" xfId="0" applyFont="1" applyBorder="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3" borderId="15" xfId="0" applyFont="1" applyFill="1" applyBorder="1" applyAlignment="1">
      <alignment horizontal="center" vertical="center" wrapText="1"/>
    </xf>
    <xf numFmtId="49" fontId="3" fillId="3" borderId="15" xfId="0" applyNumberFormat="1" applyFont="1" applyFill="1" applyBorder="1" applyAlignment="1">
      <alignment horizontal="center" vertical="center" wrapText="1"/>
    </xf>
    <xf numFmtId="164" fontId="3" fillId="4" borderId="20" xfId="0" applyNumberFormat="1" applyFont="1" applyFill="1" applyBorder="1" applyAlignment="1">
      <alignment horizontal="center" vertical="center" wrapText="1"/>
    </xf>
    <xf numFmtId="164" fontId="3" fillId="4" borderId="15" xfId="0" applyNumberFormat="1" applyFont="1" applyFill="1" applyBorder="1" applyAlignment="1">
      <alignment horizontal="center" vertical="center" wrapText="1"/>
    </xf>
    <xf numFmtId="0" fontId="1" fillId="0" borderId="15" xfId="0" applyFont="1" applyBorder="1" applyAlignment="1">
      <alignment vertical="center" wrapText="1"/>
    </xf>
    <xf numFmtId="0" fontId="1" fillId="0" borderId="15" xfId="0" applyFont="1" applyBorder="1" applyAlignment="1">
      <alignment horizontal="center" vertical="center" wrapText="1"/>
    </xf>
    <xf numFmtId="4" fontId="1" fillId="0" borderId="14" xfId="0" applyNumberFormat="1" applyFont="1" applyBorder="1" applyAlignment="1">
      <alignment horizontal="center" vertical="center" wrapText="1"/>
    </xf>
    <xf numFmtId="0" fontId="3" fillId="5" borderId="15" xfId="0" applyFont="1" applyFill="1" applyBorder="1" applyAlignment="1">
      <alignment horizontal="center" vertical="center" wrapText="1"/>
    </xf>
    <xf numFmtId="0" fontId="1" fillId="5" borderId="15" xfId="0" applyFont="1" applyFill="1" applyBorder="1" applyAlignment="1">
      <alignment horizontal="center" vertical="center" wrapText="1"/>
    </xf>
    <xf numFmtId="3" fontId="1" fillId="5" borderId="15" xfId="0" applyNumberFormat="1" applyFont="1" applyFill="1" applyBorder="1" applyAlignment="1">
      <alignment horizontal="center" vertical="center" wrapText="1"/>
    </xf>
    <xf numFmtId="4" fontId="1" fillId="0" borderId="16" xfId="0" applyNumberFormat="1" applyFont="1" applyBorder="1" applyAlignment="1">
      <alignment horizontal="center" vertical="center" wrapText="1"/>
    </xf>
    <xf numFmtId="4" fontId="1" fillId="0" borderId="19" xfId="0" applyNumberFormat="1" applyFont="1" applyBorder="1" applyAlignment="1">
      <alignment horizontal="center" vertical="center"/>
    </xf>
    <xf numFmtId="4" fontId="1" fillId="0" borderId="18" xfId="0" applyNumberFormat="1" applyFont="1" applyBorder="1" applyAlignment="1">
      <alignment horizontal="center" vertical="center" wrapText="1"/>
    </xf>
    <xf numFmtId="4" fontId="1" fillId="0" borderId="15" xfId="0" applyNumberFormat="1" applyFont="1" applyBorder="1" applyAlignment="1">
      <alignment horizontal="center" vertical="center" wrapText="1"/>
    </xf>
    <xf numFmtId="165" fontId="1" fillId="0" borderId="15" xfId="0" applyNumberFormat="1" applyFont="1" applyBorder="1" applyAlignment="1">
      <alignment horizontal="center" vertical="center" wrapText="1"/>
    </xf>
    <xf numFmtId="0" fontId="1" fillId="0" borderId="15" xfId="0" applyFont="1" applyBorder="1" applyAlignment="1">
      <alignment vertical="top" wrapText="1"/>
    </xf>
    <xf numFmtId="9" fontId="1" fillId="0" borderId="15" xfId="0" applyNumberFormat="1" applyFont="1" applyBorder="1" applyAlignment="1">
      <alignment horizontal="center" vertical="center" wrapText="1"/>
    </xf>
    <xf numFmtId="3" fontId="1" fillId="0" borderId="15" xfId="0" applyNumberFormat="1" applyFont="1" applyBorder="1" applyAlignment="1">
      <alignment horizontal="center" vertical="center" wrapText="1"/>
    </xf>
    <xf numFmtId="10" fontId="1" fillId="0" borderId="16" xfId="0" applyNumberFormat="1" applyFont="1" applyBorder="1" applyAlignment="1">
      <alignment horizontal="center" vertical="center" wrapText="1"/>
    </xf>
    <xf numFmtId="4" fontId="1" fillId="2" borderId="15" xfId="0" applyNumberFormat="1" applyFont="1" applyFill="1" applyBorder="1" applyAlignment="1">
      <alignment horizontal="center" vertical="center"/>
    </xf>
    <xf numFmtId="0" fontId="3" fillId="0" borderId="15" xfId="0" applyFont="1" applyBorder="1" applyAlignment="1">
      <alignment horizontal="center" vertical="center" wrapText="1"/>
    </xf>
    <xf numFmtId="4" fontId="1" fillId="0" borderId="15" xfId="0" applyNumberFormat="1" applyFont="1" applyBorder="1" applyAlignment="1">
      <alignment horizontal="center" vertical="center"/>
    </xf>
    <xf numFmtId="166" fontId="1" fillId="0" borderId="15" xfId="0" applyNumberFormat="1" applyFont="1" applyBorder="1" applyAlignment="1">
      <alignment horizontal="center" vertical="center" wrapText="1"/>
    </xf>
    <xf numFmtId="165" fontId="1" fillId="5" borderId="15" xfId="0" applyNumberFormat="1" applyFont="1" applyFill="1" applyBorder="1" applyAlignment="1">
      <alignment horizontal="center" vertical="center" wrapText="1"/>
    </xf>
    <xf numFmtId="9" fontId="1" fillId="0" borderId="18" xfId="0" applyNumberFormat="1" applyFont="1" applyBorder="1" applyAlignment="1">
      <alignment horizontal="center" vertical="center" wrapText="1"/>
    </xf>
    <xf numFmtId="167" fontId="1" fillId="0" borderId="15" xfId="0" applyNumberFormat="1" applyFont="1" applyBorder="1" applyAlignment="1">
      <alignment horizontal="center" vertical="center" wrapText="1"/>
    </xf>
    <xf numFmtId="4" fontId="1" fillId="0" borderId="24" xfId="0" applyNumberFormat="1" applyFont="1" applyBorder="1" applyAlignment="1">
      <alignment horizontal="center" vertical="center" wrapText="1"/>
    </xf>
    <xf numFmtId="10" fontId="1" fillId="0" borderId="15" xfId="0" applyNumberFormat="1" applyFont="1" applyBorder="1" applyAlignment="1">
      <alignment horizontal="center" vertical="center"/>
    </xf>
    <xf numFmtId="10" fontId="1" fillId="0" borderId="18" xfId="0" applyNumberFormat="1" applyFont="1" applyBorder="1" applyAlignment="1">
      <alignment horizontal="center" vertical="center" wrapText="1"/>
    </xf>
    <xf numFmtId="10" fontId="1" fillId="0" borderId="15" xfId="0" applyNumberFormat="1" applyFont="1" applyBorder="1" applyAlignment="1">
      <alignment horizontal="center" vertical="center" wrapText="1"/>
    </xf>
    <xf numFmtId="2" fontId="1" fillId="0" borderId="15" xfId="0" applyNumberFormat="1" applyFont="1" applyBorder="1" applyAlignment="1">
      <alignment horizontal="center" vertical="center"/>
    </xf>
    <xf numFmtId="4" fontId="4" fillId="0" borderId="15" xfId="0" applyNumberFormat="1" applyFont="1" applyBorder="1" applyAlignment="1">
      <alignment horizontal="center" vertical="center" wrapText="1"/>
    </xf>
    <xf numFmtId="4" fontId="1" fillId="0" borderId="14" xfId="0" applyNumberFormat="1" applyFont="1" applyBorder="1" applyAlignment="1">
      <alignment horizontal="center" vertical="center"/>
    </xf>
    <xf numFmtId="0" fontId="1" fillId="0" borderId="16" xfId="0" applyFont="1" applyBorder="1" applyAlignment="1">
      <alignment horizontal="center" vertical="center" wrapText="1"/>
    </xf>
    <xf numFmtId="4" fontId="1" fillId="5" borderId="15" xfId="0" applyNumberFormat="1" applyFont="1" applyFill="1" applyBorder="1" applyAlignment="1">
      <alignment horizontal="center" vertical="center"/>
    </xf>
    <xf numFmtId="10" fontId="1" fillId="5" borderId="15" xfId="0" applyNumberFormat="1" applyFont="1" applyFill="1" applyBorder="1" applyAlignment="1">
      <alignment horizontal="center" vertical="center"/>
    </xf>
    <xf numFmtId="168" fontId="1" fillId="5" borderId="15" xfId="0" applyNumberFormat="1" applyFont="1" applyFill="1" applyBorder="1" applyAlignment="1">
      <alignment horizontal="center" vertical="center"/>
    </xf>
    <xf numFmtId="0" fontId="1" fillId="0" borderId="15" xfId="0" applyFont="1" applyBorder="1" applyAlignment="1">
      <alignment wrapText="1"/>
    </xf>
    <xf numFmtId="2" fontId="1" fillId="0" borderId="18" xfId="0" applyNumberFormat="1" applyFont="1" applyBorder="1" applyAlignment="1">
      <alignment horizontal="center" vertical="center" wrapText="1"/>
    </xf>
    <xf numFmtId="167" fontId="1" fillId="0" borderId="18" xfId="0" applyNumberFormat="1" applyFont="1" applyBorder="1" applyAlignment="1">
      <alignment horizontal="center" vertical="center" wrapText="1"/>
    </xf>
    <xf numFmtId="3" fontId="1" fillId="0" borderId="16" xfId="0" applyNumberFormat="1" applyFont="1" applyBorder="1" applyAlignment="1">
      <alignment horizontal="center" vertical="center" wrapText="1"/>
    </xf>
    <xf numFmtId="3" fontId="1" fillId="5" borderId="15" xfId="0" applyNumberFormat="1" applyFont="1" applyFill="1" applyBorder="1" applyAlignment="1">
      <alignment horizontal="center" vertical="center"/>
    </xf>
    <xf numFmtId="2" fontId="1" fillId="0" borderId="15" xfId="0" applyNumberFormat="1" applyFont="1" applyBorder="1" applyAlignment="1">
      <alignment horizontal="center" vertical="center" wrapText="1"/>
    </xf>
    <xf numFmtId="169" fontId="1" fillId="5" borderId="15" xfId="0" applyNumberFormat="1" applyFont="1" applyFill="1" applyBorder="1" applyAlignment="1">
      <alignment horizontal="center" vertical="center"/>
    </xf>
    <xf numFmtId="170" fontId="1" fillId="0" borderId="15" xfId="0" applyNumberFormat="1" applyFont="1" applyBorder="1" applyAlignment="1">
      <alignment horizontal="center" vertical="center" wrapText="1"/>
    </xf>
    <xf numFmtId="4" fontId="1" fillId="5" borderId="20" xfId="0" applyNumberFormat="1" applyFont="1" applyFill="1" applyBorder="1" applyAlignment="1">
      <alignment horizontal="center" vertical="center"/>
    </xf>
    <xf numFmtId="2" fontId="1" fillId="0" borderId="14" xfId="0" applyNumberFormat="1" applyFont="1" applyBorder="1" applyAlignment="1">
      <alignment horizontal="center" vertical="center" wrapText="1"/>
    </xf>
    <xf numFmtId="4" fontId="1" fillId="0" borderId="15" xfId="0" applyNumberFormat="1" applyFont="1" applyBorder="1" applyAlignment="1">
      <alignment wrapText="1"/>
    </xf>
    <xf numFmtId="10" fontId="1" fillId="5" borderId="20" xfId="0" applyNumberFormat="1" applyFont="1" applyFill="1" applyBorder="1" applyAlignment="1">
      <alignment horizontal="center" vertical="center"/>
    </xf>
    <xf numFmtId="10" fontId="1" fillId="0" borderId="14" xfId="0" applyNumberFormat="1" applyFont="1" applyBorder="1" applyAlignment="1">
      <alignment horizontal="center" vertical="center"/>
    </xf>
    <xf numFmtId="168" fontId="5" fillId="5" borderId="15" xfId="0" applyNumberFormat="1" applyFont="1" applyFill="1" applyBorder="1" applyAlignment="1">
      <alignment horizontal="center" vertical="center" wrapText="1"/>
    </xf>
    <xf numFmtId="0" fontId="1" fillId="5" borderId="15" xfId="0" applyFont="1" applyFill="1" applyBorder="1" applyAlignment="1">
      <alignment vertical="center" wrapText="1"/>
    </xf>
    <xf numFmtId="9" fontId="5" fillId="5" borderId="15" xfId="0" applyNumberFormat="1" applyFont="1" applyFill="1" applyBorder="1" applyAlignment="1">
      <alignment horizontal="center" vertical="center" wrapText="1"/>
    </xf>
    <xf numFmtId="9" fontId="1" fillId="5" borderId="15" xfId="0" applyNumberFormat="1" applyFont="1" applyFill="1" applyBorder="1" applyAlignment="1">
      <alignment horizontal="center" vertical="center" wrapText="1"/>
    </xf>
    <xf numFmtId="10" fontId="1" fillId="5" borderId="15" xfId="0" applyNumberFormat="1" applyFont="1" applyFill="1" applyBorder="1" applyAlignment="1">
      <alignment horizontal="center" vertical="center" wrapText="1"/>
    </xf>
    <xf numFmtId="0" fontId="3" fillId="0" borderId="15" xfId="0" applyFont="1" applyBorder="1" applyAlignment="1">
      <alignment vertical="center" wrapText="1"/>
    </xf>
    <xf numFmtId="171" fontId="1" fillId="0" borderId="15" xfId="0" applyNumberFormat="1" applyFont="1" applyBorder="1" applyAlignment="1">
      <alignment horizontal="center" vertical="center" wrapText="1"/>
    </xf>
    <xf numFmtId="165" fontId="1" fillId="5" borderId="15" xfId="0" applyNumberFormat="1" applyFont="1" applyFill="1" applyBorder="1" applyAlignment="1">
      <alignment vertical="center" wrapText="1"/>
    </xf>
    <xf numFmtId="10" fontId="4" fillId="0" borderId="0" xfId="0" applyNumberFormat="1" applyFont="1" applyAlignment="1">
      <alignment horizontal="center" vertical="center" wrapText="1"/>
    </xf>
    <xf numFmtId="10" fontId="1" fillId="0" borderId="15" xfId="0" applyNumberFormat="1" applyFont="1" applyBorder="1" applyAlignment="1">
      <alignment vertical="center" wrapText="1"/>
    </xf>
    <xf numFmtId="9" fontId="1" fillId="0" borderId="15" xfId="0" applyNumberFormat="1" applyFont="1" applyBorder="1" applyAlignment="1">
      <alignment vertical="center" wrapText="1"/>
    </xf>
    <xf numFmtId="10" fontId="1" fillId="2" borderId="15" xfId="0" applyNumberFormat="1" applyFont="1" applyFill="1" applyBorder="1" applyAlignment="1">
      <alignment horizontal="center" vertical="center"/>
    </xf>
    <xf numFmtId="6" fontId="1" fillId="0" borderId="15" xfId="0" applyNumberFormat="1" applyFont="1" applyBorder="1" applyAlignment="1">
      <alignment horizontal="center" vertical="center" wrapText="1"/>
    </xf>
    <xf numFmtId="165" fontId="1" fillId="0" borderId="15" xfId="0" applyNumberFormat="1" applyFont="1" applyBorder="1" applyAlignment="1">
      <alignment vertical="center" wrapText="1"/>
    </xf>
    <xf numFmtId="6" fontId="1" fillId="0" borderId="16" xfId="0" applyNumberFormat="1" applyFont="1" applyBorder="1" applyAlignment="1">
      <alignment horizontal="center" vertical="center" wrapText="1"/>
    </xf>
    <xf numFmtId="10" fontId="1" fillId="2" borderId="28" xfId="0" applyNumberFormat="1" applyFont="1" applyFill="1" applyBorder="1" applyAlignment="1">
      <alignment horizontal="center" vertical="center" wrapText="1"/>
    </xf>
    <xf numFmtId="9" fontId="1" fillId="0" borderId="15" xfId="0" applyNumberFormat="1" applyFont="1" applyBorder="1" applyAlignment="1">
      <alignment horizontal="center" vertical="center"/>
    </xf>
    <xf numFmtId="3" fontId="1" fillId="0" borderId="15" xfId="0" applyNumberFormat="1" applyFont="1" applyBorder="1" applyAlignment="1">
      <alignment horizontal="center" vertical="center"/>
    </xf>
    <xf numFmtId="4" fontId="1" fillId="0" borderId="15" xfId="0" applyNumberFormat="1" applyFont="1" applyBorder="1" applyAlignment="1">
      <alignment vertical="center" wrapText="1"/>
    </xf>
    <xf numFmtId="168" fontId="1" fillId="0" borderId="16" xfId="0" applyNumberFormat="1" applyFont="1" applyBorder="1" applyAlignment="1">
      <alignment horizontal="center" vertical="center" wrapText="1"/>
    </xf>
    <xf numFmtId="171" fontId="1" fillId="0" borderId="16" xfId="0" applyNumberFormat="1" applyFont="1" applyBorder="1" applyAlignment="1">
      <alignment horizontal="center" vertical="center" wrapText="1"/>
    </xf>
    <xf numFmtId="171" fontId="1" fillId="0" borderId="15" xfId="0" applyNumberFormat="1" applyFont="1" applyBorder="1" applyAlignment="1">
      <alignment vertical="center" wrapText="1"/>
    </xf>
    <xf numFmtId="171" fontId="1" fillId="5" borderId="15" xfId="0" applyNumberFormat="1" applyFont="1" applyFill="1" applyBorder="1" applyAlignment="1">
      <alignment horizontal="center" vertical="center" wrapText="1"/>
    </xf>
    <xf numFmtId="10" fontId="1" fillId="5" borderId="28" xfId="0" applyNumberFormat="1" applyFont="1" applyFill="1" applyBorder="1" applyAlignment="1">
      <alignment horizontal="center" vertical="center" wrapText="1"/>
    </xf>
    <xf numFmtId="3" fontId="1" fillId="5" borderId="28" xfId="0" applyNumberFormat="1" applyFont="1" applyFill="1" applyBorder="1" applyAlignment="1">
      <alignment horizontal="center" vertical="center" wrapText="1"/>
    </xf>
    <xf numFmtId="9" fontId="1" fillId="5" borderId="15" xfId="0" applyNumberFormat="1" applyFont="1" applyFill="1" applyBorder="1" applyAlignment="1">
      <alignment vertical="center" wrapText="1"/>
    </xf>
    <xf numFmtId="2" fontId="1" fillId="5" borderId="28" xfId="0" applyNumberFormat="1" applyFont="1" applyFill="1" applyBorder="1" applyAlignment="1">
      <alignment horizontal="center" vertical="center" wrapText="1"/>
    </xf>
    <xf numFmtId="0" fontId="1" fillId="0" borderId="15" xfId="0" applyFont="1" applyBorder="1" applyAlignment="1">
      <alignment horizontal="center" vertical="center"/>
    </xf>
    <xf numFmtId="9" fontId="6" fillId="2" borderId="15" xfId="0" applyNumberFormat="1" applyFont="1" applyFill="1" applyBorder="1" applyAlignment="1">
      <alignment horizontal="center" vertical="center"/>
    </xf>
    <xf numFmtId="9" fontId="1" fillId="5" borderId="29" xfId="0" applyNumberFormat="1" applyFont="1" applyFill="1" applyBorder="1" applyAlignment="1">
      <alignment horizontal="center" vertical="center" wrapText="1"/>
    </xf>
    <xf numFmtId="9" fontId="6" fillId="0" borderId="15" xfId="0" applyNumberFormat="1" applyFont="1" applyBorder="1" applyAlignment="1">
      <alignment horizontal="center" vertical="center"/>
    </xf>
    <xf numFmtId="0" fontId="6" fillId="0" borderId="15" xfId="0" applyFont="1" applyBorder="1" applyAlignment="1">
      <alignment horizontal="center" vertical="center"/>
    </xf>
    <xf numFmtId="3" fontId="1" fillId="0" borderId="18" xfId="0" applyNumberFormat="1" applyFont="1" applyBorder="1" applyAlignment="1">
      <alignment horizontal="center" vertical="center" wrapText="1"/>
    </xf>
    <xf numFmtId="3" fontId="1" fillId="0" borderId="15" xfId="0" applyNumberFormat="1" applyFont="1" applyBorder="1" applyAlignment="1">
      <alignment vertical="center" wrapText="1"/>
    </xf>
    <xf numFmtId="3" fontId="1" fillId="2" borderId="15" xfId="0" applyNumberFormat="1" applyFont="1" applyFill="1" applyBorder="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2" fontId="4" fillId="0" borderId="15" xfId="0" applyNumberFormat="1" applyFont="1" applyBorder="1" applyAlignment="1">
      <alignment horizontal="center" vertical="center"/>
    </xf>
    <xf numFmtId="2" fontId="4" fillId="2" borderId="30" xfId="0" applyNumberFormat="1" applyFont="1" applyFill="1" applyBorder="1" applyAlignment="1">
      <alignment horizontal="center" vertical="center"/>
    </xf>
    <xf numFmtId="2" fontId="4" fillId="0" borderId="30" xfId="0" applyNumberFormat="1" applyFont="1" applyBorder="1" applyAlignment="1">
      <alignment horizontal="center" vertical="center"/>
    </xf>
    <xf numFmtId="172" fontId="1" fillId="0" borderId="15" xfId="0" applyNumberFormat="1" applyFont="1" applyBorder="1" applyAlignment="1">
      <alignment horizontal="center" vertical="center"/>
    </xf>
    <xf numFmtId="2" fontId="1" fillId="2" borderId="31" xfId="0" applyNumberFormat="1" applyFont="1" applyFill="1" applyBorder="1" applyAlignment="1">
      <alignment horizontal="center" vertical="center"/>
    </xf>
    <xf numFmtId="4" fontId="1" fillId="2" borderId="31" xfId="0" applyNumberFormat="1" applyFont="1" applyFill="1" applyBorder="1" applyAlignment="1">
      <alignment horizontal="center" vertical="center"/>
    </xf>
    <xf numFmtId="9" fontId="4" fillId="0" borderId="15" xfId="0" applyNumberFormat="1" applyFont="1" applyBorder="1" applyAlignment="1">
      <alignment horizontal="center" vertical="center"/>
    </xf>
    <xf numFmtId="10" fontId="4" fillId="0" borderId="16" xfId="0" applyNumberFormat="1" applyFont="1" applyBorder="1" applyAlignment="1">
      <alignment horizontal="center" vertical="center"/>
    </xf>
    <xf numFmtId="10" fontId="4" fillId="0" borderId="15" xfId="0" applyNumberFormat="1" applyFont="1" applyBorder="1" applyAlignment="1">
      <alignment horizontal="center" vertical="center"/>
    </xf>
    <xf numFmtId="0" fontId="4" fillId="0" borderId="15" xfId="0" applyFont="1" applyBorder="1" applyAlignment="1">
      <alignment horizontal="left" vertical="center" wrapText="1"/>
    </xf>
    <xf numFmtId="10" fontId="4" fillId="0" borderId="18" xfId="0" applyNumberFormat="1" applyFont="1" applyBorder="1" applyAlignment="1">
      <alignment horizontal="center" vertical="center"/>
    </xf>
    <xf numFmtId="10" fontId="4" fillId="5" borderId="15" xfId="0" applyNumberFormat="1" applyFont="1" applyFill="1" applyBorder="1" applyAlignment="1">
      <alignment horizontal="center" vertical="center"/>
    </xf>
    <xf numFmtId="10" fontId="4" fillId="0" borderId="19" xfId="0" applyNumberFormat="1" applyFont="1" applyBorder="1" applyAlignment="1">
      <alignment horizontal="center" vertical="center"/>
    </xf>
    <xf numFmtId="9" fontId="4" fillId="0" borderId="16" xfId="0" applyNumberFormat="1" applyFont="1" applyBorder="1" applyAlignment="1">
      <alignment horizontal="center" vertical="center"/>
    </xf>
    <xf numFmtId="10" fontId="4" fillId="2" borderId="19" xfId="0" applyNumberFormat="1" applyFont="1" applyFill="1" applyBorder="1" applyAlignment="1">
      <alignment horizontal="center" vertical="center"/>
    </xf>
    <xf numFmtId="0" fontId="4" fillId="2" borderId="15" xfId="0" applyFont="1" applyFill="1" applyBorder="1" applyAlignment="1">
      <alignment horizontal="center" vertical="center"/>
    </xf>
    <xf numFmtId="9" fontId="4" fillId="2" borderId="28" xfId="0" applyNumberFormat="1" applyFont="1" applyFill="1" applyBorder="1" applyAlignment="1">
      <alignment horizontal="center" vertical="center"/>
    </xf>
    <xf numFmtId="10" fontId="1" fillId="2" borderId="20" xfId="0" applyNumberFormat="1" applyFont="1" applyFill="1" applyBorder="1" applyAlignment="1">
      <alignment horizontal="center" vertical="center"/>
    </xf>
    <xf numFmtId="0" fontId="4" fillId="5" borderId="15" xfId="0" applyFont="1" applyFill="1" applyBorder="1" applyAlignment="1">
      <alignment horizontal="center" vertical="center"/>
    </xf>
    <xf numFmtId="9" fontId="4" fillId="5" borderId="28" xfId="0" applyNumberFormat="1" applyFont="1" applyFill="1" applyBorder="1" applyAlignment="1">
      <alignment horizontal="center" vertical="center"/>
    </xf>
    <xf numFmtId="0" fontId="1" fillId="5" borderId="15" xfId="0" applyFont="1" applyFill="1" applyBorder="1" applyAlignment="1">
      <alignment horizontal="center" vertical="center"/>
    </xf>
    <xf numFmtId="9" fontId="4" fillId="0" borderId="18" xfId="0" applyNumberFormat="1" applyFont="1" applyBorder="1" applyAlignment="1">
      <alignment horizontal="center" vertical="center"/>
    </xf>
    <xf numFmtId="171" fontId="4" fillId="5" borderId="15" xfId="0" applyNumberFormat="1" applyFont="1" applyFill="1" applyBorder="1" applyAlignment="1">
      <alignment horizontal="center" vertical="center"/>
    </xf>
    <xf numFmtId="173" fontId="4" fillId="5" borderId="28" xfId="0" applyNumberFormat="1" applyFont="1" applyFill="1" applyBorder="1" applyAlignment="1">
      <alignment horizontal="center" vertical="center"/>
    </xf>
    <xf numFmtId="173" fontId="1" fillId="0" borderId="15" xfId="0" applyNumberFormat="1" applyFont="1" applyBorder="1" applyAlignment="1">
      <alignment horizontal="center" vertical="center"/>
    </xf>
    <xf numFmtId="173" fontId="4" fillId="0" borderId="18" xfId="0" applyNumberFormat="1" applyFont="1" applyBorder="1" applyAlignment="1">
      <alignment horizontal="center" vertical="center"/>
    </xf>
    <xf numFmtId="10" fontId="4" fillId="0" borderId="15" xfId="0" applyNumberFormat="1"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68" fontId="1" fillId="5" borderId="15" xfId="0" applyNumberFormat="1" applyFont="1" applyFill="1" applyBorder="1" applyAlignment="1">
      <alignment horizontal="center" vertical="center" wrapText="1"/>
    </xf>
    <xf numFmtId="10" fontId="4" fillId="2" borderId="15" xfId="0" applyNumberFormat="1" applyFont="1" applyFill="1" applyBorder="1" applyAlignment="1">
      <alignment horizontal="center" vertical="center"/>
    </xf>
    <xf numFmtId="2" fontId="1" fillId="0" borderId="0" xfId="0" applyNumberFormat="1" applyFont="1" applyAlignment="1">
      <alignment horizontal="center" vertical="center" wrapText="1"/>
    </xf>
    <xf numFmtId="0" fontId="0" fillId="0" borderId="0" xfId="0" applyAlignment="1">
      <alignment horizontal="center" vertical="center"/>
    </xf>
    <xf numFmtId="0" fontId="1" fillId="0" borderId="14" xfId="0" applyFont="1" applyBorder="1" applyAlignment="1">
      <alignment horizontal="left" vertical="center" wrapText="1"/>
    </xf>
    <xf numFmtId="0" fontId="2" fillId="0" borderId="24" xfId="0" applyFont="1" applyBorder="1"/>
    <xf numFmtId="0" fontId="2" fillId="0" borderId="19" xfId="0" applyFont="1" applyBorder="1"/>
    <xf numFmtId="0" fontId="1" fillId="0" borderId="14" xfId="0" applyFont="1" applyBorder="1" applyAlignment="1">
      <alignment vertical="center" wrapText="1"/>
    </xf>
    <xf numFmtId="0" fontId="3" fillId="0" borderId="14" xfId="0" applyFont="1" applyBorder="1" applyAlignment="1">
      <alignment horizontal="center" vertical="center" wrapText="1"/>
    </xf>
    <xf numFmtId="0" fontId="3" fillId="0" borderId="14" xfId="0" applyFont="1" applyBorder="1" applyAlignment="1">
      <alignment vertical="center" wrapText="1"/>
    </xf>
    <xf numFmtId="10" fontId="4" fillId="0" borderId="14" xfId="0" applyNumberFormat="1" applyFont="1" applyBorder="1" applyAlignment="1">
      <alignment horizontal="center" vertical="center"/>
    </xf>
    <xf numFmtId="0" fontId="1" fillId="5" borderId="14" xfId="0" applyFont="1" applyFill="1" applyBorder="1" applyAlignment="1">
      <alignment vertical="center" wrapText="1"/>
    </xf>
    <xf numFmtId="0" fontId="1" fillId="0" borderId="14" xfId="0" applyFont="1" applyBorder="1" applyAlignment="1">
      <alignment vertical="top" wrapText="1"/>
    </xf>
    <xf numFmtId="165" fontId="1" fillId="0" borderId="14" xfId="0" applyNumberFormat="1" applyFont="1" applyBorder="1" applyAlignment="1">
      <alignment horizontal="center" vertical="center" wrapText="1"/>
    </xf>
    <xf numFmtId="0" fontId="1" fillId="0" borderId="1" xfId="0" applyFont="1" applyBorder="1" applyAlignment="1">
      <alignment horizontal="center" wrapText="1"/>
    </xf>
    <xf numFmtId="0" fontId="2" fillId="0" borderId="2" xfId="0" applyFont="1" applyBorder="1"/>
    <xf numFmtId="0" fontId="2" fillId="0" borderId="7" xfId="0" applyFont="1" applyBorder="1"/>
    <xf numFmtId="0" fontId="0" fillId="0" borderId="0" xfId="0"/>
    <xf numFmtId="0" fontId="2" fillId="0" borderId="10" xfId="0" applyFont="1" applyBorder="1"/>
    <xf numFmtId="0" fontId="2" fillId="0" borderId="11" xfId="0" applyFont="1" applyBorder="1"/>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3" fillId="4" borderId="16"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21" xfId="0" applyFont="1" applyBorder="1" applyAlignment="1">
      <alignment horizontal="center" vertical="center" wrapText="1"/>
    </xf>
    <xf numFmtId="0" fontId="2" fillId="0" borderId="25" xfId="0" applyFont="1" applyBorder="1"/>
    <xf numFmtId="0" fontId="4" fillId="0" borderId="14" xfId="0" applyFont="1" applyBorder="1" applyAlignment="1">
      <alignment horizontal="center" vertical="center" wrapText="1"/>
    </xf>
    <xf numFmtId="0" fontId="1" fillId="5" borderId="14" xfId="0" applyFont="1" applyFill="1" applyBorder="1" applyAlignment="1">
      <alignment horizontal="center" vertical="center" wrapText="1"/>
    </xf>
    <xf numFmtId="0" fontId="4" fillId="0" borderId="14" xfId="0" applyFont="1" applyBorder="1" applyAlignment="1">
      <alignment vertical="center" wrapText="1"/>
    </xf>
    <xf numFmtId="0" fontId="4" fillId="0" borderId="14" xfId="0" applyFont="1" applyBorder="1" applyAlignment="1">
      <alignment horizontal="left" vertical="center" wrapText="1"/>
    </xf>
    <xf numFmtId="0" fontId="3" fillId="5" borderId="14" xfId="0" applyFont="1" applyFill="1" applyBorder="1" applyAlignment="1">
      <alignment horizontal="center" vertical="center" wrapText="1"/>
    </xf>
    <xf numFmtId="0" fontId="4" fillId="0" borderId="14" xfId="0" applyFont="1" applyBorder="1" applyAlignment="1">
      <alignment horizontal="center" vertical="center" textRotation="90" wrapText="1"/>
    </xf>
    <xf numFmtId="0" fontId="3" fillId="5" borderId="14" xfId="0" applyFont="1" applyFill="1" applyBorder="1" applyAlignment="1">
      <alignment vertical="center" wrapText="1"/>
    </xf>
    <xf numFmtId="0" fontId="3" fillId="0" borderId="14" xfId="0" applyFont="1" applyBorder="1" applyAlignment="1">
      <alignment horizontal="center" vertical="center" textRotation="90" wrapText="1"/>
    </xf>
    <xf numFmtId="4" fontId="1" fillId="0" borderId="14" xfId="0" applyNumberFormat="1" applyFont="1" applyBorder="1" applyAlignment="1">
      <alignment horizontal="center" vertical="center" wrapText="1"/>
    </xf>
    <xf numFmtId="3" fontId="1" fillId="0" borderId="22" xfId="0" applyNumberFormat="1" applyFont="1" applyBorder="1" applyAlignment="1">
      <alignment horizontal="center" vertical="center"/>
    </xf>
    <xf numFmtId="0" fontId="2" fillId="0" borderId="26" xfId="0" applyFont="1" applyBorder="1" applyAlignment="1">
      <alignment horizontal="center" vertical="center"/>
    </xf>
    <xf numFmtId="1" fontId="1" fillId="0" borderId="22" xfId="0" applyNumberFormat="1" applyFont="1" applyBorder="1" applyAlignment="1">
      <alignment horizontal="center" vertical="center"/>
    </xf>
    <xf numFmtId="4" fontId="1" fillId="0" borderId="23" xfId="0" applyNumberFormat="1" applyFont="1" applyBorder="1" applyAlignment="1">
      <alignment horizontal="center" vertical="center" wrapText="1"/>
    </xf>
    <xf numFmtId="0" fontId="2" fillId="0" borderId="27" xfId="0" applyFont="1" applyBorder="1" applyAlignment="1">
      <alignment horizontal="center" vertical="center"/>
    </xf>
    <xf numFmtId="0" fontId="2" fillId="0" borderId="19"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showGridLines="0" tabSelected="1" workbookViewId="0">
      <pane xSplit="2" ySplit="9" topLeftCell="C10" activePane="bottomRight" state="frozen"/>
      <selection pane="topRight" activeCell="C1" sqref="C1"/>
      <selection pane="bottomLeft" activeCell="A10" sqref="A10"/>
      <selection pane="bottomRight" sqref="A1:XFD1048576"/>
    </sheetView>
  </sheetViews>
  <sheetFormatPr baseColWidth="10" defaultColWidth="12.5703125" defaultRowHeight="15" customHeight="1" x14ac:dyDescent="0.2"/>
  <cols>
    <col min="1" max="1" width="12.5703125" customWidth="1"/>
    <col min="2" max="2" width="15.42578125" customWidth="1"/>
    <col min="3" max="3" width="35.85546875" customWidth="1"/>
    <col min="4" max="4" width="45.7109375" customWidth="1"/>
    <col min="5" max="5" width="21.5703125" customWidth="1"/>
    <col min="6" max="6" width="17.42578125" customWidth="1"/>
    <col min="7" max="7" width="62.85546875" customWidth="1"/>
    <col min="8" max="8" width="8.7109375" customWidth="1"/>
    <col min="9" max="9" width="11.85546875" customWidth="1"/>
    <col min="10" max="10" width="16" customWidth="1"/>
    <col min="11" max="11" width="8.85546875" customWidth="1"/>
    <col min="12" max="13" width="8.42578125" style="128" customWidth="1"/>
    <col min="14" max="14" width="8.140625" style="128" customWidth="1"/>
    <col min="15" max="16" width="9.42578125" style="128" customWidth="1"/>
    <col min="17" max="24" width="7.28515625" customWidth="1"/>
    <col min="25" max="26" width="11.5703125" customWidth="1"/>
  </cols>
  <sheetData>
    <row r="1" spans="1:26" ht="15.75" hidden="1" customHeight="1" x14ac:dyDescent="0.2">
      <c r="A1" s="139"/>
      <c r="B1" s="140"/>
      <c r="C1" s="1"/>
      <c r="D1" s="1"/>
      <c r="E1" s="2"/>
      <c r="F1" s="145" t="s">
        <v>0</v>
      </c>
      <c r="G1" s="146"/>
      <c r="H1" s="146"/>
      <c r="I1" s="146"/>
      <c r="J1" s="146"/>
      <c r="K1" s="146"/>
      <c r="L1" s="146"/>
      <c r="M1" s="146"/>
      <c r="N1" s="146"/>
      <c r="O1" s="146"/>
      <c r="P1" s="146"/>
      <c r="Q1" s="146"/>
      <c r="R1" s="146"/>
      <c r="S1" s="146"/>
      <c r="T1" s="146"/>
      <c r="U1" s="146"/>
      <c r="V1" s="147"/>
      <c r="W1" s="3"/>
      <c r="X1" s="3"/>
      <c r="Y1" s="4"/>
      <c r="Z1" s="4"/>
    </row>
    <row r="2" spans="1:26" ht="26.25" hidden="1" customHeight="1" x14ac:dyDescent="0.2">
      <c r="A2" s="141"/>
      <c r="B2" s="142"/>
      <c r="C2" s="5"/>
      <c r="D2" s="5"/>
      <c r="E2" s="6"/>
      <c r="F2" s="145" t="s">
        <v>1</v>
      </c>
      <c r="G2" s="146"/>
      <c r="H2" s="146"/>
      <c r="I2" s="146"/>
      <c r="J2" s="146"/>
      <c r="K2" s="146"/>
      <c r="L2" s="146"/>
      <c r="M2" s="146"/>
      <c r="N2" s="146"/>
      <c r="O2" s="146"/>
      <c r="P2" s="146"/>
      <c r="Q2" s="146"/>
      <c r="R2" s="146"/>
      <c r="S2" s="146"/>
      <c r="T2" s="146"/>
      <c r="U2" s="146"/>
      <c r="V2" s="147"/>
      <c r="W2" s="3"/>
      <c r="X2" s="3"/>
      <c r="Y2" s="4"/>
      <c r="Z2" s="4"/>
    </row>
    <row r="3" spans="1:26" ht="15.75" hidden="1" customHeight="1" x14ac:dyDescent="0.2">
      <c r="A3" s="143"/>
      <c r="B3" s="144"/>
      <c r="C3" s="7"/>
      <c r="D3" s="7"/>
      <c r="E3" s="8"/>
      <c r="F3" s="145" t="s">
        <v>2</v>
      </c>
      <c r="G3" s="146"/>
      <c r="H3" s="146"/>
      <c r="I3" s="146"/>
      <c r="J3" s="146"/>
      <c r="K3" s="146"/>
      <c r="L3" s="146"/>
      <c r="M3" s="146"/>
      <c r="N3" s="146"/>
      <c r="O3" s="146"/>
      <c r="P3" s="146"/>
      <c r="Q3" s="146"/>
      <c r="R3" s="146"/>
      <c r="S3" s="146"/>
      <c r="T3" s="146"/>
      <c r="U3" s="146"/>
      <c r="V3" s="147"/>
      <c r="W3" s="3"/>
      <c r="X3" s="3"/>
      <c r="Y3" s="4"/>
      <c r="Z3" s="4"/>
    </row>
    <row r="4" spans="1:26" ht="15.75" hidden="1" customHeight="1" x14ac:dyDescent="0.2">
      <c r="A4" s="3"/>
      <c r="B4" s="3"/>
      <c r="C4" s="3"/>
      <c r="D4" s="3"/>
      <c r="E4" s="3"/>
      <c r="F4" s="3"/>
      <c r="G4" s="4"/>
      <c r="H4" s="3"/>
      <c r="I4" s="3"/>
      <c r="J4" s="3"/>
      <c r="K4" s="3"/>
      <c r="L4" s="124"/>
      <c r="M4" s="124"/>
      <c r="N4" s="124"/>
      <c r="O4" s="124"/>
      <c r="P4" s="124"/>
      <c r="Q4" s="3"/>
      <c r="R4" s="3"/>
      <c r="S4" s="3"/>
      <c r="T4" s="3"/>
      <c r="U4" s="3"/>
      <c r="V4" s="3"/>
      <c r="W4" s="3"/>
      <c r="X4" s="3"/>
      <c r="Y4" s="4"/>
      <c r="Z4" s="4"/>
    </row>
    <row r="5" spans="1:26" ht="15.75" hidden="1" customHeight="1" x14ac:dyDescent="0.2">
      <c r="A5" s="5" t="s">
        <v>3</v>
      </c>
      <c r="B5" s="3"/>
      <c r="C5" s="3"/>
      <c r="D5" s="5"/>
      <c r="E5" s="5"/>
      <c r="F5" s="3"/>
      <c r="G5" s="4"/>
      <c r="H5" s="3"/>
      <c r="I5" s="3"/>
      <c r="J5" s="3"/>
      <c r="K5" s="3"/>
      <c r="L5" s="124"/>
      <c r="M5" s="124"/>
      <c r="N5" s="124"/>
      <c r="O5" s="124"/>
      <c r="P5" s="124"/>
      <c r="Q5" s="3"/>
      <c r="R5" s="3"/>
      <c r="S5" s="3"/>
      <c r="T5" s="3"/>
      <c r="U5" s="3"/>
      <c r="V5" s="3"/>
      <c r="W5" s="3"/>
      <c r="X5" s="3"/>
      <c r="Y5" s="4"/>
      <c r="Z5" s="4"/>
    </row>
    <row r="6" spans="1:26" ht="15.75" hidden="1" customHeight="1" x14ac:dyDescent="0.2">
      <c r="A6" s="5" t="s">
        <v>4</v>
      </c>
      <c r="B6" s="5" t="s">
        <v>5</v>
      </c>
      <c r="C6" s="3"/>
      <c r="D6" s="3"/>
      <c r="E6" s="5"/>
      <c r="F6" s="3"/>
      <c r="G6" s="4"/>
      <c r="H6" s="3"/>
      <c r="I6" s="3"/>
      <c r="J6" s="3"/>
      <c r="K6" s="3"/>
      <c r="L6" s="124"/>
      <c r="M6" s="124"/>
      <c r="N6" s="124"/>
      <c r="O6" s="124"/>
      <c r="P6" s="124"/>
      <c r="Q6" s="3"/>
      <c r="R6" s="3"/>
      <c r="S6" s="3"/>
      <c r="T6" s="3"/>
      <c r="U6" s="3"/>
      <c r="V6" s="3"/>
      <c r="W6" s="3"/>
      <c r="X6" s="3"/>
      <c r="Y6" s="4"/>
      <c r="Z6" s="4"/>
    </row>
    <row r="7" spans="1:26" ht="15.75" hidden="1" customHeight="1" x14ac:dyDescent="0.2">
      <c r="A7" s="3"/>
      <c r="B7" s="3"/>
      <c r="C7" s="3"/>
      <c r="D7" s="3"/>
      <c r="E7" s="3"/>
      <c r="F7" s="3"/>
      <c r="G7" s="4"/>
      <c r="H7" s="3"/>
      <c r="I7" s="3"/>
      <c r="J7" s="3"/>
      <c r="K7" s="3"/>
      <c r="L7" s="124"/>
      <c r="M7" s="124"/>
      <c r="N7" s="124"/>
      <c r="O7" s="124"/>
      <c r="P7" s="124"/>
      <c r="Q7" s="3"/>
      <c r="R7" s="3"/>
      <c r="S7" s="3"/>
      <c r="T7" s="3"/>
      <c r="U7" s="3"/>
      <c r="V7" s="3"/>
      <c r="W7" s="3"/>
      <c r="X7" s="3"/>
      <c r="Y7" s="4"/>
      <c r="Z7" s="4"/>
    </row>
    <row r="8" spans="1:26" ht="29.25" customHeight="1" x14ac:dyDescent="0.2">
      <c r="A8" s="148" t="s">
        <v>6</v>
      </c>
      <c r="B8" s="9" t="s">
        <v>7</v>
      </c>
      <c r="C8" s="148" t="s">
        <v>8</v>
      </c>
      <c r="D8" s="148" t="s">
        <v>9</v>
      </c>
      <c r="E8" s="148" t="s">
        <v>10</v>
      </c>
      <c r="F8" s="148" t="s">
        <v>11</v>
      </c>
      <c r="G8" s="148" t="s">
        <v>12</v>
      </c>
      <c r="H8" s="148" t="s">
        <v>13</v>
      </c>
      <c r="I8" s="149" t="s">
        <v>14</v>
      </c>
      <c r="J8" s="150"/>
      <c r="K8" s="151"/>
      <c r="L8" s="152" t="s">
        <v>15</v>
      </c>
      <c r="M8" s="150"/>
      <c r="N8" s="150"/>
      <c r="O8" s="150"/>
      <c r="P8" s="150"/>
      <c r="Q8" s="150"/>
      <c r="R8" s="150"/>
      <c r="S8" s="150"/>
      <c r="T8" s="150"/>
      <c r="U8" s="150"/>
      <c r="V8" s="150"/>
      <c r="W8" s="150"/>
      <c r="X8" s="151"/>
      <c r="Y8" s="153" t="s">
        <v>16</v>
      </c>
      <c r="Z8" s="153" t="s">
        <v>17</v>
      </c>
    </row>
    <row r="9" spans="1:26" ht="29.25" customHeight="1" x14ac:dyDescent="0.2">
      <c r="A9" s="131"/>
      <c r="B9" s="9" t="s">
        <v>18</v>
      </c>
      <c r="C9" s="131"/>
      <c r="D9" s="131"/>
      <c r="E9" s="131"/>
      <c r="F9" s="131"/>
      <c r="G9" s="131"/>
      <c r="H9" s="131"/>
      <c r="I9" s="9" t="s">
        <v>19</v>
      </c>
      <c r="J9" s="9" t="s">
        <v>20</v>
      </c>
      <c r="K9" s="10" t="s">
        <v>21</v>
      </c>
      <c r="L9" s="11">
        <v>45406</v>
      </c>
      <c r="M9" s="11">
        <v>45436</v>
      </c>
      <c r="N9" s="12">
        <v>45467</v>
      </c>
      <c r="O9" s="12">
        <v>45497</v>
      </c>
      <c r="P9" s="12">
        <v>45528</v>
      </c>
      <c r="Q9" s="12">
        <v>45559</v>
      </c>
      <c r="R9" s="12">
        <v>45589</v>
      </c>
      <c r="S9" s="12">
        <v>45620</v>
      </c>
      <c r="T9" s="12">
        <v>45650</v>
      </c>
      <c r="U9" s="12">
        <v>45316</v>
      </c>
      <c r="V9" s="12">
        <v>45347</v>
      </c>
      <c r="W9" s="12">
        <v>45376</v>
      </c>
      <c r="X9" s="12">
        <v>45407</v>
      </c>
      <c r="Y9" s="131"/>
      <c r="Z9" s="131"/>
    </row>
    <row r="10" spans="1:26" ht="28.5" customHeight="1" x14ac:dyDescent="0.2">
      <c r="A10" s="132" t="s">
        <v>22</v>
      </c>
      <c r="B10" s="132" t="s">
        <v>23</v>
      </c>
      <c r="C10" s="136" t="s">
        <v>24</v>
      </c>
      <c r="D10" s="13" t="s">
        <v>25</v>
      </c>
      <c r="E10" s="14" t="s">
        <v>26</v>
      </c>
      <c r="F10" s="14" t="s">
        <v>27</v>
      </c>
      <c r="G10" s="161" t="s">
        <v>28</v>
      </c>
      <c r="H10" s="154" t="s">
        <v>29</v>
      </c>
      <c r="I10" s="154">
        <v>537</v>
      </c>
      <c r="J10" s="154">
        <v>3</v>
      </c>
      <c r="K10" s="155">
        <f>I10/J10</f>
        <v>179</v>
      </c>
      <c r="L10" s="166">
        <f>3800/13</f>
        <v>292.30769230769232</v>
      </c>
      <c r="M10" s="168">
        <f>593/7</f>
        <v>84.714285714285708</v>
      </c>
      <c r="N10" s="169">
        <f>289/6</f>
        <v>48.166666666666664</v>
      </c>
      <c r="O10" s="165">
        <f>67.86/6</f>
        <v>11.31</v>
      </c>
      <c r="P10" s="165">
        <f>132.06/11</f>
        <v>12.005454545454546</v>
      </c>
      <c r="Q10" s="165"/>
      <c r="R10" s="165"/>
      <c r="S10" s="165"/>
      <c r="T10" s="165"/>
      <c r="U10" s="165"/>
      <c r="V10" s="165"/>
      <c r="W10" s="165"/>
      <c r="X10" s="165"/>
      <c r="Y10" s="138">
        <v>45413</v>
      </c>
      <c r="Z10" s="138">
        <v>45746</v>
      </c>
    </row>
    <row r="11" spans="1:26" ht="30.75" customHeight="1" x14ac:dyDescent="0.2">
      <c r="A11" s="130"/>
      <c r="B11" s="130"/>
      <c r="C11" s="130"/>
      <c r="D11" s="13" t="s">
        <v>30</v>
      </c>
      <c r="E11" s="14" t="s">
        <v>31</v>
      </c>
      <c r="F11" s="14" t="s">
        <v>32</v>
      </c>
      <c r="G11" s="131"/>
      <c r="H11" s="131"/>
      <c r="I11" s="131"/>
      <c r="J11" s="131"/>
      <c r="K11" s="156"/>
      <c r="L11" s="167"/>
      <c r="M11" s="167"/>
      <c r="N11" s="170"/>
      <c r="O11" s="171"/>
      <c r="P11" s="171"/>
      <c r="Q11" s="131"/>
      <c r="R11" s="131"/>
      <c r="S11" s="131"/>
      <c r="T11" s="131"/>
      <c r="U11" s="131"/>
      <c r="V11" s="131"/>
      <c r="W11" s="131"/>
      <c r="X11" s="131"/>
      <c r="Y11" s="131"/>
      <c r="Z11" s="131"/>
    </row>
    <row r="12" spans="1:26" ht="43.5" customHeight="1" x14ac:dyDescent="0.2">
      <c r="A12" s="130"/>
      <c r="B12" s="130"/>
      <c r="C12" s="130"/>
      <c r="D12" s="13" t="s">
        <v>33</v>
      </c>
      <c r="E12" s="14" t="s">
        <v>34</v>
      </c>
      <c r="F12" s="14" t="s">
        <v>35</v>
      </c>
      <c r="G12" s="16" t="s">
        <v>36</v>
      </c>
      <c r="H12" s="17">
        <v>4</v>
      </c>
      <c r="I12" s="18">
        <v>387</v>
      </c>
      <c r="J12" s="18">
        <v>750031</v>
      </c>
      <c r="K12" s="19">
        <f>(I12/J12)*10000</f>
        <v>5.1597867288152086</v>
      </c>
      <c r="L12" s="20">
        <f>(403/756110)*10000</f>
        <v>5.3299123143457967</v>
      </c>
      <c r="M12" s="20">
        <f>(528/755904)*10000</f>
        <v>6.9850139700279401</v>
      </c>
      <c r="N12" s="21">
        <f>(579/754502)*10000</f>
        <v>7.673935920646997</v>
      </c>
      <c r="O12" s="22">
        <f>535/754834*10000</f>
        <v>7.0876510597031928</v>
      </c>
      <c r="P12" s="22">
        <f>437*10000/754959</f>
        <v>5.788393806815999</v>
      </c>
      <c r="Q12" s="22"/>
      <c r="R12" s="22"/>
      <c r="S12" s="22"/>
      <c r="T12" s="22"/>
      <c r="U12" s="22"/>
      <c r="V12" s="22"/>
      <c r="W12" s="22"/>
      <c r="X12" s="22"/>
      <c r="Y12" s="23">
        <v>45413</v>
      </c>
      <c r="Z12" s="23">
        <v>45746</v>
      </c>
    </row>
    <row r="13" spans="1:26" ht="102" x14ac:dyDescent="0.2">
      <c r="A13" s="130"/>
      <c r="B13" s="130"/>
      <c r="C13" s="131"/>
      <c r="D13" s="24" t="s">
        <v>37</v>
      </c>
      <c r="E13" s="14" t="s">
        <v>38</v>
      </c>
      <c r="F13" s="14" t="s">
        <v>39</v>
      </c>
      <c r="G13" s="14" t="s">
        <v>40</v>
      </c>
      <c r="H13" s="25">
        <v>0.3</v>
      </c>
      <c r="I13" s="26">
        <v>644</v>
      </c>
      <c r="J13" s="26">
        <v>2513</v>
      </c>
      <c r="K13" s="27">
        <f>(I13/J13)</f>
        <v>0.25626740947075211</v>
      </c>
      <c r="L13" s="28">
        <f>(823/3184)*100</f>
        <v>25.847989949748744</v>
      </c>
      <c r="M13" s="28">
        <f>(971/3339)*100</f>
        <v>29.080563042827194</v>
      </c>
      <c r="N13" s="22">
        <f>996/3094*100</f>
        <v>32.191338073691014</v>
      </c>
      <c r="O13" s="22">
        <f>1014/3318*100</f>
        <v>30.560578661844485</v>
      </c>
      <c r="P13" s="22">
        <f>1063/3102*100</f>
        <v>34.268214055448098</v>
      </c>
      <c r="Q13" s="22"/>
      <c r="R13" s="22"/>
      <c r="S13" s="22"/>
      <c r="T13" s="22"/>
      <c r="U13" s="22"/>
      <c r="V13" s="22"/>
      <c r="W13" s="22"/>
      <c r="X13" s="22"/>
      <c r="Y13" s="23">
        <v>45413</v>
      </c>
      <c r="Z13" s="23">
        <v>45746</v>
      </c>
    </row>
    <row r="14" spans="1:26" ht="42" customHeight="1" x14ac:dyDescent="0.2">
      <c r="A14" s="130"/>
      <c r="B14" s="130"/>
      <c r="C14" s="132" t="s">
        <v>41</v>
      </c>
      <c r="D14" s="137" t="s">
        <v>42</v>
      </c>
      <c r="E14" s="14" t="s">
        <v>43</v>
      </c>
      <c r="F14" s="14" t="s">
        <v>44</v>
      </c>
      <c r="G14" s="29" t="s">
        <v>45</v>
      </c>
      <c r="H14" s="14" t="s">
        <v>46</v>
      </c>
      <c r="I14" s="26">
        <v>799862</v>
      </c>
      <c r="J14" s="26">
        <v>197711</v>
      </c>
      <c r="K14" s="19">
        <f>+I14/J14</f>
        <v>4.0456120296796838</v>
      </c>
      <c r="L14" s="30">
        <v>4.58</v>
      </c>
      <c r="M14" s="30">
        <v>4.62</v>
      </c>
      <c r="N14" s="30">
        <v>4.51</v>
      </c>
      <c r="O14" s="31">
        <f>876865/234025</f>
        <v>3.7468860164512336</v>
      </c>
      <c r="P14" s="22">
        <f>771990/226951</f>
        <v>3.4015712642817171</v>
      </c>
      <c r="Q14" s="22"/>
      <c r="R14" s="22"/>
      <c r="S14" s="22"/>
      <c r="T14" s="22"/>
      <c r="U14" s="22"/>
      <c r="V14" s="22"/>
      <c r="W14" s="22"/>
      <c r="X14" s="22"/>
      <c r="Y14" s="32">
        <v>45444</v>
      </c>
      <c r="Z14" s="23">
        <v>45746</v>
      </c>
    </row>
    <row r="15" spans="1:26" ht="63.75" customHeight="1" x14ac:dyDescent="0.2">
      <c r="A15" s="130"/>
      <c r="B15" s="130"/>
      <c r="C15" s="131"/>
      <c r="D15" s="131"/>
      <c r="E15" s="14" t="s">
        <v>47</v>
      </c>
      <c r="F15" s="14" t="s">
        <v>44</v>
      </c>
      <c r="G15" s="29" t="s">
        <v>48</v>
      </c>
      <c r="H15" s="25">
        <v>0.6</v>
      </c>
      <c r="I15" s="26" t="s">
        <v>49</v>
      </c>
      <c r="J15" s="26" t="s">
        <v>49</v>
      </c>
      <c r="K15" s="19" t="s">
        <v>49</v>
      </c>
      <c r="L15" s="30" t="s">
        <v>50</v>
      </c>
      <c r="M15" s="30" t="s">
        <v>50</v>
      </c>
      <c r="N15" s="33">
        <f>186268/198501</f>
        <v>0.93837310643271321</v>
      </c>
      <c r="O15" s="25">
        <f>166351/180453</f>
        <v>0.92185222744980688</v>
      </c>
      <c r="P15" s="25">
        <f>92125/107968</f>
        <v>0.85326207765263784</v>
      </c>
      <c r="Q15" s="22"/>
      <c r="R15" s="22"/>
      <c r="S15" s="22"/>
      <c r="T15" s="22"/>
      <c r="U15" s="22"/>
      <c r="V15" s="22"/>
      <c r="W15" s="22"/>
      <c r="X15" s="22"/>
      <c r="Y15" s="32">
        <v>45444</v>
      </c>
      <c r="Z15" s="23">
        <v>45746</v>
      </c>
    </row>
    <row r="16" spans="1:26" ht="38.25" x14ac:dyDescent="0.2">
      <c r="A16" s="130"/>
      <c r="B16" s="130"/>
      <c r="C16" s="132" t="s">
        <v>51</v>
      </c>
      <c r="D16" s="132" t="s">
        <v>52</v>
      </c>
      <c r="E16" s="14" t="s">
        <v>53</v>
      </c>
      <c r="F16" s="14" t="s">
        <v>54</v>
      </c>
      <c r="G16" s="29" t="s">
        <v>55</v>
      </c>
      <c r="H16" s="34">
        <v>2</v>
      </c>
      <c r="I16" s="14">
        <v>160</v>
      </c>
      <c r="J16" s="26">
        <v>750031</v>
      </c>
      <c r="K16" s="34">
        <f>(I16/J16)*10000</f>
        <v>2.1332451592000865</v>
      </c>
      <c r="L16" s="35" t="s">
        <v>50</v>
      </c>
      <c r="M16" s="35">
        <v>5.82</v>
      </c>
      <c r="N16" s="22">
        <f>375/754502*10000</f>
        <v>4.9701657517143758</v>
      </c>
      <c r="O16" s="22">
        <f>343/754834*10000</f>
        <v>4.5440454457536354</v>
      </c>
      <c r="P16" s="22">
        <f>398*10000/754959</f>
        <v>5.2718094625006122</v>
      </c>
      <c r="Q16" s="22"/>
      <c r="R16" s="22"/>
      <c r="S16" s="22"/>
      <c r="T16" s="22"/>
      <c r="U16" s="22"/>
      <c r="V16" s="22"/>
      <c r="W16" s="22"/>
      <c r="X16" s="22"/>
      <c r="Y16" s="32">
        <v>45444</v>
      </c>
      <c r="Z16" s="32">
        <v>45746</v>
      </c>
    </row>
    <row r="17" spans="1:26" ht="63.75" x14ac:dyDescent="0.2">
      <c r="A17" s="130"/>
      <c r="B17" s="130"/>
      <c r="C17" s="131"/>
      <c r="D17" s="131"/>
      <c r="E17" s="14" t="s">
        <v>56</v>
      </c>
      <c r="F17" s="14" t="s">
        <v>57</v>
      </c>
      <c r="G17" s="29" t="s">
        <v>58</v>
      </c>
      <c r="H17" s="14" t="s">
        <v>59</v>
      </c>
      <c r="I17" s="26">
        <v>4683</v>
      </c>
      <c r="J17" s="26">
        <v>12769</v>
      </c>
      <c r="K17" s="27">
        <f>I17/J17</f>
        <v>0.36674759182394862</v>
      </c>
      <c r="L17" s="36">
        <f>1506/19776</f>
        <v>7.6152912621359217E-2</v>
      </c>
      <c r="M17" s="36">
        <f>7963/60669</f>
        <v>0.13125319355848949</v>
      </c>
      <c r="N17" s="37">
        <f>4757/33171</f>
        <v>0.14340839890265594</v>
      </c>
      <c r="O17" s="38">
        <f>4845/38832</f>
        <v>0.12476823238566132</v>
      </c>
      <c r="P17" s="38">
        <f>6190/33912</f>
        <v>0.18253125737202169</v>
      </c>
      <c r="Q17" s="22"/>
      <c r="R17" s="22"/>
      <c r="S17" s="22"/>
      <c r="T17" s="22"/>
      <c r="U17" s="22"/>
      <c r="V17" s="22"/>
      <c r="W17" s="22"/>
      <c r="X17" s="22"/>
      <c r="Y17" s="32">
        <v>45444</v>
      </c>
      <c r="Z17" s="23">
        <v>45746</v>
      </c>
    </row>
    <row r="18" spans="1:26" ht="51.75" customHeight="1" x14ac:dyDescent="0.2">
      <c r="A18" s="130"/>
      <c r="B18" s="130"/>
      <c r="C18" s="132" t="s">
        <v>60</v>
      </c>
      <c r="D18" s="132" t="s">
        <v>61</v>
      </c>
      <c r="E18" s="14" t="s">
        <v>62</v>
      </c>
      <c r="F18" s="14" t="s">
        <v>54</v>
      </c>
      <c r="G18" s="29" t="s">
        <v>63</v>
      </c>
      <c r="H18" s="14">
        <v>25</v>
      </c>
      <c r="I18" s="26">
        <v>2513</v>
      </c>
      <c r="J18" s="26">
        <v>755012</v>
      </c>
      <c r="K18" s="19">
        <f>(I18/J18)*10000</f>
        <v>33.28423919090028</v>
      </c>
      <c r="L18" s="30">
        <f>3185/756100*10000</f>
        <v>42.124057664330117</v>
      </c>
      <c r="M18" s="39">
        <f>(3339/755904)*10000</f>
        <v>44.172275844551692</v>
      </c>
      <c r="N18" s="21">
        <f>(3094/754502)*10000</f>
        <v>41.007180895478072</v>
      </c>
      <c r="O18" s="22">
        <f>3318/754834*10000</f>
        <v>43.956684516065785</v>
      </c>
      <c r="P18" s="40">
        <f>3102*10000/754959</f>
        <v>41.088324001700755</v>
      </c>
      <c r="Q18" s="22"/>
      <c r="R18" s="22"/>
      <c r="S18" s="22"/>
      <c r="T18" s="22"/>
      <c r="U18" s="22"/>
      <c r="V18" s="22"/>
      <c r="W18" s="22"/>
      <c r="X18" s="22"/>
      <c r="Y18" s="23">
        <v>45413</v>
      </c>
      <c r="Z18" s="23">
        <v>45746</v>
      </c>
    </row>
    <row r="19" spans="1:26" ht="84.75" customHeight="1" x14ac:dyDescent="0.2">
      <c r="A19" s="130"/>
      <c r="B19" s="130"/>
      <c r="C19" s="130"/>
      <c r="D19" s="130"/>
      <c r="E19" s="14" t="s">
        <v>62</v>
      </c>
      <c r="F19" s="14" t="s">
        <v>54</v>
      </c>
      <c r="G19" s="29" t="s">
        <v>64</v>
      </c>
      <c r="H19" s="25">
        <v>0.7</v>
      </c>
      <c r="I19" s="18">
        <v>2403</v>
      </c>
      <c r="J19" s="18">
        <v>6768</v>
      </c>
      <c r="K19" s="19">
        <f t="shared" ref="K19:K20" si="0">(I19/J19)*100</f>
        <v>35.505319148936174</v>
      </c>
      <c r="L19" s="30">
        <f>(3005/7804)*100</f>
        <v>38.505894413121474</v>
      </c>
      <c r="M19" s="30">
        <f>(3091/8577)*100</f>
        <v>36.038241809490493</v>
      </c>
      <c r="N19" s="21">
        <f>3023/7663*100</f>
        <v>39.449301840010442</v>
      </c>
      <c r="O19" s="22">
        <f>4135/9028*100</f>
        <v>45.80194949047408</v>
      </c>
      <c r="P19" s="22">
        <f>4669/8620*100</f>
        <v>54.164733178654288</v>
      </c>
      <c r="Q19" s="38"/>
      <c r="R19" s="22"/>
      <c r="S19" s="22"/>
      <c r="T19" s="22"/>
      <c r="U19" s="22"/>
      <c r="V19" s="22"/>
      <c r="W19" s="22"/>
      <c r="X19" s="22"/>
      <c r="Y19" s="23">
        <v>45413</v>
      </c>
      <c r="Z19" s="23">
        <v>45746</v>
      </c>
    </row>
    <row r="20" spans="1:26" ht="71.25" customHeight="1" x14ac:dyDescent="0.2">
      <c r="A20" s="131"/>
      <c r="B20" s="131"/>
      <c r="C20" s="131"/>
      <c r="D20" s="131"/>
      <c r="E20" s="14" t="s">
        <v>62</v>
      </c>
      <c r="F20" s="14" t="s">
        <v>54</v>
      </c>
      <c r="G20" s="29" t="s">
        <v>65</v>
      </c>
      <c r="H20" s="25">
        <v>0.7</v>
      </c>
      <c r="I20" s="26">
        <v>94</v>
      </c>
      <c r="J20" s="26">
        <v>197</v>
      </c>
      <c r="K20" s="19">
        <f t="shared" si="0"/>
        <v>47.715736040609137</v>
      </c>
      <c r="L20" s="41">
        <f>(81/181)*100</f>
        <v>44.751381215469614</v>
      </c>
      <c r="M20" s="41">
        <f>(155/373)*100</f>
        <v>41.55495978552279</v>
      </c>
      <c r="N20" s="21">
        <f>111/203*100</f>
        <v>54.679802955665025</v>
      </c>
      <c r="O20" s="22">
        <f>28/73*100</f>
        <v>38.356164383561641</v>
      </c>
      <c r="P20" s="22">
        <f>364/407*100</f>
        <v>89.434889434889428</v>
      </c>
      <c r="Q20" s="22"/>
      <c r="R20" s="22"/>
      <c r="S20" s="22"/>
      <c r="T20" s="22"/>
      <c r="U20" s="22"/>
      <c r="V20" s="22"/>
      <c r="W20" s="22"/>
      <c r="X20" s="22"/>
      <c r="Y20" s="23">
        <v>45413</v>
      </c>
      <c r="Z20" s="23">
        <v>45746</v>
      </c>
    </row>
    <row r="21" spans="1:26" ht="48.75" customHeight="1" x14ac:dyDescent="0.2">
      <c r="A21" s="164" t="s">
        <v>22</v>
      </c>
      <c r="B21" s="132" t="s">
        <v>66</v>
      </c>
      <c r="C21" s="132" t="s">
        <v>67</v>
      </c>
      <c r="D21" s="13" t="s">
        <v>68</v>
      </c>
      <c r="E21" s="14" t="s">
        <v>69</v>
      </c>
      <c r="F21" s="14" t="s">
        <v>70</v>
      </c>
      <c r="G21" s="29" t="s">
        <v>71</v>
      </c>
      <c r="H21" s="25">
        <v>1</v>
      </c>
      <c r="I21" s="26" t="s">
        <v>72</v>
      </c>
      <c r="J21" s="26" t="s">
        <v>72</v>
      </c>
      <c r="K21" s="42" t="s">
        <v>72</v>
      </c>
      <c r="L21" s="43" t="s">
        <v>50</v>
      </c>
      <c r="M21" s="43" t="s">
        <v>50</v>
      </c>
      <c r="N21" s="43" t="s">
        <v>50</v>
      </c>
      <c r="O21" s="25">
        <f>0.3/0.31</f>
        <v>0.96774193548387089</v>
      </c>
      <c r="P21" s="38">
        <f>50/53</f>
        <v>0.94339622641509435</v>
      </c>
      <c r="Q21" s="22"/>
      <c r="R21" s="22"/>
      <c r="S21" s="22"/>
      <c r="T21" s="22"/>
      <c r="U21" s="22"/>
      <c r="V21" s="22"/>
      <c r="W21" s="22"/>
      <c r="X21" s="22"/>
      <c r="Y21" s="23">
        <v>45474</v>
      </c>
      <c r="Z21" s="23">
        <v>45746</v>
      </c>
    </row>
    <row r="22" spans="1:26" ht="58.5" customHeight="1" x14ac:dyDescent="0.2">
      <c r="A22" s="130"/>
      <c r="B22" s="130"/>
      <c r="C22" s="130"/>
      <c r="D22" s="132" t="s">
        <v>73</v>
      </c>
      <c r="E22" s="14" t="s">
        <v>74</v>
      </c>
      <c r="F22" s="14" t="s">
        <v>75</v>
      </c>
      <c r="G22" s="16" t="s">
        <v>76</v>
      </c>
      <c r="H22" s="14" t="s">
        <v>77</v>
      </c>
      <c r="I22" s="26">
        <v>137.679</v>
      </c>
      <c r="J22" s="26">
        <v>217.40299999999999</v>
      </c>
      <c r="K22" s="27">
        <f>I22/J22</f>
        <v>0.63328932903409796</v>
      </c>
      <c r="L22" s="44">
        <f>SUM(138186/217403)</f>
        <v>0.63562140356848806</v>
      </c>
      <c r="M22" s="45">
        <f>130842/217403</f>
        <v>0.60184082096383218</v>
      </c>
      <c r="N22" s="37">
        <f>136240/217403</f>
        <v>0.62667028513865952</v>
      </c>
      <c r="O22" s="37">
        <f>141313/217403</f>
        <v>0.65000482974015994</v>
      </c>
      <c r="P22" s="37">
        <v>0.5907</v>
      </c>
      <c r="Q22" s="46"/>
      <c r="R22" s="46"/>
      <c r="S22" s="46"/>
      <c r="T22" s="46"/>
      <c r="U22" s="46"/>
      <c r="V22" s="46"/>
      <c r="W22" s="46"/>
      <c r="X22" s="46"/>
      <c r="Y22" s="23">
        <v>45413</v>
      </c>
      <c r="Z22" s="23">
        <v>45746</v>
      </c>
    </row>
    <row r="23" spans="1:26" ht="69.75" customHeight="1" x14ac:dyDescent="0.2">
      <c r="A23" s="130"/>
      <c r="B23" s="130"/>
      <c r="C23" s="130"/>
      <c r="D23" s="130"/>
      <c r="E23" s="14" t="s">
        <v>74</v>
      </c>
      <c r="F23" s="14" t="s">
        <v>75</v>
      </c>
      <c r="G23" s="29" t="s">
        <v>78</v>
      </c>
      <c r="H23" s="14" t="s">
        <v>79</v>
      </c>
      <c r="I23" s="26" t="s">
        <v>72</v>
      </c>
      <c r="J23" s="26" t="s">
        <v>72</v>
      </c>
      <c r="K23" s="19" t="s">
        <v>72</v>
      </c>
      <c r="L23" s="44">
        <f>SUM(39275/83858)</f>
        <v>0.4683512604641179</v>
      </c>
      <c r="M23" s="45">
        <f>43996/83858</f>
        <v>0.52464881108540629</v>
      </c>
      <c r="N23" s="37">
        <f>43359/83858</f>
        <v>0.51705263659996659</v>
      </c>
      <c r="O23" s="38">
        <f>42350/83858</f>
        <v>0.50502039161439571</v>
      </c>
      <c r="P23" s="14" t="s">
        <v>80</v>
      </c>
      <c r="Q23" s="46"/>
      <c r="R23" s="46"/>
      <c r="S23" s="46"/>
      <c r="T23" s="46"/>
      <c r="U23" s="46"/>
      <c r="V23" s="46"/>
      <c r="W23" s="46"/>
      <c r="X23" s="46"/>
      <c r="Y23" s="23">
        <v>45413</v>
      </c>
      <c r="Z23" s="23">
        <v>45746</v>
      </c>
    </row>
    <row r="24" spans="1:26" ht="57.75" customHeight="1" x14ac:dyDescent="0.2">
      <c r="A24" s="130"/>
      <c r="B24" s="130"/>
      <c r="C24" s="130"/>
      <c r="D24" s="130"/>
      <c r="E24" s="14" t="s">
        <v>74</v>
      </c>
      <c r="F24" s="14" t="s">
        <v>75</v>
      </c>
      <c r="G24" s="16" t="s">
        <v>81</v>
      </c>
      <c r="H24" s="14" t="s">
        <v>82</v>
      </c>
      <c r="I24" s="26">
        <v>16</v>
      </c>
      <c r="J24" s="26">
        <v>88</v>
      </c>
      <c r="K24" s="27">
        <f t="shared" ref="K24:K26" si="1">I24/J24</f>
        <v>0.18181818181818182</v>
      </c>
      <c r="L24" s="44">
        <f>SUM(27/121)</f>
        <v>0.2231404958677686</v>
      </c>
      <c r="M24" s="45">
        <f>37 /180</f>
        <v>0.20555555555555555</v>
      </c>
      <c r="N24" s="37">
        <f>53/269</f>
        <v>0.19702602230483271</v>
      </c>
      <c r="O24" s="38">
        <f>56/307</f>
        <v>0.18241042345276873</v>
      </c>
      <c r="P24" s="38" t="s">
        <v>83</v>
      </c>
      <c r="Q24" s="45"/>
      <c r="R24" s="46"/>
      <c r="S24" s="46"/>
      <c r="T24" s="46"/>
      <c r="U24" s="46"/>
      <c r="V24" s="46"/>
      <c r="W24" s="46"/>
      <c r="X24" s="46"/>
      <c r="Y24" s="23">
        <v>45413</v>
      </c>
      <c r="Z24" s="23">
        <v>45746</v>
      </c>
    </row>
    <row r="25" spans="1:26" ht="15.75" customHeight="1" x14ac:dyDescent="0.2">
      <c r="A25" s="130"/>
      <c r="B25" s="130"/>
      <c r="C25" s="130"/>
      <c r="D25" s="130"/>
      <c r="E25" s="14" t="s">
        <v>74</v>
      </c>
      <c r="F25" s="14" t="s">
        <v>75</v>
      </c>
      <c r="G25" s="29" t="s">
        <v>84</v>
      </c>
      <c r="H25" s="14" t="s">
        <v>85</v>
      </c>
      <c r="I25" s="26">
        <v>1259</v>
      </c>
      <c r="J25" s="26">
        <v>46</v>
      </c>
      <c r="K25" s="19">
        <f t="shared" si="1"/>
        <v>27.369565217391305</v>
      </c>
      <c r="L25" s="22">
        <f>SUM(3073/76)</f>
        <v>40.434210526315788</v>
      </c>
      <c r="M25" s="22">
        <f>4623/82</f>
        <v>56.378048780487802</v>
      </c>
      <c r="N25" s="47">
        <f>6152/98</f>
        <v>62.775510204081634</v>
      </c>
      <c r="O25" s="47">
        <f>7908/113</f>
        <v>69.982300884955748</v>
      </c>
      <c r="P25" s="47" t="s">
        <v>86</v>
      </c>
      <c r="Q25" s="46"/>
      <c r="R25" s="46"/>
      <c r="S25" s="46"/>
      <c r="T25" s="46"/>
      <c r="U25" s="46"/>
      <c r="V25" s="46"/>
      <c r="W25" s="46"/>
      <c r="X25" s="46"/>
      <c r="Y25" s="23">
        <v>45413</v>
      </c>
      <c r="Z25" s="23">
        <v>45746</v>
      </c>
    </row>
    <row r="26" spans="1:26" ht="15.75" customHeight="1" x14ac:dyDescent="0.2">
      <c r="A26" s="130"/>
      <c r="B26" s="130"/>
      <c r="C26" s="130"/>
      <c r="D26" s="130"/>
      <c r="E26" s="14" t="s">
        <v>74</v>
      </c>
      <c r="F26" s="14" t="s">
        <v>75</v>
      </c>
      <c r="G26" s="29" t="s">
        <v>87</v>
      </c>
      <c r="H26" s="14" t="s">
        <v>85</v>
      </c>
      <c r="I26" s="26">
        <v>341</v>
      </c>
      <c r="J26" s="26">
        <v>17</v>
      </c>
      <c r="K26" s="19">
        <f t="shared" si="1"/>
        <v>20.058823529411764</v>
      </c>
      <c r="L26" s="15">
        <f>SUM(1012/20)</f>
        <v>50.6</v>
      </c>
      <c r="M26" s="15">
        <f>1394/26</f>
        <v>53.615384615384613</v>
      </c>
      <c r="N26" s="48">
        <f>2023/29</f>
        <v>69.758620689655174</v>
      </c>
      <c r="O26" s="51">
        <f>2235/33</f>
        <v>67.727272727272734</v>
      </c>
      <c r="P26" s="51" t="s">
        <v>88</v>
      </c>
      <c r="Q26" s="46"/>
      <c r="R26" s="46"/>
      <c r="S26" s="46"/>
      <c r="T26" s="46"/>
      <c r="U26" s="46"/>
      <c r="V26" s="46"/>
      <c r="W26" s="46"/>
      <c r="X26" s="46"/>
      <c r="Y26" s="23">
        <v>45413</v>
      </c>
      <c r="Z26" s="23">
        <v>45746</v>
      </c>
    </row>
    <row r="27" spans="1:26" ht="15.75" customHeight="1" x14ac:dyDescent="0.2">
      <c r="A27" s="130"/>
      <c r="B27" s="130"/>
      <c r="C27" s="130"/>
      <c r="D27" s="130"/>
      <c r="E27" s="14" t="s">
        <v>74</v>
      </c>
      <c r="F27" s="14" t="s">
        <v>75</v>
      </c>
      <c r="G27" s="29" t="s">
        <v>89</v>
      </c>
      <c r="H27" s="14" t="s">
        <v>90</v>
      </c>
      <c r="I27" s="26">
        <v>0</v>
      </c>
      <c r="J27" s="26">
        <v>373</v>
      </c>
      <c r="K27" s="49">
        <v>0</v>
      </c>
      <c r="L27" s="50">
        <f>(0/1433)*100000</f>
        <v>0</v>
      </c>
      <c r="M27" s="51">
        <f>1/1841*100000</f>
        <v>54.318305268875605</v>
      </c>
      <c r="N27" s="51">
        <f>1/2192*100000</f>
        <v>45.620437956204377</v>
      </c>
      <c r="O27" s="51">
        <f>2/2609*100000</f>
        <v>76.657723265619012</v>
      </c>
      <c r="P27" s="51">
        <f>2/2997*100000</f>
        <v>66.73340006673341</v>
      </c>
      <c r="Q27" s="46"/>
      <c r="R27" s="46"/>
      <c r="S27" s="46"/>
      <c r="T27" s="46"/>
      <c r="U27" s="46"/>
      <c r="V27" s="46"/>
      <c r="W27" s="46"/>
      <c r="X27" s="46"/>
      <c r="Y27" s="23">
        <v>45413</v>
      </c>
      <c r="Z27" s="23">
        <v>45746</v>
      </c>
    </row>
    <row r="28" spans="1:26" ht="15.75" customHeight="1" x14ac:dyDescent="0.2">
      <c r="A28" s="130"/>
      <c r="B28" s="130"/>
      <c r="C28" s="130"/>
      <c r="D28" s="130"/>
      <c r="E28" s="14" t="s">
        <v>74</v>
      </c>
      <c r="F28" s="14" t="s">
        <v>75</v>
      </c>
      <c r="G28" s="29" t="s">
        <v>91</v>
      </c>
      <c r="H28" s="14" t="s">
        <v>92</v>
      </c>
      <c r="I28" s="26">
        <v>0</v>
      </c>
      <c r="J28" s="26">
        <v>374</v>
      </c>
      <c r="K28" s="49">
        <v>0</v>
      </c>
      <c r="L28" s="52">
        <f>(3/1438)*1000</f>
        <v>2.0862308762169679</v>
      </c>
      <c r="M28" s="53">
        <f>3/1849*1000</f>
        <v>1.6224986479177934</v>
      </c>
      <c r="N28" s="51">
        <f>4/2201*1000</f>
        <v>1.817355747387551</v>
      </c>
      <c r="O28" s="53">
        <f>5/2609*1000</f>
        <v>1.9164430816404754</v>
      </c>
      <c r="P28" s="51">
        <f>4/3012*1000</f>
        <v>1.3280212483399734</v>
      </c>
      <c r="Q28" s="46"/>
      <c r="R28" s="46"/>
      <c r="S28" s="46"/>
      <c r="T28" s="46"/>
      <c r="U28" s="46"/>
      <c r="V28" s="46"/>
      <c r="W28" s="46"/>
      <c r="X28" s="46"/>
      <c r="Y28" s="23">
        <v>45413</v>
      </c>
      <c r="Z28" s="23">
        <v>45746</v>
      </c>
    </row>
    <row r="29" spans="1:26" ht="15.75" customHeight="1" x14ac:dyDescent="0.2">
      <c r="A29" s="130"/>
      <c r="B29" s="130"/>
      <c r="C29" s="130"/>
      <c r="D29" s="130"/>
      <c r="E29" s="14" t="s">
        <v>74</v>
      </c>
      <c r="F29" s="14" t="s">
        <v>75</v>
      </c>
      <c r="G29" s="29" t="s">
        <v>93</v>
      </c>
      <c r="H29" s="14" t="s">
        <v>94</v>
      </c>
      <c r="I29" s="26">
        <v>0</v>
      </c>
      <c r="J29" s="26">
        <v>28536</v>
      </c>
      <c r="K29" s="49">
        <v>0</v>
      </c>
      <c r="L29" s="50">
        <f t="shared" ref="L29:L30" si="2">(0/28290)*100000</f>
        <v>0</v>
      </c>
      <c r="M29" s="14">
        <f t="shared" ref="M29:M30" si="3">0/28194*100000</f>
        <v>0</v>
      </c>
      <c r="N29" s="14">
        <f t="shared" ref="N29:P29" si="4">0/28012*100000</f>
        <v>0</v>
      </c>
      <c r="O29" s="14">
        <f t="shared" si="4"/>
        <v>0</v>
      </c>
      <c r="P29" s="14">
        <f t="shared" si="4"/>
        <v>0</v>
      </c>
      <c r="Q29" s="46"/>
      <c r="R29" s="46"/>
      <c r="S29" s="46"/>
      <c r="T29" s="46"/>
      <c r="U29" s="46"/>
      <c r="V29" s="46"/>
      <c r="W29" s="46"/>
      <c r="X29" s="46"/>
      <c r="Y29" s="23">
        <v>45413</v>
      </c>
      <c r="Z29" s="23">
        <v>45746</v>
      </c>
    </row>
    <row r="30" spans="1:26" ht="15.75" customHeight="1" x14ac:dyDescent="0.2">
      <c r="A30" s="130"/>
      <c r="B30" s="130"/>
      <c r="C30" s="130"/>
      <c r="D30" s="130"/>
      <c r="E30" s="14" t="s">
        <v>74</v>
      </c>
      <c r="F30" s="14" t="s">
        <v>75</v>
      </c>
      <c r="G30" s="29" t="s">
        <v>95</v>
      </c>
      <c r="H30" s="14" t="s">
        <v>96</v>
      </c>
      <c r="I30" s="26">
        <v>0</v>
      </c>
      <c r="J30" s="26">
        <v>28536</v>
      </c>
      <c r="K30" s="49">
        <v>0</v>
      </c>
      <c r="L30" s="50">
        <f t="shared" si="2"/>
        <v>0</v>
      </c>
      <c r="M30" s="14">
        <f t="shared" si="3"/>
        <v>0</v>
      </c>
      <c r="N30" s="14">
        <f t="shared" ref="N30:P30" si="5">0/28012*100000</f>
        <v>0</v>
      </c>
      <c r="O30" s="14">
        <f t="shared" si="5"/>
        <v>0</v>
      </c>
      <c r="P30" s="14">
        <f t="shared" si="5"/>
        <v>0</v>
      </c>
      <c r="Q30" s="46"/>
      <c r="R30" s="46"/>
      <c r="S30" s="46"/>
      <c r="T30" s="46"/>
      <c r="U30" s="46"/>
      <c r="V30" s="46"/>
      <c r="W30" s="46"/>
      <c r="X30" s="46"/>
      <c r="Y30" s="23">
        <v>45413</v>
      </c>
      <c r="Z30" s="23">
        <v>45746</v>
      </c>
    </row>
    <row r="31" spans="1:26" ht="15.75" customHeight="1" x14ac:dyDescent="0.2">
      <c r="A31" s="130"/>
      <c r="B31" s="130"/>
      <c r="C31" s="130"/>
      <c r="D31" s="130"/>
      <c r="E31" s="14" t="s">
        <v>74</v>
      </c>
      <c r="F31" s="14" t="s">
        <v>75</v>
      </c>
      <c r="G31" s="29" t="s">
        <v>97</v>
      </c>
      <c r="H31" s="14" t="s">
        <v>98</v>
      </c>
      <c r="I31" s="26">
        <v>0</v>
      </c>
      <c r="J31" s="26">
        <v>28536</v>
      </c>
      <c r="K31" s="49">
        <f>2/28536*100000</f>
        <v>7.008690776562938</v>
      </c>
      <c r="L31" s="54">
        <f>2/28290*100000</f>
        <v>7.0696359137504423</v>
      </c>
      <c r="M31" s="55">
        <f>2/28194*100000</f>
        <v>7.0937078811094558</v>
      </c>
      <c r="N31" s="55">
        <f>2/28012*100000</f>
        <v>7.139797229758674</v>
      </c>
      <c r="O31" s="55">
        <f>2/27859*100000</f>
        <v>7.1790085789152513</v>
      </c>
      <c r="P31" s="55">
        <f>3/27742*100000</f>
        <v>10.813928339701535</v>
      </c>
      <c r="Q31" s="46"/>
      <c r="R31" s="46"/>
      <c r="S31" s="46"/>
      <c r="T31" s="46"/>
      <c r="U31" s="46"/>
      <c r="V31" s="46"/>
      <c r="W31" s="46"/>
      <c r="X31" s="46"/>
      <c r="Y31" s="23">
        <v>45413</v>
      </c>
      <c r="Z31" s="23">
        <v>45746</v>
      </c>
    </row>
    <row r="32" spans="1:26" ht="15.75" customHeight="1" x14ac:dyDescent="0.2">
      <c r="A32" s="130"/>
      <c r="B32" s="130"/>
      <c r="C32" s="130"/>
      <c r="D32" s="130"/>
      <c r="E32" s="14" t="s">
        <v>74</v>
      </c>
      <c r="F32" s="14" t="s">
        <v>75</v>
      </c>
      <c r="G32" s="29" t="s">
        <v>99</v>
      </c>
      <c r="H32" s="14" t="s">
        <v>100</v>
      </c>
      <c r="I32" s="26">
        <v>2162</v>
      </c>
      <c r="J32" s="26">
        <v>2275</v>
      </c>
      <c r="K32" s="27">
        <f t="shared" ref="K32:K34" si="6">I32/J32</f>
        <v>0.95032967032967031</v>
      </c>
      <c r="L32" s="44">
        <f>2158/2286</f>
        <v>0.94400699912510933</v>
      </c>
      <c r="M32" s="44">
        <f>2352/2399</f>
        <v>0.98040850354314302</v>
      </c>
      <c r="N32" s="37">
        <f>2247/2292</f>
        <v>0.98036649214659688</v>
      </c>
      <c r="O32" s="38">
        <f>2090/2165</f>
        <v>0.96535796766743653</v>
      </c>
      <c r="P32" s="38">
        <f>2107/2161</f>
        <v>0.97501156871818606</v>
      </c>
      <c r="Q32" s="56"/>
      <c r="R32" s="56"/>
      <c r="S32" s="56"/>
      <c r="T32" s="56"/>
      <c r="U32" s="56"/>
      <c r="V32" s="56"/>
      <c r="W32" s="56"/>
      <c r="X32" s="56"/>
      <c r="Y32" s="23">
        <v>45413</v>
      </c>
      <c r="Z32" s="23">
        <v>45746</v>
      </c>
    </row>
    <row r="33" spans="1:26" ht="57.75" customHeight="1" x14ac:dyDescent="0.2">
      <c r="A33" s="130"/>
      <c r="B33" s="130"/>
      <c r="C33" s="130"/>
      <c r="D33" s="130"/>
      <c r="E33" s="14" t="s">
        <v>74</v>
      </c>
      <c r="F33" s="14" t="s">
        <v>75</v>
      </c>
      <c r="G33" s="29" t="s">
        <v>101</v>
      </c>
      <c r="H33" s="14" t="s">
        <v>100</v>
      </c>
      <c r="I33" s="26">
        <v>352</v>
      </c>
      <c r="J33" s="26">
        <v>4422</v>
      </c>
      <c r="K33" s="27">
        <f t="shared" si="6"/>
        <v>7.9601990049751242E-2</v>
      </c>
      <c r="L33" s="44">
        <f>1416/4422</f>
        <v>0.32021709633649931</v>
      </c>
      <c r="M33" s="44">
        <f>1782/4422</f>
        <v>0.40298507462686567</v>
      </c>
      <c r="N33" s="44">
        <f>2140/4422</f>
        <v>0.48394391677973769</v>
      </c>
      <c r="O33" s="38">
        <f>2488/4345</f>
        <v>0.57261219792865359</v>
      </c>
      <c r="P33" s="38">
        <f>2834/4345</f>
        <v>0.65224395857307249</v>
      </c>
      <c r="Q33" s="56"/>
      <c r="R33" s="56"/>
      <c r="S33" s="56"/>
      <c r="T33" s="56"/>
      <c r="U33" s="56"/>
      <c r="V33" s="56"/>
      <c r="W33" s="56"/>
      <c r="X33" s="56"/>
      <c r="Y33" s="23">
        <v>45413</v>
      </c>
      <c r="Z33" s="23">
        <v>45746</v>
      </c>
    </row>
    <row r="34" spans="1:26" ht="15.75" customHeight="1" x14ac:dyDescent="0.2">
      <c r="A34" s="130"/>
      <c r="B34" s="130"/>
      <c r="C34" s="130"/>
      <c r="D34" s="130"/>
      <c r="E34" s="14" t="s">
        <v>74</v>
      </c>
      <c r="F34" s="14" t="s">
        <v>75</v>
      </c>
      <c r="G34" s="29" t="s">
        <v>102</v>
      </c>
      <c r="H34" s="14" t="s">
        <v>103</v>
      </c>
      <c r="I34" s="26">
        <v>1730</v>
      </c>
      <c r="J34" s="26">
        <v>2275</v>
      </c>
      <c r="K34" s="27">
        <f t="shared" si="6"/>
        <v>0.7604395604395604</v>
      </c>
      <c r="L34" s="44">
        <f>1738/2286</f>
        <v>0.76027996500437445</v>
      </c>
      <c r="M34" s="44">
        <f>1789/2399</f>
        <v>0.74572738641100456</v>
      </c>
      <c r="N34" s="37">
        <f>1759/2292</f>
        <v>0.76745200698080285</v>
      </c>
      <c r="O34" s="38">
        <f>1678/2165</f>
        <v>0.77505773672055422</v>
      </c>
      <c r="P34" s="38">
        <f>1710/2161</f>
        <v>0.79130032392410921</v>
      </c>
      <c r="Q34" s="56"/>
      <c r="R34" s="56"/>
      <c r="S34" s="56"/>
      <c r="T34" s="56"/>
      <c r="U34" s="56"/>
      <c r="V34" s="56"/>
      <c r="W34" s="56"/>
      <c r="X34" s="56"/>
      <c r="Y34" s="23">
        <v>45413</v>
      </c>
      <c r="Z34" s="23">
        <v>45746</v>
      </c>
    </row>
    <row r="35" spans="1:26" ht="15.75" customHeight="1" x14ac:dyDescent="0.2">
      <c r="A35" s="130"/>
      <c r="B35" s="130"/>
      <c r="C35" s="130"/>
      <c r="D35" s="130"/>
      <c r="E35" s="14" t="s">
        <v>74</v>
      </c>
      <c r="F35" s="14" t="s">
        <v>75</v>
      </c>
      <c r="G35" s="16" t="s">
        <v>104</v>
      </c>
      <c r="H35" s="14" t="s">
        <v>105</v>
      </c>
      <c r="I35" s="26">
        <v>45194</v>
      </c>
      <c r="J35" s="26">
        <v>75072</v>
      </c>
      <c r="K35" s="27">
        <v>0.60199999999999998</v>
      </c>
      <c r="L35" s="36">
        <f>45547/75386</f>
        <v>0.60418380070570132</v>
      </c>
      <c r="M35" s="36">
        <f>46441/75280</f>
        <v>0.61691020191285861</v>
      </c>
      <c r="N35" s="36">
        <f>46981/75118</f>
        <v>0.62542932452940703</v>
      </c>
      <c r="O35" s="38">
        <f>46982/74965</f>
        <v>0.62671913559661174</v>
      </c>
      <c r="P35" s="38">
        <f>46843/74667</f>
        <v>0.62735880643389985</v>
      </c>
      <c r="Q35" s="22"/>
      <c r="R35" s="22"/>
      <c r="S35" s="22"/>
      <c r="T35" s="22"/>
      <c r="U35" s="22"/>
      <c r="V35" s="22"/>
      <c r="W35" s="22"/>
      <c r="X35" s="22"/>
      <c r="Y35" s="23">
        <v>45413</v>
      </c>
      <c r="Z35" s="23">
        <v>45746</v>
      </c>
    </row>
    <row r="36" spans="1:26" ht="15.75" customHeight="1" x14ac:dyDescent="0.2">
      <c r="A36" s="130"/>
      <c r="B36" s="130"/>
      <c r="C36" s="130"/>
      <c r="D36" s="130"/>
      <c r="E36" s="14" t="s">
        <v>74</v>
      </c>
      <c r="F36" s="14" t="s">
        <v>75</v>
      </c>
      <c r="G36" s="29" t="s">
        <v>106</v>
      </c>
      <c r="H36" s="14" t="s">
        <v>105</v>
      </c>
      <c r="I36" s="26">
        <v>25601</v>
      </c>
      <c r="J36" s="26">
        <v>39158</v>
      </c>
      <c r="K36" s="27">
        <v>0.65380000000000005</v>
      </c>
      <c r="L36" s="36">
        <f>26169/39439</f>
        <v>0.66353102259185071</v>
      </c>
      <c r="M36" s="36">
        <f>27049/39755</f>
        <v>0.68039240347126151</v>
      </c>
      <c r="N36" s="36">
        <f>27355/39755</f>
        <v>0.68808954848446735</v>
      </c>
      <c r="O36" s="38">
        <f>27585/39962</f>
        <v>0.690280766728392</v>
      </c>
      <c r="P36" s="38">
        <f>27923/40296</f>
        <v>0.69294719078816758</v>
      </c>
      <c r="Q36" s="22"/>
      <c r="R36" s="22"/>
      <c r="S36" s="22"/>
      <c r="T36" s="22"/>
      <c r="U36" s="22"/>
      <c r="V36" s="22"/>
      <c r="W36" s="22"/>
      <c r="X36" s="22"/>
      <c r="Y36" s="23">
        <v>45413</v>
      </c>
      <c r="Z36" s="23">
        <v>45746</v>
      </c>
    </row>
    <row r="37" spans="1:26" ht="15.75" customHeight="1" x14ac:dyDescent="0.2">
      <c r="A37" s="130"/>
      <c r="B37" s="130"/>
      <c r="C37" s="130"/>
      <c r="D37" s="131"/>
      <c r="E37" s="14" t="s">
        <v>74</v>
      </c>
      <c r="F37" s="14" t="s">
        <v>75</v>
      </c>
      <c r="G37" s="16" t="s">
        <v>107</v>
      </c>
      <c r="H37" s="14" t="s">
        <v>108</v>
      </c>
      <c r="I37" s="26">
        <v>16095</v>
      </c>
      <c r="J37" s="26">
        <v>38311</v>
      </c>
      <c r="K37" s="27">
        <v>0.42009999999999997</v>
      </c>
      <c r="L37" s="36">
        <f>15815/38364</f>
        <v>0.41223542904806587</v>
      </c>
      <c r="M37" s="36">
        <f>15643/38055</f>
        <v>0.41106293522533177</v>
      </c>
      <c r="N37" s="36">
        <f>15636/38180</f>
        <v>0.40953378732320589</v>
      </c>
      <c r="O37" s="38">
        <f>15921/38118</f>
        <v>0.41767668817881315</v>
      </c>
      <c r="P37" s="38">
        <f>16096/38039</f>
        <v>0.42314466731512396</v>
      </c>
      <c r="Q37" s="22"/>
      <c r="R37" s="22"/>
      <c r="S37" s="22"/>
      <c r="T37" s="22"/>
      <c r="U37" s="22"/>
      <c r="V37" s="22"/>
      <c r="W37" s="22"/>
      <c r="X37" s="22"/>
      <c r="Y37" s="23">
        <v>45413</v>
      </c>
      <c r="Z37" s="23">
        <v>45746</v>
      </c>
    </row>
    <row r="38" spans="1:26" ht="15.75" customHeight="1" x14ac:dyDescent="0.2">
      <c r="A38" s="131"/>
      <c r="B38" s="131"/>
      <c r="C38" s="131"/>
      <c r="D38" s="13" t="s">
        <v>109</v>
      </c>
      <c r="E38" s="14" t="s">
        <v>110</v>
      </c>
      <c r="F38" s="14" t="s">
        <v>111</v>
      </c>
      <c r="G38" s="29" t="s">
        <v>112</v>
      </c>
      <c r="H38" s="14" t="s">
        <v>113</v>
      </c>
      <c r="I38" s="26">
        <v>88</v>
      </c>
      <c r="J38" s="26">
        <v>96</v>
      </c>
      <c r="K38" s="27">
        <f>I38/J38</f>
        <v>0.91666666666666663</v>
      </c>
      <c r="L38" s="57">
        <f>87/96</f>
        <v>0.90625</v>
      </c>
      <c r="M38" s="58">
        <f t="shared" ref="M38:N38" si="7">90/96</f>
        <v>0.9375</v>
      </c>
      <c r="N38" s="58">
        <f t="shared" si="7"/>
        <v>0.9375</v>
      </c>
      <c r="O38" s="38">
        <f>89/96</f>
        <v>0.92708333333333337</v>
      </c>
      <c r="P38" s="59">
        <f>89/96</f>
        <v>0.92708333333333337</v>
      </c>
      <c r="Q38" s="22"/>
      <c r="R38" s="22"/>
      <c r="S38" s="22"/>
      <c r="T38" s="22"/>
      <c r="U38" s="22"/>
      <c r="V38" s="22"/>
      <c r="W38" s="22"/>
      <c r="X38" s="22"/>
      <c r="Y38" s="23">
        <v>45413</v>
      </c>
      <c r="Z38" s="23">
        <v>45746</v>
      </c>
    </row>
    <row r="39" spans="1:26" ht="15.75" customHeight="1" x14ac:dyDescent="0.2">
      <c r="A39" s="164" t="s">
        <v>22</v>
      </c>
      <c r="B39" s="129" t="s">
        <v>114</v>
      </c>
      <c r="C39" s="132" t="s">
        <v>115</v>
      </c>
      <c r="D39" s="60" t="s">
        <v>116</v>
      </c>
      <c r="E39" s="14" t="s">
        <v>117</v>
      </c>
      <c r="F39" s="14" t="s">
        <v>118</v>
      </c>
      <c r="G39" s="16" t="s">
        <v>119</v>
      </c>
      <c r="H39" s="14" t="s">
        <v>120</v>
      </c>
      <c r="I39" s="26" t="s">
        <v>49</v>
      </c>
      <c r="J39" s="26" t="s">
        <v>49</v>
      </c>
      <c r="K39" s="19" t="s">
        <v>49</v>
      </c>
      <c r="L39" s="30" t="s">
        <v>50</v>
      </c>
      <c r="M39" s="30" t="s">
        <v>50</v>
      </c>
      <c r="N39" s="30" t="s">
        <v>50</v>
      </c>
      <c r="O39" s="25">
        <f>1/1</f>
        <v>1</v>
      </c>
      <c r="P39" s="61">
        <f>2/5</f>
        <v>0.4</v>
      </c>
      <c r="Q39" s="22"/>
      <c r="R39" s="22"/>
      <c r="S39" s="22"/>
      <c r="T39" s="22"/>
      <c r="U39" s="22"/>
      <c r="V39" s="22"/>
      <c r="W39" s="22"/>
      <c r="X39" s="22"/>
      <c r="Y39" s="23">
        <v>45474</v>
      </c>
      <c r="Z39" s="23">
        <v>45746</v>
      </c>
    </row>
    <row r="40" spans="1:26" ht="15.75" customHeight="1" x14ac:dyDescent="0.2">
      <c r="A40" s="130"/>
      <c r="B40" s="130"/>
      <c r="C40" s="130"/>
      <c r="D40" s="13" t="s">
        <v>121</v>
      </c>
      <c r="E40" s="14" t="s">
        <v>117</v>
      </c>
      <c r="F40" s="14" t="s">
        <v>118</v>
      </c>
      <c r="G40" s="16" t="s">
        <v>122</v>
      </c>
      <c r="H40" s="14" t="s">
        <v>120</v>
      </c>
      <c r="I40" s="26" t="s">
        <v>49</v>
      </c>
      <c r="J40" s="26" t="s">
        <v>49</v>
      </c>
      <c r="K40" s="19" t="s">
        <v>49</v>
      </c>
      <c r="L40" s="30" t="s">
        <v>50</v>
      </c>
      <c r="M40" s="30" t="s">
        <v>50</v>
      </c>
      <c r="N40" s="30" t="s">
        <v>50</v>
      </c>
      <c r="O40" s="62">
        <f>7/9</f>
        <v>0.77777777777777779</v>
      </c>
      <c r="P40" s="61">
        <f>8/9</f>
        <v>0.88888888888888884</v>
      </c>
      <c r="Q40" s="22"/>
      <c r="R40" s="22"/>
      <c r="S40" s="22"/>
      <c r="T40" s="22"/>
      <c r="U40" s="22"/>
      <c r="V40" s="22"/>
      <c r="W40" s="22"/>
      <c r="X40" s="22"/>
      <c r="Y40" s="23">
        <v>45474</v>
      </c>
      <c r="Z40" s="23">
        <v>45746</v>
      </c>
    </row>
    <row r="41" spans="1:26" ht="15.75" customHeight="1" x14ac:dyDescent="0.2">
      <c r="A41" s="131"/>
      <c r="B41" s="131"/>
      <c r="C41" s="131"/>
      <c r="D41" s="13" t="s">
        <v>123</v>
      </c>
      <c r="E41" s="14" t="s">
        <v>124</v>
      </c>
      <c r="F41" s="14" t="s">
        <v>125</v>
      </c>
      <c r="G41" s="16" t="s">
        <v>126</v>
      </c>
      <c r="H41" s="62">
        <v>1</v>
      </c>
      <c r="I41" s="26" t="s">
        <v>49</v>
      </c>
      <c r="J41" s="26" t="s">
        <v>49</v>
      </c>
      <c r="K41" s="19" t="s">
        <v>49</v>
      </c>
      <c r="L41" s="30" t="s">
        <v>50</v>
      </c>
      <c r="M41" s="30" t="s">
        <v>50</v>
      </c>
      <c r="N41" s="33">
        <f>0/489</f>
        <v>0</v>
      </c>
      <c r="O41" s="38">
        <f>3/492</f>
        <v>6.0975609756097563E-3</v>
      </c>
      <c r="P41" s="63">
        <f>6/146</f>
        <v>4.1095890410958902E-2</v>
      </c>
      <c r="Q41" s="22"/>
      <c r="R41" s="22"/>
      <c r="S41" s="22"/>
      <c r="T41" s="22"/>
      <c r="U41" s="22"/>
      <c r="V41" s="22"/>
      <c r="W41" s="22"/>
      <c r="X41" s="22"/>
      <c r="Y41" s="23">
        <v>45444</v>
      </c>
      <c r="Z41" s="23">
        <v>45746</v>
      </c>
    </row>
    <row r="42" spans="1:26" ht="15.75" customHeight="1" x14ac:dyDescent="0.2">
      <c r="A42" s="29" t="s">
        <v>127</v>
      </c>
      <c r="B42" s="64" t="s">
        <v>128</v>
      </c>
      <c r="C42" s="13" t="s">
        <v>129</v>
      </c>
      <c r="D42" s="13" t="s">
        <v>130</v>
      </c>
      <c r="E42" s="17" t="s">
        <v>131</v>
      </c>
      <c r="F42" s="17" t="s">
        <v>132</v>
      </c>
      <c r="G42" s="16" t="s">
        <v>133</v>
      </c>
      <c r="H42" s="65">
        <v>1199440</v>
      </c>
      <c r="I42" s="65">
        <v>0</v>
      </c>
      <c r="J42" s="65">
        <v>1199440</v>
      </c>
      <c r="K42" s="27">
        <v>0</v>
      </c>
      <c r="L42" s="36">
        <f>3561/J42</f>
        <v>2.9688854798906156E-3</v>
      </c>
      <c r="M42" s="36">
        <f>170777/J42</f>
        <v>0.14238061095177751</v>
      </c>
      <c r="N42" s="36">
        <f>297141/J42</f>
        <v>0.24773310878409924</v>
      </c>
      <c r="O42" s="36">
        <f>482074/H42</f>
        <v>0.40191589408390582</v>
      </c>
      <c r="P42" s="36">
        <f>519481/J42</f>
        <v>0.43310294804241978</v>
      </c>
      <c r="Q42" s="13"/>
      <c r="R42" s="13"/>
      <c r="S42" s="13"/>
      <c r="T42" s="13"/>
      <c r="U42" s="13"/>
      <c r="V42" s="13"/>
      <c r="W42" s="13"/>
      <c r="X42" s="66"/>
      <c r="Y42" s="23">
        <v>45392</v>
      </c>
      <c r="Z42" s="23">
        <v>45757</v>
      </c>
    </row>
    <row r="43" spans="1:26" ht="54" customHeight="1" x14ac:dyDescent="0.2">
      <c r="A43" s="133" t="s">
        <v>127</v>
      </c>
      <c r="B43" s="134" t="s">
        <v>134</v>
      </c>
      <c r="C43" s="132" t="s">
        <v>135</v>
      </c>
      <c r="D43" s="132" t="s">
        <v>136</v>
      </c>
      <c r="E43" s="154" t="s">
        <v>137</v>
      </c>
      <c r="F43" s="154" t="s">
        <v>138</v>
      </c>
      <c r="G43" s="29" t="s">
        <v>139</v>
      </c>
      <c r="H43" s="25">
        <v>1</v>
      </c>
      <c r="I43" s="65">
        <v>0</v>
      </c>
      <c r="J43" s="65">
        <v>23782.636001999999</v>
      </c>
      <c r="K43" s="27">
        <v>0</v>
      </c>
      <c r="L43" s="36">
        <f>357.506373/J43</f>
        <v>1.5032243396818398E-2</v>
      </c>
      <c r="M43" s="36">
        <f>1166.6195/J43</f>
        <v>4.9053414428152253E-2</v>
      </c>
      <c r="N43" s="37">
        <f>9275.2447/J43</f>
        <v>0.39000070047828161</v>
      </c>
      <c r="O43" s="67">
        <f>14013.24468725/J43</f>
        <v>0.58922167778506795</v>
      </c>
      <c r="P43" s="38">
        <f>14179/J43</f>
        <v>0.59619127159864105</v>
      </c>
      <c r="Q43" s="69"/>
      <c r="R43" s="69"/>
      <c r="S43" s="69"/>
      <c r="T43" s="69"/>
      <c r="U43" s="69"/>
      <c r="V43" s="69"/>
      <c r="W43" s="69"/>
      <c r="X43" s="69"/>
      <c r="Y43" s="23">
        <v>45383</v>
      </c>
      <c r="Z43" s="23">
        <v>45716</v>
      </c>
    </row>
    <row r="44" spans="1:26" ht="54" customHeight="1" x14ac:dyDescent="0.2">
      <c r="A44" s="130"/>
      <c r="B44" s="130"/>
      <c r="C44" s="130"/>
      <c r="D44" s="131"/>
      <c r="E44" s="131"/>
      <c r="F44" s="131"/>
      <c r="G44" s="29" t="s">
        <v>140</v>
      </c>
      <c r="H44" s="25">
        <v>1</v>
      </c>
      <c r="I44" s="65">
        <v>0</v>
      </c>
      <c r="J44" s="65">
        <v>745</v>
      </c>
      <c r="K44" s="27">
        <f>I44/J44</f>
        <v>0</v>
      </c>
      <c r="L44" s="36">
        <f t="shared" ref="L44:L45" si="8">0/J44</f>
        <v>0</v>
      </c>
      <c r="M44" s="44">
        <f t="shared" ref="M44:M45" si="9">0/J44</f>
        <v>0</v>
      </c>
      <c r="N44" s="37">
        <f>0/J44</f>
        <v>0</v>
      </c>
      <c r="O44" s="38">
        <v>0</v>
      </c>
      <c r="P44" s="38">
        <v>0</v>
      </c>
      <c r="Q44" s="69"/>
      <c r="R44" s="69"/>
      <c r="S44" s="69"/>
      <c r="T44" s="69"/>
      <c r="U44" s="69"/>
      <c r="V44" s="69"/>
      <c r="W44" s="69"/>
      <c r="X44" s="69"/>
      <c r="Y44" s="23">
        <v>45383</v>
      </c>
      <c r="Z44" s="23">
        <v>45716</v>
      </c>
    </row>
    <row r="45" spans="1:26" ht="15.75" customHeight="1" x14ac:dyDescent="0.2">
      <c r="A45" s="130"/>
      <c r="B45" s="130"/>
      <c r="C45" s="130"/>
      <c r="D45" s="13" t="s">
        <v>141</v>
      </c>
      <c r="E45" s="14" t="s">
        <v>137</v>
      </c>
      <c r="F45" s="14" t="s">
        <v>142</v>
      </c>
      <c r="G45" s="29" t="s">
        <v>143</v>
      </c>
      <c r="H45" s="25">
        <v>1</v>
      </c>
      <c r="I45" s="65">
        <v>0</v>
      </c>
      <c r="J45" s="26">
        <v>11</v>
      </c>
      <c r="K45" s="27">
        <v>0</v>
      </c>
      <c r="L45" s="70">
        <f t="shared" si="8"/>
        <v>0</v>
      </c>
      <c r="M45" s="70">
        <f t="shared" si="9"/>
        <v>0</v>
      </c>
      <c r="N45" s="37">
        <f>1/J45</f>
        <v>9.0909090909090912E-2</v>
      </c>
      <c r="O45" s="38">
        <f>2/J45</f>
        <v>0.18181818181818182</v>
      </c>
      <c r="P45" s="38">
        <f>3/J45</f>
        <v>0.27272727272727271</v>
      </c>
      <c r="Q45" s="69"/>
      <c r="R45" s="69"/>
      <c r="S45" s="69"/>
      <c r="T45" s="69"/>
      <c r="U45" s="69"/>
      <c r="V45" s="69"/>
      <c r="W45" s="69"/>
      <c r="X45" s="69"/>
      <c r="Y45" s="23">
        <v>45444</v>
      </c>
      <c r="Z45" s="23">
        <v>45772</v>
      </c>
    </row>
    <row r="46" spans="1:26" ht="15.75" customHeight="1" x14ac:dyDescent="0.2">
      <c r="A46" s="130"/>
      <c r="B46" s="130"/>
      <c r="C46" s="131"/>
      <c r="D46" s="13" t="s">
        <v>144</v>
      </c>
      <c r="E46" s="14" t="s">
        <v>137</v>
      </c>
      <c r="F46" s="14" t="s">
        <v>138</v>
      </c>
      <c r="G46" s="29" t="s">
        <v>145</v>
      </c>
      <c r="H46" s="25">
        <v>1</v>
      </c>
      <c r="I46" s="71">
        <v>0</v>
      </c>
      <c r="J46" s="65">
        <v>14597.292265</v>
      </c>
      <c r="K46" s="42" t="s">
        <v>146</v>
      </c>
      <c r="L46" s="36">
        <f>13986.17847/J46</f>
        <v>0.9581351264394925</v>
      </c>
      <c r="M46" s="36">
        <f>14058.164862/J46</f>
        <v>0.96306661583445385</v>
      </c>
      <c r="N46" s="36">
        <f>14241.265049/J46</f>
        <v>0.97561005085486652</v>
      </c>
      <c r="O46" s="38">
        <f>14313.25144/J46</f>
        <v>0.98054154018132211</v>
      </c>
      <c r="P46" s="38">
        <f>14385.23/J46</f>
        <v>0.98547249303842033</v>
      </c>
      <c r="Q46" s="69"/>
      <c r="R46" s="69"/>
      <c r="S46" s="69"/>
      <c r="T46" s="69"/>
      <c r="U46" s="69"/>
      <c r="V46" s="69"/>
      <c r="W46" s="69"/>
      <c r="X46" s="72"/>
      <c r="Y46" s="23">
        <v>45383</v>
      </c>
      <c r="Z46" s="23">
        <v>45716</v>
      </c>
    </row>
    <row r="47" spans="1:26" ht="15.75" customHeight="1" x14ac:dyDescent="0.2">
      <c r="A47" s="130"/>
      <c r="B47" s="130"/>
      <c r="C47" s="13" t="s">
        <v>147</v>
      </c>
      <c r="D47" s="13" t="s">
        <v>148</v>
      </c>
      <c r="E47" s="14" t="s">
        <v>137</v>
      </c>
      <c r="F47" s="14" t="s">
        <v>138</v>
      </c>
      <c r="G47" s="29" t="s">
        <v>149</v>
      </c>
      <c r="H47" s="25">
        <v>1</v>
      </c>
      <c r="I47" s="71">
        <v>0</v>
      </c>
      <c r="J47" s="65">
        <v>3329.9126209999999</v>
      </c>
      <c r="K47" s="73">
        <v>1</v>
      </c>
      <c r="L47" s="44">
        <f>190.9017/J47</f>
        <v>5.732934215633282E-2</v>
      </c>
      <c r="M47" s="36">
        <f>1307.733/J47</f>
        <v>0.39272291763838446</v>
      </c>
      <c r="N47" s="37">
        <f>1498.4058/J47</f>
        <v>0.44998351925223085</v>
      </c>
      <c r="O47" s="38">
        <f>1498.4058/J47</f>
        <v>0.44998351925223085</v>
      </c>
      <c r="P47" s="38">
        <f>1498.33/J47</f>
        <v>0.44996075589215889</v>
      </c>
      <c r="Q47" s="69"/>
      <c r="R47" s="69"/>
      <c r="S47" s="69"/>
      <c r="T47" s="69"/>
      <c r="U47" s="69"/>
      <c r="V47" s="69"/>
      <c r="W47" s="69"/>
      <c r="X47" s="72"/>
      <c r="Y47" s="23">
        <v>45383</v>
      </c>
      <c r="Z47" s="23">
        <v>45716</v>
      </c>
    </row>
    <row r="48" spans="1:26" ht="15.75" customHeight="1" x14ac:dyDescent="0.2">
      <c r="A48" s="130"/>
      <c r="B48" s="130"/>
      <c r="C48" s="13" t="s">
        <v>150</v>
      </c>
      <c r="D48" s="13" t="s">
        <v>151</v>
      </c>
      <c r="E48" s="14" t="s">
        <v>137</v>
      </c>
      <c r="F48" s="14" t="s">
        <v>138</v>
      </c>
      <c r="G48" s="29" t="s">
        <v>152</v>
      </c>
      <c r="H48" s="25">
        <v>1</v>
      </c>
      <c r="I48" s="71">
        <v>0</v>
      </c>
      <c r="J48" s="65">
        <v>3567.2456849999999</v>
      </c>
      <c r="K48" s="42" t="s">
        <v>146</v>
      </c>
      <c r="L48" s="44">
        <f>2227.13/J48</f>
        <v>0.62432761762524924</v>
      </c>
      <c r="M48" s="36">
        <f>2513.075/J48</f>
        <v>0.7044860998969853</v>
      </c>
      <c r="N48" s="37">
        <f>2756.6435/J48</f>
        <v>0.77276524899629961</v>
      </c>
      <c r="O48" s="38">
        <f>2847.49064/J48</f>
        <v>0.79823227538643726</v>
      </c>
      <c r="P48" s="38">
        <f>3020.2076/J48</f>
        <v>0.84664973110760111</v>
      </c>
      <c r="Q48" s="69"/>
      <c r="R48" s="69"/>
      <c r="S48" s="69"/>
      <c r="T48" s="69"/>
      <c r="U48" s="69"/>
      <c r="V48" s="69"/>
      <c r="W48" s="69"/>
      <c r="X48" s="72"/>
      <c r="Y48" s="23">
        <v>45383</v>
      </c>
      <c r="Z48" s="23">
        <v>45716</v>
      </c>
    </row>
    <row r="49" spans="1:26" ht="54" customHeight="1" x14ac:dyDescent="0.2">
      <c r="A49" s="130"/>
      <c r="B49" s="130"/>
      <c r="C49" s="132" t="s">
        <v>153</v>
      </c>
      <c r="D49" s="132" t="s">
        <v>154</v>
      </c>
      <c r="E49" s="154" t="s">
        <v>137</v>
      </c>
      <c r="F49" s="154" t="s">
        <v>138</v>
      </c>
      <c r="G49" s="29" t="s">
        <v>155</v>
      </c>
      <c r="H49" s="25">
        <v>1</v>
      </c>
      <c r="I49" s="71">
        <v>0</v>
      </c>
      <c r="J49" s="65">
        <v>1287.057687</v>
      </c>
      <c r="K49" s="42" t="s">
        <v>146</v>
      </c>
      <c r="L49" s="44">
        <f>33.49/J49</f>
        <v>2.6020589704927502E-2</v>
      </c>
      <c r="M49" s="36">
        <f>62.617/J49</f>
        <v>4.8651276964868477E-2</v>
      </c>
      <c r="N49" s="37">
        <f>109.6846/J49</f>
        <v>8.5221199568500772E-2</v>
      </c>
      <c r="O49" s="38">
        <f>215.387315/J49</f>
        <v>0.16734861007049795</v>
      </c>
      <c r="P49" s="38">
        <f>355.095/J49</f>
        <v>0.27589672443330043</v>
      </c>
      <c r="Q49" s="69"/>
      <c r="R49" s="69"/>
      <c r="S49" s="69"/>
      <c r="T49" s="69"/>
      <c r="U49" s="69"/>
      <c r="V49" s="69"/>
      <c r="W49" s="69"/>
      <c r="X49" s="72"/>
      <c r="Y49" s="23">
        <v>45383</v>
      </c>
      <c r="Z49" s="23">
        <v>45716</v>
      </c>
    </row>
    <row r="50" spans="1:26" ht="54" customHeight="1" x14ac:dyDescent="0.2">
      <c r="A50" s="130"/>
      <c r="B50" s="130"/>
      <c r="C50" s="131"/>
      <c r="D50" s="131"/>
      <c r="E50" s="131"/>
      <c r="F50" s="131"/>
      <c r="G50" s="29" t="s">
        <v>156</v>
      </c>
      <c r="H50" s="25">
        <v>1</v>
      </c>
      <c r="I50" s="71">
        <v>0</v>
      </c>
      <c r="J50" s="65">
        <v>934</v>
      </c>
      <c r="K50" s="42" t="s">
        <v>146</v>
      </c>
      <c r="L50" s="44">
        <f>0/J50</f>
        <v>0</v>
      </c>
      <c r="M50" s="36">
        <f>108.03/J50</f>
        <v>0.11566381156316917</v>
      </c>
      <c r="N50" s="37">
        <f>108.268/J50</f>
        <v>0.1159186295503212</v>
      </c>
      <c r="O50" s="38">
        <f>133.313078/158.824346</f>
        <v>0.83937432363171827</v>
      </c>
      <c r="P50" s="38">
        <f>148.8031/295.5855</f>
        <v>0.50341813113295475</v>
      </c>
      <c r="Q50" s="69"/>
      <c r="R50" s="69"/>
      <c r="S50" s="69"/>
      <c r="T50" s="69"/>
      <c r="U50" s="69"/>
      <c r="V50" s="69"/>
      <c r="W50" s="69"/>
      <c r="X50" s="72"/>
      <c r="Y50" s="23">
        <v>45383</v>
      </c>
      <c r="Z50" s="23">
        <v>45716</v>
      </c>
    </row>
    <row r="51" spans="1:26" ht="54" customHeight="1" x14ac:dyDescent="0.2">
      <c r="A51" s="130"/>
      <c r="B51" s="130"/>
      <c r="C51" s="132" t="s">
        <v>157</v>
      </c>
      <c r="D51" s="132" t="s">
        <v>158</v>
      </c>
      <c r="E51" s="154" t="s">
        <v>159</v>
      </c>
      <c r="F51" s="154" t="s">
        <v>160</v>
      </c>
      <c r="G51" s="29" t="s">
        <v>161</v>
      </c>
      <c r="H51" s="25">
        <v>1</v>
      </c>
      <c r="I51" s="71">
        <v>0</v>
      </c>
      <c r="J51" s="65">
        <v>5708.9037850000004</v>
      </c>
      <c r="K51" s="74">
        <v>0</v>
      </c>
      <c r="L51" s="36">
        <f>(536081737/5708093785)</f>
        <v>9.3916070266529442E-2</v>
      </c>
      <c r="M51" s="36">
        <f>(2112058386/5708093785)</f>
        <v>0.37001115706090315</v>
      </c>
      <c r="N51" s="37">
        <f>2478439132/5708903785</f>
        <v>0.43413573346813727</v>
      </c>
      <c r="O51" s="38">
        <f>3418373037/5708903785</f>
        <v>0.59877923428692015</v>
      </c>
      <c r="P51" s="38">
        <f>3910590687/5708903785</f>
        <v>0.68499852761137403</v>
      </c>
      <c r="Q51" s="68"/>
      <c r="R51" s="68"/>
      <c r="S51" s="68"/>
      <c r="T51" s="68"/>
      <c r="U51" s="68"/>
      <c r="V51" s="68"/>
      <c r="W51" s="68"/>
      <c r="X51" s="72"/>
      <c r="Y51" s="23">
        <v>45383</v>
      </c>
      <c r="Z51" s="23">
        <v>45716</v>
      </c>
    </row>
    <row r="52" spans="1:26" ht="54" customHeight="1" x14ac:dyDescent="0.2">
      <c r="A52" s="130"/>
      <c r="B52" s="130"/>
      <c r="C52" s="131"/>
      <c r="D52" s="131"/>
      <c r="E52" s="131"/>
      <c r="F52" s="131"/>
      <c r="G52" s="29" t="s">
        <v>162</v>
      </c>
      <c r="H52" s="25">
        <v>1</v>
      </c>
      <c r="I52" s="65">
        <v>287.71810199999999</v>
      </c>
      <c r="J52" s="65">
        <v>1128.2145290000001</v>
      </c>
      <c r="K52" s="74">
        <v>0.255</v>
      </c>
      <c r="L52" s="36">
        <f>(154762268/1128214529)</f>
        <v>0.13717450362669456</v>
      </c>
      <c r="M52" s="36">
        <f>(458960187/1128214529)</f>
        <v>0.40680223060662252</v>
      </c>
      <c r="N52" s="36">
        <f>(1078939791/1128214529)</f>
        <v>0.95632502796815166</v>
      </c>
      <c r="O52" s="38">
        <f t="shared" ref="O52:P52" si="10">1128214529/1128214529</f>
        <v>1</v>
      </c>
      <c r="P52" s="38">
        <f t="shared" si="10"/>
        <v>1</v>
      </c>
      <c r="Q52" s="68"/>
      <c r="R52" s="68"/>
      <c r="S52" s="68"/>
      <c r="T52" s="68"/>
      <c r="U52" s="68"/>
      <c r="V52" s="68"/>
      <c r="W52" s="68"/>
      <c r="X52" s="72"/>
      <c r="Y52" s="23">
        <v>45383</v>
      </c>
      <c r="Z52" s="23">
        <v>45716</v>
      </c>
    </row>
    <row r="53" spans="1:26" ht="54" customHeight="1" x14ac:dyDescent="0.2">
      <c r="A53" s="130"/>
      <c r="B53" s="130"/>
      <c r="C53" s="132" t="s">
        <v>163</v>
      </c>
      <c r="D53" s="132" t="s">
        <v>164</v>
      </c>
      <c r="E53" s="154" t="s">
        <v>165</v>
      </c>
      <c r="F53" s="154" t="s">
        <v>166</v>
      </c>
      <c r="G53" s="29" t="s">
        <v>167</v>
      </c>
      <c r="H53" s="25">
        <v>1</v>
      </c>
      <c r="I53" s="65">
        <v>16.490608000000002</v>
      </c>
      <c r="J53" s="65">
        <v>85.661293000000001</v>
      </c>
      <c r="K53" s="27">
        <f t="shared" ref="K53:K54" si="11">I53/J53</f>
        <v>0.19250944531038075</v>
      </c>
      <c r="L53" s="75">
        <f>21.364247/J53</f>
        <v>0.24940374178101654</v>
      </c>
      <c r="M53" s="36">
        <f>24.93122/J53</f>
        <v>0.29104417090692292</v>
      </c>
      <c r="N53" s="36">
        <f>45.785792/J53</f>
        <v>0.53449802584698314</v>
      </c>
      <c r="O53" s="36">
        <f>52.236066/J53</f>
        <v>0.60979777645896616</v>
      </c>
      <c r="P53" s="36">
        <f>63.460888/J53</f>
        <v>0.74083504669956357</v>
      </c>
      <c r="Q53" s="68"/>
      <c r="R53" s="68"/>
      <c r="S53" s="68"/>
      <c r="T53" s="68"/>
      <c r="U53" s="68"/>
      <c r="V53" s="68"/>
      <c r="W53" s="68"/>
      <c r="X53" s="68"/>
      <c r="Y53" s="23">
        <v>45413</v>
      </c>
      <c r="Z53" s="23">
        <v>45777</v>
      </c>
    </row>
    <row r="54" spans="1:26" ht="54" customHeight="1" x14ac:dyDescent="0.2">
      <c r="A54" s="130"/>
      <c r="B54" s="130"/>
      <c r="C54" s="131"/>
      <c r="D54" s="131"/>
      <c r="E54" s="131"/>
      <c r="F54" s="131"/>
      <c r="G54" s="29" t="s">
        <v>168</v>
      </c>
      <c r="H54" s="38" t="s">
        <v>169</v>
      </c>
      <c r="I54" s="26">
        <v>3921</v>
      </c>
      <c r="J54" s="26">
        <v>60</v>
      </c>
      <c r="K54" s="49">
        <f t="shared" si="11"/>
        <v>65.349999999999994</v>
      </c>
      <c r="L54" s="76">
        <f>1675/26</f>
        <v>64.42307692307692</v>
      </c>
      <c r="M54" s="28">
        <f>1290/30</f>
        <v>43</v>
      </c>
      <c r="N54" s="28">
        <f>1471/25</f>
        <v>58.84</v>
      </c>
      <c r="O54" s="22">
        <f>1064/19</f>
        <v>56</v>
      </c>
      <c r="P54" s="22">
        <f>581/12</f>
        <v>48.416666666666664</v>
      </c>
      <c r="Q54" s="77"/>
      <c r="R54" s="77"/>
      <c r="S54" s="77"/>
      <c r="T54" s="77"/>
      <c r="U54" s="77"/>
      <c r="V54" s="77"/>
      <c r="W54" s="77"/>
      <c r="X54" s="77"/>
      <c r="Y54" s="23">
        <v>45413</v>
      </c>
      <c r="Z54" s="23">
        <v>45777</v>
      </c>
    </row>
    <row r="55" spans="1:26" ht="54" customHeight="1" x14ac:dyDescent="0.2">
      <c r="A55" s="130"/>
      <c r="B55" s="130"/>
      <c r="C55" s="132" t="s">
        <v>170</v>
      </c>
      <c r="D55" s="132" t="s">
        <v>171</v>
      </c>
      <c r="E55" s="154" t="s">
        <v>137</v>
      </c>
      <c r="F55" s="154" t="s">
        <v>138</v>
      </c>
      <c r="G55" s="29" t="s">
        <v>172</v>
      </c>
      <c r="H55" s="25">
        <v>1</v>
      </c>
      <c r="I55" s="65">
        <v>20457.755996</v>
      </c>
      <c r="J55" s="65">
        <v>20457.755996</v>
      </c>
      <c r="K55" s="78">
        <v>0.999</v>
      </c>
      <c r="L55" s="36">
        <f>19593/19607</f>
        <v>0.99928596929667979</v>
      </c>
      <c r="M55" s="36">
        <f>19465/19465</f>
        <v>1</v>
      </c>
      <c r="N55" s="37">
        <f>20877/20877</f>
        <v>1</v>
      </c>
      <c r="O55" s="36">
        <f>20501/20502</f>
        <v>0.99995122427080285</v>
      </c>
      <c r="P55" s="36">
        <f>20389/20405</f>
        <v>0.99921587846116144</v>
      </c>
      <c r="Q55" s="68"/>
      <c r="R55" s="68"/>
      <c r="S55" s="68"/>
      <c r="T55" s="68"/>
      <c r="U55" s="68"/>
      <c r="V55" s="68"/>
      <c r="W55" s="68"/>
      <c r="X55" s="68"/>
      <c r="Y55" s="23">
        <v>45383</v>
      </c>
      <c r="Z55" s="23">
        <v>45716</v>
      </c>
    </row>
    <row r="56" spans="1:26" ht="54" customHeight="1" x14ac:dyDescent="0.2">
      <c r="A56" s="131"/>
      <c r="B56" s="131"/>
      <c r="C56" s="131"/>
      <c r="D56" s="131"/>
      <c r="E56" s="131"/>
      <c r="F56" s="131"/>
      <c r="G56" s="29" t="s">
        <v>173</v>
      </c>
      <c r="H56" s="25">
        <v>1</v>
      </c>
      <c r="I56" s="65">
        <v>0</v>
      </c>
      <c r="J56" s="65">
        <v>100.726276</v>
      </c>
      <c r="K56" s="27">
        <v>0</v>
      </c>
      <c r="L56" s="36">
        <f>30.903513/J56</f>
        <v>0.30680686537046203</v>
      </c>
      <c r="M56" s="36">
        <f>43.512702/J56</f>
        <v>0.43198958333374698</v>
      </c>
      <c r="N56" s="37">
        <f>45.554294/J56</f>
        <v>0.4522582965342628</v>
      </c>
      <c r="O56" s="36">
        <f>45.601826/J56</f>
        <v>0.45273018929042907</v>
      </c>
      <c r="P56" s="36">
        <f>45.601826/J56</f>
        <v>0.45273018929042907</v>
      </c>
      <c r="Q56" s="69"/>
      <c r="R56" s="69"/>
      <c r="S56" s="69"/>
      <c r="T56" s="69"/>
      <c r="U56" s="69"/>
      <c r="V56" s="69"/>
      <c r="W56" s="69"/>
      <c r="X56" s="69"/>
      <c r="Y56" s="23">
        <v>45383</v>
      </c>
      <c r="Z56" s="23">
        <v>45716</v>
      </c>
    </row>
    <row r="57" spans="1:26" ht="177.75" customHeight="1" x14ac:dyDescent="0.2">
      <c r="A57" s="154" t="s">
        <v>127</v>
      </c>
      <c r="B57" s="132" t="s">
        <v>174</v>
      </c>
      <c r="C57" s="132" t="s">
        <v>175</v>
      </c>
      <c r="D57" s="13" t="s">
        <v>176</v>
      </c>
      <c r="E57" s="14" t="s">
        <v>177</v>
      </c>
      <c r="F57" s="14" t="s">
        <v>178</v>
      </c>
      <c r="G57" s="29" t="s">
        <v>179</v>
      </c>
      <c r="H57" s="38">
        <v>0.98099999999999998</v>
      </c>
      <c r="I57" s="65">
        <v>0</v>
      </c>
      <c r="J57" s="65">
        <v>590814</v>
      </c>
      <c r="K57" s="79">
        <v>0</v>
      </c>
      <c r="L57" s="38">
        <f>327143/590814</f>
        <v>0.55371572102218292</v>
      </c>
      <c r="M57" s="38">
        <f>576473/590814</f>
        <v>0.97572670925198113</v>
      </c>
      <c r="N57" s="38">
        <f>577762/590814</f>
        <v>0.97790844495898877</v>
      </c>
      <c r="O57" s="38">
        <f>579846/590814</f>
        <v>0.98143578181965896</v>
      </c>
      <c r="P57" s="38">
        <f>582084/590814</f>
        <v>0.98522377601072419</v>
      </c>
      <c r="Q57" s="80"/>
      <c r="R57" s="80"/>
      <c r="S57" s="80"/>
      <c r="T57" s="80"/>
      <c r="U57" s="80"/>
      <c r="V57" s="80"/>
      <c r="W57" s="80"/>
      <c r="X57" s="80"/>
      <c r="Y57" s="23">
        <v>45383</v>
      </c>
      <c r="Z57" s="23">
        <v>45716</v>
      </c>
    </row>
    <row r="58" spans="1:26" ht="106.5" customHeight="1" x14ac:dyDescent="0.2">
      <c r="A58" s="130"/>
      <c r="B58" s="130"/>
      <c r="C58" s="130"/>
      <c r="D58" s="13" t="s">
        <v>180</v>
      </c>
      <c r="E58" s="14" t="s">
        <v>177</v>
      </c>
      <c r="F58" s="14" t="s">
        <v>178</v>
      </c>
      <c r="G58" s="29" t="s">
        <v>181</v>
      </c>
      <c r="H58" s="65" t="s">
        <v>182</v>
      </c>
      <c r="I58" s="65">
        <v>0</v>
      </c>
      <c r="J58" s="65">
        <v>0</v>
      </c>
      <c r="K58" s="79">
        <v>0</v>
      </c>
      <c r="L58" s="22" t="s">
        <v>50</v>
      </c>
      <c r="M58" s="14" t="s">
        <v>50</v>
      </c>
      <c r="N58" s="14" t="s">
        <v>50</v>
      </c>
      <c r="O58" s="38">
        <f>335389/627571</f>
        <v>0.53442399346050085</v>
      </c>
      <c r="P58" s="38">
        <f>607993/627571</f>
        <v>0.96880352979981543</v>
      </c>
      <c r="Q58" s="80"/>
      <c r="R58" s="80"/>
      <c r="S58" s="80"/>
      <c r="T58" s="80"/>
      <c r="U58" s="80"/>
      <c r="V58" s="80"/>
      <c r="W58" s="80"/>
      <c r="X58" s="80"/>
      <c r="Y58" s="23">
        <v>45474</v>
      </c>
      <c r="Z58" s="23">
        <v>45747</v>
      </c>
    </row>
    <row r="59" spans="1:26" ht="97.5" customHeight="1" x14ac:dyDescent="0.2">
      <c r="A59" s="130"/>
      <c r="B59" s="130"/>
      <c r="C59" s="130"/>
      <c r="D59" s="13" t="s">
        <v>183</v>
      </c>
      <c r="E59" s="14" t="s">
        <v>177</v>
      </c>
      <c r="F59" s="14" t="s">
        <v>178</v>
      </c>
      <c r="G59" s="29" t="s">
        <v>184</v>
      </c>
      <c r="H59" s="38">
        <v>0.7</v>
      </c>
      <c r="I59" s="65">
        <v>0</v>
      </c>
      <c r="J59" s="65">
        <v>72923</v>
      </c>
      <c r="K59" s="79">
        <v>0</v>
      </c>
      <c r="L59" s="38">
        <f>6862/J59</f>
        <v>9.4099255378961369E-2</v>
      </c>
      <c r="M59" s="38">
        <f>(6862+10085)/J59</f>
        <v>0.23239581476351767</v>
      </c>
      <c r="N59" s="38">
        <f>(6862+10085+4415)/J59</f>
        <v>0.2929391275729194</v>
      </c>
      <c r="O59" s="38">
        <f>(6862+10085+4415+5066)/J59</f>
        <v>0.3624096649890981</v>
      </c>
      <c r="P59" s="38">
        <f>(6862+10085+4415+5066+3099)/J59</f>
        <v>0.40490654526006886</v>
      </c>
      <c r="Q59" s="80"/>
      <c r="R59" s="80"/>
      <c r="S59" s="80"/>
      <c r="T59" s="80"/>
      <c r="U59" s="80"/>
      <c r="V59" s="80"/>
      <c r="W59" s="80"/>
      <c r="X59" s="80"/>
      <c r="Y59" s="23">
        <v>45383</v>
      </c>
      <c r="Z59" s="23">
        <v>45716</v>
      </c>
    </row>
    <row r="60" spans="1:26" ht="92.25" customHeight="1" x14ac:dyDescent="0.2">
      <c r="A60" s="130"/>
      <c r="B60" s="130"/>
      <c r="C60" s="131"/>
      <c r="D60" s="13" t="s">
        <v>185</v>
      </c>
      <c r="E60" s="14" t="s">
        <v>177</v>
      </c>
      <c r="F60" s="14" t="s">
        <v>178</v>
      </c>
      <c r="G60" s="29" t="s">
        <v>186</v>
      </c>
      <c r="H60" s="14" t="s">
        <v>187</v>
      </c>
      <c r="I60" s="71">
        <v>0</v>
      </c>
      <c r="J60" s="71">
        <v>40284</v>
      </c>
      <c r="K60" s="73">
        <v>0</v>
      </c>
      <c r="L60" s="38">
        <f>63/12939</f>
        <v>4.8690006955715275E-3</v>
      </c>
      <c r="M60" s="38">
        <f>2159/27804</f>
        <v>7.7650697741332181E-2</v>
      </c>
      <c r="N60" s="38">
        <f>6110/J60</f>
        <v>0.15167312084202164</v>
      </c>
      <c r="O60" s="38">
        <f>11981/J60</f>
        <v>0.29741336510773508</v>
      </c>
      <c r="P60" s="38">
        <f>20499/65106</f>
        <v>0.31485577366141371</v>
      </c>
      <c r="Q60" s="13"/>
      <c r="R60" s="13"/>
      <c r="S60" s="13"/>
      <c r="T60" s="13"/>
      <c r="U60" s="13"/>
      <c r="V60" s="13"/>
      <c r="W60" s="13"/>
      <c r="X60" s="13"/>
      <c r="Y60" s="23">
        <v>45413</v>
      </c>
      <c r="Z60" s="23">
        <v>45716</v>
      </c>
    </row>
    <row r="61" spans="1:26" ht="54" customHeight="1" x14ac:dyDescent="0.2">
      <c r="A61" s="130"/>
      <c r="B61" s="130"/>
      <c r="C61" s="136" t="s">
        <v>188</v>
      </c>
      <c r="D61" s="60" t="s">
        <v>189</v>
      </c>
      <c r="E61" s="158" t="s">
        <v>190</v>
      </c>
      <c r="F61" s="158" t="s">
        <v>191</v>
      </c>
      <c r="G61" s="16" t="s">
        <v>192</v>
      </c>
      <c r="H61" s="63">
        <v>0.98</v>
      </c>
      <c r="I61" s="81">
        <v>35859.563502999998</v>
      </c>
      <c r="J61" s="81">
        <v>98927.528835999998</v>
      </c>
      <c r="K61" s="82">
        <f>I61/J61</f>
        <v>0.36248316242132395</v>
      </c>
      <c r="L61" s="70">
        <f>75450164352/ 106942429936</f>
        <v>0.70552132018276903</v>
      </c>
      <c r="M61" s="70">
        <f>115302770079/148557294936</f>
        <v>0.77615017242117668</v>
      </c>
      <c r="N61" s="70">
        <f>182847159436/219616452797</f>
        <v>0.83257496015115373</v>
      </c>
      <c r="O61" s="63">
        <f>237416555613/272080070481.45</f>
        <v>0.87259811125779119</v>
      </c>
      <c r="P61" s="38">
        <f>327746038064/355205999569</f>
        <v>0.92269285558712588</v>
      </c>
      <c r="Q61" s="60"/>
      <c r="R61" s="60"/>
      <c r="S61" s="60"/>
      <c r="T61" s="60"/>
      <c r="U61" s="60"/>
      <c r="V61" s="60"/>
      <c r="W61" s="60"/>
      <c r="X61" s="60"/>
      <c r="Y61" s="32">
        <v>45392</v>
      </c>
      <c r="Z61" s="32">
        <v>45757</v>
      </c>
    </row>
    <row r="62" spans="1:26" ht="66.75" customHeight="1" x14ac:dyDescent="0.2">
      <c r="A62" s="130"/>
      <c r="B62" s="130"/>
      <c r="C62" s="130"/>
      <c r="D62" s="60" t="s">
        <v>193</v>
      </c>
      <c r="E62" s="130"/>
      <c r="F62" s="130"/>
      <c r="G62" s="16" t="s">
        <v>194</v>
      </c>
      <c r="H62" s="63">
        <v>0.46300000000000002</v>
      </c>
      <c r="I62" s="18" t="s">
        <v>195</v>
      </c>
      <c r="J62" s="81">
        <v>620441.56050300004</v>
      </c>
      <c r="K62" s="83" t="s">
        <v>195</v>
      </c>
      <c r="L62" s="44">
        <f>110445.447248/620442</f>
        <v>0.17801091358741025</v>
      </c>
      <c r="M62" s="44">
        <f>176734.735802/620442</f>
        <v>0.28485295289809526</v>
      </c>
      <c r="N62" s="44">
        <f>183972.807631/J62</f>
        <v>0.29651915561854181</v>
      </c>
      <c r="O62" s="63">
        <f>202654.881965/J62</f>
        <v>0.3266300887398727</v>
      </c>
      <c r="P62" s="38">
        <f>207182.776924/J62</f>
        <v>0.33392794763141631</v>
      </c>
      <c r="Q62" s="84"/>
      <c r="R62" s="84"/>
      <c r="S62" s="84"/>
      <c r="T62" s="84"/>
      <c r="U62" s="84"/>
      <c r="V62" s="84"/>
      <c r="W62" s="84"/>
      <c r="X62" s="84"/>
      <c r="Y62" s="32">
        <v>45392</v>
      </c>
      <c r="Z62" s="32">
        <v>45757</v>
      </c>
    </row>
    <row r="63" spans="1:26" ht="54" customHeight="1" x14ac:dyDescent="0.2">
      <c r="A63" s="131"/>
      <c r="B63" s="131"/>
      <c r="C63" s="131"/>
      <c r="D63" s="60" t="s">
        <v>196</v>
      </c>
      <c r="E63" s="131"/>
      <c r="F63" s="131"/>
      <c r="G63" s="16" t="s">
        <v>197</v>
      </c>
      <c r="H63" s="63">
        <v>0.98</v>
      </c>
      <c r="I63" s="81">
        <v>18961.3131991667</v>
      </c>
      <c r="J63" s="81">
        <v>19048.441995166701</v>
      </c>
      <c r="K63" s="82">
        <f t="shared" ref="K63:K64" si="12">I63/J63</f>
        <v>0.99542593583128169</v>
      </c>
      <c r="L63" s="44">
        <f>39794588823/39808151645</f>
        <v>0.99965929535937892</v>
      </c>
      <c r="M63" s="44">
        <f>58462260642/60408942574</f>
        <v>0.96777493779806945</v>
      </c>
      <c r="N63" s="44">
        <f>59800126216/61746808148</f>
        <v>0.9684731569066044</v>
      </c>
      <c r="O63" s="125">
        <f>62592033992/62591704623</f>
        <v>1.0000052621829361</v>
      </c>
      <c r="P63" s="38">
        <f>63795116359/63794787001</f>
        <v>1.0000051627729394</v>
      </c>
      <c r="Q63" s="84"/>
      <c r="R63" s="84"/>
      <c r="S63" s="84"/>
      <c r="T63" s="84"/>
      <c r="U63" s="84"/>
      <c r="V63" s="84"/>
      <c r="W63" s="84"/>
      <c r="X63" s="84"/>
      <c r="Y63" s="32">
        <v>45392</v>
      </c>
      <c r="Z63" s="32">
        <v>45757</v>
      </c>
    </row>
    <row r="64" spans="1:26" ht="54" customHeight="1" x14ac:dyDescent="0.2">
      <c r="A64" s="133" t="s">
        <v>127</v>
      </c>
      <c r="B64" s="154" t="s">
        <v>198</v>
      </c>
      <c r="C64" s="136" t="s">
        <v>199</v>
      </c>
      <c r="D64" s="13" t="s">
        <v>200</v>
      </c>
      <c r="E64" s="14" t="s">
        <v>177</v>
      </c>
      <c r="F64" s="14" t="s">
        <v>138</v>
      </c>
      <c r="G64" s="29" t="s">
        <v>201</v>
      </c>
      <c r="H64" s="38">
        <f>2105214.643276/2105215.643276</f>
        <v>0.99999952498927924</v>
      </c>
      <c r="I64" s="26">
        <v>375431.75288400002</v>
      </c>
      <c r="J64" s="26">
        <v>2105214.6432759999</v>
      </c>
      <c r="K64" s="27">
        <f t="shared" si="12"/>
        <v>0.17833419223218835</v>
      </c>
      <c r="L64" s="36">
        <f>496474.831024/2105215.643276</f>
        <v>0.2358308673079296</v>
      </c>
      <c r="M64" s="44">
        <f>627115.914434/2105215.643277</f>
        <v>0.29788678249503459</v>
      </c>
      <c r="N64" s="37">
        <f>754555.009898/2105215.643277</f>
        <v>0.35842171908026105</v>
      </c>
      <c r="O64" s="38">
        <f>883333.2382/2105215.643277</f>
        <v>0.4195927581200159</v>
      </c>
      <c r="P64" s="38">
        <f>1018803.542727/2105215.643277</f>
        <v>0.48394260511057191</v>
      </c>
      <c r="Q64" s="69"/>
      <c r="R64" s="69"/>
      <c r="S64" s="69"/>
      <c r="T64" s="69"/>
      <c r="U64" s="69"/>
      <c r="V64" s="69"/>
      <c r="W64" s="69"/>
      <c r="X64" s="69"/>
      <c r="Y64" s="23">
        <v>45392</v>
      </c>
      <c r="Z64" s="23">
        <v>45757</v>
      </c>
    </row>
    <row r="65" spans="1:26" ht="54" customHeight="1" x14ac:dyDescent="0.2">
      <c r="A65" s="130"/>
      <c r="B65" s="130"/>
      <c r="C65" s="130"/>
      <c r="D65" s="132" t="s">
        <v>202</v>
      </c>
      <c r="E65" s="14" t="s">
        <v>203</v>
      </c>
      <c r="F65" s="14" t="s">
        <v>204</v>
      </c>
      <c r="G65" s="29" t="s">
        <v>205</v>
      </c>
      <c r="H65" s="25">
        <f>(14/14)</f>
        <v>1</v>
      </c>
      <c r="I65" s="17" t="s">
        <v>72</v>
      </c>
      <c r="J65" s="17" t="s">
        <v>72</v>
      </c>
      <c r="K65" s="85" t="s">
        <v>72</v>
      </c>
      <c r="L65" s="86" t="s">
        <v>50</v>
      </c>
      <c r="M65" s="86" t="s">
        <v>50</v>
      </c>
      <c r="N65" s="33">
        <f>1/21</f>
        <v>4.7619047619047616E-2</v>
      </c>
      <c r="O65" s="14" t="s">
        <v>206</v>
      </c>
      <c r="P65" s="14" t="s">
        <v>207</v>
      </c>
      <c r="Q65" s="69"/>
      <c r="R65" s="69"/>
      <c r="S65" s="69"/>
      <c r="T65" s="69"/>
      <c r="U65" s="69"/>
      <c r="V65" s="69"/>
      <c r="W65" s="69"/>
      <c r="X65" s="69"/>
      <c r="Y65" s="23">
        <v>45444</v>
      </c>
      <c r="Z65" s="23">
        <v>45757</v>
      </c>
    </row>
    <row r="66" spans="1:26" ht="54" customHeight="1" x14ac:dyDescent="0.2">
      <c r="A66" s="131"/>
      <c r="B66" s="131"/>
      <c r="C66" s="131"/>
      <c r="D66" s="131"/>
      <c r="E66" s="14" t="s">
        <v>203</v>
      </c>
      <c r="F66" s="14" t="s">
        <v>204</v>
      </c>
      <c r="G66" s="16" t="s">
        <v>208</v>
      </c>
      <c r="H66" s="62">
        <v>1</v>
      </c>
      <c r="I66" s="17" t="s">
        <v>72</v>
      </c>
      <c r="J66" s="17" t="s">
        <v>72</v>
      </c>
      <c r="K66" s="85" t="s">
        <v>72</v>
      </c>
      <c r="L66" s="86" t="s">
        <v>50</v>
      </c>
      <c r="M66" s="86" t="s">
        <v>50</v>
      </c>
      <c r="N66" s="33">
        <f t="shared" ref="N66:P66" si="13">1/1</f>
        <v>1</v>
      </c>
      <c r="O66" s="25">
        <f t="shared" si="13"/>
        <v>1</v>
      </c>
      <c r="P66" s="25">
        <f t="shared" si="13"/>
        <v>1</v>
      </c>
      <c r="Q66" s="84"/>
      <c r="R66" s="84"/>
      <c r="S66" s="84"/>
      <c r="T66" s="84"/>
      <c r="U66" s="84"/>
      <c r="V66" s="84"/>
      <c r="W66" s="84"/>
      <c r="X66" s="84"/>
      <c r="Y66" s="32">
        <v>45474</v>
      </c>
      <c r="Z66" s="23">
        <v>45757</v>
      </c>
    </row>
    <row r="67" spans="1:26" ht="54" customHeight="1" x14ac:dyDescent="0.2">
      <c r="A67" s="161" t="s">
        <v>127</v>
      </c>
      <c r="B67" s="163" t="s">
        <v>209</v>
      </c>
      <c r="C67" s="136" t="s">
        <v>210</v>
      </c>
      <c r="D67" s="60" t="s">
        <v>211</v>
      </c>
      <c r="E67" s="17" t="s">
        <v>212</v>
      </c>
      <c r="F67" s="17" t="s">
        <v>213</v>
      </c>
      <c r="G67" s="16" t="s">
        <v>214</v>
      </c>
      <c r="H67" s="62">
        <v>1</v>
      </c>
      <c r="I67" s="17" t="s">
        <v>72</v>
      </c>
      <c r="J67" s="17" t="s">
        <v>72</v>
      </c>
      <c r="K67" s="85" t="s">
        <v>72</v>
      </c>
      <c r="L67" s="87">
        <f t="shared" ref="L67:M67" si="14">0%</f>
        <v>0</v>
      </c>
      <c r="M67" s="87">
        <f t="shared" si="14"/>
        <v>0</v>
      </c>
      <c r="N67" s="88">
        <v>0</v>
      </c>
      <c r="O67" s="63">
        <f>2.7/3</f>
        <v>0.9</v>
      </c>
      <c r="P67" s="63">
        <f>2.85/3</f>
        <v>0.95000000000000007</v>
      </c>
      <c r="Q67" s="84"/>
      <c r="R67" s="84"/>
      <c r="S67" s="84"/>
      <c r="T67" s="84"/>
      <c r="U67" s="84"/>
      <c r="V67" s="84"/>
      <c r="W67" s="84"/>
      <c r="X67" s="84"/>
      <c r="Y67" s="32">
        <v>45392</v>
      </c>
      <c r="Z67" s="32">
        <v>45757</v>
      </c>
    </row>
    <row r="68" spans="1:26" ht="54" customHeight="1" x14ac:dyDescent="0.2">
      <c r="A68" s="130"/>
      <c r="B68" s="130"/>
      <c r="C68" s="130"/>
      <c r="D68" s="60" t="s">
        <v>215</v>
      </c>
      <c r="E68" s="17" t="s">
        <v>216</v>
      </c>
      <c r="F68" s="17" t="s">
        <v>217</v>
      </c>
      <c r="G68" s="16" t="s">
        <v>218</v>
      </c>
      <c r="H68" s="62">
        <v>1</v>
      </c>
      <c r="I68" s="17" t="s">
        <v>72</v>
      </c>
      <c r="J68" s="17" t="s">
        <v>72</v>
      </c>
      <c r="K68" s="85" t="s">
        <v>72</v>
      </c>
      <c r="L68" s="87">
        <f>0%</f>
        <v>0</v>
      </c>
      <c r="M68" s="89">
        <f>7/8</f>
        <v>0.875</v>
      </c>
      <c r="N68" s="88">
        <f>12/12</f>
        <v>1</v>
      </c>
      <c r="O68" s="62">
        <f>37/54</f>
        <v>0.68518518518518523</v>
      </c>
      <c r="P68" s="62">
        <f>28/28</f>
        <v>1</v>
      </c>
      <c r="Q68" s="84"/>
      <c r="R68" s="84"/>
      <c r="S68" s="84"/>
      <c r="T68" s="84"/>
      <c r="U68" s="84"/>
      <c r="V68" s="84"/>
      <c r="W68" s="84"/>
      <c r="X68" s="84"/>
      <c r="Y68" s="32">
        <v>45392</v>
      </c>
      <c r="Z68" s="32">
        <v>45747</v>
      </c>
    </row>
    <row r="69" spans="1:26" ht="54" customHeight="1" x14ac:dyDescent="0.2">
      <c r="A69" s="130"/>
      <c r="B69" s="130"/>
      <c r="C69" s="130"/>
      <c r="D69" s="60" t="s">
        <v>219</v>
      </c>
      <c r="E69" s="17" t="s">
        <v>220</v>
      </c>
      <c r="F69" s="17" t="s">
        <v>221</v>
      </c>
      <c r="G69" s="16" t="s">
        <v>222</v>
      </c>
      <c r="H69" s="62">
        <v>1</v>
      </c>
      <c r="I69" s="17" t="s">
        <v>72</v>
      </c>
      <c r="J69" s="17" t="s">
        <v>72</v>
      </c>
      <c r="K69" s="85" t="s">
        <v>72</v>
      </c>
      <c r="L69" s="75">
        <v>1</v>
      </c>
      <c r="M69" s="90" t="s">
        <v>50</v>
      </c>
      <c r="N69" s="90" t="s">
        <v>50</v>
      </c>
      <c r="O69" s="63">
        <f>1895377 /1895499</f>
        <v>0.99993563700112742</v>
      </c>
      <c r="P69" s="90" t="s">
        <v>50</v>
      </c>
      <c r="Q69" s="84"/>
      <c r="R69" s="84"/>
      <c r="S69" s="84"/>
      <c r="T69" s="84"/>
      <c r="U69" s="84"/>
      <c r="V69" s="84"/>
      <c r="W69" s="84"/>
      <c r="X69" s="84"/>
      <c r="Y69" s="32">
        <v>45392</v>
      </c>
      <c r="Z69" s="32">
        <v>45757</v>
      </c>
    </row>
    <row r="70" spans="1:26" ht="54" customHeight="1" x14ac:dyDescent="0.2">
      <c r="A70" s="131"/>
      <c r="B70" s="131"/>
      <c r="C70" s="131"/>
      <c r="D70" s="60" t="s">
        <v>223</v>
      </c>
      <c r="E70" s="17" t="s">
        <v>220</v>
      </c>
      <c r="F70" s="17" t="s">
        <v>221</v>
      </c>
      <c r="G70" s="16" t="s">
        <v>224</v>
      </c>
      <c r="H70" s="62">
        <v>1</v>
      </c>
      <c r="I70" s="17" t="s">
        <v>72</v>
      </c>
      <c r="J70" s="17" t="s">
        <v>72</v>
      </c>
      <c r="K70" s="85" t="s">
        <v>72</v>
      </c>
      <c r="L70" s="75">
        <v>1</v>
      </c>
      <c r="M70" s="90" t="s">
        <v>50</v>
      </c>
      <c r="N70" s="90" t="s">
        <v>50</v>
      </c>
      <c r="O70" s="36">
        <f>398410180018 /  398944637033</f>
        <v>0.99866032284836603</v>
      </c>
      <c r="P70" s="90" t="s">
        <v>50</v>
      </c>
      <c r="Q70" s="84"/>
      <c r="R70" s="84"/>
      <c r="S70" s="84"/>
      <c r="T70" s="84"/>
      <c r="U70" s="84"/>
      <c r="V70" s="84"/>
      <c r="W70" s="84"/>
      <c r="X70" s="84"/>
      <c r="Y70" s="32">
        <v>45392</v>
      </c>
      <c r="Z70" s="32">
        <v>45757</v>
      </c>
    </row>
    <row r="71" spans="1:26" ht="54" customHeight="1" x14ac:dyDescent="0.2">
      <c r="A71" s="133" t="s">
        <v>127</v>
      </c>
      <c r="B71" s="134" t="s">
        <v>225</v>
      </c>
      <c r="C71" s="132" t="s">
        <v>199</v>
      </c>
      <c r="D71" s="13" t="s">
        <v>226</v>
      </c>
      <c r="E71" s="14" t="s">
        <v>177</v>
      </c>
      <c r="F71" s="14" t="s">
        <v>227</v>
      </c>
      <c r="G71" s="29" t="s">
        <v>228</v>
      </c>
      <c r="H71" s="26">
        <v>-540306.59869300004</v>
      </c>
      <c r="I71" s="14" t="s">
        <v>229</v>
      </c>
      <c r="J71" s="14" t="s">
        <v>229</v>
      </c>
      <c r="K71" s="49">
        <v>-562686.37213200005</v>
      </c>
      <c r="L71" s="50">
        <v>-597375.66383500001</v>
      </c>
      <c r="M71" s="50">
        <v>-612177</v>
      </c>
      <c r="N71" s="91">
        <v>-620852.63618300005</v>
      </c>
      <c r="O71" s="26">
        <v>-635151.08610900003</v>
      </c>
      <c r="P71" s="26">
        <v>-638814.46501100005</v>
      </c>
      <c r="Q71" s="92"/>
      <c r="R71" s="92"/>
      <c r="S71" s="92"/>
      <c r="T71" s="92"/>
      <c r="U71" s="92"/>
      <c r="V71" s="92"/>
      <c r="W71" s="92"/>
      <c r="X71" s="92"/>
      <c r="Y71" s="23">
        <v>45392</v>
      </c>
      <c r="Z71" s="23">
        <v>45757</v>
      </c>
    </row>
    <row r="72" spans="1:26" ht="54" customHeight="1" x14ac:dyDescent="0.2">
      <c r="A72" s="130"/>
      <c r="B72" s="130"/>
      <c r="C72" s="130"/>
      <c r="D72" s="13" t="s">
        <v>230</v>
      </c>
      <c r="E72" s="14" t="s">
        <v>177</v>
      </c>
      <c r="F72" s="14" t="s">
        <v>227</v>
      </c>
      <c r="G72" s="29" t="s">
        <v>231</v>
      </c>
      <c r="H72" s="26">
        <v>-714092.19272000005</v>
      </c>
      <c r="I72" s="14" t="s">
        <v>229</v>
      </c>
      <c r="J72" s="14" t="s">
        <v>229</v>
      </c>
      <c r="K72" s="49">
        <v>-716618.41504899994</v>
      </c>
      <c r="L72" s="50">
        <v>-751935.42491299997</v>
      </c>
      <c r="M72" s="50">
        <v>-767611</v>
      </c>
      <c r="N72" s="91">
        <v>-776930.47742200003</v>
      </c>
      <c r="O72" s="26">
        <v>-792448.68470800004</v>
      </c>
      <c r="P72" s="26">
        <v>-797678.25460900005</v>
      </c>
      <c r="Q72" s="92"/>
      <c r="R72" s="92"/>
      <c r="S72" s="92"/>
      <c r="T72" s="92"/>
      <c r="U72" s="92"/>
      <c r="V72" s="92"/>
      <c r="W72" s="92"/>
      <c r="X72" s="92"/>
      <c r="Y72" s="23">
        <v>45392</v>
      </c>
      <c r="Z72" s="23">
        <v>45757</v>
      </c>
    </row>
    <row r="73" spans="1:26" ht="54" customHeight="1" x14ac:dyDescent="0.2">
      <c r="A73" s="130"/>
      <c r="B73" s="130"/>
      <c r="C73" s="130"/>
      <c r="D73" s="13" t="s">
        <v>232</v>
      </c>
      <c r="E73" s="14" t="s">
        <v>177</v>
      </c>
      <c r="F73" s="14" t="s">
        <v>227</v>
      </c>
      <c r="G73" s="29" t="s">
        <v>233</v>
      </c>
      <c r="H73" s="26">
        <v>-622016.089225</v>
      </c>
      <c r="I73" s="14" t="s">
        <v>229</v>
      </c>
      <c r="J73" s="14" t="s">
        <v>229</v>
      </c>
      <c r="K73" s="49">
        <v>-670473.01789400005</v>
      </c>
      <c r="L73" s="50">
        <v>-681754.821001</v>
      </c>
      <c r="M73" s="50">
        <v>-705909</v>
      </c>
      <c r="N73" s="91">
        <v>-710120.47335600003</v>
      </c>
      <c r="O73" s="26">
        <v>-733117.13767700002</v>
      </c>
      <c r="P73" s="26">
        <v>-751385.67919099994</v>
      </c>
      <c r="Q73" s="92"/>
      <c r="R73" s="92"/>
      <c r="S73" s="92"/>
      <c r="T73" s="92"/>
      <c r="U73" s="92"/>
      <c r="V73" s="92"/>
      <c r="W73" s="92"/>
      <c r="X73" s="92"/>
      <c r="Y73" s="23">
        <v>45392</v>
      </c>
      <c r="Z73" s="23">
        <v>45757</v>
      </c>
    </row>
    <row r="74" spans="1:26" ht="54" customHeight="1" x14ac:dyDescent="0.2">
      <c r="A74" s="131"/>
      <c r="B74" s="131"/>
      <c r="C74" s="131"/>
      <c r="D74" s="13" t="s">
        <v>234</v>
      </c>
      <c r="E74" s="14" t="s">
        <v>177</v>
      </c>
      <c r="F74" s="14" t="s">
        <v>227</v>
      </c>
      <c r="G74" s="29" t="s">
        <v>235</v>
      </c>
      <c r="H74" s="26">
        <v>27533.073907999998</v>
      </c>
      <c r="I74" s="14" t="s">
        <v>229</v>
      </c>
      <c r="J74" s="14" t="s">
        <v>229</v>
      </c>
      <c r="K74" s="49">
        <v>103.11869799999999</v>
      </c>
      <c r="L74" s="93">
        <v>623.50966200000005</v>
      </c>
      <c r="M74" s="93">
        <v>0</v>
      </c>
      <c r="N74" s="93">
        <v>5481.139142</v>
      </c>
      <c r="O74" s="93">
        <v>6607.476216</v>
      </c>
      <c r="P74" s="93">
        <v>12552.221328</v>
      </c>
      <c r="Q74" s="14"/>
      <c r="R74" s="14"/>
      <c r="S74" s="14"/>
      <c r="T74" s="14"/>
      <c r="U74" s="14"/>
      <c r="V74" s="14"/>
      <c r="W74" s="14"/>
      <c r="X74" s="14"/>
      <c r="Y74" s="23">
        <v>45392</v>
      </c>
      <c r="Z74" s="23">
        <v>45757</v>
      </c>
    </row>
    <row r="75" spans="1:26" ht="15.75" customHeight="1" x14ac:dyDescent="0.2">
      <c r="A75" s="162" t="s">
        <v>236</v>
      </c>
      <c r="B75" s="159" t="s">
        <v>237</v>
      </c>
      <c r="C75" s="160" t="s">
        <v>238</v>
      </c>
      <c r="D75" s="160" t="s">
        <v>239</v>
      </c>
      <c r="E75" s="157" t="s">
        <v>240</v>
      </c>
      <c r="F75" s="157" t="s">
        <v>241</v>
      </c>
      <c r="G75" s="94" t="s">
        <v>242</v>
      </c>
      <c r="H75" s="95">
        <v>4</v>
      </c>
      <c r="I75" s="95">
        <v>279</v>
      </c>
      <c r="J75" s="95">
        <v>755015</v>
      </c>
      <c r="K75" s="96">
        <f>(I75/J75)*10000</f>
        <v>3.6952908220366485</v>
      </c>
      <c r="L75" s="97">
        <f>(436/756110)*10000</f>
        <v>5.7663567470341626</v>
      </c>
      <c r="M75" s="97">
        <f>(452/755904)*10000</f>
        <v>5.9795952925239177</v>
      </c>
      <c r="N75" s="97">
        <f>(397/754502)*10000</f>
        <v>5.261748809148286</v>
      </c>
      <c r="O75" s="97">
        <f>(488/754834)*10000</f>
        <v>6.4649976021217919</v>
      </c>
      <c r="P75" s="98">
        <f>(466/754959)*10000</f>
        <v>6.1725206269479527</v>
      </c>
      <c r="Q75" s="95"/>
      <c r="R75" s="95"/>
      <c r="S75" s="95"/>
      <c r="T75" s="95"/>
      <c r="U75" s="95"/>
      <c r="V75" s="95"/>
      <c r="W75" s="95"/>
      <c r="X75" s="95"/>
      <c r="Y75" s="99">
        <v>45383</v>
      </c>
      <c r="Z75" s="99">
        <v>45757</v>
      </c>
    </row>
    <row r="76" spans="1:26" ht="15.75" customHeight="1" x14ac:dyDescent="0.2">
      <c r="A76" s="130"/>
      <c r="B76" s="130"/>
      <c r="C76" s="130"/>
      <c r="D76" s="130"/>
      <c r="E76" s="131"/>
      <c r="F76" s="131"/>
      <c r="G76" s="94" t="s">
        <v>243</v>
      </c>
      <c r="H76" s="95">
        <v>6.3</v>
      </c>
      <c r="I76" s="95">
        <v>457</v>
      </c>
      <c r="J76" s="95">
        <v>753695</v>
      </c>
      <c r="K76" s="96">
        <f>(457/753695)*10000</f>
        <v>6.0634606836983131</v>
      </c>
      <c r="L76" s="100">
        <f>(651/755250)*10000</f>
        <v>8.6196623634558094</v>
      </c>
      <c r="M76" s="101">
        <f>(695/756110)*10000</f>
        <v>9.1917842641943626</v>
      </c>
      <c r="N76" s="97">
        <f>(555/754502)*10000</f>
        <v>7.3558453125372756</v>
      </c>
      <c r="O76" s="97">
        <f>(691/754834)*10000</f>
        <v>9.1543306210372091</v>
      </c>
      <c r="P76" s="98">
        <f>(628/754959)*10000</f>
        <v>8.3183325187195596</v>
      </c>
      <c r="Q76" s="95"/>
      <c r="R76" s="95"/>
      <c r="S76" s="95"/>
      <c r="T76" s="95"/>
      <c r="U76" s="95"/>
      <c r="V76" s="95"/>
      <c r="W76" s="95"/>
      <c r="X76" s="95"/>
      <c r="Y76" s="99">
        <v>45383</v>
      </c>
      <c r="Z76" s="99">
        <v>45757</v>
      </c>
    </row>
    <row r="77" spans="1:26" ht="81" customHeight="1" x14ac:dyDescent="0.2">
      <c r="A77" s="130"/>
      <c r="B77" s="130"/>
      <c r="C77" s="131"/>
      <c r="D77" s="131"/>
      <c r="E77" s="94" t="s">
        <v>240</v>
      </c>
      <c r="F77" s="94" t="s">
        <v>241</v>
      </c>
      <c r="G77" s="94" t="s">
        <v>244</v>
      </c>
      <c r="H77" s="102">
        <v>0.15</v>
      </c>
      <c r="I77" s="95">
        <v>108</v>
      </c>
      <c r="J77" s="95">
        <v>279</v>
      </c>
      <c r="K77" s="103">
        <f t="shared" ref="K77:K80" si="15">I77/J77</f>
        <v>0.38709677419354838</v>
      </c>
      <c r="L77" s="58">
        <f>206/436</f>
        <v>0.47247706422018348</v>
      </c>
      <c r="M77" s="58">
        <f>129/452</f>
        <v>0.28539823008849557</v>
      </c>
      <c r="N77" s="104">
        <f>142/397</f>
        <v>0.35768261964735515</v>
      </c>
      <c r="O77" s="104">
        <f>199/488</f>
        <v>0.40778688524590162</v>
      </c>
      <c r="P77" s="104">
        <f>158/466</f>
        <v>0.33905579399141633</v>
      </c>
      <c r="Q77" s="104"/>
      <c r="R77" s="104"/>
      <c r="S77" s="104"/>
      <c r="T77" s="104"/>
      <c r="U77" s="104"/>
      <c r="V77" s="104"/>
      <c r="W77" s="104"/>
      <c r="X77" s="104"/>
      <c r="Y77" s="99">
        <v>45383</v>
      </c>
      <c r="Z77" s="99">
        <v>45757</v>
      </c>
    </row>
    <row r="78" spans="1:26" ht="66.75" customHeight="1" x14ac:dyDescent="0.2">
      <c r="A78" s="130"/>
      <c r="B78" s="130"/>
      <c r="C78" s="160" t="s">
        <v>245</v>
      </c>
      <c r="D78" s="105" t="s">
        <v>246</v>
      </c>
      <c r="E78" s="94" t="s">
        <v>240</v>
      </c>
      <c r="F78" s="94" t="s">
        <v>241</v>
      </c>
      <c r="G78" s="94" t="s">
        <v>247</v>
      </c>
      <c r="H78" s="102">
        <v>1</v>
      </c>
      <c r="I78" s="95">
        <v>541</v>
      </c>
      <c r="J78" s="95">
        <v>814</v>
      </c>
      <c r="K78" s="103">
        <f t="shared" si="15"/>
        <v>0.66461916461916459</v>
      </c>
      <c r="L78" s="70">
        <f>681/1245</f>
        <v>0.54698795180722892</v>
      </c>
      <c r="M78" s="70">
        <f>806/1687</f>
        <v>0.47777119146413755</v>
      </c>
      <c r="N78" s="106">
        <f>914/2076</f>
        <v>0.44026974951830444</v>
      </c>
      <c r="O78" s="106">
        <f>1015/2391</f>
        <v>0.424508573818486</v>
      </c>
      <c r="P78" s="104">
        <f>1193/2962</f>
        <v>0.40276839972991224</v>
      </c>
      <c r="Q78" s="102"/>
      <c r="R78" s="102"/>
      <c r="S78" s="102"/>
      <c r="T78" s="102"/>
      <c r="U78" s="102"/>
      <c r="V78" s="102"/>
      <c r="W78" s="102"/>
      <c r="X78" s="102"/>
      <c r="Y78" s="99">
        <v>45383</v>
      </c>
      <c r="Z78" s="99">
        <v>45757</v>
      </c>
    </row>
    <row r="79" spans="1:26" ht="105.75" customHeight="1" x14ac:dyDescent="0.2">
      <c r="A79" s="130"/>
      <c r="B79" s="130"/>
      <c r="C79" s="131"/>
      <c r="D79" s="105" t="s">
        <v>248</v>
      </c>
      <c r="E79" s="157" t="s">
        <v>240</v>
      </c>
      <c r="F79" s="157" t="s">
        <v>241</v>
      </c>
      <c r="G79" s="94" t="s">
        <v>249</v>
      </c>
      <c r="H79" s="102">
        <v>1</v>
      </c>
      <c r="I79" s="95">
        <v>160</v>
      </c>
      <c r="J79" s="95">
        <v>313</v>
      </c>
      <c r="K79" s="104">
        <f t="shared" si="15"/>
        <v>0.51118210862619806</v>
      </c>
      <c r="L79" s="107">
        <f>220/447</f>
        <v>0.49217002237136465</v>
      </c>
      <c r="M79" s="126">
        <f>300/658</f>
        <v>0.45592705167173253</v>
      </c>
      <c r="N79" s="107">
        <f>356/848</f>
        <v>0.419811320754717</v>
      </c>
      <c r="O79" s="102">
        <f>394/1088</f>
        <v>0.36213235294117646</v>
      </c>
      <c r="P79" s="102">
        <f>430/1337</f>
        <v>0.32161555721765145</v>
      </c>
      <c r="Q79" s="135"/>
      <c r="R79" s="135"/>
      <c r="S79" s="135"/>
      <c r="T79" s="135"/>
      <c r="U79" s="135"/>
      <c r="V79" s="135"/>
      <c r="W79" s="135"/>
      <c r="X79" s="135"/>
      <c r="Y79" s="99">
        <v>45383</v>
      </c>
      <c r="Z79" s="99">
        <v>45757</v>
      </c>
    </row>
    <row r="80" spans="1:26" ht="81" customHeight="1" x14ac:dyDescent="0.2">
      <c r="A80" s="130"/>
      <c r="B80" s="131"/>
      <c r="C80" s="105" t="s">
        <v>250</v>
      </c>
      <c r="D80" s="105" t="s">
        <v>251</v>
      </c>
      <c r="E80" s="131"/>
      <c r="F80" s="131"/>
      <c r="G80" s="94" t="s">
        <v>252</v>
      </c>
      <c r="H80" s="102">
        <v>0.13</v>
      </c>
      <c r="I80" s="95">
        <v>88</v>
      </c>
      <c r="J80" s="95">
        <v>128</v>
      </c>
      <c r="K80" s="104">
        <f t="shared" si="15"/>
        <v>0.6875</v>
      </c>
      <c r="L80" s="107">
        <f>106/172</f>
        <v>0.61627906976744184</v>
      </c>
      <c r="M80" s="107">
        <f>120/221</f>
        <v>0.54298642533936647</v>
      </c>
      <c r="N80" s="107">
        <f>106/199</f>
        <v>0.53266331658291455</v>
      </c>
      <c r="O80" s="102">
        <f>129/273</f>
        <v>0.47252747252747251</v>
      </c>
      <c r="P80" s="108">
        <f>156/279</f>
        <v>0.55913978494623651</v>
      </c>
      <c r="Q80" s="131"/>
      <c r="R80" s="131"/>
      <c r="S80" s="131"/>
      <c r="T80" s="131"/>
      <c r="U80" s="131"/>
      <c r="V80" s="131"/>
      <c r="W80" s="131"/>
      <c r="X80" s="131"/>
      <c r="Y80" s="99">
        <v>45383</v>
      </c>
      <c r="Z80" s="99">
        <v>45757</v>
      </c>
    </row>
    <row r="81" spans="1:26" ht="66" customHeight="1" x14ac:dyDescent="0.2">
      <c r="A81" s="130"/>
      <c r="B81" s="159" t="s">
        <v>253</v>
      </c>
      <c r="C81" s="160" t="s">
        <v>254</v>
      </c>
      <c r="D81" s="160" t="s">
        <v>255</v>
      </c>
      <c r="E81" s="157" t="s">
        <v>256</v>
      </c>
      <c r="F81" s="157" t="s">
        <v>257</v>
      </c>
      <c r="G81" s="94" t="s">
        <v>258</v>
      </c>
      <c r="H81" s="102">
        <v>1</v>
      </c>
      <c r="I81" s="95">
        <v>0</v>
      </c>
      <c r="J81" s="95">
        <v>175</v>
      </c>
      <c r="K81" s="109">
        <v>0</v>
      </c>
      <c r="L81" s="58">
        <f>24/175</f>
        <v>0.13714285714285715</v>
      </c>
      <c r="M81" s="58">
        <f>25/175</f>
        <v>0.14285714285714285</v>
      </c>
      <c r="N81" s="58">
        <f>35/175</f>
        <v>0.2</v>
      </c>
      <c r="O81" s="102">
        <f>41/175</f>
        <v>0.23428571428571429</v>
      </c>
      <c r="P81" s="110">
        <f>50/175</f>
        <v>0.2857142857142857</v>
      </c>
      <c r="Q81" s="102"/>
      <c r="R81" s="102"/>
      <c r="S81" s="102"/>
      <c r="T81" s="102"/>
      <c r="U81" s="102"/>
      <c r="V81" s="102"/>
      <c r="W81" s="102"/>
      <c r="X81" s="102"/>
      <c r="Y81" s="99">
        <v>45383</v>
      </c>
      <c r="Z81" s="99">
        <v>45757</v>
      </c>
    </row>
    <row r="82" spans="1:26" ht="99" customHeight="1" x14ac:dyDescent="0.2">
      <c r="A82" s="130"/>
      <c r="B82" s="131"/>
      <c r="C82" s="131"/>
      <c r="D82" s="131"/>
      <c r="E82" s="131"/>
      <c r="F82" s="131"/>
      <c r="G82" s="94" t="s">
        <v>259</v>
      </c>
      <c r="H82" s="102">
        <v>1</v>
      </c>
      <c r="I82" s="111">
        <v>0</v>
      </c>
      <c r="J82" s="111">
        <v>0</v>
      </c>
      <c r="K82" s="112">
        <v>1</v>
      </c>
      <c r="L82" s="41" t="s">
        <v>260</v>
      </c>
      <c r="M82" s="113">
        <f>6/31</f>
        <v>0.19354838709677419</v>
      </c>
      <c r="N82" s="113">
        <f>11/25</f>
        <v>0.44</v>
      </c>
      <c r="O82" s="102">
        <f>3/17</f>
        <v>0.17647058823529413</v>
      </c>
      <c r="P82" s="102">
        <f>25/73</f>
        <v>0.34246575342465752</v>
      </c>
      <c r="Q82" s="102"/>
      <c r="R82" s="102"/>
      <c r="S82" s="102"/>
      <c r="T82" s="102"/>
      <c r="U82" s="102"/>
      <c r="V82" s="102"/>
      <c r="W82" s="102"/>
      <c r="X82" s="102"/>
      <c r="Y82" s="99">
        <v>45444</v>
      </c>
      <c r="Z82" s="99">
        <v>45757</v>
      </c>
    </row>
    <row r="83" spans="1:26" ht="15.75" customHeight="1" x14ac:dyDescent="0.2">
      <c r="A83" s="130"/>
      <c r="B83" s="159" t="s">
        <v>261</v>
      </c>
      <c r="C83" s="160" t="s">
        <v>262</v>
      </c>
      <c r="D83" s="105" t="s">
        <v>263</v>
      </c>
      <c r="E83" s="94" t="s">
        <v>240</v>
      </c>
      <c r="F83" s="94" t="s">
        <v>241</v>
      </c>
      <c r="G83" s="94" t="s">
        <v>264</v>
      </c>
      <c r="H83" s="102">
        <v>1</v>
      </c>
      <c r="I83" s="114">
        <v>1</v>
      </c>
      <c r="J83" s="114">
        <v>1</v>
      </c>
      <c r="K83" s="115">
        <f t="shared" ref="K83:K87" si="16">I83/J83</f>
        <v>1</v>
      </c>
      <c r="L83" s="75">
        <f t="shared" ref="L83:P83" si="17">1/1</f>
        <v>1</v>
      </c>
      <c r="M83" s="75">
        <f t="shared" si="17"/>
        <v>1</v>
      </c>
      <c r="N83" s="75">
        <f t="shared" si="17"/>
        <v>1</v>
      </c>
      <c r="O83" s="75">
        <f t="shared" si="17"/>
        <v>1</v>
      </c>
      <c r="P83" s="75">
        <f t="shared" si="17"/>
        <v>1</v>
      </c>
      <c r="Q83" s="102"/>
      <c r="R83" s="102"/>
      <c r="S83" s="102"/>
      <c r="T83" s="102"/>
      <c r="U83" s="102"/>
      <c r="V83" s="102"/>
      <c r="W83" s="102"/>
      <c r="X83" s="102"/>
      <c r="Y83" s="99">
        <v>45383</v>
      </c>
      <c r="Z83" s="99">
        <v>45757</v>
      </c>
    </row>
    <row r="84" spans="1:26" ht="15.75" customHeight="1" x14ac:dyDescent="0.2">
      <c r="A84" s="130"/>
      <c r="B84" s="130"/>
      <c r="C84" s="130"/>
      <c r="D84" s="105" t="s">
        <v>265</v>
      </c>
      <c r="E84" s="94" t="s">
        <v>266</v>
      </c>
      <c r="F84" s="94"/>
      <c r="G84" s="94" t="s">
        <v>267</v>
      </c>
      <c r="H84" s="102">
        <v>1</v>
      </c>
      <c r="I84" s="114">
        <v>1</v>
      </c>
      <c r="J84" s="114">
        <v>1</v>
      </c>
      <c r="K84" s="115">
        <f t="shared" si="16"/>
        <v>1</v>
      </c>
      <c r="L84" s="75">
        <f t="shared" ref="L84:L85" si="18">1/1</f>
        <v>1</v>
      </c>
      <c r="M84" s="116" t="s">
        <v>50</v>
      </c>
      <c r="N84" s="75">
        <f>1/1</f>
        <v>1</v>
      </c>
      <c r="O84" s="116" t="s">
        <v>50</v>
      </c>
      <c r="P84" s="75">
        <f>1/1</f>
        <v>1</v>
      </c>
      <c r="Q84" s="102"/>
      <c r="R84" s="102"/>
      <c r="S84" s="102"/>
      <c r="T84" s="102"/>
      <c r="U84" s="102"/>
      <c r="V84" s="102"/>
      <c r="W84" s="102"/>
      <c r="X84" s="102"/>
      <c r="Y84" s="99">
        <v>45383</v>
      </c>
      <c r="Z84" s="99">
        <v>45757</v>
      </c>
    </row>
    <row r="85" spans="1:26" ht="15.75" customHeight="1" x14ac:dyDescent="0.2">
      <c r="A85" s="130"/>
      <c r="B85" s="130"/>
      <c r="C85" s="130"/>
      <c r="D85" s="105" t="s">
        <v>268</v>
      </c>
      <c r="E85" s="157" t="s">
        <v>240</v>
      </c>
      <c r="F85" s="157" t="s">
        <v>241</v>
      </c>
      <c r="G85" s="94" t="s">
        <v>269</v>
      </c>
      <c r="H85" s="102">
        <v>1</v>
      </c>
      <c r="I85" s="114">
        <v>1</v>
      </c>
      <c r="J85" s="114">
        <v>1</v>
      </c>
      <c r="K85" s="115">
        <f t="shared" si="16"/>
        <v>1</v>
      </c>
      <c r="L85" s="75">
        <f t="shared" si="18"/>
        <v>1</v>
      </c>
      <c r="M85" s="116" t="s">
        <v>50</v>
      </c>
      <c r="N85" s="116" t="s">
        <v>50</v>
      </c>
      <c r="O85" s="75">
        <f>1/1</f>
        <v>1</v>
      </c>
      <c r="P85" s="116" t="s">
        <v>50</v>
      </c>
      <c r="Q85" s="102"/>
      <c r="R85" s="102"/>
      <c r="S85" s="102"/>
      <c r="T85" s="102"/>
      <c r="U85" s="102"/>
      <c r="V85" s="102"/>
      <c r="W85" s="102"/>
      <c r="X85" s="102"/>
      <c r="Y85" s="99">
        <v>45383</v>
      </c>
      <c r="Z85" s="99">
        <v>45757</v>
      </c>
    </row>
    <row r="86" spans="1:26" ht="15.75" customHeight="1" x14ac:dyDescent="0.2">
      <c r="A86" s="130"/>
      <c r="B86" s="130"/>
      <c r="C86" s="130"/>
      <c r="D86" s="105" t="s">
        <v>270</v>
      </c>
      <c r="E86" s="130"/>
      <c r="F86" s="130"/>
      <c r="G86" s="94" t="s">
        <v>271</v>
      </c>
      <c r="H86" s="102">
        <v>1</v>
      </c>
      <c r="I86" s="114">
        <v>4</v>
      </c>
      <c r="J86" s="114">
        <v>4</v>
      </c>
      <c r="K86" s="115">
        <f t="shared" si="16"/>
        <v>1</v>
      </c>
      <c r="L86" s="75">
        <f>6/6</f>
        <v>1</v>
      </c>
      <c r="M86" s="75">
        <f>9/9</f>
        <v>1</v>
      </c>
      <c r="N86" s="117">
        <f>7/7</f>
        <v>1</v>
      </c>
      <c r="O86" s="117">
        <f>6/6</f>
        <v>1</v>
      </c>
      <c r="P86" s="117">
        <f>4/4</f>
        <v>1</v>
      </c>
      <c r="Q86" s="102"/>
      <c r="R86" s="102"/>
      <c r="S86" s="102"/>
      <c r="T86" s="102"/>
      <c r="U86" s="102"/>
      <c r="V86" s="102"/>
      <c r="W86" s="102"/>
      <c r="X86" s="102"/>
      <c r="Y86" s="99">
        <v>45383</v>
      </c>
      <c r="Z86" s="99">
        <v>45757</v>
      </c>
    </row>
    <row r="87" spans="1:26" ht="15.75" customHeight="1" x14ac:dyDescent="0.2">
      <c r="A87" s="131"/>
      <c r="B87" s="131"/>
      <c r="C87" s="131"/>
      <c r="D87" s="105" t="s">
        <v>272</v>
      </c>
      <c r="E87" s="131"/>
      <c r="F87" s="131"/>
      <c r="G87" s="94" t="s">
        <v>273</v>
      </c>
      <c r="H87" s="94" t="s">
        <v>274</v>
      </c>
      <c r="I87" s="118">
        <v>35496176</v>
      </c>
      <c r="J87" s="118">
        <v>210129193065</v>
      </c>
      <c r="K87" s="119">
        <f t="shared" si="16"/>
        <v>1.6892548570830824E-4</v>
      </c>
      <c r="L87" s="120">
        <f>41390906/211344693065</f>
        <v>1.9584549486307681E-4</v>
      </c>
      <c r="M87" s="36">
        <f>0/209690693065</f>
        <v>0</v>
      </c>
      <c r="N87" s="121">
        <f>1333885/209278293065</f>
        <v>6.3737379565959433E-6</v>
      </c>
      <c r="O87" s="122">
        <f>0/209332993065</f>
        <v>0</v>
      </c>
      <c r="P87" s="122">
        <f>0/211732153065</f>
        <v>0</v>
      </c>
      <c r="Q87" s="94"/>
      <c r="R87" s="94"/>
      <c r="S87" s="94"/>
      <c r="T87" s="94"/>
      <c r="U87" s="94"/>
      <c r="V87" s="94"/>
      <c r="W87" s="94"/>
      <c r="X87" s="94"/>
      <c r="Y87" s="99">
        <v>45383</v>
      </c>
      <c r="Z87" s="99">
        <v>45757</v>
      </c>
    </row>
    <row r="88" spans="1:26" ht="15.75" customHeight="1" x14ac:dyDescent="0.2">
      <c r="A88" s="3"/>
      <c r="B88" s="3"/>
      <c r="C88" s="3"/>
      <c r="D88" s="123"/>
      <c r="E88" s="124"/>
      <c r="F88" s="124"/>
      <c r="G88" s="124"/>
      <c r="H88" s="124"/>
      <c r="I88" s="124"/>
      <c r="J88" s="124"/>
      <c r="K88" s="124"/>
      <c r="L88" s="124"/>
      <c r="M88" s="124"/>
      <c r="N88" s="124"/>
      <c r="O88" s="124"/>
      <c r="P88" s="124"/>
      <c r="Q88" s="3"/>
      <c r="R88" s="3"/>
      <c r="S88" s="3"/>
      <c r="T88" s="3"/>
      <c r="U88" s="3"/>
      <c r="V88" s="3"/>
      <c r="W88" s="3"/>
      <c r="X88" s="3"/>
      <c r="Y88" s="124"/>
      <c r="Z88" s="124"/>
    </row>
    <row r="89" spans="1:26" ht="15.75" customHeight="1" x14ac:dyDescent="0.2">
      <c r="A89" s="3"/>
      <c r="B89" s="3"/>
      <c r="C89" s="3"/>
      <c r="D89" s="123"/>
      <c r="E89" s="124"/>
      <c r="F89" s="124"/>
      <c r="G89" s="124"/>
      <c r="H89" s="124"/>
      <c r="I89" s="124"/>
      <c r="J89" s="124"/>
      <c r="K89" s="124"/>
      <c r="L89" s="124"/>
      <c r="M89" s="124"/>
      <c r="N89" s="124"/>
      <c r="O89" s="124"/>
      <c r="P89" s="124"/>
      <c r="Q89" s="3"/>
      <c r="R89" s="3"/>
      <c r="S89" s="3"/>
      <c r="T89" s="3"/>
      <c r="U89" s="3"/>
      <c r="V89" s="3"/>
      <c r="W89" s="3"/>
      <c r="X89" s="3"/>
      <c r="Y89" s="124"/>
      <c r="Z89" s="124"/>
    </row>
    <row r="90" spans="1:26" ht="15.75" customHeight="1" x14ac:dyDescent="0.2">
      <c r="A90" s="3"/>
      <c r="B90" s="3"/>
      <c r="C90" s="3"/>
      <c r="D90" s="123"/>
      <c r="E90" s="124"/>
      <c r="F90" s="124"/>
      <c r="G90" s="124"/>
      <c r="H90" s="124"/>
      <c r="I90" s="124"/>
      <c r="J90" s="124"/>
      <c r="K90" s="124"/>
      <c r="L90" s="124"/>
      <c r="M90" s="124"/>
      <c r="N90" s="124"/>
      <c r="O90" s="124"/>
      <c r="P90" s="124"/>
      <c r="Q90" s="3"/>
      <c r="R90" s="3"/>
      <c r="S90" s="3"/>
      <c r="T90" s="3"/>
      <c r="U90" s="3"/>
      <c r="V90" s="3"/>
      <c r="W90" s="3"/>
      <c r="X90" s="3"/>
      <c r="Y90" s="124"/>
      <c r="Z90" s="124"/>
    </row>
    <row r="91" spans="1:26" ht="15.75" customHeight="1" x14ac:dyDescent="0.2">
      <c r="A91" s="3"/>
      <c r="B91" s="3"/>
      <c r="C91" s="3"/>
      <c r="D91" s="123"/>
      <c r="E91" s="124"/>
      <c r="F91" s="124"/>
      <c r="G91" s="124"/>
      <c r="H91" s="124"/>
      <c r="I91" s="124"/>
      <c r="J91" s="124"/>
      <c r="K91" s="124"/>
      <c r="L91" s="124"/>
      <c r="M91" s="124"/>
      <c r="N91" s="124"/>
      <c r="O91" s="124"/>
      <c r="P91" s="124"/>
      <c r="Q91" s="3"/>
      <c r="R91" s="3"/>
      <c r="S91" s="3"/>
      <c r="T91" s="3"/>
      <c r="U91" s="3"/>
      <c r="V91" s="3"/>
      <c r="W91" s="3"/>
      <c r="X91" s="3"/>
      <c r="Y91" s="124"/>
      <c r="Z91" s="124"/>
    </row>
    <row r="92" spans="1:26" ht="15.75" customHeight="1" x14ac:dyDescent="0.2">
      <c r="A92" s="3"/>
      <c r="B92" s="3"/>
      <c r="C92" s="3"/>
      <c r="D92" s="123"/>
      <c r="E92" s="124"/>
      <c r="F92" s="124"/>
      <c r="G92" s="124"/>
      <c r="H92" s="124"/>
      <c r="I92" s="124"/>
      <c r="J92" s="124"/>
      <c r="K92" s="124"/>
      <c r="L92" s="124"/>
      <c r="M92" s="124"/>
      <c r="N92" s="124"/>
      <c r="O92" s="124"/>
      <c r="P92" s="124"/>
      <c r="Q92" s="3"/>
      <c r="R92" s="3"/>
      <c r="S92" s="3"/>
      <c r="T92" s="3"/>
      <c r="U92" s="3"/>
      <c r="V92" s="3"/>
      <c r="W92" s="3"/>
      <c r="X92" s="3"/>
      <c r="Y92" s="124"/>
      <c r="Z92" s="124"/>
    </row>
    <row r="93" spans="1:26" ht="15.75" customHeight="1" x14ac:dyDescent="0.2">
      <c r="A93" s="3"/>
      <c r="B93" s="3"/>
      <c r="C93" s="3"/>
      <c r="D93" s="123"/>
      <c r="E93" s="124"/>
      <c r="F93" s="124"/>
      <c r="G93" s="124"/>
      <c r="H93" s="124"/>
      <c r="I93" s="124"/>
      <c r="J93" s="124"/>
      <c r="K93" s="124"/>
      <c r="L93" s="124"/>
      <c r="M93" s="124"/>
      <c r="N93" s="124"/>
      <c r="O93" s="124"/>
      <c r="P93" s="124"/>
      <c r="Q93" s="3"/>
      <c r="R93" s="3"/>
      <c r="S93" s="3"/>
      <c r="T93" s="3"/>
      <c r="U93" s="3"/>
      <c r="V93" s="3"/>
      <c r="W93" s="3"/>
      <c r="X93" s="3"/>
      <c r="Y93" s="124"/>
      <c r="Z93" s="124"/>
    </row>
    <row r="94" spans="1:26" ht="15.75" customHeight="1" x14ac:dyDescent="0.2">
      <c r="A94" s="3"/>
      <c r="B94" s="3"/>
      <c r="C94" s="3"/>
      <c r="D94" s="123"/>
      <c r="E94" s="124"/>
      <c r="F94" s="124"/>
      <c r="G94" s="124"/>
      <c r="H94" s="124"/>
      <c r="I94" s="124"/>
      <c r="J94" s="124"/>
      <c r="K94" s="124"/>
      <c r="L94" s="124"/>
      <c r="M94" s="124"/>
      <c r="N94" s="124"/>
      <c r="O94" s="124"/>
      <c r="P94" s="124"/>
      <c r="Q94" s="3"/>
      <c r="R94" s="3"/>
      <c r="S94" s="3"/>
      <c r="T94" s="3"/>
      <c r="U94" s="3"/>
      <c r="V94" s="3"/>
      <c r="W94" s="3"/>
      <c r="X94" s="3"/>
      <c r="Y94" s="124"/>
      <c r="Z94" s="124"/>
    </row>
    <row r="95" spans="1:26" ht="15.75" customHeight="1" x14ac:dyDescent="0.2">
      <c r="A95" s="3"/>
      <c r="B95" s="3"/>
      <c r="C95" s="3"/>
      <c r="D95" s="123"/>
      <c r="E95" s="124"/>
      <c r="F95" s="124"/>
      <c r="G95" s="124"/>
      <c r="H95" s="124"/>
      <c r="I95" s="124"/>
      <c r="J95" s="124"/>
      <c r="K95" s="124"/>
      <c r="L95" s="124"/>
      <c r="M95" s="124"/>
      <c r="N95" s="124"/>
      <c r="O95" s="124"/>
      <c r="P95" s="124"/>
      <c r="Q95" s="3"/>
      <c r="R95" s="3"/>
      <c r="S95" s="3"/>
      <c r="T95" s="3"/>
      <c r="U95" s="3"/>
      <c r="V95" s="3"/>
      <c r="W95" s="3"/>
      <c r="X95" s="3"/>
      <c r="Y95" s="124"/>
      <c r="Z95" s="124"/>
    </row>
    <row r="96" spans="1:26" ht="15.75" customHeight="1" x14ac:dyDescent="0.2">
      <c r="A96" s="3"/>
      <c r="B96" s="3"/>
      <c r="C96" s="3"/>
      <c r="D96" s="123"/>
      <c r="E96" s="124"/>
      <c r="F96" s="124"/>
      <c r="G96" s="124"/>
      <c r="H96" s="124"/>
      <c r="I96" s="124"/>
      <c r="J96" s="124"/>
      <c r="K96" s="124"/>
      <c r="L96" s="124"/>
      <c r="M96" s="124"/>
      <c r="N96" s="127"/>
      <c r="O96" s="127"/>
      <c r="P96" s="127"/>
      <c r="Q96" s="3"/>
      <c r="R96" s="3"/>
      <c r="S96" s="3"/>
      <c r="T96" s="3"/>
      <c r="U96" s="3"/>
      <c r="V96" s="3"/>
      <c r="W96" s="3"/>
      <c r="X96" s="3"/>
      <c r="Y96" s="124"/>
      <c r="Z96" s="124"/>
    </row>
    <row r="97" spans="1:26" ht="15.75" customHeight="1" x14ac:dyDescent="0.2">
      <c r="A97" s="3"/>
      <c r="B97" s="3"/>
      <c r="C97" s="3"/>
      <c r="D97" s="123"/>
      <c r="E97" s="124"/>
      <c r="F97" s="124"/>
      <c r="G97" s="124"/>
      <c r="H97" s="124"/>
      <c r="I97" s="124"/>
      <c r="J97" s="124"/>
      <c r="K97" s="124"/>
      <c r="L97" s="124"/>
      <c r="M97" s="124"/>
      <c r="N97" s="127"/>
      <c r="O97" s="127"/>
      <c r="P97" s="127"/>
      <c r="Q97" s="3"/>
      <c r="R97" s="3"/>
      <c r="S97" s="3"/>
      <c r="T97" s="3"/>
      <c r="U97" s="3"/>
      <c r="V97" s="3"/>
      <c r="W97" s="3"/>
      <c r="X97" s="3"/>
      <c r="Y97" s="124"/>
      <c r="Z97" s="124"/>
    </row>
    <row r="98" spans="1:26" ht="15.75" customHeight="1" x14ac:dyDescent="0.2">
      <c r="A98" s="3"/>
      <c r="B98" s="3"/>
      <c r="C98" s="3"/>
      <c r="D98" s="123"/>
      <c r="E98" s="124"/>
      <c r="F98" s="124"/>
      <c r="G98" s="124"/>
      <c r="H98" s="124"/>
      <c r="I98" s="124"/>
      <c r="J98" s="124"/>
      <c r="K98" s="124"/>
      <c r="L98" s="124"/>
      <c r="M98" s="124"/>
      <c r="N98" s="127"/>
      <c r="O98" s="127"/>
      <c r="P98" s="124"/>
      <c r="Q98" s="3"/>
      <c r="R98" s="3"/>
      <c r="S98" s="3"/>
      <c r="T98" s="3"/>
      <c r="U98" s="3"/>
      <c r="V98" s="3"/>
      <c r="W98" s="3"/>
      <c r="X98" s="3"/>
      <c r="Y98" s="124"/>
      <c r="Z98" s="124"/>
    </row>
    <row r="99" spans="1:26" ht="15.75" customHeight="1" x14ac:dyDescent="0.2">
      <c r="A99" s="3"/>
      <c r="B99" s="3"/>
      <c r="C99" s="3"/>
      <c r="D99" s="123"/>
      <c r="E99" s="124"/>
      <c r="F99" s="124"/>
      <c r="G99" s="124"/>
      <c r="H99" s="124"/>
      <c r="I99" s="124"/>
      <c r="J99" s="124"/>
      <c r="K99" s="124"/>
      <c r="L99" s="124"/>
      <c r="M99" s="124"/>
      <c r="N99" s="124"/>
      <c r="O99" s="124"/>
      <c r="P99" s="124"/>
      <c r="Q99" s="3"/>
      <c r="R99" s="3"/>
      <c r="S99" s="3"/>
      <c r="T99" s="3"/>
      <c r="U99" s="3"/>
      <c r="V99" s="3"/>
      <c r="W99" s="3"/>
      <c r="X99" s="3"/>
      <c r="Y99" s="124"/>
      <c r="Z99" s="124"/>
    </row>
    <row r="100" spans="1:26" ht="15.75" customHeight="1" x14ac:dyDescent="0.2">
      <c r="A100" s="3"/>
      <c r="B100" s="3"/>
      <c r="C100" s="3"/>
      <c r="D100" s="123"/>
      <c r="E100" s="124"/>
      <c r="F100" s="124"/>
      <c r="G100" s="124"/>
      <c r="H100" s="124"/>
      <c r="I100" s="124"/>
      <c r="J100" s="124"/>
      <c r="K100" s="124"/>
      <c r="L100" s="124"/>
      <c r="M100" s="124"/>
      <c r="N100" s="124"/>
      <c r="O100" s="124"/>
      <c r="P100" s="124"/>
      <c r="Q100" s="3"/>
      <c r="R100" s="3"/>
      <c r="S100" s="3"/>
      <c r="T100" s="3"/>
      <c r="U100" s="3"/>
      <c r="V100" s="3"/>
      <c r="W100" s="3"/>
      <c r="X100" s="3"/>
      <c r="Y100" s="124"/>
      <c r="Z100" s="124"/>
    </row>
    <row r="101" spans="1:26" ht="15.75" customHeight="1" x14ac:dyDescent="0.2">
      <c r="A101" s="3"/>
      <c r="B101" s="3"/>
      <c r="C101" s="3"/>
      <c r="D101" s="123"/>
      <c r="E101" s="124"/>
      <c r="F101" s="124"/>
      <c r="G101" s="124"/>
      <c r="H101" s="124"/>
      <c r="I101" s="124"/>
      <c r="J101" s="124"/>
      <c r="K101" s="124"/>
      <c r="L101" s="124"/>
      <c r="M101" s="124"/>
      <c r="N101" s="124"/>
      <c r="O101" s="124"/>
      <c r="P101" s="124"/>
      <c r="Q101" s="3"/>
      <c r="R101" s="3"/>
      <c r="S101" s="3"/>
      <c r="T101" s="3"/>
      <c r="U101" s="3"/>
      <c r="V101" s="3"/>
      <c r="W101" s="3"/>
      <c r="X101" s="3"/>
      <c r="Y101" s="124"/>
      <c r="Z101" s="124"/>
    </row>
    <row r="102" spans="1:26" ht="15.75" customHeight="1" x14ac:dyDescent="0.2">
      <c r="A102" s="3"/>
      <c r="B102" s="3"/>
      <c r="C102" s="3"/>
      <c r="D102" s="123"/>
      <c r="E102" s="124"/>
      <c r="F102" s="124"/>
      <c r="G102" s="124"/>
      <c r="H102" s="124"/>
      <c r="I102" s="124"/>
      <c r="J102" s="124"/>
      <c r="K102" s="124"/>
      <c r="L102" s="124"/>
      <c r="M102" s="124"/>
      <c r="N102" s="124"/>
      <c r="O102" s="124"/>
      <c r="P102" s="124"/>
      <c r="Q102" s="3"/>
      <c r="R102" s="3"/>
      <c r="S102" s="3"/>
      <c r="T102" s="3"/>
      <c r="U102" s="3"/>
      <c r="V102" s="3"/>
      <c r="W102" s="3"/>
      <c r="X102" s="3"/>
      <c r="Y102" s="124"/>
      <c r="Z102" s="124"/>
    </row>
    <row r="103" spans="1:26" ht="15.75" customHeight="1" x14ac:dyDescent="0.2">
      <c r="A103" s="3"/>
      <c r="B103" s="3"/>
      <c r="C103" s="3"/>
      <c r="D103" s="123"/>
      <c r="E103" s="124"/>
      <c r="F103" s="124"/>
      <c r="G103" s="124"/>
      <c r="H103" s="124"/>
      <c r="I103" s="124"/>
      <c r="J103" s="124"/>
      <c r="K103" s="124"/>
      <c r="L103" s="124"/>
      <c r="M103" s="124"/>
      <c r="N103" s="124"/>
      <c r="O103" s="124"/>
      <c r="P103" s="124"/>
      <c r="Q103" s="3"/>
      <c r="R103" s="3"/>
      <c r="S103" s="3"/>
      <c r="T103" s="3"/>
      <c r="U103" s="3"/>
      <c r="V103" s="3"/>
      <c r="W103" s="3"/>
      <c r="X103" s="3"/>
      <c r="Y103" s="124"/>
      <c r="Z103" s="124"/>
    </row>
    <row r="104" spans="1:26" ht="15.75" customHeight="1" x14ac:dyDescent="0.2">
      <c r="A104" s="3"/>
      <c r="B104" s="3"/>
      <c r="C104" s="3"/>
      <c r="D104" s="123"/>
      <c r="E104" s="124"/>
      <c r="F104" s="124"/>
      <c r="G104" s="124"/>
      <c r="H104" s="124"/>
      <c r="I104" s="124"/>
      <c r="J104" s="124"/>
      <c r="K104" s="124"/>
      <c r="L104" s="124"/>
      <c r="M104" s="124"/>
      <c r="N104" s="124"/>
      <c r="O104" s="124"/>
      <c r="P104" s="124"/>
      <c r="Q104" s="3"/>
      <c r="R104" s="3"/>
      <c r="S104" s="3"/>
      <c r="T104" s="3"/>
      <c r="U104" s="3"/>
      <c r="V104" s="3"/>
      <c r="W104" s="3"/>
      <c r="X104" s="3"/>
      <c r="Y104" s="124"/>
      <c r="Z104" s="124"/>
    </row>
    <row r="105" spans="1:26" ht="15.75" customHeight="1" x14ac:dyDescent="0.2">
      <c r="A105" s="3"/>
      <c r="B105" s="3"/>
      <c r="C105" s="3"/>
      <c r="D105" s="123"/>
      <c r="E105" s="124"/>
      <c r="F105" s="124"/>
      <c r="G105" s="124"/>
      <c r="H105" s="124"/>
      <c r="I105" s="124"/>
      <c r="J105" s="124"/>
      <c r="K105" s="124"/>
      <c r="L105" s="124"/>
      <c r="M105" s="124"/>
      <c r="N105" s="124"/>
      <c r="O105" s="124"/>
      <c r="P105" s="124"/>
      <c r="Q105" s="3"/>
      <c r="R105" s="3"/>
      <c r="S105" s="3"/>
      <c r="T105" s="3"/>
      <c r="U105" s="3"/>
      <c r="V105" s="3"/>
      <c r="W105" s="3"/>
      <c r="X105" s="3"/>
      <c r="Y105" s="124"/>
      <c r="Z105" s="124"/>
    </row>
    <row r="106" spans="1:26" ht="15.75" customHeight="1" x14ac:dyDescent="0.2">
      <c r="A106" s="3"/>
      <c r="B106" s="3"/>
      <c r="C106" s="3"/>
      <c r="D106" s="123"/>
      <c r="E106" s="124"/>
      <c r="F106" s="124"/>
      <c r="G106" s="124"/>
      <c r="H106" s="124"/>
      <c r="I106" s="124"/>
      <c r="J106" s="124"/>
      <c r="K106" s="124"/>
      <c r="L106" s="124"/>
      <c r="M106" s="124"/>
      <c r="N106" s="124"/>
      <c r="O106" s="124"/>
      <c r="P106" s="124"/>
      <c r="Q106" s="3"/>
      <c r="R106" s="3"/>
      <c r="S106" s="3"/>
      <c r="T106" s="3"/>
      <c r="U106" s="3"/>
      <c r="V106" s="3"/>
      <c r="W106" s="3"/>
      <c r="X106" s="3"/>
      <c r="Y106" s="124"/>
      <c r="Z106" s="124"/>
    </row>
    <row r="107" spans="1:26" ht="15.75" customHeight="1" x14ac:dyDescent="0.2">
      <c r="A107" s="3"/>
      <c r="B107" s="3"/>
      <c r="C107" s="3"/>
      <c r="D107" s="123"/>
      <c r="E107" s="124"/>
      <c r="F107" s="124"/>
      <c r="G107" s="124"/>
      <c r="H107" s="124"/>
      <c r="I107" s="124"/>
      <c r="J107" s="124"/>
      <c r="K107" s="124"/>
      <c r="L107" s="124"/>
      <c r="M107" s="124"/>
      <c r="N107" s="124"/>
      <c r="O107" s="124"/>
      <c r="P107" s="124"/>
      <c r="Q107" s="3"/>
      <c r="R107" s="3"/>
      <c r="S107" s="3"/>
      <c r="T107" s="3"/>
      <c r="U107" s="3"/>
      <c r="V107" s="3"/>
      <c r="W107" s="3"/>
      <c r="X107" s="3"/>
      <c r="Y107" s="124"/>
      <c r="Z107" s="124"/>
    </row>
    <row r="108" spans="1:26" ht="15.75" customHeight="1" x14ac:dyDescent="0.2">
      <c r="A108" s="3"/>
      <c r="B108" s="3"/>
      <c r="C108" s="3"/>
      <c r="D108" s="123"/>
      <c r="E108" s="124"/>
      <c r="F108" s="124"/>
      <c r="G108" s="124"/>
      <c r="H108" s="124"/>
      <c r="I108" s="124"/>
      <c r="J108" s="124"/>
      <c r="K108" s="124"/>
      <c r="L108" s="124"/>
      <c r="M108" s="124"/>
      <c r="N108" s="124"/>
      <c r="O108" s="124"/>
      <c r="P108" s="124"/>
      <c r="Q108" s="3"/>
      <c r="R108" s="3"/>
      <c r="S108" s="3"/>
      <c r="T108" s="3"/>
      <c r="U108" s="3"/>
      <c r="V108" s="3"/>
      <c r="W108" s="3"/>
      <c r="X108" s="3"/>
      <c r="Y108" s="124"/>
      <c r="Z108" s="124"/>
    </row>
    <row r="109" spans="1:26" ht="15.75" customHeight="1" x14ac:dyDescent="0.2">
      <c r="A109" s="3"/>
      <c r="B109" s="3"/>
      <c r="C109" s="3"/>
      <c r="D109" s="123"/>
      <c r="E109" s="124"/>
      <c r="F109" s="124"/>
      <c r="G109" s="124"/>
      <c r="H109" s="124"/>
      <c r="I109" s="124"/>
      <c r="J109" s="124"/>
      <c r="K109" s="124"/>
      <c r="L109" s="124"/>
      <c r="M109" s="124"/>
      <c r="N109" s="124"/>
      <c r="O109" s="124"/>
      <c r="P109" s="124"/>
      <c r="Q109" s="3"/>
      <c r="R109" s="3"/>
      <c r="S109" s="3"/>
      <c r="T109" s="3"/>
      <c r="U109" s="3"/>
      <c r="V109" s="3"/>
      <c r="W109" s="3"/>
      <c r="X109" s="3"/>
      <c r="Y109" s="124"/>
      <c r="Z109" s="124"/>
    </row>
    <row r="110" spans="1:26" ht="15.75" customHeight="1" x14ac:dyDescent="0.2">
      <c r="A110" s="3"/>
      <c r="B110" s="3"/>
      <c r="C110" s="3"/>
      <c r="D110" s="123"/>
      <c r="E110" s="124"/>
      <c r="F110" s="124"/>
      <c r="G110" s="124"/>
      <c r="H110" s="124"/>
      <c r="I110" s="124"/>
      <c r="J110" s="124"/>
      <c r="K110" s="124"/>
      <c r="L110" s="124"/>
      <c r="M110" s="124"/>
      <c r="N110" s="124"/>
      <c r="O110" s="124"/>
      <c r="P110" s="124"/>
      <c r="Q110" s="3"/>
      <c r="R110" s="3"/>
      <c r="S110" s="3"/>
      <c r="T110" s="3"/>
      <c r="U110" s="3"/>
      <c r="V110" s="3"/>
      <c r="W110" s="3"/>
      <c r="X110" s="3"/>
      <c r="Y110" s="124"/>
      <c r="Z110" s="124"/>
    </row>
    <row r="111" spans="1:26" ht="15.75" customHeight="1" x14ac:dyDescent="0.2">
      <c r="A111" s="3"/>
      <c r="B111" s="3"/>
      <c r="C111" s="3"/>
      <c r="D111" s="123"/>
      <c r="E111" s="124"/>
      <c r="F111" s="124"/>
      <c r="G111" s="124"/>
      <c r="H111" s="124"/>
      <c r="I111" s="124"/>
      <c r="J111" s="124"/>
      <c r="K111" s="124"/>
      <c r="L111" s="124"/>
      <c r="M111" s="124"/>
      <c r="N111" s="124"/>
      <c r="O111" s="124"/>
      <c r="P111" s="124"/>
      <c r="Q111" s="3"/>
      <c r="R111" s="3"/>
      <c r="S111" s="3"/>
      <c r="T111" s="3"/>
      <c r="U111" s="3"/>
      <c r="V111" s="3"/>
      <c r="W111" s="3"/>
      <c r="X111" s="3"/>
      <c r="Y111" s="124"/>
      <c r="Z111" s="124"/>
    </row>
    <row r="112" spans="1:26" ht="15.75" customHeight="1" x14ac:dyDescent="0.2">
      <c r="A112" s="3"/>
      <c r="B112" s="3"/>
      <c r="C112" s="3"/>
      <c r="D112" s="123"/>
      <c r="E112" s="124"/>
      <c r="F112" s="124"/>
      <c r="G112" s="124"/>
      <c r="H112" s="124"/>
      <c r="I112" s="124"/>
      <c r="J112" s="124"/>
      <c r="K112" s="124"/>
      <c r="L112" s="124"/>
      <c r="M112" s="124"/>
      <c r="N112" s="124"/>
      <c r="O112" s="124"/>
      <c r="P112" s="124"/>
      <c r="Q112" s="3"/>
      <c r="R112" s="3"/>
      <c r="S112" s="3"/>
      <c r="T112" s="3"/>
      <c r="U112" s="3"/>
      <c r="V112" s="3"/>
      <c r="W112" s="3"/>
      <c r="X112" s="3"/>
      <c r="Y112" s="124"/>
      <c r="Z112" s="124"/>
    </row>
    <row r="113" spans="1:26" ht="15.75" customHeight="1" x14ac:dyDescent="0.2">
      <c r="A113" s="3"/>
      <c r="B113" s="3"/>
      <c r="C113" s="3"/>
      <c r="D113" s="123"/>
      <c r="E113" s="124"/>
      <c r="F113" s="124"/>
      <c r="G113" s="124"/>
      <c r="H113" s="124"/>
      <c r="I113" s="124"/>
      <c r="J113" s="124"/>
      <c r="K113" s="124"/>
      <c r="L113" s="124"/>
      <c r="M113" s="124"/>
      <c r="N113" s="124"/>
      <c r="O113" s="124"/>
      <c r="P113" s="124"/>
      <c r="Q113" s="3"/>
      <c r="R113" s="3"/>
      <c r="S113" s="3"/>
      <c r="T113" s="3"/>
      <c r="U113" s="3"/>
      <c r="V113" s="3"/>
      <c r="W113" s="3"/>
      <c r="X113" s="3"/>
      <c r="Y113" s="124"/>
      <c r="Z113" s="124"/>
    </row>
    <row r="114" spans="1:26" ht="15.75" customHeight="1" x14ac:dyDescent="0.2">
      <c r="A114" s="3"/>
      <c r="B114" s="3"/>
      <c r="C114" s="3"/>
      <c r="D114" s="123"/>
      <c r="E114" s="124"/>
      <c r="F114" s="124"/>
      <c r="G114" s="124"/>
      <c r="H114" s="124"/>
      <c r="I114" s="124"/>
      <c r="J114" s="124"/>
      <c r="K114" s="124"/>
      <c r="L114" s="124"/>
      <c r="M114" s="124"/>
      <c r="N114" s="124"/>
      <c r="O114" s="124"/>
      <c r="P114" s="124"/>
      <c r="Q114" s="3"/>
      <c r="R114" s="3"/>
      <c r="S114" s="3"/>
      <c r="T114" s="3"/>
      <c r="U114" s="3"/>
      <c r="V114" s="3"/>
      <c r="W114" s="3"/>
      <c r="X114" s="3"/>
      <c r="Y114" s="124"/>
      <c r="Z114" s="124"/>
    </row>
    <row r="115" spans="1:26" ht="15.75" customHeight="1" x14ac:dyDescent="0.2">
      <c r="A115" s="3"/>
      <c r="B115" s="3"/>
      <c r="C115" s="3"/>
      <c r="D115" s="123"/>
      <c r="E115" s="124"/>
      <c r="F115" s="124"/>
      <c r="G115" s="124"/>
      <c r="H115" s="124"/>
      <c r="I115" s="124"/>
      <c r="J115" s="124"/>
      <c r="K115" s="124"/>
      <c r="L115" s="124"/>
      <c r="M115" s="124"/>
      <c r="N115" s="124"/>
      <c r="O115" s="124"/>
      <c r="P115" s="124"/>
      <c r="Q115" s="3"/>
      <c r="R115" s="3"/>
      <c r="S115" s="3"/>
      <c r="T115" s="3"/>
      <c r="U115" s="3"/>
      <c r="V115" s="3"/>
      <c r="W115" s="3"/>
      <c r="X115" s="3"/>
      <c r="Y115" s="124"/>
      <c r="Z115" s="124"/>
    </row>
    <row r="116" spans="1:26" ht="15.75" customHeight="1" x14ac:dyDescent="0.2">
      <c r="A116" s="3"/>
      <c r="B116" s="3"/>
      <c r="C116" s="3"/>
      <c r="D116" s="123"/>
      <c r="E116" s="124"/>
      <c r="F116" s="124"/>
      <c r="G116" s="124"/>
      <c r="H116" s="124"/>
      <c r="I116" s="124"/>
      <c r="J116" s="124"/>
      <c r="K116" s="124"/>
      <c r="L116" s="124"/>
      <c r="M116" s="124"/>
      <c r="N116" s="124"/>
      <c r="O116" s="124"/>
      <c r="P116" s="124"/>
      <c r="Q116" s="3"/>
      <c r="R116" s="3"/>
      <c r="S116" s="3"/>
      <c r="T116" s="3"/>
      <c r="U116" s="3"/>
      <c r="V116" s="3"/>
      <c r="W116" s="3"/>
      <c r="X116" s="3"/>
      <c r="Y116" s="124"/>
      <c r="Z116" s="124"/>
    </row>
    <row r="117" spans="1:26" ht="15.75" customHeight="1" x14ac:dyDescent="0.2">
      <c r="A117" s="3"/>
      <c r="B117" s="3"/>
      <c r="C117" s="3"/>
      <c r="D117" s="123"/>
      <c r="E117" s="124"/>
      <c r="F117" s="124"/>
      <c r="G117" s="124"/>
      <c r="H117" s="124"/>
      <c r="I117" s="124"/>
      <c r="J117" s="124"/>
      <c r="K117" s="124"/>
      <c r="L117" s="124"/>
      <c r="M117" s="124"/>
      <c r="N117" s="124"/>
      <c r="O117" s="124"/>
      <c r="P117" s="124"/>
      <c r="Q117" s="3"/>
      <c r="R117" s="3"/>
      <c r="S117" s="3"/>
      <c r="T117" s="3"/>
      <c r="U117" s="3"/>
      <c r="V117" s="3"/>
      <c r="W117" s="3"/>
      <c r="X117" s="3"/>
      <c r="Y117" s="124"/>
      <c r="Z117" s="124"/>
    </row>
    <row r="118" spans="1:26" ht="15.75" customHeight="1" x14ac:dyDescent="0.2">
      <c r="A118" s="3"/>
      <c r="B118" s="3"/>
      <c r="C118" s="3"/>
      <c r="D118" s="123"/>
      <c r="E118" s="124"/>
      <c r="F118" s="124"/>
      <c r="G118" s="124"/>
      <c r="H118" s="124"/>
      <c r="I118" s="124"/>
      <c r="J118" s="124"/>
      <c r="K118" s="124"/>
      <c r="L118" s="124"/>
      <c r="M118" s="124"/>
      <c r="N118" s="124"/>
      <c r="O118" s="124"/>
      <c r="P118" s="124"/>
      <c r="Q118" s="3"/>
      <c r="R118" s="3"/>
      <c r="S118" s="3"/>
      <c r="T118" s="3"/>
      <c r="U118" s="3"/>
      <c r="V118" s="3"/>
      <c r="W118" s="3"/>
      <c r="X118" s="3"/>
      <c r="Y118" s="124"/>
      <c r="Z118" s="124"/>
    </row>
    <row r="119" spans="1:26" ht="15.75" customHeight="1" x14ac:dyDescent="0.2">
      <c r="A119" s="3"/>
      <c r="B119" s="3"/>
      <c r="C119" s="3"/>
      <c r="D119" s="123"/>
      <c r="E119" s="124"/>
      <c r="F119" s="124"/>
      <c r="G119" s="124"/>
      <c r="H119" s="124"/>
      <c r="I119" s="124"/>
      <c r="J119" s="124"/>
      <c r="K119" s="124"/>
      <c r="L119" s="124"/>
      <c r="M119" s="124"/>
      <c r="N119" s="124"/>
      <c r="O119" s="124"/>
      <c r="P119" s="124"/>
      <c r="Q119" s="3"/>
      <c r="R119" s="3"/>
      <c r="S119" s="3"/>
      <c r="T119" s="3"/>
      <c r="U119" s="3"/>
      <c r="V119" s="3"/>
      <c r="W119" s="3"/>
      <c r="X119" s="3"/>
      <c r="Y119" s="124"/>
      <c r="Z119" s="124"/>
    </row>
    <row r="120" spans="1:26" ht="15.75" customHeight="1" x14ac:dyDescent="0.2">
      <c r="A120" s="3"/>
      <c r="B120" s="3"/>
      <c r="C120" s="3"/>
      <c r="D120" s="123"/>
      <c r="E120" s="124"/>
      <c r="F120" s="124"/>
      <c r="G120" s="124"/>
      <c r="H120" s="124"/>
      <c r="I120" s="124"/>
      <c r="J120" s="124"/>
      <c r="K120" s="124"/>
      <c r="L120" s="124"/>
      <c r="M120" s="124"/>
      <c r="N120" s="124"/>
      <c r="O120" s="124"/>
      <c r="P120" s="124"/>
      <c r="Q120" s="3"/>
      <c r="R120" s="3"/>
      <c r="S120" s="3"/>
      <c r="T120" s="3"/>
      <c r="U120" s="3"/>
      <c r="V120" s="3"/>
      <c r="W120" s="3"/>
      <c r="X120" s="3"/>
      <c r="Y120" s="124"/>
      <c r="Z120" s="124"/>
    </row>
    <row r="121" spans="1:26" ht="15.75" customHeight="1" x14ac:dyDescent="0.2">
      <c r="A121" s="3"/>
      <c r="B121" s="3"/>
      <c r="C121" s="3"/>
      <c r="D121" s="123"/>
      <c r="E121" s="124"/>
      <c r="F121" s="124"/>
      <c r="G121" s="124"/>
      <c r="H121" s="124"/>
      <c r="I121" s="124"/>
      <c r="J121" s="124"/>
      <c r="K121" s="124"/>
      <c r="L121" s="124"/>
      <c r="M121" s="124"/>
      <c r="N121" s="124"/>
      <c r="O121" s="124"/>
      <c r="P121" s="124"/>
      <c r="Q121" s="3"/>
      <c r="R121" s="3"/>
      <c r="S121" s="3"/>
      <c r="T121" s="3"/>
      <c r="U121" s="3"/>
      <c r="V121" s="3"/>
      <c r="W121" s="3"/>
      <c r="X121" s="3"/>
      <c r="Y121" s="124"/>
      <c r="Z121" s="124"/>
    </row>
    <row r="122" spans="1:26" ht="15.75" customHeight="1" x14ac:dyDescent="0.2">
      <c r="A122" s="3"/>
      <c r="B122" s="3"/>
      <c r="C122" s="3"/>
      <c r="D122" s="123"/>
      <c r="E122" s="124"/>
      <c r="F122" s="124"/>
      <c r="G122" s="124"/>
      <c r="H122" s="124"/>
      <c r="I122" s="124"/>
      <c r="J122" s="124"/>
      <c r="K122" s="124"/>
      <c r="L122" s="124"/>
      <c r="M122" s="124"/>
      <c r="N122" s="124"/>
      <c r="O122" s="124"/>
      <c r="P122" s="124"/>
      <c r="Q122" s="3"/>
      <c r="R122" s="3"/>
      <c r="S122" s="3"/>
      <c r="T122" s="3"/>
      <c r="U122" s="3"/>
      <c r="V122" s="3"/>
      <c r="W122" s="3"/>
      <c r="X122" s="3"/>
      <c r="Y122" s="124"/>
      <c r="Z122" s="124"/>
    </row>
    <row r="123" spans="1:26" ht="15.75" customHeight="1" x14ac:dyDescent="0.2">
      <c r="A123" s="3"/>
      <c r="B123" s="3"/>
      <c r="C123" s="3"/>
      <c r="D123" s="123"/>
      <c r="E123" s="124"/>
      <c r="F123" s="124"/>
      <c r="G123" s="124"/>
      <c r="H123" s="124"/>
      <c r="I123" s="124"/>
      <c r="J123" s="124"/>
      <c r="K123" s="124"/>
      <c r="L123" s="124"/>
      <c r="M123" s="124"/>
      <c r="N123" s="124"/>
      <c r="O123" s="124"/>
      <c r="P123" s="124"/>
      <c r="Q123" s="3"/>
      <c r="R123" s="3"/>
      <c r="S123" s="3"/>
      <c r="T123" s="3"/>
      <c r="U123" s="3"/>
      <c r="V123" s="3"/>
      <c r="W123" s="3"/>
      <c r="X123" s="3"/>
      <c r="Y123" s="124"/>
      <c r="Z123" s="124"/>
    </row>
    <row r="124" spans="1:26" ht="15.75" customHeight="1" x14ac:dyDescent="0.2">
      <c r="A124" s="3"/>
      <c r="B124" s="3"/>
      <c r="C124" s="3"/>
      <c r="D124" s="123"/>
      <c r="E124" s="124"/>
      <c r="F124" s="124"/>
      <c r="G124" s="124"/>
      <c r="H124" s="124"/>
      <c r="I124" s="124"/>
      <c r="J124" s="124"/>
      <c r="K124" s="124"/>
      <c r="L124" s="124"/>
      <c r="M124" s="124"/>
      <c r="N124" s="124"/>
      <c r="O124" s="124"/>
      <c r="P124" s="124"/>
      <c r="Q124" s="3"/>
      <c r="R124" s="3"/>
      <c r="S124" s="3"/>
      <c r="T124" s="3"/>
      <c r="U124" s="3"/>
      <c r="V124" s="3"/>
      <c r="W124" s="3"/>
      <c r="X124" s="3"/>
      <c r="Y124" s="124"/>
      <c r="Z124" s="124"/>
    </row>
    <row r="125" spans="1:26" ht="15.75" customHeight="1" x14ac:dyDescent="0.2">
      <c r="A125" s="3"/>
      <c r="B125" s="3"/>
      <c r="C125" s="3"/>
      <c r="D125" s="123"/>
      <c r="E125" s="124"/>
      <c r="F125" s="124"/>
      <c r="G125" s="124"/>
      <c r="H125" s="124"/>
      <c r="I125" s="124"/>
      <c r="J125" s="124"/>
      <c r="K125" s="124"/>
      <c r="L125" s="124"/>
      <c r="M125" s="124"/>
      <c r="N125" s="124"/>
      <c r="O125" s="124"/>
      <c r="P125" s="124"/>
      <c r="Q125" s="3"/>
      <c r="R125" s="3"/>
      <c r="S125" s="3"/>
      <c r="T125" s="3"/>
      <c r="U125" s="3"/>
      <c r="V125" s="3"/>
      <c r="W125" s="3"/>
      <c r="X125" s="3"/>
      <c r="Y125" s="124"/>
      <c r="Z125" s="124"/>
    </row>
    <row r="126" spans="1:26" ht="15.75" customHeight="1" x14ac:dyDescent="0.2">
      <c r="A126" s="3"/>
      <c r="B126" s="3"/>
      <c r="C126" s="3"/>
      <c r="D126" s="123"/>
      <c r="E126" s="124"/>
      <c r="F126" s="124"/>
      <c r="G126" s="124"/>
      <c r="H126" s="124"/>
      <c r="I126" s="124"/>
      <c r="J126" s="124"/>
      <c r="K126" s="124"/>
      <c r="L126" s="124"/>
      <c r="M126" s="124"/>
      <c r="N126" s="124"/>
      <c r="O126" s="124"/>
      <c r="P126" s="124"/>
      <c r="Q126" s="3"/>
      <c r="R126" s="3"/>
      <c r="S126" s="3"/>
      <c r="T126" s="3"/>
      <c r="U126" s="3"/>
      <c r="V126" s="3"/>
      <c r="W126" s="3"/>
      <c r="X126" s="3"/>
      <c r="Y126" s="124"/>
      <c r="Z126" s="124"/>
    </row>
    <row r="127" spans="1:26" ht="15.75" customHeight="1" x14ac:dyDescent="0.2">
      <c r="A127" s="3"/>
      <c r="B127" s="3"/>
      <c r="C127" s="3"/>
      <c r="D127" s="123"/>
      <c r="E127" s="124"/>
      <c r="F127" s="124"/>
      <c r="G127" s="124"/>
      <c r="H127" s="124"/>
      <c r="I127" s="124"/>
      <c r="J127" s="124"/>
      <c r="K127" s="124"/>
      <c r="L127" s="124"/>
      <c r="M127" s="124"/>
      <c r="N127" s="124"/>
      <c r="O127" s="124"/>
      <c r="P127" s="124"/>
      <c r="Q127" s="3"/>
      <c r="R127" s="3"/>
      <c r="S127" s="3"/>
      <c r="T127" s="3"/>
      <c r="U127" s="3"/>
      <c r="V127" s="3"/>
      <c r="W127" s="3"/>
      <c r="X127" s="3"/>
      <c r="Y127" s="124"/>
      <c r="Z127" s="124"/>
    </row>
    <row r="128" spans="1:26" ht="15.75" customHeight="1" x14ac:dyDescent="0.2">
      <c r="A128" s="3"/>
      <c r="B128" s="3"/>
      <c r="C128" s="3"/>
      <c r="D128" s="123"/>
      <c r="E128" s="124"/>
      <c r="F128" s="124"/>
      <c r="G128" s="124"/>
      <c r="H128" s="124"/>
      <c r="I128" s="124"/>
      <c r="J128" s="124"/>
      <c r="K128" s="124"/>
      <c r="L128" s="124"/>
      <c r="M128" s="124"/>
      <c r="N128" s="124"/>
      <c r="O128" s="124"/>
      <c r="P128" s="124"/>
      <c r="Q128" s="3"/>
      <c r="R128" s="3"/>
      <c r="S128" s="3"/>
      <c r="T128" s="3"/>
      <c r="U128" s="3"/>
      <c r="V128" s="3"/>
      <c r="W128" s="3"/>
      <c r="X128" s="3"/>
      <c r="Y128" s="124"/>
      <c r="Z128" s="124"/>
    </row>
    <row r="129" spans="1:26" ht="15.75" customHeight="1" x14ac:dyDescent="0.2">
      <c r="A129" s="3"/>
      <c r="B129" s="3"/>
      <c r="C129" s="3"/>
      <c r="D129" s="123"/>
      <c r="E129" s="124"/>
      <c r="F129" s="124"/>
      <c r="G129" s="124"/>
      <c r="H129" s="124"/>
      <c r="I129" s="124"/>
      <c r="J129" s="124"/>
      <c r="K129" s="124"/>
      <c r="L129" s="124"/>
      <c r="M129" s="124"/>
      <c r="N129" s="124"/>
      <c r="O129" s="124"/>
      <c r="P129" s="124"/>
      <c r="Q129" s="3"/>
      <c r="R129" s="3"/>
      <c r="S129" s="3"/>
      <c r="T129" s="3"/>
      <c r="U129" s="3"/>
      <c r="V129" s="3"/>
      <c r="W129" s="3"/>
      <c r="X129" s="3"/>
      <c r="Y129" s="124"/>
      <c r="Z129" s="124"/>
    </row>
    <row r="130" spans="1:26" ht="15.75" customHeight="1" x14ac:dyDescent="0.2">
      <c r="A130" s="3"/>
      <c r="B130" s="3"/>
      <c r="C130" s="3"/>
      <c r="D130" s="123"/>
      <c r="E130" s="124"/>
      <c r="F130" s="124"/>
      <c r="G130" s="124"/>
      <c r="H130" s="124"/>
      <c r="I130" s="124"/>
      <c r="J130" s="124"/>
      <c r="K130" s="124"/>
      <c r="L130" s="124"/>
      <c r="M130" s="124"/>
      <c r="N130" s="124"/>
      <c r="O130" s="124"/>
      <c r="P130" s="124"/>
      <c r="Q130" s="3"/>
      <c r="R130" s="3"/>
      <c r="S130" s="3"/>
      <c r="T130" s="3"/>
      <c r="U130" s="3"/>
      <c r="V130" s="3"/>
      <c r="W130" s="3"/>
      <c r="X130" s="3"/>
      <c r="Y130" s="124"/>
      <c r="Z130" s="124"/>
    </row>
    <row r="131" spans="1:26" ht="15.75" customHeight="1" x14ac:dyDescent="0.2">
      <c r="A131" s="3"/>
      <c r="B131" s="3"/>
      <c r="C131" s="3"/>
      <c r="D131" s="123"/>
      <c r="E131" s="124"/>
      <c r="F131" s="124"/>
      <c r="G131" s="124"/>
      <c r="H131" s="124"/>
      <c r="I131" s="124"/>
      <c r="J131" s="124"/>
      <c r="K131" s="124"/>
      <c r="L131" s="124"/>
      <c r="M131" s="124"/>
      <c r="N131" s="124"/>
      <c r="O131" s="124"/>
      <c r="P131" s="124"/>
      <c r="Q131" s="3"/>
      <c r="R131" s="3"/>
      <c r="S131" s="3"/>
      <c r="T131" s="3"/>
      <c r="U131" s="3"/>
      <c r="V131" s="3"/>
      <c r="W131" s="3"/>
      <c r="X131" s="3"/>
      <c r="Y131" s="124"/>
      <c r="Z131" s="124"/>
    </row>
    <row r="132" spans="1:26" ht="15.75" customHeight="1" x14ac:dyDescent="0.2">
      <c r="A132" s="3"/>
      <c r="B132" s="3"/>
      <c r="C132" s="3"/>
      <c r="D132" s="123"/>
      <c r="E132" s="124"/>
      <c r="F132" s="124"/>
      <c r="G132" s="124"/>
      <c r="H132" s="124"/>
      <c r="I132" s="124"/>
      <c r="J132" s="124"/>
      <c r="K132" s="124"/>
      <c r="L132" s="124"/>
      <c r="M132" s="124"/>
      <c r="N132" s="124"/>
      <c r="O132" s="124"/>
      <c r="P132" s="124"/>
      <c r="Q132" s="3"/>
      <c r="R132" s="3"/>
      <c r="S132" s="3"/>
      <c r="T132" s="3"/>
      <c r="U132" s="3"/>
      <c r="V132" s="3"/>
      <c r="W132" s="3"/>
      <c r="X132" s="3"/>
      <c r="Y132" s="124"/>
      <c r="Z132" s="124"/>
    </row>
    <row r="133" spans="1:26" ht="15.75" customHeight="1" x14ac:dyDescent="0.2">
      <c r="A133" s="3"/>
      <c r="B133" s="3"/>
      <c r="C133" s="3"/>
      <c r="D133" s="123"/>
      <c r="E133" s="124"/>
      <c r="F133" s="124"/>
      <c r="G133" s="124"/>
      <c r="H133" s="124"/>
      <c r="I133" s="124"/>
      <c r="J133" s="124"/>
      <c r="K133" s="124"/>
      <c r="L133" s="124"/>
      <c r="M133" s="124"/>
      <c r="N133" s="124"/>
      <c r="O133" s="124"/>
      <c r="P133" s="124"/>
      <c r="Q133" s="3"/>
      <c r="R133" s="3"/>
      <c r="S133" s="3"/>
      <c r="T133" s="3"/>
      <c r="U133" s="3"/>
      <c r="V133" s="3"/>
      <c r="W133" s="3"/>
      <c r="X133" s="3"/>
      <c r="Y133" s="124"/>
      <c r="Z133" s="124"/>
    </row>
    <row r="134" spans="1:26" ht="15.75" customHeight="1" x14ac:dyDescent="0.2">
      <c r="A134" s="3"/>
      <c r="B134" s="3"/>
      <c r="C134" s="3"/>
      <c r="D134" s="123"/>
      <c r="E134" s="124"/>
      <c r="F134" s="124"/>
      <c r="G134" s="124"/>
      <c r="H134" s="124"/>
      <c r="I134" s="124"/>
      <c r="J134" s="124"/>
      <c r="K134" s="124"/>
      <c r="L134" s="124"/>
      <c r="M134" s="124"/>
      <c r="N134" s="124"/>
      <c r="O134" s="124"/>
      <c r="P134" s="124"/>
      <c r="Q134" s="3"/>
      <c r="R134" s="3"/>
      <c r="S134" s="3"/>
      <c r="T134" s="3"/>
      <c r="U134" s="3"/>
      <c r="V134" s="3"/>
      <c r="W134" s="3"/>
      <c r="X134" s="3"/>
      <c r="Y134" s="124"/>
      <c r="Z134" s="124"/>
    </row>
    <row r="135" spans="1:26" ht="15.75" customHeight="1" x14ac:dyDescent="0.2">
      <c r="A135" s="3"/>
      <c r="B135" s="3"/>
      <c r="C135" s="3"/>
      <c r="D135" s="123"/>
      <c r="E135" s="124"/>
      <c r="F135" s="124"/>
      <c r="G135" s="124"/>
      <c r="H135" s="124"/>
      <c r="I135" s="124"/>
      <c r="J135" s="124"/>
      <c r="K135" s="124"/>
      <c r="L135" s="124"/>
      <c r="M135" s="124"/>
      <c r="N135" s="124"/>
      <c r="O135" s="124"/>
      <c r="P135" s="124"/>
      <c r="Q135" s="3"/>
      <c r="R135" s="3"/>
      <c r="S135" s="3"/>
      <c r="T135" s="3"/>
      <c r="U135" s="3"/>
      <c r="V135" s="3"/>
      <c r="W135" s="3"/>
      <c r="X135" s="3"/>
      <c r="Y135" s="124"/>
      <c r="Z135" s="124"/>
    </row>
    <row r="136" spans="1:26" ht="15.75" customHeight="1" x14ac:dyDescent="0.2">
      <c r="A136" s="3"/>
      <c r="B136" s="3"/>
      <c r="C136" s="3"/>
      <c r="D136" s="123"/>
      <c r="E136" s="124"/>
      <c r="F136" s="124"/>
      <c r="G136" s="124"/>
      <c r="H136" s="124"/>
      <c r="I136" s="124"/>
      <c r="J136" s="124"/>
      <c r="K136" s="124"/>
      <c r="L136" s="124"/>
      <c r="M136" s="124"/>
      <c r="N136" s="124"/>
      <c r="O136" s="124"/>
      <c r="P136" s="124"/>
      <c r="Q136" s="3"/>
      <c r="R136" s="3"/>
      <c r="S136" s="3"/>
      <c r="T136" s="3"/>
      <c r="U136" s="3"/>
      <c r="V136" s="3"/>
      <c r="W136" s="3"/>
      <c r="X136" s="3"/>
      <c r="Y136" s="124"/>
      <c r="Z136" s="124"/>
    </row>
    <row r="137" spans="1:26" ht="15.75" customHeight="1" x14ac:dyDescent="0.2">
      <c r="A137" s="3"/>
      <c r="B137" s="3"/>
      <c r="C137" s="3"/>
      <c r="D137" s="123"/>
      <c r="E137" s="124"/>
      <c r="F137" s="124"/>
      <c r="G137" s="124"/>
      <c r="H137" s="124"/>
      <c r="I137" s="124"/>
      <c r="J137" s="124"/>
      <c r="K137" s="124"/>
      <c r="L137" s="124"/>
      <c r="M137" s="124"/>
      <c r="N137" s="124"/>
      <c r="O137" s="124"/>
      <c r="P137" s="124"/>
      <c r="Q137" s="3"/>
      <c r="R137" s="3"/>
      <c r="S137" s="3"/>
      <c r="T137" s="3"/>
      <c r="U137" s="3"/>
      <c r="V137" s="3"/>
      <c r="W137" s="3"/>
      <c r="X137" s="3"/>
      <c r="Y137" s="124"/>
      <c r="Z137" s="124"/>
    </row>
    <row r="138" spans="1:26" ht="15.75" customHeight="1" x14ac:dyDescent="0.2">
      <c r="A138" s="3"/>
      <c r="B138" s="3"/>
      <c r="C138" s="3"/>
      <c r="D138" s="123"/>
      <c r="E138" s="124"/>
      <c r="F138" s="124"/>
      <c r="G138" s="124"/>
      <c r="H138" s="124"/>
      <c r="I138" s="124"/>
      <c r="J138" s="124"/>
      <c r="K138" s="124"/>
      <c r="L138" s="124"/>
      <c r="M138" s="124"/>
      <c r="N138" s="124"/>
      <c r="O138" s="124"/>
      <c r="P138" s="124"/>
      <c r="Q138" s="3"/>
      <c r="R138" s="3"/>
      <c r="S138" s="3"/>
      <c r="T138" s="3"/>
      <c r="U138" s="3"/>
      <c r="V138" s="3"/>
      <c r="W138" s="3"/>
      <c r="X138" s="3"/>
      <c r="Y138" s="124"/>
      <c r="Z138" s="124"/>
    </row>
    <row r="139" spans="1:26" ht="15.75" customHeight="1" x14ac:dyDescent="0.2">
      <c r="A139" s="3"/>
      <c r="B139" s="3"/>
      <c r="C139" s="3"/>
      <c r="D139" s="123"/>
      <c r="E139" s="124"/>
      <c r="F139" s="124"/>
      <c r="G139" s="124"/>
      <c r="H139" s="124"/>
      <c r="I139" s="124"/>
      <c r="J139" s="124"/>
      <c r="K139" s="124"/>
      <c r="L139" s="124"/>
      <c r="M139" s="124"/>
      <c r="N139" s="124"/>
      <c r="O139" s="124"/>
      <c r="P139" s="124"/>
      <c r="Q139" s="3"/>
      <c r="R139" s="3"/>
      <c r="S139" s="3"/>
      <c r="T139" s="3"/>
      <c r="U139" s="3"/>
      <c r="V139" s="3"/>
      <c r="W139" s="3"/>
      <c r="X139" s="3"/>
      <c r="Y139" s="124"/>
      <c r="Z139" s="124"/>
    </row>
    <row r="140" spans="1:26" ht="15.75" customHeight="1" x14ac:dyDescent="0.2">
      <c r="A140" s="3"/>
      <c r="B140" s="3"/>
      <c r="C140" s="3"/>
      <c r="D140" s="123"/>
      <c r="E140" s="124"/>
      <c r="F140" s="124"/>
      <c r="G140" s="124"/>
      <c r="H140" s="124"/>
      <c r="I140" s="124"/>
      <c r="J140" s="124"/>
      <c r="K140" s="124"/>
      <c r="L140" s="124"/>
      <c r="M140" s="124"/>
      <c r="N140" s="124"/>
      <c r="O140" s="124"/>
      <c r="P140" s="124"/>
      <c r="Q140" s="3"/>
      <c r="R140" s="3"/>
      <c r="S140" s="3"/>
      <c r="T140" s="3"/>
      <c r="U140" s="3"/>
      <c r="V140" s="3"/>
      <c r="W140" s="3"/>
      <c r="X140" s="3"/>
      <c r="Y140" s="124"/>
      <c r="Z140" s="124"/>
    </row>
    <row r="141" spans="1:26" ht="15.75" customHeight="1" x14ac:dyDescent="0.2">
      <c r="A141" s="3"/>
      <c r="B141" s="3"/>
      <c r="C141" s="3"/>
      <c r="D141" s="123"/>
      <c r="E141" s="124"/>
      <c r="F141" s="124"/>
      <c r="G141" s="124"/>
      <c r="H141" s="124"/>
      <c r="I141" s="124"/>
      <c r="J141" s="124"/>
      <c r="K141" s="124"/>
      <c r="L141" s="124"/>
      <c r="M141" s="124"/>
      <c r="N141" s="124"/>
      <c r="O141" s="124"/>
      <c r="P141" s="124"/>
      <c r="Q141" s="3"/>
      <c r="R141" s="3"/>
      <c r="S141" s="3"/>
      <c r="T141" s="3"/>
      <c r="U141" s="3"/>
      <c r="V141" s="3"/>
      <c r="W141" s="3"/>
      <c r="X141" s="3"/>
      <c r="Y141" s="124"/>
      <c r="Z141" s="124"/>
    </row>
    <row r="142" spans="1:26" ht="15.75" customHeight="1" x14ac:dyDescent="0.2">
      <c r="A142" s="3"/>
      <c r="B142" s="3"/>
      <c r="C142" s="3"/>
      <c r="D142" s="123"/>
      <c r="E142" s="124"/>
      <c r="F142" s="124"/>
      <c r="G142" s="124"/>
      <c r="H142" s="124"/>
      <c r="I142" s="124"/>
      <c r="J142" s="124"/>
      <c r="K142" s="124"/>
      <c r="L142" s="124"/>
      <c r="M142" s="124"/>
      <c r="N142" s="124"/>
      <c r="O142" s="124"/>
      <c r="P142" s="124"/>
      <c r="Q142" s="3"/>
      <c r="R142" s="3"/>
      <c r="S142" s="3"/>
      <c r="T142" s="3"/>
      <c r="U142" s="3"/>
      <c r="V142" s="3"/>
      <c r="W142" s="3"/>
      <c r="X142" s="3"/>
      <c r="Y142" s="124"/>
      <c r="Z142" s="124"/>
    </row>
    <row r="143" spans="1:26" ht="15.75" customHeight="1" x14ac:dyDescent="0.2">
      <c r="A143" s="3"/>
      <c r="B143" s="3"/>
      <c r="C143" s="3"/>
      <c r="D143" s="123"/>
      <c r="E143" s="124"/>
      <c r="F143" s="124"/>
      <c r="G143" s="124"/>
      <c r="H143" s="124"/>
      <c r="I143" s="124"/>
      <c r="J143" s="124"/>
      <c r="K143" s="124"/>
      <c r="L143" s="124"/>
      <c r="M143" s="124"/>
      <c r="N143" s="124"/>
      <c r="O143" s="124"/>
      <c r="P143" s="124"/>
      <c r="Q143" s="3"/>
      <c r="R143" s="3"/>
      <c r="S143" s="3"/>
      <c r="T143" s="3"/>
      <c r="U143" s="3"/>
      <c r="V143" s="3"/>
      <c r="W143" s="3"/>
      <c r="X143" s="3"/>
      <c r="Y143" s="124"/>
      <c r="Z143" s="124"/>
    </row>
    <row r="144" spans="1:26" ht="15.75" customHeight="1" x14ac:dyDescent="0.2">
      <c r="A144" s="3"/>
      <c r="B144" s="3"/>
      <c r="C144" s="3"/>
      <c r="D144" s="123"/>
      <c r="E144" s="124"/>
      <c r="F144" s="124"/>
      <c r="G144" s="124"/>
      <c r="H144" s="124"/>
      <c r="I144" s="124"/>
      <c r="J144" s="124"/>
      <c r="K144" s="124"/>
      <c r="L144" s="124"/>
      <c r="M144" s="124"/>
      <c r="N144" s="124"/>
      <c r="O144" s="124"/>
      <c r="P144" s="124"/>
      <c r="Q144" s="3"/>
      <c r="R144" s="3"/>
      <c r="S144" s="3"/>
      <c r="T144" s="3"/>
      <c r="U144" s="3"/>
      <c r="V144" s="3"/>
      <c r="W144" s="3"/>
      <c r="X144" s="3"/>
      <c r="Y144" s="124"/>
      <c r="Z144" s="124"/>
    </row>
    <row r="145" spans="1:26" ht="15.75" customHeight="1" x14ac:dyDescent="0.2">
      <c r="A145" s="3"/>
      <c r="B145" s="3"/>
      <c r="C145" s="3"/>
      <c r="D145" s="123"/>
      <c r="E145" s="124"/>
      <c r="F145" s="124"/>
      <c r="G145" s="124"/>
      <c r="H145" s="124"/>
      <c r="I145" s="124"/>
      <c r="J145" s="124"/>
      <c r="K145" s="124"/>
      <c r="L145" s="124"/>
      <c r="M145" s="124"/>
      <c r="N145" s="124"/>
      <c r="O145" s="124"/>
      <c r="P145" s="124"/>
      <c r="Q145" s="3"/>
      <c r="R145" s="3"/>
      <c r="S145" s="3"/>
      <c r="T145" s="3"/>
      <c r="U145" s="3"/>
      <c r="V145" s="3"/>
      <c r="W145" s="3"/>
      <c r="X145" s="3"/>
      <c r="Y145" s="124"/>
      <c r="Z145" s="124"/>
    </row>
    <row r="146" spans="1:26" ht="15.75" customHeight="1" x14ac:dyDescent="0.2">
      <c r="A146" s="3"/>
      <c r="B146" s="3"/>
      <c r="C146" s="3"/>
      <c r="D146" s="123"/>
      <c r="E146" s="124"/>
      <c r="F146" s="124"/>
      <c r="G146" s="124"/>
      <c r="H146" s="124"/>
      <c r="I146" s="124"/>
      <c r="J146" s="124"/>
      <c r="K146" s="124"/>
      <c r="L146" s="124"/>
      <c r="M146" s="124"/>
      <c r="N146" s="124"/>
      <c r="O146" s="124"/>
      <c r="P146" s="124"/>
      <c r="Q146" s="3"/>
      <c r="R146" s="3"/>
      <c r="S146" s="3"/>
      <c r="T146" s="3"/>
      <c r="U146" s="3"/>
      <c r="V146" s="3"/>
      <c r="W146" s="3"/>
      <c r="X146" s="3"/>
      <c r="Y146" s="124"/>
      <c r="Z146" s="124"/>
    </row>
    <row r="147" spans="1:26" ht="15.75" customHeight="1" x14ac:dyDescent="0.2">
      <c r="A147" s="3"/>
      <c r="B147" s="3"/>
      <c r="C147" s="3"/>
      <c r="D147" s="123"/>
      <c r="E147" s="124"/>
      <c r="F147" s="124"/>
      <c r="G147" s="124"/>
      <c r="H147" s="124"/>
      <c r="I147" s="124"/>
      <c r="J147" s="124"/>
      <c r="K147" s="124"/>
      <c r="L147" s="124"/>
      <c r="M147" s="124"/>
      <c r="N147" s="124"/>
      <c r="O147" s="124"/>
      <c r="P147" s="124"/>
      <c r="Q147" s="3"/>
      <c r="R147" s="3"/>
      <c r="S147" s="3"/>
      <c r="T147" s="3"/>
      <c r="U147" s="3"/>
      <c r="V147" s="3"/>
      <c r="W147" s="3"/>
      <c r="X147" s="3"/>
      <c r="Y147" s="124"/>
      <c r="Z147" s="124"/>
    </row>
    <row r="148" spans="1:26" ht="15.75" customHeight="1" x14ac:dyDescent="0.2">
      <c r="A148" s="3"/>
      <c r="B148" s="3"/>
      <c r="C148" s="3"/>
      <c r="D148" s="123"/>
      <c r="E148" s="124"/>
      <c r="F148" s="124"/>
      <c r="G148" s="124"/>
      <c r="H148" s="124"/>
      <c r="I148" s="124"/>
      <c r="J148" s="124"/>
      <c r="K148" s="124"/>
      <c r="L148" s="124"/>
      <c r="M148" s="124"/>
      <c r="N148" s="124"/>
      <c r="O148" s="124"/>
      <c r="P148" s="124"/>
      <c r="Q148" s="3"/>
      <c r="R148" s="3"/>
      <c r="S148" s="3"/>
      <c r="T148" s="3"/>
      <c r="U148" s="3"/>
      <c r="V148" s="3"/>
      <c r="W148" s="3"/>
      <c r="X148" s="3"/>
      <c r="Y148" s="124"/>
      <c r="Z148" s="124"/>
    </row>
    <row r="149" spans="1:26" ht="15.75" customHeight="1" x14ac:dyDescent="0.2">
      <c r="A149" s="3"/>
      <c r="B149" s="3"/>
      <c r="C149" s="3"/>
      <c r="D149" s="123"/>
      <c r="E149" s="124"/>
      <c r="F149" s="124"/>
      <c r="G149" s="124"/>
      <c r="H149" s="124"/>
      <c r="I149" s="124"/>
      <c r="J149" s="124"/>
      <c r="K149" s="124"/>
      <c r="L149" s="124"/>
      <c r="M149" s="124"/>
      <c r="N149" s="124"/>
      <c r="O149" s="124"/>
      <c r="P149" s="124"/>
      <c r="Q149" s="3"/>
      <c r="R149" s="3"/>
      <c r="S149" s="3"/>
      <c r="T149" s="3"/>
      <c r="U149" s="3"/>
      <c r="V149" s="3"/>
      <c r="W149" s="3"/>
      <c r="X149" s="3"/>
      <c r="Y149" s="124"/>
      <c r="Z149" s="124"/>
    </row>
    <row r="150" spans="1:26" ht="15.75" customHeight="1" x14ac:dyDescent="0.2">
      <c r="A150" s="3"/>
      <c r="B150" s="3"/>
      <c r="C150" s="3"/>
      <c r="D150" s="123"/>
      <c r="E150" s="124"/>
      <c r="F150" s="124"/>
      <c r="G150" s="124"/>
      <c r="H150" s="124"/>
      <c r="I150" s="124"/>
      <c r="J150" s="124"/>
      <c r="K150" s="124"/>
      <c r="L150" s="124"/>
      <c r="M150" s="124"/>
      <c r="N150" s="124"/>
      <c r="O150" s="124"/>
      <c r="P150" s="124"/>
      <c r="Q150" s="3"/>
      <c r="R150" s="3"/>
      <c r="S150" s="3"/>
      <c r="T150" s="3"/>
      <c r="U150" s="3"/>
      <c r="V150" s="3"/>
      <c r="W150" s="3"/>
      <c r="X150" s="3"/>
      <c r="Y150" s="124"/>
      <c r="Z150" s="124"/>
    </row>
    <row r="151" spans="1:26" ht="15.75" customHeight="1" x14ac:dyDescent="0.2">
      <c r="A151" s="3"/>
      <c r="B151" s="3"/>
      <c r="C151" s="3"/>
      <c r="D151" s="123"/>
      <c r="E151" s="124"/>
      <c r="F151" s="124"/>
      <c r="G151" s="124"/>
      <c r="H151" s="124"/>
      <c r="I151" s="124"/>
      <c r="J151" s="124"/>
      <c r="K151" s="124"/>
      <c r="L151" s="124"/>
      <c r="M151" s="124"/>
      <c r="N151" s="124"/>
      <c r="O151" s="124"/>
      <c r="P151" s="124"/>
      <c r="Q151" s="3"/>
      <c r="R151" s="3"/>
      <c r="S151" s="3"/>
      <c r="T151" s="3"/>
      <c r="U151" s="3"/>
      <c r="V151" s="3"/>
      <c r="W151" s="3"/>
      <c r="X151" s="3"/>
      <c r="Y151" s="124"/>
      <c r="Z151" s="124"/>
    </row>
    <row r="152" spans="1:26" ht="15.75" customHeight="1" x14ac:dyDescent="0.2">
      <c r="A152" s="3"/>
      <c r="B152" s="3"/>
      <c r="C152" s="3"/>
      <c r="D152" s="123"/>
      <c r="E152" s="124"/>
      <c r="F152" s="124"/>
      <c r="G152" s="124"/>
      <c r="H152" s="124"/>
      <c r="I152" s="124"/>
      <c r="J152" s="124"/>
      <c r="K152" s="124"/>
      <c r="L152" s="124"/>
      <c r="M152" s="124"/>
      <c r="N152" s="124"/>
      <c r="O152" s="124"/>
      <c r="P152" s="124"/>
      <c r="Q152" s="3"/>
      <c r="R152" s="3"/>
      <c r="S152" s="3"/>
      <c r="T152" s="3"/>
      <c r="U152" s="3"/>
      <c r="V152" s="3"/>
      <c r="W152" s="3"/>
      <c r="X152" s="3"/>
      <c r="Y152" s="124"/>
      <c r="Z152" s="124"/>
    </row>
    <row r="153" spans="1:26" ht="15.75" customHeight="1" x14ac:dyDescent="0.2">
      <c r="A153" s="3"/>
      <c r="B153" s="3"/>
      <c r="C153" s="3"/>
      <c r="D153" s="123"/>
      <c r="E153" s="124"/>
      <c r="F153" s="124"/>
      <c r="G153" s="124"/>
      <c r="H153" s="124"/>
      <c r="I153" s="124"/>
      <c r="J153" s="124"/>
      <c r="K153" s="124"/>
      <c r="L153" s="124"/>
      <c r="M153" s="124"/>
      <c r="N153" s="124"/>
      <c r="O153" s="124"/>
      <c r="P153" s="124"/>
      <c r="Q153" s="3"/>
      <c r="R153" s="3"/>
      <c r="S153" s="3"/>
      <c r="T153" s="3"/>
      <c r="U153" s="3"/>
      <c r="V153" s="3"/>
      <c r="W153" s="3"/>
      <c r="X153" s="3"/>
      <c r="Y153" s="124"/>
      <c r="Z153" s="124"/>
    </row>
    <row r="154" spans="1:26" ht="15.75" customHeight="1" x14ac:dyDescent="0.2">
      <c r="A154" s="3"/>
      <c r="B154" s="3"/>
      <c r="C154" s="3"/>
      <c r="D154" s="123"/>
      <c r="E154" s="124"/>
      <c r="F154" s="124"/>
      <c r="G154" s="124"/>
      <c r="H154" s="124"/>
      <c r="I154" s="124"/>
      <c r="J154" s="124"/>
      <c r="K154" s="124"/>
      <c r="L154" s="124"/>
      <c r="M154" s="124"/>
      <c r="N154" s="124"/>
      <c r="O154" s="124"/>
      <c r="P154" s="124"/>
      <c r="Q154" s="3"/>
      <c r="R154" s="3"/>
      <c r="S154" s="3"/>
      <c r="T154" s="3"/>
      <c r="U154" s="3"/>
      <c r="V154" s="3"/>
      <c r="W154" s="3"/>
      <c r="X154" s="3"/>
      <c r="Y154" s="124"/>
      <c r="Z154" s="124"/>
    </row>
    <row r="155" spans="1:26" ht="15.75" customHeight="1" x14ac:dyDescent="0.2">
      <c r="A155" s="3"/>
      <c r="B155" s="3"/>
      <c r="C155" s="3"/>
      <c r="D155" s="123"/>
      <c r="E155" s="124"/>
      <c r="F155" s="124"/>
      <c r="G155" s="124"/>
      <c r="H155" s="124"/>
      <c r="I155" s="124"/>
      <c r="J155" s="124"/>
      <c r="K155" s="124"/>
      <c r="L155" s="124"/>
      <c r="M155" s="124"/>
      <c r="N155" s="124"/>
      <c r="O155" s="124"/>
      <c r="P155" s="124"/>
      <c r="Q155" s="3"/>
      <c r="R155" s="3"/>
      <c r="S155" s="3"/>
      <c r="T155" s="3"/>
      <c r="U155" s="3"/>
      <c r="V155" s="3"/>
      <c r="W155" s="3"/>
      <c r="X155" s="3"/>
      <c r="Y155" s="124"/>
      <c r="Z155" s="124"/>
    </row>
    <row r="156" spans="1:26" ht="15.75" customHeight="1" x14ac:dyDescent="0.2">
      <c r="A156" s="3"/>
      <c r="B156" s="3"/>
      <c r="C156" s="3"/>
      <c r="D156" s="123"/>
      <c r="E156" s="124"/>
      <c r="F156" s="124"/>
      <c r="G156" s="124"/>
      <c r="H156" s="124"/>
      <c r="I156" s="124"/>
      <c r="J156" s="124"/>
      <c r="K156" s="124"/>
      <c r="L156" s="124"/>
      <c r="M156" s="124"/>
      <c r="N156" s="124"/>
      <c r="O156" s="124"/>
      <c r="P156" s="124"/>
      <c r="Q156" s="3"/>
      <c r="R156" s="3"/>
      <c r="S156" s="3"/>
      <c r="T156" s="3"/>
      <c r="U156" s="3"/>
      <c r="V156" s="3"/>
      <c r="W156" s="3"/>
      <c r="X156" s="3"/>
      <c r="Y156" s="124"/>
      <c r="Z156" s="124"/>
    </row>
    <row r="157" spans="1:26" ht="15.75" customHeight="1" x14ac:dyDescent="0.2">
      <c r="A157" s="3"/>
      <c r="B157" s="3"/>
      <c r="C157" s="3"/>
      <c r="D157" s="123"/>
      <c r="E157" s="124"/>
      <c r="F157" s="124"/>
      <c r="G157" s="124"/>
      <c r="H157" s="124"/>
      <c r="I157" s="124"/>
      <c r="J157" s="124"/>
      <c r="K157" s="124"/>
      <c r="L157" s="124"/>
      <c r="M157" s="124"/>
      <c r="N157" s="124"/>
      <c r="O157" s="124"/>
      <c r="P157" s="124"/>
      <c r="Q157" s="3"/>
      <c r="R157" s="3"/>
      <c r="S157" s="3"/>
      <c r="T157" s="3"/>
      <c r="U157" s="3"/>
      <c r="V157" s="3"/>
      <c r="W157" s="3"/>
      <c r="X157" s="3"/>
      <c r="Y157" s="124"/>
      <c r="Z157" s="124"/>
    </row>
    <row r="158" spans="1:26" ht="15.75" customHeight="1" x14ac:dyDescent="0.2">
      <c r="A158" s="3"/>
      <c r="B158" s="3"/>
      <c r="C158" s="3"/>
      <c r="D158" s="123"/>
      <c r="E158" s="124"/>
      <c r="F158" s="124"/>
      <c r="G158" s="124"/>
      <c r="H158" s="124"/>
      <c r="I158" s="124"/>
      <c r="J158" s="124"/>
      <c r="K158" s="124"/>
      <c r="L158" s="124"/>
      <c r="M158" s="124"/>
      <c r="N158" s="124"/>
      <c r="O158" s="124"/>
      <c r="P158" s="124"/>
      <c r="Q158" s="3"/>
      <c r="R158" s="3"/>
      <c r="S158" s="3"/>
      <c r="T158" s="3"/>
      <c r="U158" s="3"/>
      <c r="V158" s="3"/>
      <c r="W158" s="3"/>
      <c r="X158" s="3"/>
      <c r="Y158" s="124"/>
      <c r="Z158" s="124"/>
    </row>
    <row r="159" spans="1:26" ht="15.75" customHeight="1" x14ac:dyDescent="0.2">
      <c r="A159" s="3"/>
      <c r="B159" s="3"/>
      <c r="C159" s="3"/>
      <c r="D159" s="123"/>
      <c r="E159" s="124"/>
      <c r="F159" s="124"/>
      <c r="G159" s="124"/>
      <c r="H159" s="124"/>
      <c r="I159" s="124"/>
      <c r="J159" s="124"/>
      <c r="K159" s="124"/>
      <c r="L159" s="124"/>
      <c r="M159" s="124"/>
      <c r="N159" s="124"/>
      <c r="O159" s="124"/>
      <c r="P159" s="124"/>
      <c r="Q159" s="3"/>
      <c r="R159" s="3"/>
      <c r="S159" s="3"/>
      <c r="T159" s="3"/>
      <c r="U159" s="3"/>
      <c r="V159" s="3"/>
      <c r="W159" s="3"/>
      <c r="X159" s="3"/>
      <c r="Y159" s="124"/>
      <c r="Z159" s="124"/>
    </row>
    <row r="160" spans="1:26" ht="15.75" customHeight="1" x14ac:dyDescent="0.2">
      <c r="A160" s="3"/>
      <c r="B160" s="3"/>
      <c r="C160" s="3"/>
      <c r="D160" s="123"/>
      <c r="E160" s="124"/>
      <c r="F160" s="124"/>
      <c r="G160" s="124"/>
      <c r="H160" s="124"/>
      <c r="I160" s="124"/>
      <c r="J160" s="124"/>
      <c r="K160" s="124"/>
      <c r="L160" s="124"/>
      <c r="M160" s="124"/>
      <c r="N160" s="124"/>
      <c r="O160" s="124"/>
      <c r="P160" s="124"/>
      <c r="Q160" s="3"/>
      <c r="R160" s="3"/>
      <c r="S160" s="3"/>
      <c r="T160" s="3"/>
      <c r="U160" s="3"/>
      <c r="V160" s="3"/>
      <c r="W160" s="3"/>
      <c r="X160" s="3"/>
      <c r="Y160" s="124"/>
      <c r="Z160" s="124"/>
    </row>
    <row r="161" spans="1:26" ht="15.75" customHeight="1" x14ac:dyDescent="0.2">
      <c r="A161" s="3"/>
      <c r="B161" s="3"/>
      <c r="C161" s="3"/>
      <c r="D161" s="123"/>
      <c r="E161" s="124"/>
      <c r="F161" s="124"/>
      <c r="G161" s="124"/>
      <c r="H161" s="124"/>
      <c r="I161" s="124"/>
      <c r="J161" s="124"/>
      <c r="K161" s="124"/>
      <c r="L161" s="124"/>
      <c r="M161" s="124"/>
      <c r="N161" s="124"/>
      <c r="O161" s="124"/>
      <c r="P161" s="124"/>
      <c r="Q161" s="3"/>
      <c r="R161" s="3"/>
      <c r="S161" s="3"/>
      <c r="T161" s="3"/>
      <c r="U161" s="3"/>
      <c r="V161" s="3"/>
      <c r="W161" s="3"/>
      <c r="X161" s="3"/>
      <c r="Y161" s="124"/>
      <c r="Z161" s="124"/>
    </row>
    <row r="162" spans="1:26" ht="15.75" customHeight="1" x14ac:dyDescent="0.2">
      <c r="A162" s="3"/>
      <c r="B162" s="3"/>
      <c r="C162" s="3"/>
      <c r="D162" s="123"/>
      <c r="E162" s="124"/>
      <c r="F162" s="124"/>
      <c r="G162" s="124"/>
      <c r="H162" s="124"/>
      <c r="I162" s="124"/>
      <c r="J162" s="124"/>
      <c r="K162" s="124"/>
      <c r="L162" s="124"/>
      <c r="M162" s="124"/>
      <c r="N162" s="124"/>
      <c r="O162" s="124"/>
      <c r="P162" s="124"/>
      <c r="Q162" s="3"/>
      <c r="R162" s="3"/>
      <c r="S162" s="3"/>
      <c r="T162" s="3"/>
      <c r="U162" s="3"/>
      <c r="V162" s="3"/>
      <c r="W162" s="3"/>
      <c r="X162" s="3"/>
      <c r="Y162" s="124"/>
      <c r="Z162" s="124"/>
    </row>
    <row r="163" spans="1:26" ht="15.75" customHeight="1" x14ac:dyDescent="0.2">
      <c r="A163" s="3"/>
      <c r="B163" s="3"/>
      <c r="C163" s="3"/>
      <c r="D163" s="123"/>
      <c r="E163" s="124"/>
      <c r="F163" s="124"/>
      <c r="G163" s="124"/>
      <c r="H163" s="124"/>
      <c r="I163" s="124"/>
      <c r="J163" s="124"/>
      <c r="K163" s="124"/>
      <c r="L163" s="124"/>
      <c r="M163" s="124"/>
      <c r="N163" s="124"/>
      <c r="O163" s="124"/>
      <c r="P163" s="124"/>
      <c r="Q163" s="3"/>
      <c r="R163" s="3"/>
      <c r="S163" s="3"/>
      <c r="T163" s="3"/>
      <c r="U163" s="3"/>
      <c r="V163" s="3"/>
      <c r="W163" s="3"/>
      <c r="X163" s="3"/>
      <c r="Y163" s="124"/>
      <c r="Z163" s="124"/>
    </row>
    <row r="164" spans="1:26" ht="15.75" customHeight="1" x14ac:dyDescent="0.2">
      <c r="A164" s="3"/>
      <c r="B164" s="3"/>
      <c r="C164" s="3"/>
      <c r="D164" s="123"/>
      <c r="E164" s="124"/>
      <c r="F164" s="124"/>
      <c r="G164" s="124"/>
      <c r="H164" s="124"/>
      <c r="I164" s="124"/>
      <c r="J164" s="124"/>
      <c r="K164" s="124"/>
      <c r="L164" s="124"/>
      <c r="M164" s="124"/>
      <c r="N164" s="124"/>
      <c r="O164" s="124"/>
      <c r="P164" s="124"/>
      <c r="Q164" s="3"/>
      <c r="R164" s="3"/>
      <c r="S164" s="3"/>
      <c r="T164" s="3"/>
      <c r="U164" s="3"/>
      <c r="V164" s="3"/>
      <c r="W164" s="3"/>
      <c r="X164" s="3"/>
      <c r="Y164" s="124"/>
      <c r="Z164" s="124"/>
    </row>
    <row r="165" spans="1:26" ht="15.75" customHeight="1" x14ac:dyDescent="0.2">
      <c r="A165" s="3"/>
      <c r="B165" s="3"/>
      <c r="C165" s="3"/>
      <c r="D165" s="123"/>
      <c r="E165" s="124"/>
      <c r="F165" s="124"/>
      <c r="G165" s="124"/>
      <c r="H165" s="124"/>
      <c r="I165" s="124"/>
      <c r="J165" s="124"/>
      <c r="K165" s="124"/>
      <c r="L165" s="124"/>
      <c r="M165" s="124"/>
      <c r="N165" s="124"/>
      <c r="O165" s="124"/>
      <c r="P165" s="124"/>
      <c r="Q165" s="3"/>
      <c r="R165" s="3"/>
      <c r="S165" s="3"/>
      <c r="T165" s="3"/>
      <c r="U165" s="3"/>
      <c r="V165" s="3"/>
      <c r="W165" s="3"/>
      <c r="X165" s="3"/>
      <c r="Y165" s="124"/>
      <c r="Z165" s="124"/>
    </row>
    <row r="166" spans="1:26" ht="15.75" customHeight="1" x14ac:dyDescent="0.2">
      <c r="A166" s="3"/>
      <c r="B166" s="3"/>
      <c r="C166" s="3"/>
      <c r="D166" s="123"/>
      <c r="E166" s="124"/>
      <c r="F166" s="124"/>
      <c r="G166" s="124"/>
      <c r="H166" s="124"/>
      <c r="I166" s="124"/>
      <c r="J166" s="124"/>
      <c r="K166" s="124"/>
      <c r="L166" s="124"/>
      <c r="M166" s="124"/>
      <c r="N166" s="124"/>
      <c r="O166" s="124"/>
      <c r="P166" s="124"/>
      <c r="Q166" s="3"/>
      <c r="R166" s="3"/>
      <c r="S166" s="3"/>
      <c r="T166" s="3"/>
      <c r="U166" s="3"/>
      <c r="V166" s="3"/>
      <c r="W166" s="3"/>
      <c r="X166" s="3"/>
      <c r="Y166" s="124"/>
      <c r="Z166" s="124"/>
    </row>
    <row r="167" spans="1:26" ht="15.75" customHeight="1" x14ac:dyDescent="0.2">
      <c r="A167" s="3"/>
      <c r="B167" s="3"/>
      <c r="C167" s="3"/>
      <c r="D167" s="123"/>
      <c r="E167" s="124"/>
      <c r="F167" s="124"/>
      <c r="G167" s="124"/>
      <c r="H167" s="124"/>
      <c r="I167" s="124"/>
      <c r="J167" s="124"/>
      <c r="K167" s="124"/>
      <c r="L167" s="124"/>
      <c r="M167" s="124"/>
      <c r="N167" s="124"/>
      <c r="O167" s="124"/>
      <c r="P167" s="124"/>
      <c r="Q167" s="3"/>
      <c r="R167" s="3"/>
      <c r="S167" s="3"/>
      <c r="T167" s="3"/>
      <c r="U167" s="3"/>
      <c r="V167" s="3"/>
      <c r="W167" s="3"/>
      <c r="X167" s="3"/>
      <c r="Y167" s="124"/>
      <c r="Z167" s="124"/>
    </row>
    <row r="168" spans="1:26" ht="15.75" customHeight="1" x14ac:dyDescent="0.2">
      <c r="A168" s="3"/>
      <c r="B168" s="3"/>
      <c r="C168" s="3"/>
      <c r="D168" s="123"/>
      <c r="E168" s="124"/>
      <c r="F168" s="124"/>
      <c r="G168" s="124"/>
      <c r="H168" s="124"/>
      <c r="I168" s="124"/>
      <c r="J168" s="124"/>
      <c r="K168" s="124"/>
      <c r="L168" s="124"/>
      <c r="M168" s="124"/>
      <c r="N168" s="124"/>
      <c r="O168" s="124"/>
      <c r="P168" s="124"/>
      <c r="Q168" s="3"/>
      <c r="R168" s="3"/>
      <c r="S168" s="3"/>
      <c r="T168" s="3"/>
      <c r="U168" s="3"/>
      <c r="V168" s="3"/>
      <c r="W168" s="3"/>
      <c r="X168" s="3"/>
      <c r="Y168" s="124"/>
      <c r="Z168" s="124"/>
    </row>
    <row r="169" spans="1:26" ht="15.75" customHeight="1" x14ac:dyDescent="0.2">
      <c r="A169" s="3"/>
      <c r="B169" s="3"/>
      <c r="C169" s="3"/>
      <c r="D169" s="123"/>
      <c r="E169" s="124"/>
      <c r="F169" s="124"/>
      <c r="G169" s="124"/>
      <c r="H169" s="124"/>
      <c r="I169" s="124"/>
      <c r="J169" s="124"/>
      <c r="K169" s="124"/>
      <c r="L169" s="124"/>
      <c r="M169" s="124"/>
      <c r="N169" s="124"/>
      <c r="O169" s="124"/>
      <c r="P169" s="124"/>
      <c r="Q169" s="3"/>
      <c r="R169" s="3"/>
      <c r="S169" s="3"/>
      <c r="T169" s="3"/>
      <c r="U169" s="3"/>
      <c r="V169" s="3"/>
      <c r="W169" s="3"/>
      <c r="X169" s="3"/>
      <c r="Y169" s="124"/>
      <c r="Z169" s="124"/>
    </row>
    <row r="170" spans="1:26" ht="15.75" customHeight="1" x14ac:dyDescent="0.2">
      <c r="A170" s="3"/>
      <c r="B170" s="3"/>
      <c r="C170" s="3"/>
      <c r="D170" s="123"/>
      <c r="E170" s="124"/>
      <c r="F170" s="124"/>
      <c r="G170" s="124"/>
      <c r="H170" s="124"/>
      <c r="I170" s="124"/>
      <c r="J170" s="124"/>
      <c r="K170" s="124"/>
      <c r="L170" s="124"/>
      <c r="M170" s="124"/>
      <c r="N170" s="124"/>
      <c r="O170" s="124"/>
      <c r="P170" s="124"/>
      <c r="Q170" s="3"/>
      <c r="R170" s="3"/>
      <c r="S170" s="3"/>
      <c r="T170" s="3"/>
      <c r="U170" s="3"/>
      <c r="V170" s="3"/>
      <c r="W170" s="3"/>
      <c r="X170" s="3"/>
      <c r="Y170" s="124"/>
      <c r="Z170" s="124"/>
    </row>
    <row r="171" spans="1:26" ht="15.75" customHeight="1" x14ac:dyDescent="0.2">
      <c r="A171" s="3"/>
      <c r="B171" s="3"/>
      <c r="C171" s="3"/>
      <c r="D171" s="123"/>
      <c r="E171" s="124"/>
      <c r="F171" s="124"/>
      <c r="G171" s="124"/>
      <c r="H171" s="124"/>
      <c r="I171" s="124"/>
      <c r="J171" s="124"/>
      <c r="K171" s="124"/>
      <c r="L171" s="124"/>
      <c r="M171" s="124"/>
      <c r="N171" s="124"/>
      <c r="O171" s="124"/>
      <c r="P171" s="124"/>
      <c r="Q171" s="3"/>
      <c r="R171" s="3"/>
      <c r="S171" s="3"/>
      <c r="T171" s="3"/>
      <c r="U171" s="3"/>
      <c r="V171" s="3"/>
      <c r="W171" s="3"/>
      <c r="X171" s="3"/>
      <c r="Y171" s="124"/>
      <c r="Z171" s="124"/>
    </row>
    <row r="172" spans="1:26" ht="15.75" customHeight="1" x14ac:dyDescent="0.2">
      <c r="A172" s="3"/>
      <c r="B172" s="3"/>
      <c r="C172" s="3"/>
      <c r="D172" s="123"/>
      <c r="E172" s="124"/>
      <c r="F172" s="124"/>
      <c r="G172" s="124"/>
      <c r="H172" s="124"/>
      <c r="I172" s="124"/>
      <c r="J172" s="124"/>
      <c r="K172" s="124"/>
      <c r="L172" s="124"/>
      <c r="M172" s="124"/>
      <c r="N172" s="124"/>
      <c r="O172" s="124"/>
      <c r="P172" s="124"/>
      <c r="Q172" s="3"/>
      <c r="R172" s="3"/>
      <c r="S172" s="3"/>
      <c r="T172" s="3"/>
      <c r="U172" s="3"/>
      <c r="V172" s="3"/>
      <c r="W172" s="3"/>
      <c r="X172" s="3"/>
      <c r="Y172" s="124"/>
      <c r="Z172" s="124"/>
    </row>
    <row r="173" spans="1:26" ht="15.75" customHeight="1" x14ac:dyDescent="0.2">
      <c r="A173" s="3"/>
      <c r="B173" s="3"/>
      <c r="C173" s="3"/>
      <c r="D173" s="123"/>
      <c r="E173" s="124"/>
      <c r="F173" s="124"/>
      <c r="G173" s="124"/>
      <c r="H173" s="124"/>
      <c r="I173" s="124"/>
      <c r="J173" s="124"/>
      <c r="K173" s="124"/>
      <c r="L173" s="124"/>
      <c r="M173" s="124"/>
      <c r="N173" s="124"/>
      <c r="O173" s="124"/>
      <c r="P173" s="124"/>
      <c r="Q173" s="3"/>
      <c r="R173" s="3"/>
      <c r="S173" s="3"/>
      <c r="T173" s="3"/>
      <c r="U173" s="3"/>
      <c r="V173" s="3"/>
      <c r="W173" s="3"/>
      <c r="X173" s="3"/>
      <c r="Y173" s="124"/>
      <c r="Z173" s="124"/>
    </row>
    <row r="174" spans="1:26" ht="15.75" customHeight="1" x14ac:dyDescent="0.2">
      <c r="A174" s="3"/>
      <c r="B174" s="3"/>
      <c r="C174" s="3"/>
      <c r="D174" s="123"/>
      <c r="E174" s="124"/>
      <c r="F174" s="124"/>
      <c r="G174" s="124"/>
      <c r="H174" s="124"/>
      <c r="I174" s="124"/>
      <c r="J174" s="124"/>
      <c r="K174" s="124"/>
      <c r="L174" s="124"/>
      <c r="M174" s="124"/>
      <c r="N174" s="124"/>
      <c r="O174" s="124"/>
      <c r="P174" s="124"/>
      <c r="Q174" s="3"/>
      <c r="R174" s="3"/>
      <c r="S174" s="3"/>
      <c r="T174" s="3"/>
      <c r="U174" s="3"/>
      <c r="V174" s="3"/>
      <c r="W174" s="3"/>
      <c r="X174" s="3"/>
      <c r="Y174" s="124"/>
      <c r="Z174" s="124"/>
    </row>
    <row r="175" spans="1:26" ht="15.75" customHeight="1" x14ac:dyDescent="0.2">
      <c r="A175" s="3"/>
      <c r="B175" s="3"/>
      <c r="C175" s="3"/>
      <c r="D175" s="123"/>
      <c r="E175" s="124"/>
      <c r="F175" s="124"/>
      <c r="G175" s="124"/>
      <c r="H175" s="124"/>
      <c r="I175" s="124"/>
      <c r="J175" s="124"/>
      <c r="K175" s="124"/>
      <c r="L175" s="124"/>
      <c r="M175" s="124"/>
      <c r="N175" s="124"/>
      <c r="O175" s="124"/>
      <c r="P175" s="124"/>
      <c r="Q175" s="3"/>
      <c r="R175" s="3"/>
      <c r="S175" s="3"/>
      <c r="T175" s="3"/>
      <c r="U175" s="3"/>
      <c r="V175" s="3"/>
      <c r="W175" s="3"/>
      <c r="X175" s="3"/>
      <c r="Y175" s="124"/>
      <c r="Z175" s="124"/>
    </row>
    <row r="176" spans="1:26" ht="15.75" customHeight="1" x14ac:dyDescent="0.2">
      <c r="A176" s="3"/>
      <c r="B176" s="3"/>
      <c r="C176" s="3"/>
      <c r="D176" s="123"/>
      <c r="E176" s="124"/>
      <c r="F176" s="124"/>
      <c r="G176" s="124"/>
      <c r="H176" s="124"/>
      <c r="I176" s="124"/>
      <c r="J176" s="124"/>
      <c r="K176" s="124"/>
      <c r="L176" s="124"/>
      <c r="M176" s="124"/>
      <c r="N176" s="124"/>
      <c r="O176" s="124"/>
      <c r="P176" s="124"/>
      <c r="Q176" s="3"/>
      <c r="R176" s="3"/>
      <c r="S176" s="3"/>
      <c r="T176" s="3"/>
      <c r="U176" s="3"/>
      <c r="V176" s="3"/>
      <c r="W176" s="3"/>
      <c r="X176" s="3"/>
      <c r="Y176" s="124"/>
      <c r="Z176" s="124"/>
    </row>
    <row r="177" spans="1:26" ht="15.75" customHeight="1" x14ac:dyDescent="0.2">
      <c r="A177" s="3"/>
      <c r="B177" s="3"/>
      <c r="C177" s="3"/>
      <c r="D177" s="123"/>
      <c r="E177" s="124"/>
      <c r="F177" s="124"/>
      <c r="G177" s="124"/>
      <c r="H177" s="124"/>
      <c r="I177" s="124"/>
      <c r="J177" s="124"/>
      <c r="K177" s="124"/>
      <c r="L177" s="124"/>
      <c r="M177" s="124"/>
      <c r="N177" s="124"/>
      <c r="O177" s="124"/>
      <c r="P177" s="124"/>
      <c r="Q177" s="3"/>
      <c r="R177" s="3"/>
      <c r="S177" s="3"/>
      <c r="T177" s="3"/>
      <c r="U177" s="3"/>
      <c r="V177" s="3"/>
      <c r="W177" s="3"/>
      <c r="X177" s="3"/>
      <c r="Y177" s="124"/>
      <c r="Z177" s="124"/>
    </row>
    <row r="178" spans="1:26" ht="15.75" customHeight="1" x14ac:dyDescent="0.2">
      <c r="A178" s="3"/>
      <c r="B178" s="3"/>
      <c r="C178" s="3"/>
      <c r="D178" s="123"/>
      <c r="E178" s="124"/>
      <c r="F178" s="124"/>
      <c r="G178" s="124"/>
      <c r="H178" s="124"/>
      <c r="I178" s="124"/>
      <c r="J178" s="124"/>
      <c r="K178" s="124"/>
      <c r="L178" s="124"/>
      <c r="M178" s="124"/>
      <c r="N178" s="124"/>
      <c r="O178" s="124"/>
      <c r="P178" s="124"/>
      <c r="Q178" s="3"/>
      <c r="R178" s="3"/>
      <c r="S178" s="3"/>
      <c r="T178" s="3"/>
      <c r="U178" s="3"/>
      <c r="V178" s="3"/>
      <c r="W178" s="3"/>
      <c r="X178" s="3"/>
      <c r="Y178" s="124"/>
      <c r="Z178" s="124"/>
    </row>
    <row r="179" spans="1:26" ht="15.75" customHeight="1" x14ac:dyDescent="0.2">
      <c r="A179" s="3"/>
      <c r="B179" s="3"/>
      <c r="C179" s="3"/>
      <c r="D179" s="123"/>
      <c r="E179" s="124"/>
      <c r="F179" s="124"/>
      <c r="G179" s="124"/>
      <c r="H179" s="124"/>
      <c r="I179" s="124"/>
      <c r="J179" s="124"/>
      <c r="K179" s="124"/>
      <c r="L179" s="124"/>
      <c r="M179" s="124"/>
      <c r="N179" s="124"/>
      <c r="O179" s="124"/>
      <c r="P179" s="124"/>
      <c r="Q179" s="3"/>
      <c r="R179" s="3"/>
      <c r="S179" s="3"/>
      <c r="T179" s="3"/>
      <c r="U179" s="3"/>
      <c r="V179" s="3"/>
      <c r="W179" s="3"/>
      <c r="X179" s="3"/>
      <c r="Y179" s="124"/>
      <c r="Z179" s="124"/>
    </row>
    <row r="180" spans="1:26" ht="15.75" customHeight="1" x14ac:dyDescent="0.2">
      <c r="A180" s="3"/>
      <c r="B180" s="3"/>
      <c r="C180" s="3"/>
      <c r="D180" s="123"/>
      <c r="E180" s="124"/>
      <c r="F180" s="124"/>
      <c r="G180" s="124"/>
      <c r="H180" s="124"/>
      <c r="I180" s="124"/>
      <c r="J180" s="124"/>
      <c r="K180" s="124"/>
      <c r="L180" s="124"/>
      <c r="M180" s="124"/>
      <c r="N180" s="124"/>
      <c r="O180" s="124"/>
      <c r="P180" s="124"/>
      <c r="Q180" s="3"/>
      <c r="R180" s="3"/>
      <c r="S180" s="3"/>
      <c r="T180" s="3"/>
      <c r="U180" s="3"/>
      <c r="V180" s="3"/>
      <c r="W180" s="3"/>
      <c r="X180" s="3"/>
      <c r="Y180" s="124"/>
      <c r="Z180" s="124"/>
    </row>
    <row r="181" spans="1:26" ht="15.75" customHeight="1" x14ac:dyDescent="0.2">
      <c r="A181" s="3"/>
      <c r="B181" s="3"/>
      <c r="C181" s="3"/>
      <c r="D181" s="123"/>
      <c r="E181" s="124"/>
      <c r="F181" s="124"/>
      <c r="G181" s="124"/>
      <c r="H181" s="124"/>
      <c r="I181" s="124"/>
      <c r="J181" s="124"/>
      <c r="K181" s="124"/>
      <c r="L181" s="124"/>
      <c r="M181" s="124"/>
      <c r="N181" s="124"/>
      <c r="O181" s="124"/>
      <c r="P181" s="124"/>
      <c r="Q181" s="3"/>
      <c r="R181" s="3"/>
      <c r="S181" s="3"/>
      <c r="T181" s="3"/>
      <c r="U181" s="3"/>
      <c r="V181" s="3"/>
      <c r="W181" s="3"/>
      <c r="X181" s="3"/>
      <c r="Y181" s="124"/>
      <c r="Z181" s="124"/>
    </row>
    <row r="182" spans="1:26" ht="15.75" customHeight="1" x14ac:dyDescent="0.2">
      <c r="A182" s="3"/>
      <c r="B182" s="3"/>
      <c r="C182" s="3"/>
      <c r="D182" s="123"/>
      <c r="E182" s="124"/>
      <c r="F182" s="124"/>
      <c r="G182" s="124"/>
      <c r="H182" s="124"/>
      <c r="I182" s="124"/>
      <c r="J182" s="124"/>
      <c r="K182" s="124"/>
      <c r="L182" s="124"/>
      <c r="M182" s="124"/>
      <c r="N182" s="124"/>
      <c r="O182" s="124"/>
      <c r="P182" s="124"/>
      <c r="Q182" s="3"/>
      <c r="R182" s="3"/>
      <c r="S182" s="3"/>
      <c r="T182" s="3"/>
      <c r="U182" s="3"/>
      <c r="V182" s="3"/>
      <c r="W182" s="3"/>
      <c r="X182" s="3"/>
      <c r="Y182" s="124"/>
      <c r="Z182" s="124"/>
    </row>
    <row r="183" spans="1:26" ht="15.75" customHeight="1" x14ac:dyDescent="0.2">
      <c r="A183" s="3"/>
      <c r="B183" s="3"/>
      <c r="C183" s="3"/>
      <c r="D183" s="123"/>
      <c r="E183" s="124"/>
      <c r="F183" s="124"/>
      <c r="G183" s="124"/>
      <c r="H183" s="124"/>
      <c r="I183" s="124"/>
      <c r="J183" s="124"/>
      <c r="K183" s="124"/>
      <c r="L183" s="124"/>
      <c r="M183" s="124"/>
      <c r="N183" s="124"/>
      <c r="O183" s="124"/>
      <c r="P183" s="124"/>
      <c r="Q183" s="3"/>
      <c r="R183" s="3"/>
      <c r="S183" s="3"/>
      <c r="T183" s="3"/>
      <c r="U183" s="3"/>
      <c r="V183" s="3"/>
      <c r="W183" s="3"/>
      <c r="X183" s="3"/>
      <c r="Y183" s="124"/>
      <c r="Z183" s="124"/>
    </row>
    <row r="184" spans="1:26" ht="15.75" customHeight="1" x14ac:dyDescent="0.2">
      <c r="A184" s="3"/>
      <c r="B184" s="3"/>
      <c r="C184" s="3"/>
      <c r="D184" s="123"/>
      <c r="E184" s="124"/>
      <c r="F184" s="124"/>
      <c r="G184" s="124"/>
      <c r="H184" s="124"/>
      <c r="I184" s="124"/>
      <c r="J184" s="124"/>
      <c r="K184" s="124"/>
      <c r="L184" s="124"/>
      <c r="M184" s="124"/>
      <c r="N184" s="124"/>
      <c r="O184" s="124"/>
      <c r="P184" s="124"/>
      <c r="Q184" s="3"/>
      <c r="R184" s="3"/>
      <c r="S184" s="3"/>
      <c r="T184" s="3"/>
      <c r="U184" s="3"/>
      <c r="V184" s="3"/>
      <c r="W184" s="3"/>
      <c r="X184" s="3"/>
      <c r="Y184" s="124"/>
      <c r="Z184" s="124"/>
    </row>
    <row r="185" spans="1:26" ht="15.75" customHeight="1" x14ac:dyDescent="0.2">
      <c r="A185" s="3"/>
      <c r="B185" s="3"/>
      <c r="C185" s="3"/>
      <c r="D185" s="123"/>
      <c r="E185" s="124"/>
      <c r="F185" s="124"/>
      <c r="G185" s="124"/>
      <c r="H185" s="124"/>
      <c r="I185" s="124"/>
      <c r="J185" s="124"/>
      <c r="K185" s="124"/>
      <c r="L185" s="124"/>
      <c r="M185" s="124"/>
      <c r="N185" s="124"/>
      <c r="O185" s="124"/>
      <c r="P185" s="124"/>
      <c r="Q185" s="3"/>
      <c r="R185" s="3"/>
      <c r="S185" s="3"/>
      <c r="T185" s="3"/>
      <c r="U185" s="3"/>
      <c r="V185" s="3"/>
      <c r="W185" s="3"/>
      <c r="X185" s="3"/>
      <c r="Y185" s="124"/>
      <c r="Z185" s="124"/>
    </row>
    <row r="186" spans="1:26" ht="15.75" customHeight="1" x14ac:dyDescent="0.2">
      <c r="A186" s="3"/>
      <c r="B186" s="3"/>
      <c r="C186" s="3"/>
      <c r="D186" s="123"/>
      <c r="E186" s="124"/>
      <c r="F186" s="124"/>
      <c r="G186" s="124"/>
      <c r="H186" s="124"/>
      <c r="I186" s="124"/>
      <c r="J186" s="124"/>
      <c r="K186" s="124"/>
      <c r="L186" s="124"/>
      <c r="M186" s="124"/>
      <c r="N186" s="124"/>
      <c r="O186" s="124"/>
      <c r="P186" s="124"/>
      <c r="Q186" s="3"/>
      <c r="R186" s="3"/>
      <c r="S186" s="3"/>
      <c r="T186" s="3"/>
      <c r="U186" s="3"/>
      <c r="V186" s="3"/>
      <c r="W186" s="3"/>
      <c r="X186" s="3"/>
      <c r="Y186" s="124"/>
      <c r="Z186" s="124"/>
    </row>
    <row r="187" spans="1:26" ht="15.75" customHeight="1" x14ac:dyDescent="0.2">
      <c r="A187" s="3"/>
      <c r="B187" s="3"/>
      <c r="C187" s="3"/>
      <c r="D187" s="123"/>
      <c r="E187" s="124"/>
      <c r="F187" s="124"/>
      <c r="G187" s="124"/>
      <c r="H187" s="124"/>
      <c r="I187" s="124"/>
      <c r="J187" s="124"/>
      <c r="K187" s="124"/>
      <c r="L187" s="124"/>
      <c r="M187" s="124"/>
      <c r="N187" s="124"/>
      <c r="O187" s="124"/>
      <c r="P187" s="124"/>
      <c r="Q187" s="3"/>
      <c r="R187" s="3"/>
      <c r="S187" s="3"/>
      <c r="T187" s="3"/>
      <c r="U187" s="3"/>
      <c r="V187" s="3"/>
      <c r="W187" s="3"/>
      <c r="X187" s="3"/>
      <c r="Y187" s="124"/>
      <c r="Z187" s="124"/>
    </row>
    <row r="188" spans="1:26" ht="15.75" customHeight="1" x14ac:dyDescent="0.2">
      <c r="A188" s="3"/>
      <c r="B188" s="3"/>
      <c r="C188" s="3"/>
      <c r="D188" s="123"/>
      <c r="E188" s="124"/>
      <c r="F188" s="124"/>
      <c r="G188" s="124"/>
      <c r="H188" s="124"/>
      <c r="I188" s="124"/>
      <c r="J188" s="124"/>
      <c r="K188" s="124"/>
      <c r="L188" s="124"/>
      <c r="M188" s="124"/>
      <c r="N188" s="124"/>
      <c r="O188" s="124"/>
      <c r="P188" s="124"/>
      <c r="Q188" s="3"/>
      <c r="R188" s="3"/>
      <c r="S188" s="3"/>
      <c r="T188" s="3"/>
      <c r="U188" s="3"/>
      <c r="V188" s="3"/>
      <c r="W188" s="3"/>
      <c r="X188" s="3"/>
      <c r="Y188" s="124"/>
      <c r="Z188" s="124"/>
    </row>
    <row r="189" spans="1:26" ht="15.75" customHeight="1" x14ac:dyDescent="0.2">
      <c r="A189" s="3"/>
      <c r="B189" s="3"/>
      <c r="C189" s="3"/>
      <c r="D189" s="123"/>
      <c r="E189" s="124"/>
      <c r="F189" s="124"/>
      <c r="G189" s="124"/>
      <c r="H189" s="124"/>
      <c r="I189" s="124"/>
      <c r="J189" s="124"/>
      <c r="K189" s="124"/>
      <c r="L189" s="124"/>
      <c r="M189" s="124"/>
      <c r="N189" s="124"/>
      <c r="O189" s="124"/>
      <c r="P189" s="124"/>
      <c r="Q189" s="3"/>
      <c r="R189" s="3"/>
      <c r="S189" s="3"/>
      <c r="T189" s="3"/>
      <c r="U189" s="3"/>
      <c r="V189" s="3"/>
      <c r="W189" s="3"/>
      <c r="X189" s="3"/>
      <c r="Y189" s="124"/>
      <c r="Z189" s="124"/>
    </row>
    <row r="190" spans="1:26" ht="15.75" customHeight="1" x14ac:dyDescent="0.2">
      <c r="A190" s="3"/>
      <c r="B190" s="3"/>
      <c r="C190" s="3"/>
      <c r="D190" s="123"/>
      <c r="E190" s="124"/>
      <c r="F190" s="124"/>
      <c r="G190" s="124"/>
      <c r="H190" s="124"/>
      <c r="I190" s="124"/>
      <c r="J190" s="124"/>
      <c r="K190" s="124"/>
      <c r="L190" s="124"/>
      <c r="M190" s="124"/>
      <c r="N190" s="124"/>
      <c r="O190" s="124"/>
      <c r="P190" s="124"/>
      <c r="Q190" s="3"/>
      <c r="R190" s="3"/>
      <c r="S190" s="3"/>
      <c r="T190" s="3"/>
      <c r="U190" s="3"/>
      <c r="V190" s="3"/>
      <c r="W190" s="3"/>
      <c r="X190" s="3"/>
      <c r="Y190" s="124"/>
      <c r="Z190" s="124"/>
    </row>
    <row r="191" spans="1:26" ht="15.75" customHeight="1" x14ac:dyDescent="0.2">
      <c r="A191" s="3"/>
      <c r="B191" s="3"/>
      <c r="C191" s="3"/>
      <c r="D191" s="123"/>
      <c r="E191" s="124"/>
      <c r="F191" s="124"/>
      <c r="G191" s="124"/>
      <c r="H191" s="124"/>
      <c r="I191" s="124"/>
      <c r="J191" s="124"/>
      <c r="K191" s="124"/>
      <c r="L191" s="124"/>
      <c r="M191" s="124"/>
      <c r="N191" s="124"/>
      <c r="O191" s="124"/>
      <c r="P191" s="124"/>
      <c r="Q191" s="3"/>
      <c r="R191" s="3"/>
      <c r="S191" s="3"/>
      <c r="T191" s="3"/>
      <c r="U191" s="3"/>
      <c r="V191" s="3"/>
      <c r="W191" s="3"/>
      <c r="X191" s="3"/>
      <c r="Y191" s="124"/>
      <c r="Z191" s="124"/>
    </row>
    <row r="192" spans="1:26" ht="15.75" customHeight="1" x14ac:dyDescent="0.2">
      <c r="A192" s="3"/>
      <c r="B192" s="3"/>
      <c r="C192" s="3"/>
      <c r="D192" s="123"/>
      <c r="E192" s="124"/>
      <c r="F192" s="124"/>
      <c r="G192" s="124"/>
      <c r="H192" s="124"/>
      <c r="I192" s="124"/>
      <c r="J192" s="124"/>
      <c r="K192" s="124"/>
      <c r="L192" s="124"/>
      <c r="M192" s="124"/>
      <c r="N192" s="124"/>
      <c r="O192" s="124"/>
      <c r="P192" s="124"/>
      <c r="Q192" s="3"/>
      <c r="R192" s="3"/>
      <c r="S192" s="3"/>
      <c r="T192" s="3"/>
      <c r="U192" s="3"/>
      <c r="V192" s="3"/>
      <c r="W192" s="3"/>
      <c r="X192" s="3"/>
      <c r="Y192" s="124"/>
      <c r="Z192" s="124"/>
    </row>
    <row r="193" spans="1:26" ht="15.75" customHeight="1" x14ac:dyDescent="0.2">
      <c r="A193" s="3"/>
      <c r="B193" s="3"/>
      <c r="C193" s="3"/>
      <c r="D193" s="123"/>
      <c r="E193" s="124"/>
      <c r="F193" s="124"/>
      <c r="G193" s="124"/>
      <c r="H193" s="124"/>
      <c r="I193" s="124"/>
      <c r="J193" s="124"/>
      <c r="K193" s="124"/>
      <c r="L193" s="124"/>
      <c r="M193" s="124"/>
      <c r="N193" s="124"/>
      <c r="O193" s="124"/>
      <c r="P193" s="124"/>
      <c r="Q193" s="3"/>
      <c r="R193" s="3"/>
      <c r="S193" s="3"/>
      <c r="T193" s="3"/>
      <c r="U193" s="3"/>
      <c r="V193" s="3"/>
      <c r="W193" s="3"/>
      <c r="X193" s="3"/>
      <c r="Y193" s="124"/>
      <c r="Z193" s="124"/>
    </row>
    <row r="194" spans="1:26" ht="15.75" customHeight="1" x14ac:dyDescent="0.2">
      <c r="A194" s="3"/>
      <c r="B194" s="3"/>
      <c r="C194" s="3"/>
      <c r="D194" s="123"/>
      <c r="E194" s="124"/>
      <c r="F194" s="124"/>
      <c r="G194" s="124"/>
      <c r="H194" s="124"/>
      <c r="I194" s="124"/>
      <c r="J194" s="124"/>
      <c r="K194" s="124"/>
      <c r="L194" s="124"/>
      <c r="M194" s="124"/>
      <c r="N194" s="124"/>
      <c r="O194" s="124"/>
      <c r="P194" s="124"/>
      <c r="Q194" s="3"/>
      <c r="R194" s="3"/>
      <c r="S194" s="3"/>
      <c r="T194" s="3"/>
      <c r="U194" s="3"/>
      <c r="V194" s="3"/>
      <c r="W194" s="3"/>
      <c r="X194" s="3"/>
      <c r="Y194" s="124"/>
      <c r="Z194" s="124"/>
    </row>
    <row r="195" spans="1:26" ht="15.75" customHeight="1" x14ac:dyDescent="0.2">
      <c r="A195" s="3"/>
      <c r="B195" s="3"/>
      <c r="C195" s="3"/>
      <c r="D195" s="123"/>
      <c r="E195" s="124"/>
      <c r="F195" s="124"/>
      <c r="G195" s="124"/>
      <c r="H195" s="124"/>
      <c r="I195" s="124"/>
      <c r="J195" s="124"/>
      <c r="K195" s="124"/>
      <c r="L195" s="124"/>
      <c r="M195" s="124"/>
      <c r="N195" s="124"/>
      <c r="O195" s="124"/>
      <c r="P195" s="124"/>
      <c r="Q195" s="3"/>
      <c r="R195" s="3"/>
      <c r="S195" s="3"/>
      <c r="T195" s="3"/>
      <c r="U195" s="3"/>
      <c r="V195" s="3"/>
      <c r="W195" s="3"/>
      <c r="X195" s="3"/>
      <c r="Y195" s="124"/>
      <c r="Z195" s="124"/>
    </row>
    <row r="196" spans="1:26" ht="15.75" customHeight="1" x14ac:dyDescent="0.2">
      <c r="A196" s="3"/>
      <c r="B196" s="3"/>
      <c r="C196" s="3"/>
      <c r="D196" s="123"/>
      <c r="E196" s="124"/>
      <c r="F196" s="124"/>
      <c r="G196" s="124"/>
      <c r="H196" s="124"/>
      <c r="I196" s="124"/>
      <c r="J196" s="124"/>
      <c r="K196" s="124"/>
      <c r="L196" s="124"/>
      <c r="M196" s="124"/>
      <c r="N196" s="124"/>
      <c r="O196" s="124"/>
      <c r="P196" s="124"/>
      <c r="Q196" s="3"/>
      <c r="R196" s="3"/>
      <c r="S196" s="3"/>
      <c r="T196" s="3"/>
      <c r="U196" s="3"/>
      <c r="V196" s="3"/>
      <c r="W196" s="3"/>
      <c r="X196" s="3"/>
      <c r="Y196" s="124"/>
      <c r="Z196" s="124"/>
    </row>
    <row r="197" spans="1:26" ht="15.75" customHeight="1" x14ac:dyDescent="0.2">
      <c r="A197" s="3"/>
      <c r="B197" s="3"/>
      <c r="C197" s="3"/>
      <c r="D197" s="123"/>
      <c r="E197" s="124"/>
      <c r="F197" s="124"/>
      <c r="G197" s="124"/>
      <c r="H197" s="124"/>
      <c r="I197" s="124"/>
      <c r="J197" s="124"/>
      <c r="K197" s="124"/>
      <c r="L197" s="124"/>
      <c r="M197" s="124"/>
      <c r="N197" s="124"/>
      <c r="O197" s="124"/>
      <c r="P197" s="124"/>
      <c r="Q197" s="3"/>
      <c r="R197" s="3"/>
      <c r="S197" s="3"/>
      <c r="T197" s="3"/>
      <c r="U197" s="3"/>
      <c r="V197" s="3"/>
      <c r="W197" s="3"/>
      <c r="X197" s="3"/>
      <c r="Y197" s="124"/>
      <c r="Z197" s="124"/>
    </row>
    <row r="198" spans="1:26" ht="15.75" customHeight="1" x14ac:dyDescent="0.2">
      <c r="A198" s="3"/>
      <c r="B198" s="3"/>
      <c r="C198" s="3"/>
      <c r="D198" s="123"/>
      <c r="E198" s="124"/>
      <c r="F198" s="124"/>
      <c r="G198" s="124"/>
      <c r="H198" s="124"/>
      <c r="I198" s="124"/>
      <c r="J198" s="124"/>
      <c r="K198" s="124"/>
      <c r="L198" s="124"/>
      <c r="M198" s="124"/>
      <c r="N198" s="124"/>
      <c r="O198" s="124"/>
      <c r="P198" s="124"/>
      <c r="Q198" s="3"/>
      <c r="R198" s="3"/>
      <c r="S198" s="3"/>
      <c r="T198" s="3"/>
      <c r="U198" s="3"/>
      <c r="V198" s="3"/>
      <c r="W198" s="3"/>
      <c r="X198" s="3"/>
      <c r="Y198" s="124"/>
      <c r="Z198" s="124"/>
    </row>
    <row r="199" spans="1:26" ht="15.75" customHeight="1" x14ac:dyDescent="0.2">
      <c r="A199" s="3"/>
      <c r="B199" s="3"/>
      <c r="C199" s="3"/>
      <c r="D199" s="123"/>
      <c r="E199" s="124"/>
      <c r="F199" s="124"/>
      <c r="G199" s="124"/>
      <c r="H199" s="124"/>
      <c r="I199" s="124"/>
      <c r="J199" s="124"/>
      <c r="K199" s="124"/>
      <c r="L199" s="124"/>
      <c r="M199" s="124"/>
      <c r="N199" s="124"/>
      <c r="O199" s="124"/>
      <c r="P199" s="124"/>
      <c r="Q199" s="3"/>
      <c r="R199" s="3"/>
      <c r="S199" s="3"/>
      <c r="T199" s="3"/>
      <c r="U199" s="3"/>
      <c r="V199" s="3"/>
      <c r="W199" s="3"/>
      <c r="X199" s="3"/>
      <c r="Y199" s="124"/>
      <c r="Z199" s="124"/>
    </row>
    <row r="200" spans="1:26" ht="15.75" customHeight="1" x14ac:dyDescent="0.2">
      <c r="A200" s="3"/>
      <c r="B200" s="3"/>
      <c r="C200" s="3"/>
      <c r="D200" s="123"/>
      <c r="E200" s="124"/>
      <c r="F200" s="124"/>
      <c r="G200" s="124"/>
      <c r="H200" s="124"/>
      <c r="I200" s="124"/>
      <c r="J200" s="124"/>
      <c r="K200" s="124"/>
      <c r="L200" s="124"/>
      <c r="M200" s="124"/>
      <c r="N200" s="124"/>
      <c r="O200" s="124"/>
      <c r="P200" s="124"/>
      <c r="Q200" s="3"/>
      <c r="R200" s="3"/>
      <c r="S200" s="3"/>
      <c r="T200" s="3"/>
      <c r="U200" s="3"/>
      <c r="V200" s="3"/>
      <c r="W200" s="3"/>
      <c r="X200" s="3"/>
      <c r="Y200" s="124"/>
      <c r="Z200" s="124"/>
    </row>
    <row r="201" spans="1:26" ht="15.75" customHeight="1" x14ac:dyDescent="0.2">
      <c r="A201" s="3"/>
      <c r="B201" s="3"/>
      <c r="C201" s="3"/>
      <c r="D201" s="123"/>
      <c r="E201" s="124"/>
      <c r="F201" s="124"/>
      <c r="G201" s="124"/>
      <c r="H201" s="124"/>
      <c r="I201" s="124"/>
      <c r="J201" s="124"/>
      <c r="K201" s="124"/>
      <c r="L201" s="124"/>
      <c r="M201" s="124"/>
      <c r="N201" s="124"/>
      <c r="O201" s="124"/>
      <c r="P201" s="124"/>
      <c r="Q201" s="3"/>
      <c r="R201" s="3"/>
      <c r="S201" s="3"/>
      <c r="T201" s="3"/>
      <c r="U201" s="3"/>
      <c r="V201" s="3"/>
      <c r="W201" s="3"/>
      <c r="X201" s="3"/>
      <c r="Y201" s="124"/>
      <c r="Z201" s="124"/>
    </row>
    <row r="202" spans="1:26" ht="15.75" customHeight="1" x14ac:dyDescent="0.2">
      <c r="A202" s="3"/>
      <c r="B202" s="3"/>
      <c r="C202" s="3"/>
      <c r="D202" s="123"/>
      <c r="E202" s="124"/>
      <c r="F202" s="124"/>
      <c r="G202" s="124"/>
      <c r="H202" s="124"/>
      <c r="I202" s="124"/>
      <c r="J202" s="124"/>
      <c r="K202" s="124"/>
      <c r="L202" s="124"/>
      <c r="M202" s="124"/>
      <c r="N202" s="124"/>
      <c r="O202" s="124"/>
      <c r="P202" s="124"/>
      <c r="Q202" s="3"/>
      <c r="R202" s="3"/>
      <c r="S202" s="3"/>
      <c r="T202" s="3"/>
      <c r="U202" s="3"/>
      <c r="V202" s="3"/>
      <c r="W202" s="3"/>
      <c r="X202" s="3"/>
      <c r="Y202" s="124"/>
      <c r="Z202" s="124"/>
    </row>
    <row r="203" spans="1:26" ht="15.75" customHeight="1" x14ac:dyDescent="0.2">
      <c r="A203" s="3"/>
      <c r="B203" s="3"/>
      <c r="C203" s="3"/>
      <c r="D203" s="123"/>
      <c r="E203" s="124"/>
      <c r="F203" s="124"/>
      <c r="G203" s="124"/>
      <c r="H203" s="124"/>
      <c r="I203" s="124"/>
      <c r="J203" s="124"/>
      <c r="K203" s="124"/>
      <c r="L203" s="124"/>
      <c r="M203" s="124"/>
      <c r="N203" s="124"/>
      <c r="O203" s="124"/>
      <c r="P203" s="124"/>
      <c r="Q203" s="3"/>
      <c r="R203" s="3"/>
      <c r="S203" s="3"/>
      <c r="T203" s="3"/>
      <c r="U203" s="3"/>
      <c r="V203" s="3"/>
      <c r="W203" s="3"/>
      <c r="X203" s="3"/>
      <c r="Y203" s="124"/>
      <c r="Z203" s="124"/>
    </row>
    <row r="204" spans="1:26" ht="15.75" customHeight="1" x14ac:dyDescent="0.2">
      <c r="A204" s="3"/>
      <c r="B204" s="3"/>
      <c r="C204" s="3"/>
      <c r="D204" s="123"/>
      <c r="E204" s="124"/>
      <c r="F204" s="124"/>
      <c r="G204" s="124"/>
      <c r="H204" s="124"/>
      <c r="I204" s="124"/>
      <c r="J204" s="124"/>
      <c r="K204" s="124"/>
      <c r="L204" s="124"/>
      <c r="M204" s="124"/>
      <c r="N204" s="124"/>
      <c r="O204" s="124"/>
      <c r="P204" s="124"/>
      <c r="Q204" s="3"/>
      <c r="R204" s="3"/>
      <c r="S204" s="3"/>
      <c r="T204" s="3"/>
      <c r="U204" s="3"/>
      <c r="V204" s="3"/>
      <c r="W204" s="3"/>
      <c r="X204" s="3"/>
      <c r="Y204" s="124"/>
      <c r="Z204" s="124"/>
    </row>
    <row r="205" spans="1:26" ht="15.75" customHeight="1" x14ac:dyDescent="0.2">
      <c r="A205" s="3"/>
      <c r="B205" s="3"/>
      <c r="C205" s="3"/>
      <c r="D205" s="123"/>
      <c r="E205" s="124"/>
      <c r="F205" s="124"/>
      <c r="G205" s="124"/>
      <c r="H205" s="124"/>
      <c r="I205" s="124"/>
      <c r="J205" s="124"/>
      <c r="K205" s="124"/>
      <c r="L205" s="124"/>
      <c r="M205" s="124"/>
      <c r="N205" s="124"/>
      <c r="O205" s="124"/>
      <c r="P205" s="124"/>
      <c r="Q205" s="3"/>
      <c r="R205" s="3"/>
      <c r="S205" s="3"/>
      <c r="T205" s="3"/>
      <c r="U205" s="3"/>
      <c r="V205" s="3"/>
      <c r="W205" s="3"/>
      <c r="X205" s="3"/>
      <c r="Y205" s="124"/>
      <c r="Z205" s="124"/>
    </row>
    <row r="206" spans="1:26" ht="15.75" customHeight="1" x14ac:dyDescent="0.2">
      <c r="A206" s="3"/>
      <c r="B206" s="3"/>
      <c r="C206" s="3"/>
      <c r="D206" s="123"/>
      <c r="E206" s="124"/>
      <c r="F206" s="124"/>
      <c r="G206" s="124"/>
      <c r="H206" s="124"/>
      <c r="I206" s="124"/>
      <c r="J206" s="124"/>
      <c r="K206" s="124"/>
      <c r="L206" s="124"/>
      <c r="M206" s="124"/>
      <c r="N206" s="124"/>
      <c r="O206" s="124"/>
      <c r="P206" s="124"/>
      <c r="Q206" s="3"/>
      <c r="R206" s="3"/>
      <c r="S206" s="3"/>
      <c r="T206" s="3"/>
      <c r="U206" s="3"/>
      <c r="V206" s="3"/>
      <c r="W206" s="3"/>
      <c r="X206" s="3"/>
      <c r="Y206" s="124"/>
      <c r="Z206" s="124"/>
    </row>
    <row r="207" spans="1:26" ht="15.75" customHeight="1" x14ac:dyDescent="0.2">
      <c r="A207" s="3"/>
      <c r="B207" s="3"/>
      <c r="C207" s="3"/>
      <c r="D207" s="123"/>
      <c r="E207" s="124"/>
      <c r="F207" s="124"/>
      <c r="G207" s="124"/>
      <c r="H207" s="124"/>
      <c r="I207" s="124"/>
      <c r="J207" s="124"/>
      <c r="K207" s="124"/>
      <c r="L207" s="124"/>
      <c r="M207" s="124"/>
      <c r="N207" s="124"/>
      <c r="O207" s="124"/>
      <c r="P207" s="124"/>
      <c r="Q207" s="3"/>
      <c r="R207" s="3"/>
      <c r="S207" s="3"/>
      <c r="T207" s="3"/>
      <c r="U207" s="3"/>
      <c r="V207" s="3"/>
      <c r="W207" s="3"/>
      <c r="X207" s="3"/>
      <c r="Y207" s="124"/>
      <c r="Z207" s="124"/>
    </row>
    <row r="208" spans="1:26" ht="15.75" customHeight="1" x14ac:dyDescent="0.2">
      <c r="A208" s="3"/>
      <c r="B208" s="3"/>
      <c r="C208" s="3"/>
      <c r="D208" s="123"/>
      <c r="E208" s="124"/>
      <c r="F208" s="124"/>
      <c r="G208" s="124"/>
      <c r="H208" s="124"/>
      <c r="I208" s="124"/>
      <c r="J208" s="124"/>
      <c r="K208" s="124"/>
      <c r="L208" s="124"/>
      <c r="M208" s="124"/>
      <c r="N208" s="124"/>
      <c r="O208" s="124"/>
      <c r="P208" s="124"/>
      <c r="Q208" s="3"/>
      <c r="R208" s="3"/>
      <c r="S208" s="3"/>
      <c r="T208" s="3"/>
      <c r="U208" s="3"/>
      <c r="V208" s="3"/>
      <c r="W208" s="3"/>
      <c r="X208" s="3"/>
      <c r="Y208" s="124"/>
      <c r="Z208" s="124"/>
    </row>
    <row r="209" spans="1:26" ht="15.75" customHeight="1" x14ac:dyDescent="0.2">
      <c r="A209" s="3"/>
      <c r="B209" s="3"/>
      <c r="C209" s="3"/>
      <c r="D209" s="123"/>
      <c r="E209" s="124"/>
      <c r="F209" s="124"/>
      <c r="G209" s="124"/>
      <c r="H209" s="124"/>
      <c r="I209" s="124"/>
      <c r="J209" s="124"/>
      <c r="K209" s="124"/>
      <c r="L209" s="124"/>
      <c r="M209" s="124"/>
      <c r="N209" s="124"/>
      <c r="O209" s="124"/>
      <c r="P209" s="124"/>
      <c r="Q209" s="3"/>
      <c r="R209" s="3"/>
      <c r="S209" s="3"/>
      <c r="T209" s="3"/>
      <c r="U209" s="3"/>
      <c r="V209" s="3"/>
      <c r="W209" s="3"/>
      <c r="X209" s="3"/>
      <c r="Y209" s="124"/>
      <c r="Z209" s="124"/>
    </row>
    <row r="210" spans="1:26" ht="15.75" customHeight="1" x14ac:dyDescent="0.2">
      <c r="A210" s="3"/>
      <c r="B210" s="3"/>
      <c r="C210" s="3"/>
      <c r="D210" s="123"/>
      <c r="E210" s="124"/>
      <c r="F210" s="124"/>
      <c r="G210" s="124"/>
      <c r="H210" s="124"/>
      <c r="I210" s="124"/>
      <c r="J210" s="124"/>
      <c r="K210" s="124"/>
      <c r="L210" s="124"/>
      <c r="M210" s="124"/>
      <c r="N210" s="124"/>
      <c r="O210" s="124"/>
      <c r="P210" s="124"/>
      <c r="Q210" s="3"/>
      <c r="R210" s="3"/>
      <c r="S210" s="3"/>
      <c r="T210" s="3"/>
      <c r="U210" s="3"/>
      <c r="V210" s="3"/>
      <c r="W210" s="3"/>
      <c r="X210" s="3"/>
      <c r="Y210" s="124"/>
      <c r="Z210" s="124"/>
    </row>
    <row r="211" spans="1:26" ht="15.75" customHeight="1" x14ac:dyDescent="0.2">
      <c r="A211" s="3"/>
      <c r="B211" s="3"/>
      <c r="C211" s="3"/>
      <c r="D211" s="123"/>
      <c r="E211" s="124"/>
      <c r="F211" s="124"/>
      <c r="G211" s="124"/>
      <c r="H211" s="124"/>
      <c r="I211" s="124"/>
      <c r="J211" s="124"/>
      <c r="K211" s="124"/>
      <c r="L211" s="124"/>
      <c r="M211" s="124"/>
      <c r="N211" s="124"/>
      <c r="O211" s="124"/>
      <c r="P211" s="124"/>
      <c r="Q211" s="3"/>
      <c r="R211" s="3"/>
      <c r="S211" s="3"/>
      <c r="T211" s="3"/>
      <c r="U211" s="3"/>
      <c r="V211" s="3"/>
      <c r="W211" s="3"/>
      <c r="X211" s="3"/>
      <c r="Y211" s="124"/>
      <c r="Z211" s="124"/>
    </row>
    <row r="212" spans="1:26" ht="15.75" customHeight="1" x14ac:dyDescent="0.2">
      <c r="A212" s="3"/>
      <c r="B212" s="3"/>
      <c r="C212" s="3"/>
      <c r="D212" s="123"/>
      <c r="E212" s="124"/>
      <c r="F212" s="124"/>
      <c r="G212" s="124"/>
      <c r="H212" s="124"/>
      <c r="I212" s="124"/>
      <c r="J212" s="124"/>
      <c r="K212" s="124"/>
      <c r="L212" s="124"/>
      <c r="M212" s="124"/>
      <c r="N212" s="124"/>
      <c r="O212" s="124"/>
      <c r="P212" s="124"/>
      <c r="Q212" s="3"/>
      <c r="R212" s="3"/>
      <c r="S212" s="3"/>
      <c r="T212" s="3"/>
      <c r="U212" s="3"/>
      <c r="V212" s="3"/>
      <c r="W212" s="3"/>
      <c r="X212" s="3"/>
      <c r="Y212" s="124"/>
      <c r="Z212" s="124"/>
    </row>
    <row r="213" spans="1:26" ht="15.75" customHeight="1" x14ac:dyDescent="0.2">
      <c r="A213" s="3"/>
      <c r="B213" s="3"/>
      <c r="C213" s="3"/>
      <c r="D213" s="123"/>
      <c r="E213" s="124"/>
      <c r="F213" s="124"/>
      <c r="G213" s="124"/>
      <c r="H213" s="124"/>
      <c r="I213" s="124"/>
      <c r="J213" s="124"/>
      <c r="K213" s="124"/>
      <c r="L213" s="124"/>
      <c r="M213" s="124"/>
      <c r="N213" s="124"/>
      <c r="O213" s="124"/>
      <c r="P213" s="124"/>
      <c r="Q213" s="3"/>
      <c r="R213" s="3"/>
      <c r="S213" s="3"/>
      <c r="T213" s="3"/>
      <c r="U213" s="3"/>
      <c r="V213" s="3"/>
      <c r="W213" s="3"/>
      <c r="X213" s="3"/>
      <c r="Y213" s="124"/>
      <c r="Z213" s="124"/>
    </row>
    <row r="214" spans="1:26" ht="15.75" customHeight="1" x14ac:dyDescent="0.2">
      <c r="A214" s="3"/>
      <c r="B214" s="3"/>
      <c r="C214" s="3"/>
      <c r="D214" s="123"/>
      <c r="E214" s="124"/>
      <c r="F214" s="124"/>
      <c r="G214" s="124"/>
      <c r="H214" s="124"/>
      <c r="I214" s="124"/>
      <c r="J214" s="124"/>
      <c r="K214" s="124"/>
      <c r="L214" s="124"/>
      <c r="M214" s="124"/>
      <c r="N214" s="124"/>
      <c r="O214" s="124"/>
      <c r="P214" s="124"/>
      <c r="Q214" s="3"/>
      <c r="R214" s="3"/>
      <c r="S214" s="3"/>
      <c r="T214" s="3"/>
      <c r="U214" s="3"/>
      <c r="V214" s="3"/>
      <c r="W214" s="3"/>
      <c r="X214" s="3"/>
      <c r="Y214" s="124"/>
      <c r="Z214" s="124"/>
    </row>
    <row r="215" spans="1:26" ht="15.75" customHeight="1" x14ac:dyDescent="0.2">
      <c r="A215" s="3"/>
      <c r="B215" s="3"/>
      <c r="C215" s="3"/>
      <c r="D215" s="123"/>
      <c r="E215" s="124"/>
      <c r="F215" s="124"/>
      <c r="G215" s="124"/>
      <c r="H215" s="124"/>
      <c r="I215" s="124"/>
      <c r="J215" s="124"/>
      <c r="K215" s="124"/>
      <c r="L215" s="124"/>
      <c r="M215" s="124"/>
      <c r="N215" s="124"/>
      <c r="O215" s="124"/>
      <c r="P215" s="124"/>
      <c r="Q215" s="3"/>
      <c r="R215" s="3"/>
      <c r="S215" s="3"/>
      <c r="T215" s="3"/>
      <c r="U215" s="3"/>
      <c r="V215" s="3"/>
      <c r="W215" s="3"/>
      <c r="X215" s="3"/>
      <c r="Y215" s="124"/>
      <c r="Z215" s="124"/>
    </row>
    <row r="216" spans="1:26" ht="15.75" customHeight="1" x14ac:dyDescent="0.2">
      <c r="A216" s="3"/>
      <c r="B216" s="3"/>
      <c r="C216" s="3"/>
      <c r="D216" s="123"/>
      <c r="E216" s="124"/>
      <c r="F216" s="124"/>
      <c r="G216" s="124"/>
      <c r="H216" s="124"/>
      <c r="I216" s="124"/>
      <c r="J216" s="124"/>
      <c r="K216" s="124"/>
      <c r="L216" s="124"/>
      <c r="M216" s="124"/>
      <c r="N216" s="124"/>
      <c r="O216" s="124"/>
      <c r="P216" s="124"/>
      <c r="Q216" s="3"/>
      <c r="R216" s="3"/>
      <c r="S216" s="3"/>
      <c r="T216" s="3"/>
      <c r="U216" s="3"/>
      <c r="V216" s="3"/>
      <c r="W216" s="3"/>
      <c r="X216" s="3"/>
      <c r="Y216" s="124"/>
      <c r="Z216" s="124"/>
    </row>
    <row r="217" spans="1:26" ht="15.75" customHeight="1" x14ac:dyDescent="0.2">
      <c r="A217" s="3"/>
      <c r="B217" s="3"/>
      <c r="C217" s="3"/>
      <c r="D217" s="123"/>
      <c r="E217" s="124"/>
      <c r="F217" s="124"/>
      <c r="G217" s="124"/>
      <c r="H217" s="124"/>
      <c r="I217" s="124"/>
      <c r="J217" s="124"/>
      <c r="K217" s="124"/>
      <c r="L217" s="124"/>
      <c r="M217" s="124"/>
      <c r="N217" s="124"/>
      <c r="O217" s="124"/>
      <c r="P217" s="124"/>
      <c r="Q217" s="3"/>
      <c r="R217" s="3"/>
      <c r="S217" s="3"/>
      <c r="T217" s="3"/>
      <c r="U217" s="3"/>
      <c r="V217" s="3"/>
      <c r="W217" s="3"/>
      <c r="X217" s="3"/>
      <c r="Y217" s="124"/>
      <c r="Z217" s="124"/>
    </row>
    <row r="218" spans="1:26" ht="15.75" customHeight="1" x14ac:dyDescent="0.2">
      <c r="A218" s="3"/>
      <c r="B218" s="3"/>
      <c r="C218" s="3"/>
      <c r="D218" s="123"/>
      <c r="E218" s="124"/>
      <c r="F218" s="124"/>
      <c r="G218" s="124"/>
      <c r="H218" s="124"/>
      <c r="I218" s="124"/>
      <c r="J218" s="124"/>
      <c r="K218" s="124"/>
      <c r="L218" s="124"/>
      <c r="M218" s="124"/>
      <c r="N218" s="124"/>
      <c r="O218" s="124"/>
      <c r="P218" s="124"/>
      <c r="Q218" s="3"/>
      <c r="R218" s="3"/>
      <c r="S218" s="3"/>
      <c r="T218" s="3"/>
      <c r="U218" s="3"/>
      <c r="V218" s="3"/>
      <c r="W218" s="3"/>
      <c r="X218" s="3"/>
      <c r="Y218" s="124"/>
      <c r="Z218" s="124"/>
    </row>
    <row r="219" spans="1:26" ht="15.75" customHeight="1" x14ac:dyDescent="0.2">
      <c r="A219" s="3"/>
      <c r="B219" s="3"/>
      <c r="C219" s="3"/>
      <c r="D219" s="123"/>
      <c r="E219" s="124"/>
      <c r="F219" s="124"/>
      <c r="G219" s="124"/>
      <c r="H219" s="124"/>
      <c r="I219" s="124"/>
      <c r="J219" s="124"/>
      <c r="K219" s="124"/>
      <c r="L219" s="124"/>
      <c r="M219" s="124"/>
      <c r="N219" s="124"/>
      <c r="O219" s="124"/>
      <c r="P219" s="124"/>
      <c r="Q219" s="3"/>
      <c r="R219" s="3"/>
      <c r="S219" s="3"/>
      <c r="T219" s="3"/>
      <c r="U219" s="3"/>
      <c r="V219" s="3"/>
      <c r="W219" s="3"/>
      <c r="X219" s="3"/>
      <c r="Y219" s="124"/>
      <c r="Z219" s="124"/>
    </row>
    <row r="220" spans="1:26" ht="15.75" customHeight="1" x14ac:dyDescent="0.2">
      <c r="A220" s="3"/>
      <c r="B220" s="3"/>
      <c r="C220" s="3"/>
      <c r="D220" s="123"/>
      <c r="E220" s="124"/>
      <c r="F220" s="124"/>
      <c r="G220" s="124"/>
      <c r="H220" s="124"/>
      <c r="I220" s="124"/>
      <c r="J220" s="124"/>
      <c r="K220" s="124"/>
      <c r="L220" s="124"/>
      <c r="M220" s="124"/>
      <c r="N220" s="124"/>
      <c r="O220" s="124"/>
      <c r="P220" s="124"/>
      <c r="Q220" s="3"/>
      <c r="R220" s="3"/>
      <c r="S220" s="3"/>
      <c r="T220" s="3"/>
      <c r="U220" s="3"/>
      <c r="V220" s="3"/>
      <c r="W220" s="3"/>
      <c r="X220" s="3"/>
      <c r="Y220" s="124"/>
      <c r="Z220" s="124"/>
    </row>
    <row r="221" spans="1:26" ht="15.75" customHeight="1" x14ac:dyDescent="0.2">
      <c r="A221" s="3"/>
      <c r="B221" s="3"/>
      <c r="C221" s="3"/>
      <c r="D221" s="123"/>
      <c r="E221" s="124"/>
      <c r="F221" s="124"/>
      <c r="G221" s="124"/>
      <c r="H221" s="124"/>
      <c r="I221" s="124"/>
      <c r="J221" s="124"/>
      <c r="K221" s="124"/>
      <c r="L221" s="124"/>
      <c r="M221" s="124"/>
      <c r="N221" s="124"/>
      <c r="O221" s="124"/>
      <c r="P221" s="124"/>
      <c r="Q221" s="3"/>
      <c r="R221" s="3"/>
      <c r="S221" s="3"/>
      <c r="T221" s="3"/>
      <c r="U221" s="3"/>
      <c r="V221" s="3"/>
      <c r="W221" s="3"/>
      <c r="X221" s="3"/>
      <c r="Y221" s="124"/>
      <c r="Z221" s="124"/>
    </row>
    <row r="222" spans="1:26" ht="15.75" customHeight="1" x14ac:dyDescent="0.2">
      <c r="A222" s="3"/>
      <c r="B222" s="3"/>
      <c r="C222" s="3"/>
      <c r="D222" s="123"/>
      <c r="E222" s="124"/>
      <c r="F222" s="124"/>
      <c r="G222" s="124"/>
      <c r="H222" s="124"/>
      <c r="I222" s="124"/>
      <c r="J222" s="124"/>
      <c r="K222" s="124"/>
      <c r="L222" s="124"/>
      <c r="M222" s="124"/>
      <c r="N222" s="124"/>
      <c r="O222" s="124"/>
      <c r="P222" s="124"/>
      <c r="Q222" s="3"/>
      <c r="R222" s="3"/>
      <c r="S222" s="3"/>
      <c r="T222" s="3"/>
      <c r="U222" s="3"/>
      <c r="V222" s="3"/>
      <c r="W222" s="3"/>
      <c r="X222" s="3"/>
      <c r="Y222" s="124"/>
      <c r="Z222" s="124"/>
    </row>
    <row r="223" spans="1:26" ht="15.75" customHeight="1" x14ac:dyDescent="0.2">
      <c r="A223" s="3"/>
      <c r="B223" s="3"/>
      <c r="C223" s="3"/>
      <c r="D223" s="123"/>
      <c r="E223" s="124"/>
      <c r="F223" s="124"/>
      <c r="G223" s="124"/>
      <c r="H223" s="124"/>
      <c r="I223" s="124"/>
      <c r="J223" s="124"/>
      <c r="K223" s="124"/>
      <c r="L223" s="124"/>
      <c r="M223" s="124"/>
      <c r="N223" s="124"/>
      <c r="O223" s="124"/>
      <c r="P223" s="124"/>
      <c r="Q223" s="3"/>
      <c r="R223" s="3"/>
      <c r="S223" s="3"/>
      <c r="T223" s="3"/>
      <c r="U223" s="3"/>
      <c r="V223" s="3"/>
      <c r="W223" s="3"/>
      <c r="X223" s="3"/>
      <c r="Y223" s="124"/>
      <c r="Z223" s="124"/>
    </row>
    <row r="224" spans="1:26" ht="15.75" customHeight="1" x14ac:dyDescent="0.2">
      <c r="A224" s="3"/>
      <c r="B224" s="3"/>
      <c r="C224" s="3"/>
      <c r="D224" s="123"/>
      <c r="E224" s="124"/>
      <c r="F224" s="124"/>
      <c r="G224" s="124"/>
      <c r="H224" s="124"/>
      <c r="I224" s="124"/>
      <c r="J224" s="124"/>
      <c r="K224" s="124"/>
      <c r="L224" s="124"/>
      <c r="M224" s="124"/>
      <c r="N224" s="124"/>
      <c r="O224" s="124"/>
      <c r="P224" s="124"/>
      <c r="Q224" s="3"/>
      <c r="R224" s="3"/>
      <c r="S224" s="3"/>
      <c r="T224" s="3"/>
      <c r="U224" s="3"/>
      <c r="V224" s="3"/>
      <c r="W224" s="3"/>
      <c r="X224" s="3"/>
      <c r="Y224" s="124"/>
      <c r="Z224" s="124"/>
    </row>
    <row r="225" spans="1:26" ht="15.75" customHeight="1" x14ac:dyDescent="0.2">
      <c r="A225" s="3"/>
      <c r="B225" s="3"/>
      <c r="C225" s="3"/>
      <c r="D225" s="123"/>
      <c r="E225" s="124"/>
      <c r="F225" s="124"/>
      <c r="G225" s="124"/>
      <c r="H225" s="124"/>
      <c r="I225" s="124"/>
      <c r="J225" s="124"/>
      <c r="K225" s="124"/>
      <c r="L225" s="124"/>
      <c r="M225" s="124"/>
      <c r="N225" s="124"/>
      <c r="O225" s="124"/>
      <c r="P225" s="124"/>
      <c r="Q225" s="3"/>
      <c r="R225" s="3"/>
      <c r="S225" s="3"/>
      <c r="T225" s="3"/>
      <c r="U225" s="3"/>
      <c r="V225" s="3"/>
      <c r="W225" s="3"/>
      <c r="X225" s="3"/>
      <c r="Y225" s="124"/>
      <c r="Z225" s="124"/>
    </row>
    <row r="226" spans="1:26" ht="15.75" customHeight="1" x14ac:dyDescent="0.2">
      <c r="A226" s="3"/>
      <c r="B226" s="3"/>
      <c r="C226" s="3"/>
      <c r="D226" s="123"/>
      <c r="E226" s="124"/>
      <c r="F226" s="124"/>
      <c r="G226" s="124"/>
      <c r="H226" s="124"/>
      <c r="I226" s="124"/>
      <c r="J226" s="124"/>
      <c r="K226" s="124"/>
      <c r="L226" s="124"/>
      <c r="M226" s="124"/>
      <c r="N226" s="124"/>
      <c r="O226" s="124"/>
      <c r="P226" s="124"/>
      <c r="Q226" s="3"/>
      <c r="R226" s="3"/>
      <c r="S226" s="3"/>
      <c r="T226" s="3"/>
      <c r="U226" s="3"/>
      <c r="V226" s="3"/>
      <c r="W226" s="3"/>
      <c r="X226" s="3"/>
      <c r="Y226" s="124"/>
      <c r="Z226" s="124"/>
    </row>
    <row r="227" spans="1:26" ht="15.75" customHeight="1" x14ac:dyDescent="0.2">
      <c r="A227" s="3"/>
      <c r="B227" s="3"/>
      <c r="C227" s="3"/>
      <c r="D227" s="123"/>
      <c r="E227" s="124"/>
      <c r="F227" s="124"/>
      <c r="G227" s="124"/>
      <c r="H227" s="124"/>
      <c r="I227" s="124"/>
      <c r="J227" s="124"/>
      <c r="K227" s="124"/>
      <c r="L227" s="124"/>
      <c r="M227" s="124"/>
      <c r="N227" s="124"/>
      <c r="O227" s="124"/>
      <c r="P227" s="124"/>
      <c r="Q227" s="3"/>
      <c r="R227" s="3"/>
      <c r="S227" s="3"/>
      <c r="T227" s="3"/>
      <c r="U227" s="3"/>
      <c r="V227" s="3"/>
      <c r="W227" s="3"/>
      <c r="X227" s="3"/>
      <c r="Y227" s="124"/>
      <c r="Z227" s="124"/>
    </row>
    <row r="228" spans="1:26" ht="15.75" customHeight="1" x14ac:dyDescent="0.2">
      <c r="A228" s="3"/>
      <c r="B228" s="3"/>
      <c r="C228" s="3"/>
      <c r="D228" s="123"/>
      <c r="E228" s="124"/>
      <c r="F228" s="124"/>
      <c r="G228" s="124"/>
      <c r="H228" s="124"/>
      <c r="I228" s="124"/>
      <c r="J228" s="124"/>
      <c r="K228" s="124"/>
      <c r="L228" s="124"/>
      <c r="M228" s="124"/>
      <c r="N228" s="124"/>
      <c r="O228" s="124"/>
      <c r="P228" s="124"/>
      <c r="Q228" s="3"/>
      <c r="R228" s="3"/>
      <c r="S228" s="3"/>
      <c r="T228" s="3"/>
      <c r="U228" s="3"/>
      <c r="V228" s="3"/>
      <c r="W228" s="3"/>
      <c r="X228" s="3"/>
      <c r="Y228" s="124"/>
      <c r="Z228" s="124"/>
    </row>
    <row r="229" spans="1:26" ht="15.75" customHeight="1" x14ac:dyDescent="0.2">
      <c r="A229" s="3"/>
      <c r="B229" s="3"/>
      <c r="C229" s="3"/>
      <c r="D229" s="123"/>
      <c r="E229" s="124"/>
      <c r="F229" s="124"/>
      <c r="G229" s="124"/>
      <c r="H229" s="124"/>
      <c r="I229" s="124"/>
      <c r="J229" s="124"/>
      <c r="K229" s="124"/>
      <c r="L229" s="124"/>
      <c r="M229" s="124"/>
      <c r="N229" s="124"/>
      <c r="O229" s="124"/>
      <c r="P229" s="124"/>
      <c r="Q229" s="3"/>
      <c r="R229" s="3"/>
      <c r="S229" s="3"/>
      <c r="T229" s="3"/>
      <c r="U229" s="3"/>
      <c r="V229" s="3"/>
      <c r="W229" s="3"/>
      <c r="X229" s="3"/>
      <c r="Y229" s="124"/>
      <c r="Z229" s="124"/>
    </row>
    <row r="230" spans="1:26" ht="15.75" customHeight="1" x14ac:dyDescent="0.2">
      <c r="A230" s="3"/>
      <c r="B230" s="3"/>
      <c r="C230" s="3"/>
      <c r="D230" s="123"/>
      <c r="E230" s="124"/>
      <c r="F230" s="124"/>
      <c r="G230" s="124"/>
      <c r="H230" s="124"/>
      <c r="I230" s="124"/>
      <c r="J230" s="124"/>
      <c r="K230" s="124"/>
      <c r="L230" s="124"/>
      <c r="M230" s="124"/>
      <c r="N230" s="124"/>
      <c r="O230" s="124"/>
      <c r="P230" s="124"/>
      <c r="Q230" s="3"/>
      <c r="R230" s="3"/>
      <c r="S230" s="3"/>
      <c r="T230" s="3"/>
      <c r="U230" s="3"/>
      <c r="V230" s="3"/>
      <c r="W230" s="3"/>
      <c r="X230" s="3"/>
      <c r="Y230" s="124"/>
      <c r="Z230" s="124"/>
    </row>
    <row r="231" spans="1:26" ht="15.75" customHeight="1" x14ac:dyDescent="0.2">
      <c r="A231" s="3"/>
      <c r="B231" s="3"/>
      <c r="C231" s="3"/>
      <c r="D231" s="123"/>
      <c r="E231" s="124"/>
      <c r="F231" s="124"/>
      <c r="G231" s="124"/>
      <c r="H231" s="124"/>
      <c r="I231" s="124"/>
      <c r="J231" s="124"/>
      <c r="K231" s="124"/>
      <c r="L231" s="124"/>
      <c r="M231" s="124"/>
      <c r="N231" s="124"/>
      <c r="O231" s="124"/>
      <c r="P231" s="124"/>
      <c r="Q231" s="3"/>
      <c r="R231" s="3"/>
      <c r="S231" s="3"/>
      <c r="T231" s="3"/>
      <c r="U231" s="3"/>
      <c r="V231" s="3"/>
      <c r="W231" s="3"/>
      <c r="X231" s="3"/>
      <c r="Y231" s="124"/>
      <c r="Z231" s="124"/>
    </row>
    <row r="232" spans="1:26" ht="15.75" customHeight="1" x14ac:dyDescent="0.2">
      <c r="A232" s="3"/>
      <c r="B232" s="3"/>
      <c r="C232" s="3"/>
      <c r="D232" s="123"/>
      <c r="E232" s="124"/>
      <c r="F232" s="124"/>
      <c r="G232" s="124"/>
      <c r="H232" s="124"/>
      <c r="I232" s="124"/>
      <c r="J232" s="124"/>
      <c r="K232" s="124"/>
      <c r="L232" s="124"/>
      <c r="M232" s="124"/>
      <c r="N232" s="124"/>
      <c r="O232" s="124"/>
      <c r="P232" s="124"/>
      <c r="Q232" s="3"/>
      <c r="R232" s="3"/>
      <c r="S232" s="3"/>
      <c r="T232" s="3"/>
      <c r="U232" s="3"/>
      <c r="V232" s="3"/>
      <c r="W232" s="3"/>
      <c r="X232" s="3"/>
      <c r="Y232" s="124"/>
      <c r="Z232" s="124"/>
    </row>
    <row r="233" spans="1:26" ht="15.75" customHeight="1" x14ac:dyDescent="0.2">
      <c r="A233" s="3"/>
      <c r="B233" s="3"/>
      <c r="C233" s="3"/>
      <c r="D233" s="123"/>
      <c r="E233" s="124"/>
      <c r="F233" s="124"/>
      <c r="G233" s="124"/>
      <c r="H233" s="124"/>
      <c r="I233" s="124"/>
      <c r="J233" s="124"/>
      <c r="K233" s="124"/>
      <c r="L233" s="124"/>
      <c r="M233" s="124"/>
      <c r="N233" s="124"/>
      <c r="O233" s="124"/>
      <c r="P233" s="124"/>
      <c r="Q233" s="3"/>
      <c r="R233" s="3"/>
      <c r="S233" s="3"/>
      <c r="T233" s="3"/>
      <c r="U233" s="3"/>
      <c r="V233" s="3"/>
      <c r="W233" s="3"/>
      <c r="X233" s="3"/>
      <c r="Y233" s="124"/>
      <c r="Z233" s="124"/>
    </row>
    <row r="234" spans="1:26" ht="15.75" customHeight="1" x14ac:dyDescent="0.2">
      <c r="A234" s="3"/>
      <c r="B234" s="3"/>
      <c r="C234" s="3"/>
      <c r="D234" s="123"/>
      <c r="E234" s="124"/>
      <c r="F234" s="124"/>
      <c r="G234" s="124"/>
      <c r="H234" s="124"/>
      <c r="I234" s="124"/>
      <c r="J234" s="124"/>
      <c r="K234" s="124"/>
      <c r="L234" s="124"/>
      <c r="M234" s="124"/>
      <c r="N234" s="124"/>
      <c r="O234" s="124"/>
      <c r="P234" s="124"/>
      <c r="Q234" s="3"/>
      <c r="R234" s="3"/>
      <c r="S234" s="3"/>
      <c r="T234" s="3"/>
      <c r="U234" s="3"/>
      <c r="V234" s="3"/>
      <c r="W234" s="3"/>
      <c r="X234" s="3"/>
      <c r="Y234" s="124"/>
      <c r="Z234" s="124"/>
    </row>
    <row r="235" spans="1:26" ht="15.75" customHeight="1" x14ac:dyDescent="0.2">
      <c r="A235" s="3"/>
      <c r="B235" s="3"/>
      <c r="C235" s="3"/>
      <c r="D235" s="123"/>
      <c r="E235" s="124"/>
      <c r="F235" s="124"/>
      <c r="G235" s="124"/>
      <c r="H235" s="124"/>
      <c r="I235" s="124"/>
      <c r="J235" s="124"/>
      <c r="K235" s="124"/>
      <c r="L235" s="124"/>
      <c r="M235" s="124"/>
      <c r="N235" s="124"/>
      <c r="O235" s="124"/>
      <c r="P235" s="124"/>
      <c r="Q235" s="3"/>
      <c r="R235" s="3"/>
      <c r="S235" s="3"/>
      <c r="T235" s="3"/>
      <c r="U235" s="3"/>
      <c r="V235" s="3"/>
      <c r="W235" s="3"/>
      <c r="X235" s="3"/>
      <c r="Y235" s="124"/>
      <c r="Z235" s="124"/>
    </row>
    <row r="236" spans="1:26" ht="15.75" customHeight="1" x14ac:dyDescent="0.2">
      <c r="A236" s="3"/>
      <c r="B236" s="3"/>
      <c r="C236" s="3"/>
      <c r="D236" s="123"/>
      <c r="E236" s="124"/>
      <c r="F236" s="124"/>
      <c r="G236" s="124"/>
      <c r="H236" s="124"/>
      <c r="I236" s="124"/>
      <c r="J236" s="124"/>
      <c r="K236" s="124"/>
      <c r="L236" s="124"/>
      <c r="M236" s="124"/>
      <c r="N236" s="124"/>
      <c r="O236" s="124"/>
      <c r="P236" s="124"/>
      <c r="Q236" s="3"/>
      <c r="R236" s="3"/>
      <c r="S236" s="3"/>
      <c r="T236" s="3"/>
      <c r="U236" s="3"/>
      <c r="V236" s="3"/>
      <c r="W236" s="3"/>
      <c r="X236" s="3"/>
      <c r="Y236" s="124"/>
      <c r="Z236" s="124"/>
    </row>
    <row r="237" spans="1:26" ht="15.75" customHeight="1" x14ac:dyDescent="0.2">
      <c r="A237" s="3"/>
      <c r="B237" s="3"/>
      <c r="C237" s="3"/>
      <c r="D237" s="123"/>
      <c r="E237" s="124"/>
      <c r="F237" s="124"/>
      <c r="G237" s="124"/>
      <c r="H237" s="124"/>
      <c r="I237" s="124"/>
      <c r="J237" s="124"/>
      <c r="K237" s="124"/>
      <c r="L237" s="124"/>
      <c r="M237" s="124"/>
      <c r="N237" s="124"/>
      <c r="O237" s="124"/>
      <c r="P237" s="124"/>
      <c r="Q237" s="3"/>
      <c r="R237" s="3"/>
      <c r="S237" s="3"/>
      <c r="T237" s="3"/>
      <c r="U237" s="3"/>
      <c r="V237" s="3"/>
      <c r="W237" s="3"/>
      <c r="X237" s="3"/>
      <c r="Y237" s="124"/>
      <c r="Z237" s="124"/>
    </row>
    <row r="238" spans="1:26" ht="15.75" customHeight="1" x14ac:dyDescent="0.2">
      <c r="A238" s="3"/>
      <c r="B238" s="3"/>
      <c r="C238" s="3"/>
      <c r="D238" s="123"/>
      <c r="E238" s="124"/>
      <c r="F238" s="124"/>
      <c r="G238" s="124"/>
      <c r="H238" s="124"/>
      <c r="I238" s="124"/>
      <c r="J238" s="124"/>
      <c r="K238" s="124"/>
      <c r="L238" s="124"/>
      <c r="M238" s="124"/>
      <c r="N238" s="124"/>
      <c r="O238" s="124"/>
      <c r="P238" s="124"/>
      <c r="Q238" s="3"/>
      <c r="R238" s="3"/>
      <c r="S238" s="3"/>
      <c r="T238" s="3"/>
      <c r="U238" s="3"/>
      <c r="V238" s="3"/>
      <c r="W238" s="3"/>
      <c r="X238" s="3"/>
      <c r="Y238" s="124"/>
      <c r="Z238" s="124"/>
    </row>
    <row r="239" spans="1:26" ht="15.75" customHeight="1" x14ac:dyDescent="0.2">
      <c r="A239" s="3"/>
      <c r="B239" s="3"/>
      <c r="C239" s="3"/>
      <c r="D239" s="123"/>
      <c r="E239" s="124"/>
      <c r="F239" s="124"/>
      <c r="G239" s="124"/>
      <c r="H239" s="124"/>
      <c r="I239" s="124"/>
      <c r="J239" s="124"/>
      <c r="K239" s="124"/>
      <c r="L239" s="124"/>
      <c r="M239" s="124"/>
      <c r="N239" s="124"/>
      <c r="O239" s="124"/>
      <c r="P239" s="124"/>
      <c r="Q239" s="3"/>
      <c r="R239" s="3"/>
      <c r="S239" s="3"/>
      <c r="T239" s="3"/>
      <c r="U239" s="3"/>
      <c r="V239" s="3"/>
      <c r="W239" s="3"/>
      <c r="X239" s="3"/>
      <c r="Y239" s="124"/>
      <c r="Z239" s="124"/>
    </row>
    <row r="240" spans="1:26" ht="15.75" customHeight="1" x14ac:dyDescent="0.2">
      <c r="A240" s="3"/>
      <c r="B240" s="3"/>
      <c r="C240" s="3"/>
      <c r="D240" s="123"/>
      <c r="E240" s="124"/>
      <c r="F240" s="124"/>
      <c r="G240" s="124"/>
      <c r="H240" s="124"/>
      <c r="I240" s="124"/>
      <c r="J240" s="124"/>
      <c r="K240" s="124"/>
      <c r="L240" s="124"/>
      <c r="M240" s="124"/>
      <c r="N240" s="124"/>
      <c r="O240" s="124"/>
      <c r="P240" s="124"/>
      <c r="Q240" s="3"/>
      <c r="R240" s="3"/>
      <c r="S240" s="3"/>
      <c r="T240" s="3"/>
      <c r="U240" s="3"/>
      <c r="V240" s="3"/>
      <c r="W240" s="3"/>
      <c r="X240" s="3"/>
      <c r="Y240" s="124"/>
      <c r="Z240" s="124"/>
    </row>
    <row r="241" spans="1:26" ht="15.75" customHeight="1" x14ac:dyDescent="0.2">
      <c r="A241" s="3"/>
      <c r="B241" s="3"/>
      <c r="C241" s="3"/>
      <c r="D241" s="123"/>
      <c r="E241" s="124"/>
      <c r="F241" s="124"/>
      <c r="G241" s="124"/>
      <c r="H241" s="124"/>
      <c r="I241" s="124"/>
      <c r="J241" s="124"/>
      <c r="K241" s="124"/>
      <c r="L241" s="124"/>
      <c r="M241" s="124"/>
      <c r="N241" s="124"/>
      <c r="O241" s="124"/>
      <c r="P241" s="124"/>
      <c r="Q241" s="3"/>
      <c r="R241" s="3"/>
      <c r="S241" s="3"/>
      <c r="T241" s="3"/>
      <c r="U241" s="3"/>
      <c r="V241" s="3"/>
      <c r="W241" s="3"/>
      <c r="X241" s="3"/>
      <c r="Y241" s="124"/>
      <c r="Z241" s="124"/>
    </row>
    <row r="242" spans="1:26" ht="15.75" customHeight="1" x14ac:dyDescent="0.2">
      <c r="A242" s="3"/>
      <c r="B242" s="3"/>
      <c r="C242" s="3"/>
      <c r="D242" s="123"/>
      <c r="E242" s="124"/>
      <c r="F242" s="124"/>
      <c r="G242" s="124"/>
      <c r="H242" s="124"/>
      <c r="I242" s="124"/>
      <c r="J242" s="124"/>
      <c r="K242" s="124"/>
      <c r="L242" s="124"/>
      <c r="M242" s="124"/>
      <c r="N242" s="124"/>
      <c r="O242" s="124"/>
      <c r="P242" s="124"/>
      <c r="Q242" s="3"/>
      <c r="R242" s="3"/>
      <c r="S242" s="3"/>
      <c r="T242" s="3"/>
      <c r="U242" s="3"/>
      <c r="V242" s="3"/>
      <c r="W242" s="3"/>
      <c r="X242" s="3"/>
      <c r="Y242" s="124"/>
      <c r="Z242" s="124"/>
    </row>
    <row r="243" spans="1:26" ht="15.75" customHeight="1" x14ac:dyDescent="0.2">
      <c r="A243" s="3"/>
      <c r="B243" s="3"/>
      <c r="C243" s="3"/>
      <c r="D243" s="123"/>
      <c r="E243" s="124"/>
      <c r="F243" s="124"/>
      <c r="G243" s="124"/>
      <c r="H243" s="124"/>
      <c r="I243" s="124"/>
      <c r="J243" s="124"/>
      <c r="K243" s="124"/>
      <c r="L243" s="124"/>
      <c r="M243" s="124"/>
      <c r="N243" s="124"/>
      <c r="O243" s="124"/>
      <c r="P243" s="124"/>
      <c r="Q243" s="3"/>
      <c r="R243" s="3"/>
      <c r="S243" s="3"/>
      <c r="T243" s="3"/>
      <c r="U243" s="3"/>
      <c r="V243" s="3"/>
      <c r="W243" s="3"/>
      <c r="X243" s="3"/>
      <c r="Y243" s="124"/>
      <c r="Z243" s="124"/>
    </row>
    <row r="244" spans="1:26" ht="15.75" customHeight="1" x14ac:dyDescent="0.2">
      <c r="A244" s="3"/>
      <c r="B244" s="3"/>
      <c r="C244" s="3"/>
      <c r="D244" s="123"/>
      <c r="E244" s="124"/>
      <c r="F244" s="124"/>
      <c r="G244" s="124"/>
      <c r="H244" s="124"/>
      <c r="I244" s="124"/>
      <c r="J244" s="124"/>
      <c r="K244" s="124"/>
      <c r="L244" s="124"/>
      <c r="M244" s="124"/>
      <c r="N244" s="124"/>
      <c r="O244" s="124"/>
      <c r="P244" s="124"/>
      <c r="Q244" s="3"/>
      <c r="R244" s="3"/>
      <c r="S244" s="3"/>
      <c r="T244" s="3"/>
      <c r="U244" s="3"/>
      <c r="V244" s="3"/>
      <c r="W244" s="3"/>
      <c r="X244" s="3"/>
      <c r="Y244" s="124"/>
      <c r="Z244" s="124"/>
    </row>
    <row r="245" spans="1:26" ht="15.75" customHeight="1" x14ac:dyDescent="0.2">
      <c r="A245" s="3"/>
      <c r="B245" s="3"/>
      <c r="C245" s="3"/>
      <c r="D245" s="123"/>
      <c r="E245" s="124"/>
      <c r="F245" s="124"/>
      <c r="G245" s="124"/>
      <c r="H245" s="124"/>
      <c r="I245" s="124"/>
      <c r="J245" s="124"/>
      <c r="K245" s="124"/>
      <c r="L245" s="124"/>
      <c r="M245" s="124"/>
      <c r="N245" s="124"/>
      <c r="O245" s="124"/>
      <c r="P245" s="124"/>
      <c r="Q245" s="3"/>
      <c r="R245" s="3"/>
      <c r="S245" s="3"/>
      <c r="T245" s="3"/>
      <c r="U245" s="3"/>
      <c r="V245" s="3"/>
      <c r="W245" s="3"/>
      <c r="X245" s="3"/>
      <c r="Y245" s="124"/>
      <c r="Z245" s="124"/>
    </row>
    <row r="246" spans="1:26" ht="15.75" customHeight="1" x14ac:dyDescent="0.2">
      <c r="A246" s="3"/>
      <c r="B246" s="3"/>
      <c r="C246" s="3"/>
      <c r="D246" s="123"/>
      <c r="E246" s="124"/>
      <c r="F246" s="124"/>
      <c r="G246" s="124"/>
      <c r="H246" s="124"/>
      <c r="I246" s="124"/>
      <c r="J246" s="124"/>
      <c r="K246" s="124"/>
      <c r="L246" s="124"/>
      <c r="M246" s="124"/>
      <c r="N246" s="124"/>
      <c r="O246" s="124"/>
      <c r="P246" s="124"/>
      <c r="Q246" s="3"/>
      <c r="R246" s="3"/>
      <c r="S246" s="3"/>
      <c r="T246" s="3"/>
      <c r="U246" s="3"/>
      <c r="V246" s="3"/>
      <c r="W246" s="3"/>
      <c r="X246" s="3"/>
      <c r="Y246" s="124"/>
      <c r="Z246" s="124"/>
    </row>
    <row r="247" spans="1:26" ht="15.75" customHeight="1" x14ac:dyDescent="0.2">
      <c r="A247" s="3"/>
      <c r="B247" s="3"/>
      <c r="C247" s="3"/>
      <c r="D247" s="123"/>
      <c r="E247" s="124"/>
      <c r="F247" s="124"/>
      <c r="G247" s="124"/>
      <c r="H247" s="124"/>
      <c r="I247" s="124"/>
      <c r="J247" s="124"/>
      <c r="K247" s="124"/>
      <c r="L247" s="124"/>
      <c r="M247" s="124"/>
      <c r="N247" s="124"/>
      <c r="O247" s="124"/>
      <c r="P247" s="124"/>
      <c r="Q247" s="3"/>
      <c r="R247" s="3"/>
      <c r="S247" s="3"/>
      <c r="T247" s="3"/>
      <c r="U247" s="3"/>
      <c r="V247" s="3"/>
      <c r="W247" s="3"/>
      <c r="X247" s="3"/>
      <c r="Y247" s="124"/>
      <c r="Z247" s="124"/>
    </row>
    <row r="248" spans="1:26" ht="15.75" customHeight="1" x14ac:dyDescent="0.2">
      <c r="A248" s="3"/>
      <c r="B248" s="3"/>
      <c r="C248" s="3"/>
      <c r="D248" s="123"/>
      <c r="E248" s="124"/>
      <c r="F248" s="124"/>
      <c r="G248" s="124"/>
      <c r="H248" s="124"/>
      <c r="I248" s="124"/>
      <c r="J248" s="124"/>
      <c r="K248" s="124"/>
      <c r="L248" s="124"/>
      <c r="M248" s="124"/>
      <c r="N248" s="124"/>
      <c r="O248" s="124"/>
      <c r="P248" s="124"/>
      <c r="Q248" s="3"/>
      <c r="R248" s="3"/>
      <c r="S248" s="3"/>
      <c r="T248" s="3"/>
      <c r="U248" s="3"/>
      <c r="V248" s="3"/>
      <c r="W248" s="3"/>
      <c r="X248" s="3"/>
      <c r="Y248" s="124"/>
      <c r="Z248" s="124"/>
    </row>
    <row r="249" spans="1:26" ht="15.75" customHeight="1" x14ac:dyDescent="0.2">
      <c r="A249" s="3"/>
      <c r="B249" s="3"/>
      <c r="C249" s="3"/>
      <c r="D249" s="123"/>
      <c r="E249" s="124"/>
      <c r="F249" s="124"/>
      <c r="G249" s="124"/>
      <c r="H249" s="124"/>
      <c r="I249" s="124"/>
      <c r="J249" s="124"/>
      <c r="K249" s="124"/>
      <c r="L249" s="124"/>
      <c r="M249" s="124"/>
      <c r="N249" s="124"/>
      <c r="O249" s="124"/>
      <c r="P249" s="124"/>
      <c r="Q249" s="3"/>
      <c r="R249" s="3"/>
      <c r="S249" s="3"/>
      <c r="T249" s="3"/>
      <c r="U249" s="3"/>
      <c r="V249" s="3"/>
      <c r="W249" s="3"/>
      <c r="X249" s="3"/>
      <c r="Y249" s="124"/>
      <c r="Z249" s="124"/>
    </row>
    <row r="250" spans="1:26" ht="15.75" customHeight="1" x14ac:dyDescent="0.2">
      <c r="A250" s="3"/>
      <c r="B250" s="3"/>
      <c r="C250" s="3"/>
      <c r="D250" s="123"/>
      <c r="E250" s="124"/>
      <c r="F250" s="124"/>
      <c r="G250" s="124"/>
      <c r="H250" s="124"/>
      <c r="I250" s="124"/>
      <c r="J250" s="124"/>
      <c r="K250" s="124"/>
      <c r="L250" s="124"/>
      <c r="M250" s="124"/>
      <c r="N250" s="124"/>
      <c r="O250" s="124"/>
      <c r="P250" s="124"/>
      <c r="Q250" s="3"/>
      <c r="R250" s="3"/>
      <c r="S250" s="3"/>
      <c r="T250" s="3"/>
      <c r="U250" s="3"/>
      <c r="V250" s="3"/>
      <c r="W250" s="3"/>
      <c r="X250" s="3"/>
      <c r="Y250" s="124"/>
      <c r="Z250" s="124"/>
    </row>
    <row r="251" spans="1:26" ht="15.75" customHeight="1" x14ac:dyDescent="0.2">
      <c r="A251" s="3"/>
      <c r="B251" s="3"/>
      <c r="C251" s="3"/>
      <c r="D251" s="123"/>
      <c r="E251" s="124"/>
      <c r="F251" s="124"/>
      <c r="G251" s="124"/>
      <c r="H251" s="124"/>
      <c r="I251" s="124"/>
      <c r="J251" s="124"/>
      <c r="K251" s="124"/>
      <c r="L251" s="124"/>
      <c r="M251" s="124"/>
      <c r="N251" s="124"/>
      <c r="O251" s="124"/>
      <c r="P251" s="124"/>
      <c r="Q251" s="3"/>
      <c r="R251" s="3"/>
      <c r="S251" s="3"/>
      <c r="T251" s="3"/>
      <c r="U251" s="3"/>
      <c r="V251" s="3"/>
      <c r="W251" s="3"/>
      <c r="X251" s="3"/>
      <c r="Y251" s="124"/>
      <c r="Z251" s="124"/>
    </row>
    <row r="252" spans="1:26" ht="15.75" customHeight="1" x14ac:dyDescent="0.2">
      <c r="A252" s="3"/>
      <c r="B252" s="3"/>
      <c r="C252" s="3"/>
      <c r="D252" s="123"/>
      <c r="E252" s="124"/>
      <c r="F252" s="124"/>
      <c r="G252" s="124"/>
      <c r="H252" s="124"/>
      <c r="I252" s="124"/>
      <c r="J252" s="124"/>
      <c r="K252" s="124"/>
      <c r="L252" s="124"/>
      <c r="M252" s="124"/>
      <c r="N252" s="124"/>
      <c r="O252" s="124"/>
      <c r="P252" s="124"/>
      <c r="Q252" s="3"/>
      <c r="R252" s="3"/>
      <c r="S252" s="3"/>
      <c r="T252" s="3"/>
      <c r="U252" s="3"/>
      <c r="V252" s="3"/>
      <c r="W252" s="3"/>
      <c r="X252" s="3"/>
      <c r="Y252" s="124"/>
      <c r="Z252" s="124"/>
    </row>
    <row r="253" spans="1:26" ht="15.75" customHeight="1" x14ac:dyDescent="0.2">
      <c r="A253" s="3"/>
      <c r="B253" s="3"/>
      <c r="C253" s="3"/>
      <c r="D253" s="123"/>
      <c r="E253" s="124"/>
      <c r="F253" s="124"/>
      <c r="G253" s="124"/>
      <c r="H253" s="124"/>
      <c r="I253" s="124"/>
      <c r="J253" s="124"/>
      <c r="K253" s="124"/>
      <c r="L253" s="124"/>
      <c r="M253" s="124"/>
      <c r="N253" s="124"/>
      <c r="O253" s="124"/>
      <c r="P253" s="124"/>
      <c r="Q253" s="3"/>
      <c r="R253" s="3"/>
      <c r="S253" s="3"/>
      <c r="T253" s="3"/>
      <c r="U253" s="3"/>
      <c r="V253" s="3"/>
      <c r="W253" s="3"/>
      <c r="X253" s="3"/>
      <c r="Y253" s="124"/>
      <c r="Z253" s="124"/>
    </row>
    <row r="254" spans="1:26" ht="15.75" customHeight="1" x14ac:dyDescent="0.2">
      <c r="A254" s="3"/>
      <c r="B254" s="3"/>
      <c r="C254" s="3"/>
      <c r="D254" s="123"/>
      <c r="E254" s="124"/>
      <c r="F254" s="124"/>
      <c r="G254" s="124"/>
      <c r="H254" s="124"/>
      <c r="I254" s="124"/>
      <c r="J254" s="124"/>
      <c r="K254" s="124"/>
      <c r="L254" s="124"/>
      <c r="M254" s="124"/>
      <c r="N254" s="124"/>
      <c r="O254" s="124"/>
      <c r="P254" s="124"/>
      <c r="Q254" s="3"/>
      <c r="R254" s="3"/>
      <c r="S254" s="3"/>
      <c r="T254" s="3"/>
      <c r="U254" s="3"/>
      <c r="V254" s="3"/>
      <c r="W254" s="3"/>
      <c r="X254" s="3"/>
      <c r="Y254" s="124"/>
      <c r="Z254" s="124"/>
    </row>
    <row r="255" spans="1:26" ht="15.75" customHeight="1" x14ac:dyDescent="0.2">
      <c r="A255" s="3"/>
      <c r="B255" s="3"/>
      <c r="C255" s="3"/>
      <c r="D255" s="123"/>
      <c r="E255" s="124"/>
      <c r="F255" s="124"/>
      <c r="G255" s="124"/>
      <c r="H255" s="124"/>
      <c r="I255" s="124"/>
      <c r="J255" s="124"/>
      <c r="K255" s="124"/>
      <c r="L255" s="124"/>
      <c r="M255" s="124"/>
      <c r="N255" s="124"/>
      <c r="O255" s="124"/>
      <c r="P255" s="124"/>
      <c r="Q255" s="3"/>
      <c r="R255" s="3"/>
      <c r="S255" s="3"/>
      <c r="T255" s="3"/>
      <c r="U255" s="3"/>
      <c r="V255" s="3"/>
      <c r="W255" s="3"/>
      <c r="X255" s="3"/>
      <c r="Y255" s="124"/>
      <c r="Z255" s="124"/>
    </row>
    <row r="256" spans="1:26" ht="15.75" customHeight="1" x14ac:dyDescent="0.2">
      <c r="A256" s="3"/>
      <c r="B256" s="3"/>
      <c r="C256" s="3"/>
      <c r="D256" s="123"/>
      <c r="E256" s="124"/>
      <c r="F256" s="124"/>
      <c r="G256" s="124"/>
      <c r="H256" s="124"/>
      <c r="I256" s="124"/>
      <c r="J256" s="124"/>
      <c r="K256" s="124"/>
      <c r="L256" s="124"/>
      <c r="M256" s="124"/>
      <c r="N256" s="124"/>
      <c r="O256" s="124"/>
      <c r="P256" s="124"/>
      <c r="Q256" s="3"/>
      <c r="R256" s="3"/>
      <c r="S256" s="3"/>
      <c r="T256" s="3"/>
      <c r="U256" s="3"/>
      <c r="V256" s="3"/>
      <c r="W256" s="3"/>
      <c r="X256" s="3"/>
      <c r="Y256" s="124"/>
      <c r="Z256" s="124"/>
    </row>
    <row r="257" spans="1:26" ht="15.75" customHeight="1" x14ac:dyDescent="0.2">
      <c r="A257" s="3"/>
      <c r="B257" s="3"/>
      <c r="C257" s="3"/>
      <c r="D257" s="123"/>
      <c r="E257" s="124"/>
      <c r="F257" s="124"/>
      <c r="G257" s="124"/>
      <c r="H257" s="124"/>
      <c r="I257" s="124"/>
      <c r="J257" s="124"/>
      <c r="K257" s="124"/>
      <c r="L257" s="124"/>
      <c r="M257" s="124"/>
      <c r="N257" s="124"/>
      <c r="O257" s="124"/>
      <c r="P257" s="124"/>
      <c r="Q257" s="3"/>
      <c r="R257" s="3"/>
      <c r="S257" s="3"/>
      <c r="T257" s="3"/>
      <c r="U257" s="3"/>
      <c r="V257" s="3"/>
      <c r="W257" s="3"/>
      <c r="X257" s="3"/>
      <c r="Y257" s="124"/>
      <c r="Z257" s="124"/>
    </row>
    <row r="258" spans="1:26" ht="15.75" customHeight="1" x14ac:dyDescent="0.2">
      <c r="A258" s="3"/>
      <c r="B258" s="3"/>
      <c r="C258" s="3"/>
      <c r="D258" s="123"/>
      <c r="E258" s="124"/>
      <c r="F258" s="124"/>
      <c r="G258" s="124"/>
      <c r="H258" s="124"/>
      <c r="I258" s="124"/>
      <c r="J258" s="124"/>
      <c r="K258" s="124"/>
      <c r="L258" s="124"/>
      <c r="M258" s="124"/>
      <c r="N258" s="124"/>
      <c r="O258" s="124"/>
      <c r="P258" s="124"/>
      <c r="Q258" s="3"/>
      <c r="R258" s="3"/>
      <c r="S258" s="3"/>
      <c r="T258" s="3"/>
      <c r="U258" s="3"/>
      <c r="V258" s="3"/>
      <c r="W258" s="3"/>
      <c r="X258" s="3"/>
      <c r="Y258" s="124"/>
      <c r="Z258" s="124"/>
    </row>
    <row r="259" spans="1:26" ht="15.75" customHeight="1" x14ac:dyDescent="0.2">
      <c r="A259" s="3"/>
      <c r="B259" s="3"/>
      <c r="C259" s="3"/>
      <c r="D259" s="123"/>
      <c r="E259" s="124"/>
      <c r="F259" s="124"/>
      <c r="G259" s="124"/>
      <c r="H259" s="124"/>
      <c r="I259" s="124"/>
      <c r="J259" s="124"/>
      <c r="K259" s="124"/>
      <c r="L259" s="124"/>
      <c r="M259" s="124"/>
      <c r="N259" s="124"/>
      <c r="O259" s="124"/>
      <c r="P259" s="124"/>
      <c r="Q259" s="3"/>
      <c r="R259" s="3"/>
      <c r="S259" s="3"/>
      <c r="T259" s="3"/>
      <c r="U259" s="3"/>
      <c r="V259" s="3"/>
      <c r="W259" s="3"/>
      <c r="X259" s="3"/>
      <c r="Y259" s="124"/>
      <c r="Z259" s="124"/>
    </row>
    <row r="260" spans="1:26" ht="15.75" customHeight="1" x14ac:dyDescent="0.2">
      <c r="A260" s="3"/>
      <c r="B260" s="3"/>
      <c r="C260" s="3"/>
      <c r="D260" s="123"/>
      <c r="E260" s="124"/>
      <c r="F260" s="124"/>
      <c r="G260" s="124"/>
      <c r="H260" s="124"/>
      <c r="I260" s="124"/>
      <c r="J260" s="124"/>
      <c r="K260" s="124"/>
      <c r="L260" s="124"/>
      <c r="M260" s="124"/>
      <c r="N260" s="124"/>
      <c r="O260" s="124"/>
      <c r="P260" s="124"/>
      <c r="Q260" s="3"/>
      <c r="R260" s="3"/>
      <c r="S260" s="3"/>
      <c r="T260" s="3"/>
      <c r="U260" s="3"/>
      <c r="V260" s="3"/>
      <c r="W260" s="3"/>
      <c r="X260" s="3"/>
      <c r="Y260" s="124"/>
      <c r="Z260" s="124"/>
    </row>
    <row r="261" spans="1:26" ht="15.75" customHeight="1" x14ac:dyDescent="0.2">
      <c r="A261" s="3"/>
      <c r="B261" s="3"/>
      <c r="C261" s="3"/>
      <c r="D261" s="123"/>
      <c r="E261" s="124"/>
      <c r="F261" s="124"/>
      <c r="G261" s="124"/>
      <c r="H261" s="124"/>
      <c r="I261" s="124"/>
      <c r="J261" s="124"/>
      <c r="K261" s="124"/>
      <c r="L261" s="124"/>
      <c r="M261" s="124"/>
      <c r="N261" s="124"/>
      <c r="O261" s="124"/>
      <c r="P261" s="124"/>
      <c r="Q261" s="3"/>
      <c r="R261" s="3"/>
      <c r="S261" s="3"/>
      <c r="T261" s="3"/>
      <c r="U261" s="3"/>
      <c r="V261" s="3"/>
      <c r="W261" s="3"/>
      <c r="X261" s="3"/>
      <c r="Y261" s="124"/>
      <c r="Z261" s="124"/>
    </row>
    <row r="262" spans="1:26" ht="15.75" customHeight="1" x14ac:dyDescent="0.2">
      <c r="A262" s="3"/>
      <c r="B262" s="3"/>
      <c r="C262" s="3"/>
      <c r="D262" s="123"/>
      <c r="E262" s="124"/>
      <c r="F262" s="124"/>
      <c r="G262" s="124"/>
      <c r="H262" s="124"/>
      <c r="I262" s="124"/>
      <c r="J262" s="124"/>
      <c r="K262" s="124"/>
      <c r="L262" s="124"/>
      <c r="M262" s="124"/>
      <c r="N262" s="124"/>
      <c r="O262" s="124"/>
      <c r="P262" s="124"/>
      <c r="Q262" s="3"/>
      <c r="R262" s="3"/>
      <c r="S262" s="3"/>
      <c r="T262" s="3"/>
      <c r="U262" s="3"/>
      <c r="V262" s="3"/>
      <c r="W262" s="3"/>
      <c r="X262" s="3"/>
      <c r="Y262" s="124"/>
      <c r="Z262" s="124"/>
    </row>
    <row r="263" spans="1:26" ht="15.75" customHeight="1" x14ac:dyDescent="0.2">
      <c r="A263" s="3"/>
      <c r="B263" s="3"/>
      <c r="C263" s="3"/>
      <c r="D263" s="123"/>
      <c r="E263" s="124"/>
      <c r="F263" s="124"/>
      <c r="G263" s="124"/>
      <c r="H263" s="124"/>
      <c r="I263" s="124"/>
      <c r="J263" s="124"/>
      <c r="K263" s="124"/>
      <c r="L263" s="124"/>
      <c r="M263" s="124"/>
      <c r="N263" s="124"/>
      <c r="O263" s="124"/>
      <c r="P263" s="124"/>
      <c r="Q263" s="3"/>
      <c r="R263" s="3"/>
      <c r="S263" s="3"/>
      <c r="T263" s="3"/>
      <c r="U263" s="3"/>
      <c r="V263" s="3"/>
      <c r="W263" s="3"/>
      <c r="X263" s="3"/>
      <c r="Y263" s="124"/>
      <c r="Z263" s="124"/>
    </row>
    <row r="264" spans="1:26" ht="15.75" customHeight="1" x14ac:dyDescent="0.2">
      <c r="A264" s="3"/>
      <c r="B264" s="3"/>
      <c r="C264" s="3"/>
      <c r="D264" s="123"/>
      <c r="E264" s="124"/>
      <c r="F264" s="124"/>
      <c r="G264" s="124"/>
      <c r="H264" s="124"/>
      <c r="I264" s="124"/>
      <c r="J264" s="124"/>
      <c r="K264" s="124"/>
      <c r="L264" s="124"/>
      <c r="M264" s="124"/>
      <c r="N264" s="124"/>
      <c r="O264" s="124"/>
      <c r="P264" s="124"/>
      <c r="Q264" s="3"/>
      <c r="R264" s="3"/>
      <c r="S264" s="3"/>
      <c r="T264" s="3"/>
      <c r="U264" s="3"/>
      <c r="V264" s="3"/>
      <c r="W264" s="3"/>
      <c r="X264" s="3"/>
      <c r="Y264" s="124"/>
      <c r="Z264" s="124"/>
    </row>
    <row r="265" spans="1:26" ht="15.75" customHeight="1" x14ac:dyDescent="0.2">
      <c r="A265" s="3"/>
      <c r="B265" s="3"/>
      <c r="C265" s="3"/>
      <c r="D265" s="123"/>
      <c r="E265" s="124"/>
      <c r="F265" s="124"/>
      <c r="G265" s="124"/>
      <c r="H265" s="124"/>
      <c r="I265" s="124"/>
      <c r="J265" s="124"/>
      <c r="K265" s="124"/>
      <c r="L265" s="124"/>
      <c r="M265" s="124"/>
      <c r="N265" s="124"/>
      <c r="O265" s="124"/>
      <c r="P265" s="124"/>
      <c r="Q265" s="3"/>
      <c r="R265" s="3"/>
      <c r="S265" s="3"/>
      <c r="T265" s="3"/>
      <c r="U265" s="3"/>
      <c r="V265" s="3"/>
      <c r="W265" s="3"/>
      <c r="X265" s="3"/>
      <c r="Y265" s="124"/>
      <c r="Z265" s="124"/>
    </row>
    <row r="266" spans="1:26" ht="15.75" customHeight="1" x14ac:dyDescent="0.2">
      <c r="A266" s="3"/>
      <c r="B266" s="3"/>
      <c r="C266" s="3"/>
      <c r="D266" s="123"/>
      <c r="E266" s="124"/>
      <c r="F266" s="124"/>
      <c r="G266" s="124"/>
      <c r="H266" s="124"/>
      <c r="I266" s="124"/>
      <c r="J266" s="124"/>
      <c r="K266" s="124"/>
      <c r="L266" s="124"/>
      <c r="M266" s="124"/>
      <c r="N266" s="124"/>
      <c r="O266" s="124"/>
      <c r="P266" s="124"/>
      <c r="Q266" s="3"/>
      <c r="R266" s="3"/>
      <c r="S266" s="3"/>
      <c r="T266" s="3"/>
      <c r="U266" s="3"/>
      <c r="V266" s="3"/>
      <c r="W266" s="3"/>
      <c r="X266" s="3"/>
      <c r="Y266" s="124"/>
      <c r="Z266" s="124"/>
    </row>
    <row r="267" spans="1:26" ht="15.75" customHeight="1" x14ac:dyDescent="0.2">
      <c r="A267" s="3"/>
      <c r="B267" s="3"/>
      <c r="C267" s="3"/>
      <c r="D267" s="123"/>
      <c r="E267" s="124"/>
      <c r="F267" s="124"/>
      <c r="G267" s="124"/>
      <c r="H267" s="124"/>
      <c r="I267" s="124"/>
      <c r="J267" s="124"/>
      <c r="K267" s="124"/>
      <c r="L267" s="124"/>
      <c r="M267" s="124"/>
      <c r="N267" s="124"/>
      <c r="O267" s="124"/>
      <c r="P267" s="124"/>
      <c r="Q267" s="3"/>
      <c r="R267" s="3"/>
      <c r="S267" s="3"/>
      <c r="T267" s="3"/>
      <c r="U267" s="3"/>
      <c r="V267" s="3"/>
      <c r="W267" s="3"/>
      <c r="X267" s="3"/>
      <c r="Y267" s="124"/>
      <c r="Z267" s="124"/>
    </row>
    <row r="268" spans="1:26" ht="15.75" customHeight="1" x14ac:dyDescent="0.2">
      <c r="A268" s="3"/>
      <c r="B268" s="3"/>
      <c r="C268" s="3"/>
      <c r="D268" s="123"/>
      <c r="E268" s="124"/>
      <c r="F268" s="124"/>
      <c r="G268" s="124"/>
      <c r="H268" s="124"/>
      <c r="I268" s="124"/>
      <c r="J268" s="124"/>
      <c r="K268" s="124"/>
      <c r="L268" s="124"/>
      <c r="M268" s="124"/>
      <c r="N268" s="124"/>
      <c r="O268" s="124"/>
      <c r="P268" s="124"/>
      <c r="Q268" s="3"/>
      <c r="R268" s="3"/>
      <c r="S268" s="3"/>
      <c r="T268" s="3"/>
      <c r="U268" s="3"/>
      <c r="V268" s="3"/>
      <c r="W268" s="3"/>
      <c r="X268" s="3"/>
      <c r="Y268" s="124"/>
      <c r="Z268" s="124"/>
    </row>
    <row r="269" spans="1:26" ht="15.75" customHeight="1" x14ac:dyDescent="0.2">
      <c r="A269" s="3"/>
      <c r="B269" s="3"/>
      <c r="C269" s="3"/>
      <c r="D269" s="123"/>
      <c r="E269" s="124"/>
      <c r="F269" s="124"/>
      <c r="G269" s="124"/>
      <c r="H269" s="124"/>
      <c r="I269" s="124"/>
      <c r="J269" s="124"/>
      <c r="K269" s="124"/>
      <c r="L269" s="124"/>
      <c r="M269" s="124"/>
      <c r="N269" s="124"/>
      <c r="O269" s="124"/>
      <c r="P269" s="124"/>
      <c r="Q269" s="3"/>
      <c r="R269" s="3"/>
      <c r="S269" s="3"/>
      <c r="T269" s="3"/>
      <c r="U269" s="3"/>
      <c r="V269" s="3"/>
      <c r="W269" s="3"/>
      <c r="X269" s="3"/>
      <c r="Y269" s="124"/>
      <c r="Z269" s="124"/>
    </row>
    <row r="270" spans="1:26" ht="15.75" customHeight="1" x14ac:dyDescent="0.2">
      <c r="A270" s="3"/>
      <c r="B270" s="3"/>
      <c r="C270" s="3"/>
      <c r="D270" s="123"/>
      <c r="E270" s="124"/>
      <c r="F270" s="124"/>
      <c r="G270" s="124"/>
      <c r="H270" s="124"/>
      <c r="I270" s="124"/>
      <c r="J270" s="124"/>
      <c r="K270" s="124"/>
      <c r="L270" s="124"/>
      <c r="M270" s="124"/>
      <c r="N270" s="124"/>
      <c r="O270" s="124"/>
      <c r="P270" s="124"/>
      <c r="Q270" s="3"/>
      <c r="R270" s="3"/>
      <c r="S270" s="3"/>
      <c r="T270" s="3"/>
      <c r="U270" s="3"/>
      <c r="V270" s="3"/>
      <c r="W270" s="3"/>
      <c r="X270" s="3"/>
      <c r="Y270" s="124"/>
      <c r="Z270" s="124"/>
    </row>
    <row r="271" spans="1:26" ht="15.75" customHeight="1" x14ac:dyDescent="0.2">
      <c r="A271" s="3"/>
      <c r="B271" s="3"/>
      <c r="C271" s="3"/>
      <c r="D271" s="123"/>
      <c r="E271" s="124"/>
      <c r="F271" s="124"/>
      <c r="G271" s="124"/>
      <c r="H271" s="124"/>
      <c r="I271" s="124"/>
      <c r="J271" s="124"/>
      <c r="K271" s="124"/>
      <c r="L271" s="124"/>
      <c r="M271" s="124"/>
      <c r="N271" s="124"/>
      <c r="O271" s="124"/>
      <c r="P271" s="124"/>
      <c r="Q271" s="3"/>
      <c r="R271" s="3"/>
      <c r="S271" s="3"/>
      <c r="T271" s="3"/>
      <c r="U271" s="3"/>
      <c r="V271" s="3"/>
      <c r="W271" s="3"/>
      <c r="X271" s="3"/>
      <c r="Y271" s="124"/>
      <c r="Z271" s="124"/>
    </row>
    <row r="272" spans="1:26" ht="15.75" customHeight="1" x14ac:dyDescent="0.2">
      <c r="A272" s="3"/>
      <c r="B272" s="3"/>
      <c r="C272" s="3"/>
      <c r="D272" s="123"/>
      <c r="E272" s="124"/>
      <c r="F272" s="124"/>
      <c r="G272" s="124"/>
      <c r="H272" s="124"/>
      <c r="I272" s="124"/>
      <c r="J272" s="124"/>
      <c r="K272" s="124"/>
      <c r="L272" s="124"/>
      <c r="M272" s="124"/>
      <c r="N272" s="124"/>
      <c r="O272" s="124"/>
      <c r="P272" s="124"/>
      <c r="Q272" s="3"/>
      <c r="R272" s="3"/>
      <c r="S272" s="3"/>
      <c r="T272" s="3"/>
      <c r="U272" s="3"/>
      <c r="V272" s="3"/>
      <c r="W272" s="3"/>
      <c r="X272" s="3"/>
      <c r="Y272" s="124"/>
      <c r="Z272" s="124"/>
    </row>
    <row r="273" spans="1:26" ht="15.75" customHeight="1" x14ac:dyDescent="0.2">
      <c r="A273" s="3"/>
      <c r="B273" s="3"/>
      <c r="C273" s="3"/>
      <c r="D273" s="123"/>
      <c r="E273" s="124"/>
      <c r="F273" s="124"/>
      <c r="G273" s="124"/>
      <c r="H273" s="124"/>
      <c r="I273" s="124"/>
      <c r="J273" s="124"/>
      <c r="K273" s="124"/>
      <c r="L273" s="124"/>
      <c r="M273" s="124"/>
      <c r="N273" s="124"/>
      <c r="O273" s="124"/>
      <c r="P273" s="124"/>
      <c r="Q273" s="3"/>
      <c r="R273" s="3"/>
      <c r="S273" s="3"/>
      <c r="T273" s="3"/>
      <c r="U273" s="3"/>
      <c r="V273" s="3"/>
      <c r="W273" s="3"/>
      <c r="X273" s="3"/>
      <c r="Y273" s="124"/>
      <c r="Z273" s="124"/>
    </row>
    <row r="274" spans="1:26" ht="15.75" customHeight="1" x14ac:dyDescent="0.2">
      <c r="A274" s="3"/>
      <c r="B274" s="3"/>
      <c r="C274" s="3"/>
      <c r="D274" s="123"/>
      <c r="E274" s="124"/>
      <c r="F274" s="124"/>
      <c r="G274" s="124"/>
      <c r="H274" s="124"/>
      <c r="I274" s="124"/>
      <c r="J274" s="124"/>
      <c r="K274" s="124"/>
      <c r="L274" s="124"/>
      <c r="M274" s="124"/>
      <c r="N274" s="124"/>
      <c r="O274" s="124"/>
      <c r="P274" s="124"/>
      <c r="Q274" s="3"/>
      <c r="R274" s="3"/>
      <c r="S274" s="3"/>
      <c r="T274" s="3"/>
      <c r="U274" s="3"/>
      <c r="V274" s="3"/>
      <c r="W274" s="3"/>
      <c r="X274" s="3"/>
      <c r="Y274" s="124"/>
      <c r="Z274" s="124"/>
    </row>
    <row r="275" spans="1:26" ht="15.75" customHeight="1" x14ac:dyDescent="0.2">
      <c r="A275" s="3"/>
      <c r="B275" s="3"/>
      <c r="C275" s="3"/>
      <c r="D275" s="3"/>
      <c r="E275" s="3"/>
      <c r="F275" s="3"/>
      <c r="G275" s="4"/>
      <c r="H275" s="3"/>
      <c r="I275" s="3"/>
      <c r="J275" s="3"/>
      <c r="K275" s="3"/>
      <c r="L275" s="124"/>
      <c r="M275" s="124"/>
      <c r="N275" s="124"/>
      <c r="O275" s="124"/>
      <c r="P275" s="124"/>
      <c r="Q275" s="3"/>
      <c r="R275" s="3"/>
      <c r="S275" s="3"/>
      <c r="T275" s="3"/>
      <c r="U275" s="3"/>
      <c r="V275" s="3"/>
      <c r="W275" s="3"/>
      <c r="X275" s="3"/>
      <c r="Y275" s="4"/>
      <c r="Z275" s="4"/>
    </row>
    <row r="276" spans="1:26" ht="15.75" customHeight="1" x14ac:dyDescent="0.2">
      <c r="A276" s="3"/>
      <c r="B276" s="3"/>
      <c r="C276" s="3"/>
      <c r="D276" s="3"/>
      <c r="E276" s="3"/>
      <c r="F276" s="3"/>
      <c r="G276" s="4"/>
      <c r="H276" s="3"/>
      <c r="I276" s="3"/>
      <c r="J276" s="3"/>
      <c r="K276" s="3"/>
      <c r="L276" s="124"/>
      <c r="M276" s="124"/>
      <c r="N276" s="124"/>
      <c r="O276" s="124"/>
      <c r="P276" s="124"/>
      <c r="Q276" s="3"/>
      <c r="R276" s="3"/>
      <c r="S276" s="3"/>
      <c r="T276" s="3"/>
      <c r="U276" s="3"/>
      <c r="V276" s="3"/>
      <c r="W276" s="3"/>
      <c r="X276" s="3"/>
      <c r="Y276" s="4"/>
      <c r="Z276" s="4"/>
    </row>
    <row r="277" spans="1:26" ht="15.75" customHeight="1" x14ac:dyDescent="0.2">
      <c r="A277" s="3"/>
      <c r="B277" s="3"/>
      <c r="C277" s="3"/>
      <c r="D277" s="3"/>
      <c r="E277" s="3"/>
      <c r="F277" s="3"/>
      <c r="G277" s="4"/>
      <c r="H277" s="3"/>
      <c r="I277" s="3"/>
      <c r="J277" s="3"/>
      <c r="K277" s="3"/>
      <c r="L277" s="124"/>
      <c r="M277" s="124"/>
      <c r="N277" s="124"/>
      <c r="O277" s="124"/>
      <c r="P277" s="124"/>
      <c r="Q277" s="3"/>
      <c r="R277" s="3"/>
      <c r="S277" s="3"/>
      <c r="T277" s="3"/>
      <c r="U277" s="3"/>
      <c r="V277" s="3"/>
      <c r="W277" s="3"/>
      <c r="X277" s="3"/>
      <c r="Y277" s="4"/>
      <c r="Z277" s="4"/>
    </row>
    <row r="278" spans="1:26" ht="15.75" customHeight="1" x14ac:dyDescent="0.2">
      <c r="A278" s="3"/>
      <c r="B278" s="3"/>
      <c r="C278" s="3"/>
      <c r="D278" s="3"/>
      <c r="E278" s="3"/>
      <c r="F278" s="3"/>
      <c r="G278" s="4"/>
      <c r="H278" s="3"/>
      <c r="I278" s="3"/>
      <c r="J278" s="3"/>
      <c r="K278" s="3"/>
      <c r="L278" s="124"/>
      <c r="M278" s="124"/>
      <c r="N278" s="124"/>
      <c r="O278" s="124"/>
      <c r="P278" s="124"/>
      <c r="Q278" s="3"/>
      <c r="R278" s="3"/>
      <c r="S278" s="3"/>
      <c r="T278" s="3"/>
      <c r="U278" s="3"/>
      <c r="V278" s="3"/>
      <c r="W278" s="3"/>
      <c r="X278" s="3"/>
      <c r="Y278" s="4"/>
      <c r="Z278" s="4"/>
    </row>
    <row r="279" spans="1:26" ht="15.75" customHeight="1" x14ac:dyDescent="0.2">
      <c r="A279" s="3"/>
      <c r="B279" s="3"/>
      <c r="C279" s="3"/>
      <c r="D279" s="3"/>
      <c r="E279" s="3"/>
      <c r="F279" s="3"/>
      <c r="G279" s="4"/>
      <c r="H279" s="3"/>
      <c r="I279" s="3"/>
      <c r="J279" s="3"/>
      <c r="K279" s="3"/>
      <c r="L279" s="124"/>
      <c r="M279" s="124"/>
      <c r="N279" s="124"/>
      <c r="O279" s="124"/>
      <c r="P279" s="124"/>
      <c r="Q279" s="3"/>
      <c r="R279" s="3"/>
      <c r="S279" s="3"/>
      <c r="T279" s="3"/>
      <c r="U279" s="3"/>
      <c r="V279" s="3"/>
      <c r="W279" s="3"/>
      <c r="X279" s="3"/>
      <c r="Y279" s="4"/>
      <c r="Z279" s="4"/>
    </row>
    <row r="280" spans="1:26" ht="15.75" customHeight="1" x14ac:dyDescent="0.2">
      <c r="A280" s="3"/>
      <c r="B280" s="3"/>
      <c r="C280" s="3"/>
      <c r="D280" s="3"/>
      <c r="E280" s="3"/>
      <c r="F280" s="3"/>
      <c r="G280" s="4"/>
      <c r="H280" s="3"/>
      <c r="I280" s="3"/>
      <c r="J280" s="3"/>
      <c r="K280" s="3"/>
      <c r="L280" s="124"/>
      <c r="M280" s="124"/>
      <c r="N280" s="124"/>
      <c r="O280" s="124"/>
      <c r="P280" s="124"/>
      <c r="Q280" s="3"/>
      <c r="R280" s="3"/>
      <c r="S280" s="3"/>
      <c r="T280" s="3"/>
      <c r="U280" s="3"/>
      <c r="V280" s="3"/>
      <c r="W280" s="3"/>
      <c r="X280" s="3"/>
      <c r="Y280" s="4"/>
      <c r="Z280" s="4"/>
    </row>
    <row r="281" spans="1:26" ht="15.75" customHeight="1" x14ac:dyDescent="0.2">
      <c r="A281" s="3"/>
      <c r="B281" s="3"/>
      <c r="C281" s="3"/>
      <c r="D281" s="3"/>
      <c r="E281" s="3"/>
      <c r="F281" s="3"/>
      <c r="G281" s="4"/>
      <c r="H281" s="3"/>
      <c r="I281" s="3"/>
      <c r="J281" s="3"/>
      <c r="K281" s="3"/>
      <c r="L281" s="124"/>
      <c r="M281" s="124"/>
      <c r="N281" s="124"/>
      <c r="O281" s="124"/>
      <c r="P281" s="124"/>
      <c r="Q281" s="3"/>
      <c r="R281" s="3"/>
      <c r="S281" s="3"/>
      <c r="T281" s="3"/>
      <c r="U281" s="3"/>
      <c r="V281" s="3"/>
      <c r="W281" s="3"/>
      <c r="X281" s="3"/>
      <c r="Y281" s="4"/>
      <c r="Z281" s="4"/>
    </row>
    <row r="282" spans="1:26" ht="15.75" customHeight="1" x14ac:dyDescent="0.2">
      <c r="A282" s="3"/>
      <c r="B282" s="3"/>
      <c r="C282" s="3"/>
      <c r="D282" s="3"/>
      <c r="E282" s="3"/>
      <c r="F282" s="3"/>
      <c r="G282" s="4"/>
      <c r="H282" s="3"/>
      <c r="I282" s="3"/>
      <c r="J282" s="3"/>
      <c r="K282" s="3"/>
      <c r="L282" s="124"/>
      <c r="M282" s="124"/>
      <c r="N282" s="124"/>
      <c r="O282" s="124"/>
      <c r="P282" s="124"/>
      <c r="Q282" s="3"/>
      <c r="R282" s="3"/>
      <c r="S282" s="3"/>
      <c r="T282" s="3"/>
      <c r="U282" s="3"/>
      <c r="V282" s="3"/>
      <c r="W282" s="3"/>
      <c r="X282" s="3"/>
      <c r="Y282" s="4"/>
      <c r="Z282" s="4"/>
    </row>
    <row r="283" spans="1:26" ht="15.75" customHeight="1" x14ac:dyDescent="0.2">
      <c r="A283" s="3"/>
      <c r="B283" s="3"/>
      <c r="C283" s="3"/>
      <c r="D283" s="3"/>
      <c r="E283" s="3"/>
      <c r="F283" s="3"/>
      <c r="G283" s="4"/>
      <c r="H283" s="3"/>
      <c r="I283" s="3"/>
      <c r="J283" s="3"/>
      <c r="K283" s="3"/>
      <c r="L283" s="124"/>
      <c r="M283" s="124"/>
      <c r="N283" s="124"/>
      <c r="O283" s="124"/>
      <c r="P283" s="124"/>
      <c r="Q283" s="3"/>
      <c r="R283" s="3"/>
      <c r="S283" s="3"/>
      <c r="T283" s="3"/>
      <c r="U283" s="3"/>
      <c r="V283" s="3"/>
      <c r="W283" s="3"/>
      <c r="X283" s="3"/>
      <c r="Y283" s="4"/>
      <c r="Z283" s="4"/>
    </row>
    <row r="284" spans="1:26" ht="15.75" customHeight="1" x14ac:dyDescent="0.2">
      <c r="A284" s="3"/>
      <c r="B284" s="3"/>
      <c r="C284" s="3"/>
      <c r="D284" s="3"/>
      <c r="E284" s="3"/>
      <c r="F284" s="3"/>
      <c r="G284" s="4"/>
      <c r="H284" s="3"/>
      <c r="I284" s="3"/>
      <c r="J284" s="3"/>
      <c r="K284" s="3"/>
      <c r="L284" s="124"/>
      <c r="M284" s="124"/>
      <c r="N284" s="124"/>
      <c r="O284" s="124"/>
      <c r="P284" s="124"/>
      <c r="Q284" s="3"/>
      <c r="R284" s="3"/>
      <c r="S284" s="3"/>
      <c r="T284" s="3"/>
      <c r="U284" s="3"/>
      <c r="V284" s="3"/>
      <c r="W284" s="3"/>
      <c r="X284" s="3"/>
      <c r="Y284" s="4"/>
      <c r="Z284" s="4"/>
    </row>
    <row r="285" spans="1:26" ht="15.75" customHeight="1" x14ac:dyDescent="0.2">
      <c r="A285" s="3"/>
      <c r="B285" s="3"/>
      <c r="C285" s="3"/>
      <c r="D285" s="3"/>
      <c r="E285" s="3"/>
      <c r="F285" s="3"/>
      <c r="G285" s="4"/>
      <c r="H285" s="3"/>
      <c r="I285" s="3"/>
      <c r="J285" s="3"/>
      <c r="K285" s="3"/>
      <c r="L285" s="124"/>
      <c r="M285" s="124"/>
      <c r="N285" s="124"/>
      <c r="O285" s="124"/>
      <c r="P285" s="124"/>
      <c r="Q285" s="3"/>
      <c r="R285" s="3"/>
      <c r="S285" s="3"/>
      <c r="T285" s="3"/>
      <c r="U285" s="3"/>
      <c r="V285" s="3"/>
      <c r="W285" s="3"/>
      <c r="X285" s="3"/>
      <c r="Y285" s="4"/>
      <c r="Z285" s="4"/>
    </row>
    <row r="286" spans="1:26" ht="15.75" customHeight="1" x14ac:dyDescent="0.2">
      <c r="A286" s="3"/>
      <c r="B286" s="3"/>
      <c r="C286" s="3"/>
      <c r="D286" s="3"/>
      <c r="E286" s="3"/>
      <c r="F286" s="3"/>
      <c r="G286" s="4"/>
      <c r="H286" s="3"/>
      <c r="I286" s="3"/>
      <c r="J286" s="3"/>
      <c r="K286" s="3"/>
      <c r="L286" s="124"/>
      <c r="M286" s="124"/>
      <c r="N286" s="124"/>
      <c r="O286" s="124"/>
      <c r="P286" s="124"/>
      <c r="Q286" s="3"/>
      <c r="R286" s="3"/>
      <c r="S286" s="3"/>
      <c r="T286" s="3"/>
      <c r="U286" s="3"/>
      <c r="V286" s="3"/>
      <c r="W286" s="3"/>
      <c r="X286" s="3"/>
      <c r="Y286" s="4"/>
      <c r="Z286" s="4"/>
    </row>
    <row r="287" spans="1:26" ht="15.75" customHeight="1" x14ac:dyDescent="0.2">
      <c r="A287" s="3"/>
      <c r="B287" s="3"/>
      <c r="C287" s="3"/>
      <c r="D287" s="3"/>
      <c r="E287" s="3"/>
      <c r="F287" s="3"/>
      <c r="G287" s="4"/>
      <c r="H287" s="3"/>
      <c r="I287" s="3"/>
      <c r="J287" s="3"/>
      <c r="K287" s="3"/>
      <c r="L287" s="124"/>
      <c r="M287" s="124"/>
      <c r="N287" s="124"/>
      <c r="O287" s="124"/>
      <c r="P287" s="124"/>
      <c r="Q287" s="3"/>
      <c r="R287" s="3"/>
      <c r="S287" s="3"/>
      <c r="T287" s="3"/>
      <c r="U287" s="3"/>
      <c r="V287" s="3"/>
      <c r="W287" s="3"/>
      <c r="X287" s="3"/>
      <c r="Y287" s="4"/>
      <c r="Z287" s="4"/>
    </row>
    <row r="288" spans="1:26"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15">
    <mergeCell ref="C16:C17"/>
    <mergeCell ref="D16:D17"/>
    <mergeCell ref="C18:C20"/>
    <mergeCell ref="D18:D20"/>
    <mergeCell ref="G10:G11"/>
    <mergeCell ref="H10:H11"/>
    <mergeCell ref="L10:L11"/>
    <mergeCell ref="M10:M11"/>
    <mergeCell ref="N10:N11"/>
    <mergeCell ref="D81:D82"/>
    <mergeCell ref="B67:B70"/>
    <mergeCell ref="B81:B82"/>
    <mergeCell ref="C81:C82"/>
    <mergeCell ref="A21:A38"/>
    <mergeCell ref="B21:B38"/>
    <mergeCell ref="C21:C38"/>
    <mergeCell ref="D22:D37"/>
    <mergeCell ref="A39:A41"/>
    <mergeCell ref="A57:A63"/>
    <mergeCell ref="B57:B63"/>
    <mergeCell ref="C57:C60"/>
    <mergeCell ref="C61:C63"/>
    <mergeCell ref="D43:D44"/>
    <mergeCell ref="C53:C54"/>
    <mergeCell ref="C55:C56"/>
    <mergeCell ref="B83:B87"/>
    <mergeCell ref="C83:C87"/>
    <mergeCell ref="A64:A66"/>
    <mergeCell ref="A67:A70"/>
    <mergeCell ref="C67:C70"/>
    <mergeCell ref="A71:A74"/>
    <mergeCell ref="C71:C74"/>
    <mergeCell ref="A75:A87"/>
    <mergeCell ref="C75:C77"/>
    <mergeCell ref="B64:B66"/>
    <mergeCell ref="C64:C66"/>
    <mergeCell ref="B71:B74"/>
    <mergeCell ref="B75:B80"/>
    <mergeCell ref="C78:C79"/>
    <mergeCell ref="E81:E82"/>
    <mergeCell ref="E85:E87"/>
    <mergeCell ref="F85:F87"/>
    <mergeCell ref="E51:E52"/>
    <mergeCell ref="F51:F52"/>
    <mergeCell ref="E61:E63"/>
    <mergeCell ref="F61:F63"/>
    <mergeCell ref="E75:E76"/>
    <mergeCell ref="F75:F76"/>
    <mergeCell ref="F79:F80"/>
    <mergeCell ref="F81:F82"/>
    <mergeCell ref="E55:E56"/>
    <mergeCell ref="F55:F56"/>
    <mergeCell ref="E53:E54"/>
    <mergeCell ref="F53:F54"/>
    <mergeCell ref="L8:X8"/>
    <mergeCell ref="Y8:Y9"/>
    <mergeCell ref="Z8:Z9"/>
    <mergeCell ref="I10:I11"/>
    <mergeCell ref="J10:J11"/>
    <mergeCell ref="K10:K11"/>
    <mergeCell ref="E43:E44"/>
    <mergeCell ref="F43:F44"/>
    <mergeCell ref="D49:D50"/>
    <mergeCell ref="E49:E50"/>
    <mergeCell ref="F49:F50"/>
    <mergeCell ref="U10:U11"/>
    <mergeCell ref="V10:V11"/>
    <mergeCell ref="W10:W11"/>
    <mergeCell ref="X10:X11"/>
    <mergeCell ref="Y10:Y11"/>
    <mergeCell ref="O10:O11"/>
    <mergeCell ref="P10:P11"/>
    <mergeCell ref="Q10:Q11"/>
    <mergeCell ref="R10:R11"/>
    <mergeCell ref="S10:S11"/>
    <mergeCell ref="T10:T11"/>
    <mergeCell ref="W79:W80"/>
    <mergeCell ref="X79:X80"/>
    <mergeCell ref="A10:A20"/>
    <mergeCell ref="B10:B20"/>
    <mergeCell ref="C10:C13"/>
    <mergeCell ref="C14:C15"/>
    <mergeCell ref="D14:D15"/>
    <mergeCell ref="Z10:Z11"/>
    <mergeCell ref="A1:B3"/>
    <mergeCell ref="F1:V1"/>
    <mergeCell ref="F2:V2"/>
    <mergeCell ref="F3:V3"/>
    <mergeCell ref="A8:A9"/>
    <mergeCell ref="C8:C9"/>
    <mergeCell ref="D8:D9"/>
    <mergeCell ref="G8:G9"/>
    <mergeCell ref="H8:H9"/>
    <mergeCell ref="E8:E9"/>
    <mergeCell ref="F8:F9"/>
    <mergeCell ref="Q79:Q80"/>
    <mergeCell ref="R79:R80"/>
    <mergeCell ref="S79:S80"/>
    <mergeCell ref="T79:T80"/>
    <mergeCell ref="I8:K8"/>
    <mergeCell ref="B39:B41"/>
    <mergeCell ref="C39:C41"/>
    <mergeCell ref="A43:A56"/>
    <mergeCell ref="B43:B56"/>
    <mergeCell ref="C43:C46"/>
    <mergeCell ref="C49:C50"/>
    <mergeCell ref="C51:C52"/>
    <mergeCell ref="U79:U80"/>
    <mergeCell ref="V79:V80"/>
    <mergeCell ref="D51:D52"/>
    <mergeCell ref="E79:E80"/>
    <mergeCell ref="D55:D56"/>
    <mergeCell ref="D53:D54"/>
    <mergeCell ref="D65:D66"/>
    <mergeCell ref="D75:D7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PTI Gestión Agosto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VILLEGAS LOZANO</dc:creator>
  <cp:lastModifiedBy>Carolina Villegas Lozano</cp:lastModifiedBy>
  <dcterms:created xsi:type="dcterms:W3CDTF">2024-09-20T23:48:45Z</dcterms:created>
  <dcterms:modified xsi:type="dcterms:W3CDTF">2024-09-23T19:16:51Z</dcterms:modified>
</cp:coreProperties>
</file>