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sandra.villabona\Downloads\"/>
    </mc:Choice>
  </mc:AlternateContent>
  <xr:revisionPtr revIDLastSave="0" documentId="13_ncr:1_{EEE79492-B599-4E6C-B509-89719A13E4DB}" xr6:coauthVersionLast="47" xr6:coauthVersionMax="47" xr10:uidLastSave="{00000000-0000-0000-0000-000000000000}"/>
  <bookViews>
    <workbookView xWindow="-110" yWindow="-110" windowWidth="19420" windowHeight="10300" firstSheet="1" activeTab="1" xr2:uid="{00000000-000D-0000-FFFF-FFFF00000000}"/>
  </bookViews>
  <sheets>
    <sheet name="Hoja3" sheetId="6" state="hidden" r:id="rId1"/>
    <sheet name="Presupuesto Inversión 2023" sheetId="16" r:id="rId2"/>
    <sheet name="Presupuesto Inversión 2024" sheetId="21" r:id="rId3"/>
    <sheet name="Anteproyecto 2025" sheetId="22" r:id="rId4"/>
    <sheet name="Parámetro de Control" sheetId="13" state="hidden" r:id="rId5"/>
  </sheets>
  <definedNames>
    <definedName name="_xlnm._FilterDatabase" localSheetId="3" hidden="1">'Anteproyecto 2025'!$A$1:$GO$88</definedName>
    <definedName name="_xlnm._FilterDatabase" localSheetId="1" hidden="1">'Presupuesto Inversión 2023'!$A$1:$G$174</definedName>
    <definedName name="_xlnm._FilterDatabase" localSheetId="2" hidden="1">'Presupuesto Inversión 2024'!$A$1:$G$98</definedName>
  </definedNames>
  <calcPr calcId="191028"/>
  <pivotCaches>
    <pivotCache cacheId="67"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22" l="1"/>
  <c r="G87" i="22"/>
  <c r="G86" i="22"/>
  <c r="G85" i="22"/>
  <c r="G84" i="22"/>
  <c r="G83" i="22"/>
  <c r="G82" i="22"/>
  <c r="G81" i="22"/>
  <c r="G80" i="22"/>
  <c r="G78" i="22"/>
  <c r="G77" i="22"/>
  <c r="G76" i="22"/>
  <c r="G75" i="22"/>
  <c r="G74" i="22"/>
  <c r="G73" i="22"/>
  <c r="G72" i="22"/>
  <c r="G71" i="22"/>
  <c r="G70" i="22"/>
  <c r="G69" i="22"/>
  <c r="G68" i="22"/>
  <c r="G67" i="22"/>
  <c r="G66" i="22"/>
  <c r="G65" i="22"/>
  <c r="G64" i="22"/>
  <c r="G63" i="22"/>
  <c r="G59" i="22"/>
  <c r="G55" i="22"/>
  <c r="G54" i="22"/>
  <c r="G53" i="22"/>
  <c r="G47" i="22"/>
  <c r="G46" i="22"/>
  <c r="G45" i="22"/>
  <c r="G44" i="22"/>
  <c r="G40" i="22"/>
  <c r="G39" i="22"/>
  <c r="G36" i="22"/>
  <c r="G35" i="22"/>
  <c r="G34" i="22"/>
  <c r="G33" i="22"/>
  <c r="G32" i="22"/>
  <c r="G30" i="22"/>
  <c r="G29" i="22"/>
  <c r="G28" i="22"/>
  <c r="G27" i="22"/>
  <c r="G26" i="22"/>
  <c r="G25" i="22"/>
  <c r="G23" i="22"/>
  <c r="G22" i="22"/>
  <c r="G21" i="22"/>
  <c r="G20" i="22"/>
  <c r="G19" i="22"/>
  <c r="G18" i="22"/>
  <c r="G17" i="22"/>
  <c r="G16" i="22"/>
  <c r="G15" i="22"/>
  <c r="G14" i="22"/>
  <c r="G13" i="22"/>
  <c r="G12" i="22"/>
  <c r="G11" i="22"/>
  <c r="G8" i="22"/>
  <c r="G7" i="22"/>
  <c r="G6" i="22"/>
  <c r="G5" i="22"/>
  <c r="G4" i="22"/>
  <c r="G3" i="22"/>
  <c r="G93" i="21" l="1"/>
  <c r="G59" i="21"/>
  <c r="G56" i="21"/>
  <c r="G55" i="21"/>
  <c r="G54" i="21"/>
  <c r="F54" i="21"/>
  <c r="G50" i="21"/>
  <c r="G48" i="21"/>
  <c r="G44" i="21"/>
  <c r="G34" i="21"/>
  <c r="G33" i="21"/>
  <c r="G32" i="21"/>
  <c r="G31" i="21"/>
  <c r="G15" i="21"/>
  <c r="G14" i="21"/>
  <c r="F14" i="21"/>
  <c r="G13" i="21"/>
  <c r="G12" i="21"/>
  <c r="G11" i="21"/>
  <c r="G10" i="21"/>
  <c r="G8" i="21"/>
  <c r="G7" i="21"/>
  <c r="G6" i="21"/>
  <c r="G5" i="21"/>
  <c r="G4" i="21"/>
  <c r="G3" i="21"/>
  <c r="G53" i="16" l="1"/>
  <c r="G18" i="16"/>
  <c r="G62" i="16" l="1"/>
  <c r="G131" i="16" l="1"/>
  <c r="G147" i="16"/>
  <c r="G2" i="16"/>
  <c r="G56" i="16"/>
  <c r="G17" i="16"/>
  <c r="G19" i="16"/>
  <c r="G4" i="16"/>
  <c r="G124" i="16"/>
  <c r="G76" i="16"/>
  <c r="G52" i="16"/>
  <c r="G114" i="16"/>
  <c r="G3" i="16"/>
  <c r="G16" i="16"/>
  <c r="G99" i="16"/>
  <c r="G95" i="16"/>
  <c r="G63" i="16"/>
  <c r="G113" i="16"/>
  <c r="G21" i="16" l="1"/>
  <c r="G71" i="16" l="1"/>
  <c r="G68" i="16"/>
  <c r="G73" i="16"/>
  <c r="G126" i="16"/>
  <c r="G23" i="16" l="1"/>
  <c r="G30" i="16"/>
  <c r="G97" i="16"/>
  <c r="G98" i="16"/>
  <c r="G104" i="16"/>
  <c r="G83" i="16"/>
  <c r="G84" i="16" l="1"/>
  <c r="G161" i="16" l="1"/>
  <c r="G157" i="16"/>
  <c r="G40" i="16"/>
  <c r="G75" i="16" l="1"/>
  <c r="G20" i="16" l="1"/>
  <c r="G35" i="16"/>
  <c r="G34" i="16" l="1"/>
  <c r="G165" i="16"/>
  <c r="G153" i="16"/>
  <c r="G149" i="16"/>
  <c r="G151" i="16" l="1"/>
  <c r="G163" i="16"/>
  <c r="G46" i="16"/>
  <c r="G93" i="16" l="1"/>
  <c r="G167" i="16" l="1"/>
  <c r="G159" i="16"/>
  <c r="G145" i="16"/>
  <c r="G129" i="16" l="1"/>
  <c r="G102" i="16"/>
  <c r="G86" i="16"/>
  <c r="G80" i="16"/>
  <c r="G78" i="16"/>
  <c r="G50" i="16"/>
  <c r="G44" i="16"/>
  <c r="G28" i="16"/>
  <c r="G48" i="16" l="1"/>
  <c r="G143" i="16"/>
  <c r="G155" i="16"/>
  <c r="G90" i="16"/>
  <c r="G91" i="16"/>
  <c r="G108" i="16" l="1"/>
  <c r="G65" i="16"/>
  <c r="G70" i="16"/>
  <c r="G69" i="16" l="1"/>
  <c r="G168" i="16" l="1"/>
  <c r="G45" i="16" l="1"/>
  <c r="G72" i="16" l="1"/>
  <c r="F132" i="16" l="1"/>
  <c r="F131" i="16"/>
  <c r="F115" i="16" l="1"/>
  <c r="G115" i="16"/>
  <c r="G156" i="16" l="1"/>
  <c r="G112" i="16" l="1"/>
  <c r="G111" i="16"/>
  <c r="G103" i="16" l="1"/>
  <c r="G82" i="16"/>
  <c r="G55" i="16"/>
  <c r="G14" i="16" l="1"/>
  <c r="G12" i="16"/>
  <c r="G10" i="16"/>
  <c r="G8" i="16"/>
  <c r="G6" i="16"/>
  <c r="G26" i="16" l="1"/>
  <c r="O31" i="13" l="1"/>
  <c r="N31" i="13"/>
  <c r="M31" i="13"/>
  <c r="L31" i="13"/>
  <c r="K31" i="13"/>
  <c r="J31" i="13"/>
  <c r="I31" i="13"/>
  <c r="H31" i="13"/>
  <c r="G31" i="13"/>
  <c r="F31" i="13"/>
  <c r="E31" i="13"/>
  <c r="D31" i="13"/>
  <c r="C31" i="13"/>
  <c r="O30" i="13"/>
  <c r="O29" i="13"/>
  <c r="N28" i="13"/>
  <c r="M28" i="13"/>
  <c r="L28" i="13"/>
  <c r="K28" i="13"/>
  <c r="J28" i="13"/>
  <c r="I28" i="13"/>
  <c r="H28" i="13"/>
  <c r="G28" i="13"/>
  <c r="F28" i="13"/>
  <c r="E28" i="13"/>
  <c r="D28" i="13"/>
  <c r="C28" i="13"/>
  <c r="O27" i="13"/>
  <c r="O28" i="13" s="1"/>
  <c r="O26" i="13"/>
  <c r="N25" i="13"/>
  <c r="M25" i="13"/>
  <c r="L25" i="13"/>
  <c r="K25" i="13"/>
  <c r="J25" i="13"/>
  <c r="I25" i="13"/>
  <c r="H25" i="13"/>
  <c r="G25" i="13"/>
  <c r="F25" i="13"/>
  <c r="E25" i="13"/>
  <c r="D25" i="13"/>
  <c r="C25" i="13"/>
  <c r="O24" i="13"/>
  <c r="O25" i="13" s="1"/>
  <c r="O23" i="13"/>
  <c r="N22" i="13"/>
  <c r="M22" i="13"/>
  <c r="L22" i="13"/>
  <c r="K22" i="13"/>
  <c r="J22" i="13"/>
  <c r="I22" i="13"/>
  <c r="H22" i="13"/>
  <c r="G22" i="13"/>
  <c r="F22" i="13"/>
  <c r="E22" i="13"/>
  <c r="D22" i="13"/>
  <c r="C22" i="13"/>
  <c r="O21" i="13"/>
  <c r="O22" i="13" s="1"/>
  <c r="O20" i="13"/>
  <c r="N16" i="13"/>
  <c r="M16" i="13"/>
  <c r="L16" i="13"/>
  <c r="K16" i="13"/>
  <c r="J16" i="13"/>
  <c r="I16" i="13"/>
  <c r="H16" i="13"/>
  <c r="G16" i="13"/>
  <c r="F16" i="13"/>
  <c r="E16" i="13"/>
  <c r="D16" i="13"/>
  <c r="C16" i="13"/>
  <c r="O15" i="13"/>
  <c r="O16" i="13" s="1"/>
  <c r="O14" i="13"/>
  <c r="N13" i="13"/>
  <c r="M13" i="13"/>
  <c r="L13" i="13"/>
  <c r="K13" i="13"/>
  <c r="J13" i="13"/>
  <c r="I13" i="13"/>
  <c r="H13" i="13"/>
  <c r="G13" i="13"/>
  <c r="F13" i="13"/>
  <c r="E13" i="13"/>
  <c r="D13" i="13"/>
  <c r="C13" i="13"/>
  <c r="O12" i="13"/>
  <c r="O11" i="13"/>
  <c r="O13" i="13" s="1"/>
  <c r="O10" i="13"/>
  <c r="N10" i="13"/>
  <c r="M10" i="13"/>
  <c r="L10" i="13"/>
  <c r="K10" i="13"/>
  <c r="J10" i="13"/>
  <c r="I10" i="13"/>
  <c r="H10" i="13"/>
  <c r="G10" i="13"/>
  <c r="F10" i="13"/>
  <c r="E10" i="13"/>
  <c r="D10" i="13"/>
  <c r="C10" i="13"/>
  <c r="O9" i="13"/>
  <c r="O8" i="13"/>
  <c r="O7" i="13"/>
  <c r="N7" i="13"/>
  <c r="M7" i="13"/>
  <c r="L7" i="13"/>
  <c r="K7" i="13"/>
  <c r="J7" i="13"/>
  <c r="I7" i="13"/>
  <c r="H7" i="13"/>
  <c r="G7" i="13"/>
  <c r="F7" i="13"/>
  <c r="E7" i="13"/>
  <c r="D7" i="13"/>
  <c r="C7" i="13"/>
  <c r="O6" i="13"/>
  <c r="O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Ibeth Rocio Duarte Leguizamon</author>
  </authors>
  <commentList>
    <comment ref="E14" authorId="0" shapeId="0" xr:uid="{44EFC266-1853-4345-8385-390D55033B99}">
      <text>
        <r>
          <rPr>
            <b/>
            <sz val="9"/>
            <color indexed="81"/>
            <rFont val="Tahoma"/>
            <family val="2"/>
          </rPr>
          <t>VF Hasta Julio 2024</t>
        </r>
      </text>
    </comment>
    <comment ref="G17" authorId="0" shapeId="0" xr:uid="{0A4DE7CC-D785-4A63-9393-7E4CE9189A3C}">
      <text>
        <r>
          <rPr>
            <sz val="9"/>
            <color indexed="81"/>
            <rFont val="Tahoma"/>
            <family val="2"/>
          </rPr>
          <t>$140 Mill: V. Nacionales
$ 210 Mill: V. Internacionales</t>
        </r>
      </text>
    </comment>
    <comment ref="G49" authorId="0" shapeId="0" xr:uid="{9AEDD488-429B-4DD4-B0AE-92F8B4EDCAE5}">
      <text>
        <r>
          <rPr>
            <b/>
            <sz val="9"/>
            <color indexed="81"/>
            <rFont val="Tahoma"/>
            <family val="2"/>
          </rPr>
          <t>Pendiente Liberación_ $92.565.000</t>
        </r>
      </text>
    </comment>
    <comment ref="G63" authorId="0" shapeId="0" xr:uid="{6F702330-F86A-4E2B-AB74-B300C9BF98C9}">
      <text>
        <r>
          <rPr>
            <b/>
            <sz val="9"/>
            <color indexed="81"/>
            <rFont val="Tahoma"/>
            <family val="2"/>
          </rPr>
          <t>Pendiente Liberación $7.893.233</t>
        </r>
      </text>
    </comment>
  </commentList>
</comments>
</file>

<file path=xl/sharedStrings.xml><?xml version="1.0" encoding="utf-8"?>
<sst xmlns="http://schemas.openxmlformats.org/spreadsheetml/2006/main" count="1942" uniqueCount="342">
  <si>
    <t>Etiquetas de fila</t>
  </si>
  <si>
    <t>Suma de Valor Contratado</t>
  </si>
  <si>
    <t>AMP</t>
  </si>
  <si>
    <t>Concurso de Méritos</t>
  </si>
  <si>
    <t>Directa</t>
  </si>
  <si>
    <t>Gastos Recurrentes</t>
  </si>
  <si>
    <t>Licitación</t>
  </si>
  <si>
    <t>Mínima Cuantía</t>
  </si>
  <si>
    <t>SAM</t>
  </si>
  <si>
    <t>Vigencia Futura</t>
  </si>
  <si>
    <t>(en blanco)</t>
  </si>
  <si>
    <t>Total general</t>
  </si>
  <si>
    <t>Tipo de Presupuesto</t>
  </si>
  <si>
    <t>Proyecto de Inversión</t>
  </si>
  <si>
    <t>Coordinación</t>
  </si>
  <si>
    <t>Proyecto o rubro</t>
  </si>
  <si>
    <t>Valor PAA</t>
  </si>
  <si>
    <t>INVERSIÓN</t>
  </si>
  <si>
    <t>MISIONAL</t>
  </si>
  <si>
    <t>RCA</t>
  </si>
  <si>
    <t>Acompañamiento en la organización logística de todos los eventos institucionales, presenciales o virtuales, organizados por la CRC durante el año 2023.</t>
  </si>
  <si>
    <t>Prestador de servicios turísticos de agencia de viajes que suministre los tiquetes aéreos nacionales e Internacionales que requiere la CRC en el 2023.</t>
  </si>
  <si>
    <t>Implementación, desarrollo, seguimiento, ejecución y revisión de la Estrategia Digital para los distintos canales digitales y de redes sociales de la CRC, para la difusión y promoción del quehacer regulatorio de la entidad y para fortalecer la comunicación externa</t>
  </si>
  <si>
    <t>Comunicador gráfico y director de arte, en los procesos y acciones pertinentes relacionados con la Estrategia de Comunicaciones de la Comisión de Regulación de Comunicaciones, en la elaboración de (i) piezas graficas (incluyendo las animaciones tipo GIF), (ii) estrategia digital, (iii) diagramación de documentos, (iv) diagramación de presentaciones y (v)  delimitar acciones y hoja de ruta a seguir para fortalecer la comunicación interna y externa.</t>
  </si>
  <si>
    <t>Realizador audiovisual en la Comisión de Regulación de Comunicaciones (CRC), en los procesos y acciones pertinentes relacionados con la Estrategia de Comunicaciones de la Comisión de Regulación de Comunicaciones, para fortalecer su posicionamiento como regulador único y convergente de los servicios de telecomunicaciones, postales y de contenidos, de acuerdo con en el Plan Estratégico Institucional 2021 a 2025.</t>
  </si>
  <si>
    <t>Prestación de servicios profesionales para el apoyo en la planeación, atribución, asignación, recuperación y gestión de los recursos de identificación administrados por la Comisión de Regulación de Comunicaciones</t>
  </si>
  <si>
    <t>Apoyar la administración de medios digitales y gestor de contenidos de la CRC para fortalecer la comunicación externa.</t>
  </si>
  <si>
    <t>Acompañamiento técnico especializado en la gestión de los trámites relacionados con el proceso de homologación de equipos terminales móviles (ETM) que adelanta la CRC para el año 2023, de acuerdo con lo establecido en el Plan Estratégico Institucional 2021-2025 de la Comisión de Regulación de Comunicaciones.</t>
  </si>
  <si>
    <t>Adquirir los servicios del Centro de Contacto, para garantizar la atención de las solicitudes que se reciben a través de los canales de atención al cliente dispuestos por la Comisión</t>
  </si>
  <si>
    <t>Servicio de monitoreo de noticias para la Comisión de Regulación de Comunicaciones del año 2023</t>
  </si>
  <si>
    <t xml:space="preserve">Viáticos </t>
  </si>
  <si>
    <t xml:space="preserve">Contratación de los servicios de traducción técnica (oficial) escrita del idioma español-inglés e inglés-español de los textos normativos, documentos de trabajo, mensajes clave, cuestionarios, formularios, publicaciones, página web y demás material producido por organizaciones multilaterales o por la CRC. </t>
  </si>
  <si>
    <t>Licencia Empresarial de Base de datos de dispositivos GSMA</t>
  </si>
  <si>
    <t xml:space="preserve">Suscripción OECD iLibrary </t>
  </si>
  <si>
    <t xml:space="preserve">Servicios profesionales para el apoyo en la interpretación a lenguaje de señas del contenido de la CRC </t>
  </si>
  <si>
    <t>Entrenamiento de voceros teórico-práctico para la atención a medios de comunicación y hablar en público</t>
  </si>
  <si>
    <t>CE</t>
  </si>
  <si>
    <t>Servicios profesionales al despacho de la Dirección Ejecutiva de la CRC en la elaboración, implementación y seguimiento de las acciones estratégicas necesarias para el fortalecimiento de la gestión administrativa y la coordinación de las propuestas de la agenda regulatoria para la vigencia 2023.</t>
  </si>
  <si>
    <t>PE</t>
  </si>
  <si>
    <t>Asesoría profesional especializada en materia de planeación, gestión presupuestal, seguimiento de proyectos e implementación del Modelo Integrado de Planeación y Gestión – MIPG.</t>
  </si>
  <si>
    <t>Sistema Integral de Gestión - Auditoría Externa</t>
  </si>
  <si>
    <t>Apoyo Planeación</t>
  </si>
  <si>
    <t>Realización de encuestas, para que la CRC conozca la satisfacción de sus grupos de valor con relación a los servicios prestados por la Comisión durante el año 2022 - Medición NSU de los servicios de la CRC</t>
  </si>
  <si>
    <t>PRC</t>
  </si>
  <si>
    <t>Prestación de servicios profesionales especializados en materia de ingeniería para apoyar el desarrollo de proyectos regulatorios de la Comisión de Regulación de Comunicaciones, así como para apoyar desde la perspectiva técnica el trámite de solución de controversias de competencia de la CRC que se surtan durante el año 2023</t>
  </si>
  <si>
    <t>Prestación de servicios profesionales altamente especializados en materia de regulación de mercados de comunicaciones, así como apoyo a la defensa jurídica de las decisiones de la CRC.</t>
  </si>
  <si>
    <t>Prestación de servicios profesionales altamente especializados en materia de economía y análisis cuantitativo</t>
  </si>
  <si>
    <t>Prestación de servicios profesionales especializados en materia de ingeniería, economía y regulación de mercados de telecomunicaciones para apoyar y acompañar la renovación, modificación, actualización y adición que adelantará la Entidad a la herramienta del modelo de costos "Empresa Eficiente de Telefonía Local".</t>
  </si>
  <si>
    <t>Servicios de consultoría para i) el levantamiento, depuración, procesamiento y análisis de datos estadísticos, con el fin de llevar a cabo mediciones a través de encuestas para recopilar información sobre los servicios TIC de comunicaciones y servicios ofrecidos a través de plataformas en línea y ii) el levantamiento, depuración, procesamiento y análisis de datos estadísticos, con el fin de medir las expectativas y la satisfacción de los usuarios de los servicios de comunicaciones en relación con los servicios de telefonía fija y móvil, internet fijo y móvil, televisión abierta y por suscripción y radiodifusión sonora</t>
  </si>
  <si>
    <t>Servicios profesionales para apoyar en materia de economía y regulación de mercados de comunicaciones, específicamente en el desarrollo de proyectos a los procesos de Política Regulatoria y Competencia e Inteligencia y Analítica de Datos</t>
  </si>
  <si>
    <t>IPR</t>
  </si>
  <si>
    <t xml:space="preserve">Apoyo en la gestión de las acciones jurídicas, operativas y de seguimiento en el desarrollo de la alianza Minciencias - CRC, para el impulso y la ejecución de programas o proyectos de investigación, desarrollo tecnológico e innovación, que permitan mejorar, promover, potenciar y fortalecer los sectores TIC, Postal y de Contenidos Audiovisuales en el País, de acuerdo con lo previsto en la Agenda Regulatoria 2023-2024 y el Plan de Acción de la CRC para el año 2023. </t>
  </si>
  <si>
    <t>Servicios profesionales en materia de economía y regulación económica, para apoyar el desarrollo de proyectos de la Coordinación de Política Regulatoria y Competencia, enmarcados en el Plan de Acción de la Entidad para el año 2023 y la Agenda Regulatoria 2023-2024 prestando sus servicios profesionales en materia de economía y regulación económica.</t>
  </si>
  <si>
    <t>Servicios profesionales en materia de urbanismo, ordenamiento territorial y diseño arquitectónico para apoyar las labores de la CRC en cumplimiento de sus funciones en materia de despliegue de infraestructura de telecomunicaciones;  atención trámites de apelaciones en permisos de instalación de infraestructura; y revisión, ajustes e  implementación del Reglamento Técnico para Redes Internas de Telecomunicaciones, como apoyo al desarrollo de la Agenda Regulatoria 2023 - 2024 y el Plan de Acción de la CRC para el año 2023.</t>
  </si>
  <si>
    <t>Prestación de servicios profesionales para apoyar en la gestión e implementación de estrategias asociadas a la dimensión de gestión del conocimiento e innovación del MIPG, incluyendo actividades de desarrollos metodológicos para procesos de investigación, gestión de contenidos pedagógicos virtuales que contribuyan a promover y potenciar la apropiación de la regulación, así como el desarrollo de herramientas de innovación y su implementación, de acuerdo con la Agenda Regulatoria 2022 – 2023 y el Plan de Acción de la CRC para el año 2023.</t>
  </si>
  <si>
    <t>Prestación de servicios profesionales especializados en materia de ingeniería electrónica con énfasis en telecomunicaciones, para apoyar el desarrollo de iniciativas misionales de acuerdo con lo previsto en la Agenda Regulatoria 2023-2024 y Plan de Acción de la CRC para el año 2023.</t>
  </si>
  <si>
    <t>Prestación de servicios profesionales especializados en materia de ingeniería electrónica con énfasis en telecomunicaciones, para apoyar el desarrollo de iniciativas misionales de acuerdo con lo previsto en la Agenda Regulatoria 2023-2024 y Plan de Acción de la CRC para el año 2023, en temas tales como implementación del régimen de calidad, despliegue de infraestructura, analítica de reportes de información, ofertas básicas de interconexión (OBI) y solución de controversias.</t>
  </si>
  <si>
    <t>Compra de banco de imágenes</t>
  </si>
  <si>
    <t>Prestar servicios profesionales con autonomía e independencia en materia de asesoría jurídica especializada en las actividades de la Coordinación de Relacionamiento con Agentes, específicamente en el seguimiento de los proyectos e iniciativas que cursen en el Congreso de la República y que tengan relación directa o indirecta con las funciones y competencias de la CRC, para la efectiva y oportuna intervención, formulación, participación y comentarios, así como gestionar las respuestas a las solicitudes de asesoría, concepto o requerimientos de información por parte de este órgano, en los términos definidos por la Ley.</t>
  </si>
  <si>
    <t>Servicios profesionales especializados en materia de ingeniería con énfasis en el sector de telecomunicaciones para apoyar el desarrollo de iniciativas misionales y proyectos regulatorios  según la AR 2023  y el plan institucional 2023</t>
  </si>
  <si>
    <t>Fortalecimiento de actividades de innovación y gestión del conocimiento para alcanzar los objetivos del Plan Estratégico Institucional de la CRC a través del desarrollo de material pedagógico, talleres con agentes del sector y espacios de innovación abierta - Aulas de Innovación- espacios para la apropiación del marco normativo y la promoción de la participación ciudadana con operadores, grupos sociales, medios audiovisuales y organizaciones del sector.</t>
  </si>
  <si>
    <t>Servicios profesionales especializados para la realización de análisis de prospectiva técnológica  y regulatoria según Plan institucional 2023</t>
  </si>
  <si>
    <t>Diseño, desarrollo instruccional y pedagógico de contenidos virtuales para la plataforma AULA CRC, implementación y soporte</t>
  </si>
  <si>
    <t>AJSC</t>
  </si>
  <si>
    <t>Contratación de prestación de servicios jurídicos altamente especializados, con el propósito de acompañar el proceso de análisis y adopción de decisiones regulatorias a cargo de las Sesiones de Comisión de la CRC en ejercicio de las competencias legales atribuidas a esta Entidad.</t>
  </si>
  <si>
    <t xml:space="preserve">Contratación de prestación de servicios jurídicos altamente especializados para brindar asesoría jurídica en materia de derecho administrativo, sancionatorio, disciplinario en aspectos de alta complejidad que requiera la CRC, para apoyar a las Coordinaciones Ejecutiva y Asesoría Jurídica y Solución de Controversias, dentro del desarrollo de las diferentes actividades que sobre la materia adelante la entidad. </t>
  </si>
  <si>
    <t>Prestación de servicios profesionales en materia de economía y regulación económica, para apoyar el desarrollo de proyectos de las coordinaciones de política regulatoria y competencia, inteligencia y analítica de datos, desarrollo e innovación y prospectiva regulatoria, previstos en el plan de acción de la entidad para el año 2023 y en la Agenda Regulatoria 2023-2024.</t>
  </si>
  <si>
    <t>Contratación de prestación de servicios jurídicos altamente especializados con el fin de brindar asesoría en materia de derecho constitucional, en asuntos de alta complejidad, para el desarrollo de actividades por parte de la CRC cuyo propósito sea estudiar, analizar y/o fijar medidas regulatorias para la promoción de la competencia.</t>
  </si>
  <si>
    <t>Prestación de servicios profesionales para apoyar en la elaboración de documentos técnicos requierdos para actuaciones, trámites y/o proyectos de la entidad.</t>
  </si>
  <si>
    <t>Brindar apoyo jurídico especializado en el desarrollo de las actividades misionales de las Sesiones de Comisión de Comunicaciones y Contenidos Audiovisuales que conforman la CRC, en el marco de los principios y facultades contenidas en las Leyes 1341 y 1369 de 2009, modificadas por la Ley 1978 de 2019, en especial, en los trámites administrativos de solución de controversias, proyectos regulatorios, la gestión de la defensa judicial de la CRC.</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</si>
  <si>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con los trámites administrativos de solución de controversias, procedimientos sancionatorios, así como, en los proyectos regulatorios que desarrolle la entidad, la gestión de la defensa judicial y atención de las peticiones y conceptos solicitados.</t>
  </si>
  <si>
    <t xml:space="preserve">Prestación del servicio de vigilancia y control judicial de los procesos judiciales en los cuales sea parte o tercero la CRC, y que se estén adelantando en cualquiera de los despachos judiciales ubicados en el territorio nacional. </t>
  </si>
  <si>
    <t>CA</t>
  </si>
  <si>
    <t>Servicios profesionales especializados para brindar apoyo en el desarrollo de actividades asociadas a la promoción y protección de los derechos de la niñez y la familia en lo audiovisual, la promoción del pluralismo informativo, la pedagogía y la participación ciudadana mediante el apoyo al desarrollo de proyectos regulatorios, estrategias pedagógicas, de formulación, difusión y socialización de estudios, en el marco de los proyectos contemplados dentro de la Agenda Regulatoria 2023, que hacen parte de las competencias legales de la CRC en el campo audiovisual.</t>
  </si>
  <si>
    <t>Prestación de servicios profesionales para brindar apoyo en el desarrollo de actividades asociadas a la promoción del pluralismo informativo, la protección y defensa de los televidentes y la participación ciudadana, mediante el diseño metodológico e implementación de estudios y estrategias pedagógicas y de información, el análisis de datos de la investigación social o comunicacional en audiencias o poblaciones, referentes al sector de contenidos audiovisuales, de acuerdo con las iniciativas aprobadas en el Plan de Acción 2023 y contempladas dentro de la Agenda Regulatoria 2023-2024.</t>
  </si>
  <si>
    <t>Realizar una consultoría para determinar las dinámicas de apropiación de los contenidos audiovisuales emitidos en TV abierta colombiana, por parte de tres poblaciones ya caracterizadas por la CRC: i) población sexualmente diversa; ii) personas con discapacidad; y iii) personas del campo y la cultura rural; así como profundizar en la comprensión de las dinámicas de representación e identificación reportadas en 2021 por parte de niñas, niños y adolescentes. El estudio será cualitativo, con base teórica en la psicología, la semiótica y los estudios culturales.</t>
  </si>
  <si>
    <t>Servicios profesionales especializados para brindar apoyo en el desarrollo de las actividades asociadas a la promoción del pluralismo informativo, la televidencia crítica y derechos de los televidentes, el control y vigilancia de los contenidos televisivos, el conocimento de tendencias y dinámicas del sector audiovisual y actividades afines de planeación estratégica</t>
  </si>
  <si>
    <t>Prestación de servicios profesionales altamente especializados en materia de economía y regulación económica, para apoyar el desarrollo de proyectos de las coordinaciones de política regulatoria y competencia, desarrollo e innovación y prospectiva regulatoria, previstos en el plan de acción de la entidad para el año 2023 y en la Agenda Regulatoria 2023-2024.</t>
  </si>
  <si>
    <t>IAD</t>
  </si>
  <si>
    <t>Prestación de servicios profesionales especializados en materia contable, auditoría, análisis, revisión de contabilidad financiera con fines regulatorios y enfoque en el sector TIC, así como en Normas Internacionales de la Información Financiera (NIIF) para apoyar el desarrollo de proyectos regulatorios y demás actividades misionales, de acuerdo con lo previsto en la Agenda Regulatoria 2023 - 2024 y el Plan de Acción de la CRC para el año 2023.</t>
  </si>
  <si>
    <t>Prestación de servicios profesionales en materia de análisis de datos, para apoyar en el desarrollo de las actividades de las Coordinaciones de Política Regulatoria y Competencia e Inteligencia y Analítica de Datos, relacionadas con la extracción, transformación, procesamiento y visualización de datos, de acuerdo con lo previsto en la Agenda Regulatoria 2023 y Plan de Acción de la CRC para el año 2023.</t>
  </si>
  <si>
    <t>Suscripciones de información - Adquirir el acceso mediante las plataformas exclusivas de Kantar Ibope Media Colombia S.A.S. a la información que de manera exclusiva desarrolla el contratista de medición de audiencias con la tecnología People Meters para los servicios de televisión abierta y televisión paga, de información de pauta e inversión publicitaria y de información de consumo y tendencias generales relacionadas con medios de comunicación en Colombia, para el año 2023.</t>
  </si>
  <si>
    <t>Suscripciones de información - Información de indicadores y estadísticas sobre el sector de telecomunicaciones.</t>
  </si>
  <si>
    <t>Suscripciones de información - Adquirir el acceso a la plataforma web de NEW MEDIA ESSENTIALS que provee información sobre datos respecto del consumo del sector audiovisual en Colombia a través de TV paga y plataformas OTT</t>
  </si>
  <si>
    <t>GAF</t>
  </si>
  <si>
    <t>Servicios profesionales especializados en temas de derecho tributario para el apoyo, acompañamiento, en los procesos de fiscalización, régimen sancionatorio, cobro coactivo y demandas judiciales que por este concepto se presenten ante la CRC, durante la vigencia 2023. El presente objeto contractual deberá ser ejecutado de manera autónoma, independiente, sin subordinación o dependencia, utilizando sus propios medios, elementos y herramientas de trabajo.</t>
  </si>
  <si>
    <t>Prestación de servicios profesionales para apoyar actividades relacionadas con los procesos de fiscalización, régimen sancionatorio y cobro coactivo, que deben ser adelantadas durante la vigencia 2023.</t>
  </si>
  <si>
    <t>Servicios profesionales especializados en temas financieros para el apoyo, y acompañamiento para llevar a cabo actividades relacionadas con los procesos de fiscalización, régimen sancionatorio y cobro coactivo, que se requiera adelantar en la vigencia 2023</t>
  </si>
  <si>
    <t xml:space="preserve">Apoyo en el desarrollo de acciones para el fortalecimiento de la Gestión Estratégica del Talento Humano en la CRC para el 2023, encaminadas a la ejecución de actividades relacionadas con el cumplimiento de los planes y programas correspondientes a las políticas de la dimensión de Talento Humano del Modelo Integrado de Planeación y Gestión - MIPG en la Comisión de Regulación De Comunicaciones (Bienestar Social, Capacitación, SST, actividades culturales, deportivas, recreativas y formativas, entre otros). </t>
  </si>
  <si>
    <t>Adelantar la medición de ambiente laboral y cultura organizacional de la crc, bajo modelo el Great Place To Work y Great Culture Innovate, estableciendo fortalezas, objetivos de mejoramiento y prioridades de acuerdo con los resultados obtenidos de la medición.</t>
  </si>
  <si>
    <t>Apoyar las actividades relacionadas con los procesos administrativos y contables de la presentación y recaudo de la contribución durante la vigencia 2023. El presente objeto contractual deberá ser ejecutado de manera autónoma, independiente, sin subordinación o dependencia, utilizando sus propios medios, elementos y herramientas de trabajo.</t>
  </si>
  <si>
    <t>Capacitaciones Misionales</t>
  </si>
  <si>
    <t>4*1000 Inversión Misional</t>
  </si>
  <si>
    <t>Prestación de servicios profesionales en las etapas precontractual, contractual y poscontractuales de las diferentes modalidades de selección de contratista, que permitan dar cumplimiento a lo establecido en la Agenda Regulatoria 2023 y el Plan de Acción 2023 de la Comisión de Regulación de Comunicaciones.</t>
  </si>
  <si>
    <t>Servicios jurídicos especializados en materia de derecho administrativo y contratación pública en aspectos de alta complejidad que requiera la CRC, para apoyar a las Coordinaciones Ejecutiva y de Gestión Administrativa, dentro del desarrollo de las diferentes actividades que, sobre la materia adelante la entidad, enmarcadas dentro de su agenda regulatoria 2022-2023 y su plan de acción 2022.</t>
  </si>
  <si>
    <t>Servicios profesionales a través de la herramienta deberá permitir la consulta detallada de la normatividad anteriormente referenciada, mantener la concordancia entre la normatividad, incorporar el análisis y síntesis jurídico que identifique su desarrollo doctrinal e incluyendo disposiciones regulatorias que en ejercicio de su actividad legal haya expedido la CRC</t>
  </si>
  <si>
    <t>Por asignar</t>
  </si>
  <si>
    <t>TSI</t>
  </si>
  <si>
    <t>Renovación licenciamiento de Assurence SQL (2 años) 8 Licencias: Renovar el soporte y mantenimiento para contar con las últimas actualizaciones y soporte especializado</t>
  </si>
  <si>
    <t>Windows Server Standar 16 cores SA: Renovar el soporte y mantenimiento para contar con las últimas actualizaciones y soporte especializado.  3 lic.</t>
  </si>
  <si>
    <t>4*1000 Inversión TI</t>
  </si>
  <si>
    <t>Herramienta de Administración de Bases de Datos</t>
  </si>
  <si>
    <t>Windows SO Client: Renovar el soporte y mantenimiento para contar con las últimas actualizaciones y soporte especializado.  165 lic.</t>
  </si>
  <si>
    <t xml:space="preserve">Stata:  Renovar el soporte y mantenimiento para contar con las últimas actualizaciones y soporte especializado.  18 lic. </t>
  </si>
  <si>
    <t>Suite Adobe Cloud y Acrobat: Renovar el soporte y mantenimiento para contar con las últimas actualizaciones y soporte especializado. 1 lic.</t>
  </si>
  <si>
    <t>Editor PDF: Renovar el soporte y mantenimiento para contar con las últimas actualizaciones y soporte especializado. 10 lic.</t>
  </si>
  <si>
    <t xml:space="preserve">Contratar una aplicación por servicios (SaaS) para el envío masivo de correos (mailing) para la ejecución de actividades de comunicación externa y digital de la Comisión de Regulación de Comunicaciones. </t>
  </si>
  <si>
    <t>Renovar el licenciamiento Herramienta de Seguridad</t>
  </si>
  <si>
    <t>Renovar la suscripción que soporta la infraestructura crítica de Nube incluye licencias de Azure Devops</t>
  </si>
  <si>
    <t>Compra de portátiles CRC 2023 (40 laptops)</t>
  </si>
  <si>
    <t>Fábrica de software. Desarrollador Junior</t>
  </si>
  <si>
    <t>Renovar el licenciamiento de ARCServer Backup y ARCServer UDP que permiten garantizar los backup de los servidores que alojan los servicios tecnológicos de la CRC.</t>
  </si>
  <si>
    <t>Mantenimiento preventivo y/o correctivo para equipos Portátiles + bolsa de repuestos</t>
  </si>
  <si>
    <t>Mantenimiento preventivo - correctivo de impresoras, escaner y proyectores, con suministro de repuestos, partes y/o accesorios nuevos, originales no remanufacturados.</t>
  </si>
  <si>
    <t>Aquisición de servicios de Centro de Seguridad de Operaciones SOC</t>
  </si>
  <si>
    <t>Pruebas ethical hacking y horas de remediación: Bolsa de acompañamiento de remediación y consultoria (120 Horas)</t>
  </si>
  <si>
    <t>Herramienta de Proyectos Project for the Web: Renovar el servicio, soporte y mantenimiento para contar con las últimas actualizaciones y soporte especializado 80 lic PPM</t>
  </si>
  <si>
    <t>Herramienta de Gestión Estratégica ITS: Renovación del servicio de actualización, soporte y mantenimiento de la Herramienta de Gestión Estratégica.</t>
  </si>
  <si>
    <t>Renovación del contrato de servicios, mantenimiento, soporte y bolsa de horas para el sistema de Nómina y Gestión del Recurso Humano - "Humano" de la CRC.</t>
  </si>
  <si>
    <t>Asistente Virtual: Renovación del servicio de actualización, soporte y mantenimiento para cuatro (4) licencias del sistema de atención virtual Agenti.</t>
  </si>
  <si>
    <t>Sistema de gestión Documental Onbase: Renovar el soporte y mantenimiento para contar con las últimas actualizaciones y soporte especializado y contar con una bolsa de horas disponibles para nuevos desarrollos y ajustes a los aplicativos de acuerdo a las necesidades de la entidad.</t>
  </si>
  <si>
    <t>Fábrica de software. Desarrollador Senior</t>
  </si>
  <si>
    <t>Fábrica de software. Arquitecto de Solución</t>
  </si>
  <si>
    <t>Fábrica de software - Analista de Pruebas</t>
  </si>
  <si>
    <t>Apoyo a servicios tecnológicos</t>
  </si>
  <si>
    <t>Apoyo analisis de soporte  sistemas y onbase y Soporte primer Nivel Servicios Tecnológicos</t>
  </si>
  <si>
    <t>Fábrica de software. Analista de Pruebas</t>
  </si>
  <si>
    <t>Apoyo en la gestión de los portales web de la CRC (Web Master)</t>
  </si>
  <si>
    <t>Apoyo Gestión de Gobierno Digital y Seguridad de la Información</t>
  </si>
  <si>
    <t>Renovación de la prestación del servicio, mantenimiento y soporte para el aplicativo de control administrativo de inventarios y de propiedad planta y equipo - "AYMInventory" de la CRC en modalidad SaaS - software como servicio.</t>
  </si>
  <si>
    <t>Mesa de Servicios CRC: Adquisición de una nueva herramienta más integral para la gestión de Tecnología (Mesa de Servicios, Gestión de Cambios, Gestión de Problemas, Indicadores)</t>
  </si>
  <si>
    <t>Modernización de Firewall y Access Point: Garantizar  la seguridad informática de la CRc así como las mejoras en los accesos de conectividad. (Incluye Monitoreo IPV6)</t>
  </si>
  <si>
    <t>Adquisición/Renovación Certificados firmas digitales GAYF: Suministrar seis (6) certificados de firma digital para el sistema SIIF Nación, el sistema de la expedición de la certificación electrónica de tiempos laborales (CETIL) del Ministerio de Hacienda con vigencia de dos (2) años, que incluya una (1) reposición de Token por usuario sin costo adicional por motivo de pérdida, cambio titular, bloqueo, daño físico durante la vigencia para la Comisión de Regulación de Comunicaciones</t>
  </si>
  <si>
    <t>Adquisición/Renovación Certificados digitales web: Multodominio para tramites y cambiala por 2 años y firma jurídica por 2 años para contribuciones</t>
  </si>
  <si>
    <t>FUNCIONAMIENTO</t>
  </si>
  <si>
    <t>TOTAL</t>
  </si>
  <si>
    <t>ACTIVIDAD
PRESUPUESTAL</t>
  </si>
  <si>
    <t>Valor Contratado</t>
  </si>
  <si>
    <t>A3 - Divulgar a los actores del sector y grupos de interés</t>
  </si>
  <si>
    <t>A4 - Participar de la CRC en eventos nacionales e internacionales</t>
  </si>
  <si>
    <t>Prestador de servicios turísticos de agencia de viajes que suministre los tiquetes aéreos nacionales e Internacionales que requiere la CRC en el 2023</t>
  </si>
  <si>
    <t>Comunicador gráfico y director de arte, en los procesos y acciones pertinentes relacionados con la Estrategia de Comunicaciones de la Comisión de Regulación de Comunicaciones, en la elaboración de (i) piezas graficas (incluyendo las animaciones tipo GIF), (ii) estrategia digital, (iii) diagramación de documentos, (iv) diagramación de presentaciones y (v)  delimitar acciones y hoja de ruta a seguir para fortalecer la comunicación interna y externa</t>
  </si>
  <si>
    <t>Prestar el servicio de intérprete en lengua de señas para videos, espacios institucionales y eventos que requiera la CRC en cumplimiento de sus funciones, así mismo en cumplimiento de Gobierno Digital y Ley de Transparencia</t>
  </si>
  <si>
    <t>Servicios profesionales participación nacional e internacional</t>
  </si>
  <si>
    <t>A2 - Adelantar el estudio o proyecto</t>
  </si>
  <si>
    <t>Asesor externo - Actualización mapa de riesgos CRC</t>
  </si>
  <si>
    <t>Apoyo especializado en arquitectura empresarial</t>
  </si>
  <si>
    <t>Prestación de servicios profesionales para apoyar en la gestión e implementación de estrategias asociadas a la dimensión de gestión del conocimiento e innovación del MIPG, incluyendo actividades de desarrollos metodológicos para procesos de investigación, gestión de contenidos pedagógicos virtuales que contribuyan a promover y potenciar la apropiación de la regulación, así como el desarrollo de herramientas de innovación y su implementación, de acuerdo con la Agenda Regulatoria y el Plan de Acción de la CRC para el año 2023.</t>
  </si>
  <si>
    <t>Consultoría en el área de diseño y construcción de redes en viviendas como apoyo a la revisión Integral RITEL (Sin Vigencias Futuras)</t>
  </si>
  <si>
    <t xml:space="preserve">Servicios profesionales especializados para el apoyo en la identificación, documentación y análisis de tendencias técnicas, de mercado y medidas regulatorias que en materia de interconectividad en Internet  (IXP) y desarrollo de redes abiertas o redes neutras en Colombia.  </t>
  </si>
  <si>
    <t>Apoyo a la gestión en actividades de implementación de medidas regulatorias según el plan institucional 2023.</t>
  </si>
  <si>
    <t>Apoyo interno - Pasante</t>
  </si>
  <si>
    <t>A1 - Formular estudios o proyectos</t>
  </si>
  <si>
    <t>Servicios profesionales junior</t>
  </si>
  <si>
    <t>Servicios profesionales senior</t>
  </si>
  <si>
    <t>Servicios profesionales senior (disciplinarios)</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</si>
  <si>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con los trámites administrativos de solución de controversias, procedimientos sancionatorios, así como, en los proyectos regulatorios que desarrolle la entidad, la gestión de la defensa judicial y atención de las peticiones y conceptos solicitados</t>
  </si>
  <si>
    <t>Prestación de servicios profesionales para brindar apoyo en el desarrollo de actividades asociadas a la promoción del pluralismo informativo, la protección y defensa de los televidentes y la participación ciudadana, mediante el diseño metodológico e implementación de estudios y estrategias pedagógicas y de información, el análisis de datos de la investigación social o comunicacional en audiencias o poblaciones, referentes al sector de contenidos audiovisuales, de acuerdo con las iniciativas aprobadas en el Plan de Acción 2023 y contempladas dentro de la Agenda Regulatoria 2023.</t>
  </si>
  <si>
    <t>Servicios profesionales</t>
  </si>
  <si>
    <t xml:space="preserve">Servicios profesionales apoyo Jurídico </t>
  </si>
  <si>
    <t>Servicios profesionales especializados en materia de ingeniería para apoyar el desarrollo de iniciativas misionales y proyectos regulatorios de la CRC, enmcarcados en el plan de acción de la entidad para el año 2023 y la Agenda Regulatoria 2023-2024</t>
  </si>
  <si>
    <t>Prestación de servicios profesionales para apoyar actividades relacionadas con los procesos de fiscalización, régimen sancionatorio y cobro coactivo, que deben ser adelantadas durante la vigencia 2023. (Empalme)</t>
  </si>
  <si>
    <t>Apoyo contribuciones</t>
  </si>
  <si>
    <t>Apoyo contribuciones - Prestación de servicios profesionales para apoyar actividades relacionadas con los procesos de fiscalización, régimen sancionatorio y cobro coactivo, que deben ser adelantadas por la CRC durante la vigencia 2023</t>
  </si>
  <si>
    <t>Apoyo altamente especializado para diseño de propuesta de formalización del empleo CRC 2023</t>
  </si>
  <si>
    <t>Prestación de servicios profesionales para apoyar a la Coordinación Ejecutiva en el desarrollo de las actividades contractuales de la entidad en las diferentes etapas, específicamente en la revisión de los informes periódicos a presentarse a organismos de control o demás que se exijan y en el trámite de los documentos post contractuales que permitan dar cumplimiento a la misionalidad de la CRC, así como a lo establecido en la Agenda Regulatoria 2023 y el Plan de Acción 2023 de la Comisión de Regulación de Comunicaciones.</t>
  </si>
  <si>
    <t>A3 - Contar con la asesoría y herramientas tecnológicas necesarias para  toma de decisiones basadas en datos</t>
  </si>
  <si>
    <t>Office 365 Plan E3. Correo + Office: Renovar el soporte y mantenimiento para contar con las últimas actualizaciones y soporte especializado.  165 lic
Office 365 Plan E1. Solo Correo: Renovar el soporte y mantenimiento para contar con las últimas actualizaciones y soporte especializado.  70 lic.
EMS- antivirus, configuration manager: Renovar el soporte y mantenimiento para contar con las últimas actualizaciones y soporte especializado.  165 lic.
Licenciamiento Phone System Open (teams): Renovación Microsoft Teams integración telefónica 165 Licencias.
Power BI Pro: Renovación de Licencias para el cumplimiento de las funciones de la CRC- (Para el 2022 se requieren 30 Licencias). Nuevos Tableros de Control.</t>
  </si>
  <si>
    <t>A1- Desarrollar proyectos de Infraestructura Tecnológica requerida para la gestión institucional</t>
  </si>
  <si>
    <t>A2 - Desarrollar sistemas y aplicativos requeridos para la gestión institucional segura y eficiente</t>
  </si>
  <si>
    <t>Mantenimiento preventivo y correctivo para facilities del data Center con suministro de repuestos, partes y/o accesorios nuevos, originales no remanufacturados.
Mantenimiento preventivo y/o correctivo para equipos Portátiles + bolsa de repuestos
Mantenimiento preventivo - correctivo de impresoras, escaner y proyectores, con suministro de repuestos, partes y/o accesorios nuevos, originales no remanufacturados.</t>
  </si>
  <si>
    <t xml:space="preserve">A4 - Diseñar e implementar procesos que soporten el fortalecimiento del Gobierno Digital  </t>
  </si>
  <si>
    <t>Aquisición de servicios de Centro de Seguridad de Operaciones SOC (VF)
Herramienta de Monitoreo Servicios Tecnológicos: Adquisición de una nueva herramienta  que permita Monitorear toda la Infraestrcutura y Servicios Tecnológicos de la CRC</t>
  </si>
  <si>
    <t>Transformación Digital - Bolsa de horas para mejoras en los proyectos implementados</t>
  </si>
  <si>
    <t>Transorfmación Digital - Suscripción herramienta RPA</t>
  </si>
  <si>
    <t>Renovación Suscripción Analisa</t>
  </si>
  <si>
    <t xml:space="preserve">A5 - Aumentar las capacidades del sistema de gestión documental de la Entidad </t>
  </si>
  <si>
    <t>A6 - Apoyar la implementación de las actualizaciones del Sistema de Gestión documental de la Entidad</t>
  </si>
  <si>
    <t>Prestación de servicios profesionales para brindar apoyo especializado a la  coordinación de tecnologia y sistemas de información para planear, gestionar y controlar la ejecución de proyectos tecnológicos de desarrollo de software..</t>
  </si>
  <si>
    <t>Apoyo técnico especializado en el desarrollo de las actividades de TSI en los diferentes frentes que soportan los procesos tecnológicos y los proyectos estratégicos priorizados en el PETI y al Plan de Acción 2023, con una visión integral bajo un Marco de referencia de Arquitectura Empresarial.</t>
  </si>
  <si>
    <t>DICIEMBRE</t>
  </si>
  <si>
    <t>CONTRATADO</t>
  </si>
  <si>
    <t>MES</t>
  </si>
  <si>
    <t>ENERO</t>
  </si>
  <si>
    <t>FEBRERO</t>
  </si>
  <si>
    <t>MARZO</t>
  </si>
  <si>
    <t>ABRIL</t>
  </si>
  <si>
    <t>MAYO</t>
  </si>
  <si>
    <t>JUNIO</t>
  </si>
  <si>
    <t>JULIO</t>
  </si>
  <si>
    <t>AGOSTO</t>
  </si>
  <si>
    <t>SEPTIEMBRE</t>
  </si>
  <si>
    <t>OCTUBRE</t>
  </si>
  <si>
    <t>NOVIEMBRE</t>
  </si>
  <si>
    <t>PROGRAMADO</t>
  </si>
  <si>
    <t>EJECUTADO</t>
  </si>
  <si>
    <t>% CUMPLIMIENTO</t>
  </si>
  <si>
    <t>INVERSIÓN MISIONAL</t>
  </si>
  <si>
    <t>INVERSIÓN TRANSVERSAL</t>
  </si>
  <si>
    <t>PAGADO</t>
  </si>
  <si>
    <t>Valor Plan Anual de Adquisiciones</t>
  </si>
  <si>
    <t>MISIONAL
ESTUDIOS</t>
  </si>
  <si>
    <t>FORTALECIMIENTO</t>
  </si>
  <si>
    <t>A3. Divulgar a los actores del sector y grupos de interés el resultado de los estudios y regulaciones emitidos por la entidad</t>
  </si>
  <si>
    <t>Acompañamiento en la organización logística de todos los eventos institucionales, presenciales o virtuales, organizados por la CRC durante el año 2024.</t>
  </si>
  <si>
    <t>Apoyar y acompañar en el análisis técnico y especializado de las solicitudes de homologación sobre tramites de homologación, pertinencia y respuestas tipo, viabilidad técnica para la homologación de equipos terminales móviles (ETM) de acuerdo con lo establecido en el plan de acción 2024 de la CRC</t>
  </si>
  <si>
    <t>A4. Participar de la CRC en eventos nacionales e internacionales</t>
  </si>
  <si>
    <t>Prestador de servicios turísticos de agencia de viajes que suministre los tiquetes aéreos nacionales e Internacionales que requiere la CRC en el 2024.</t>
  </si>
  <si>
    <t>Ejecución de la Estrategia Digital y la administración de los canales de redes sociales de la CRC</t>
  </si>
  <si>
    <t xml:space="preserve">Adquirir los servicios del Centro de Contacto, para garantizar la atención de las solicitudes que se reciben a través de los canales de atención al cliente dispuestos por la Comisión, por medio de la suscripción de los servicios establecidos en el Acuerdo Marco de Precios CCE-025-AMP-2021, para Vigencias Futuras. </t>
  </si>
  <si>
    <t>Adquirir los servicios del Centro de Contacto, para garantizar la atención de las solicitudes que se reciben a través de los canales de atención al cliente dispuestos por la Comisión, por medio de la suscripción de los servicios establecidos en el Acuerdo Marco de Precios CCE-025-AMP-2021, para Vigencias Futuras. NUEVO 2024</t>
  </si>
  <si>
    <t>Servicio de monitoreo de noticias para la Comisión de Regulación de Comunicaciones del año 2024</t>
  </si>
  <si>
    <t xml:space="preserve">Servicio de intérprete en lengua de señas para videos, espacios institucionales y eventos que requiera la CRC en cumplimiento de sus funciones, así mismo en cumplimiento de Gobierno Digital y Ley de Transparencia.  </t>
  </si>
  <si>
    <t>Contratar el entrenamiento en vocería institucional a un grupo de hasta siete (7) Comisionados, a través de talleres prácticos.</t>
  </si>
  <si>
    <t>A8. Desarrollar las actualizaciones y evaluar la implementación de los sistema de gestión en el marco de MIPG</t>
  </si>
  <si>
    <t xml:space="preserve">Realizar encuestas telefónicas y virtuales, para conocer la satisfacción de los grupos de valor, frente a los servicios que prestó la CRC durante el 2024.  </t>
  </si>
  <si>
    <t>A2. Adelantar el estudio o proyecto</t>
  </si>
  <si>
    <t xml:space="preserve">Apoyo Agenda Regulatoria </t>
  </si>
  <si>
    <t>Prestación de servicios profesionales especializados en materia de ingeniería para apoyar el desarrollo de proyectos regulatorios de la Comisión de Regulación de Comunicaciones, así como para apoyar desde la perspectiva técnica el trámite de solución de controversias de competencia de la CRC que se surtan durante el año 2024</t>
  </si>
  <si>
    <t xml:space="preserve">Adición Tachyon </t>
  </si>
  <si>
    <t xml:space="preserve">Servicios de consultoría para i) el levantamiento, depuración, procesamiento y análisis de datos estadísticos, con el fin de llevar a cabo mediciones a través de encuestas para recopilar información sobre los servicios TIC de comunicaciones y servicios ofrecidos a través de plataformas en línea; ii) el levantamiento, depuración, procesamiento y análisis de datos estadísticos, con el fin de medir las expectativas y la satisfacción de los usuarios de los servicios de comunicaciones en relación con los servicios de telefonía fija y móvil, internet fijo y móvil, televisión abierta y por suscripción y radiodifusión sonora y iii) Caracterizar las formas en que la población de niños, niñas y adolescentes entre los 3 y los 17 años consumen y apropian contenidos audiovisuales en diversas plataformas y medios de comunicación audiovisual en Colombia, así como la percepción y mediación de los padres o cuidadores al respecto. </t>
  </si>
  <si>
    <t>Prestación de servicios profesionales en materia de análisis de datos, para apoyar en el desarrollo de las actividades de las Coordinaciones de Política Regulatoria y Competencia e Inteligencia y Analítica de Datos, relacionadas con la extracción, transformación, procesamiento y visualización de datos, de acuerdo con lo previsto en la Agenda Regulatoria 2024-2025 y Plan de Acción de la CRC para el año 2024.</t>
  </si>
  <si>
    <t xml:space="preserve">Prestación de servicios profesionales especializados en materia de ingeniería, economía y regulación de mercados de telecomunicaciones </t>
  </si>
  <si>
    <t xml:space="preserve">Servicios Profesionales para el apoyo en la gestión de las acciones jurídicas, operativas y de seguimiento en el desarrollo de la alianza Minciencias - CRC, para el impulso y la ejecución de programas o proyectos de investigación, desarrollo tecnológico e innovación, que permitan mejorar, promover, potenciar y fortalecer los sectores TIC, Postal y de Contenidos Audiovisuales en el País, de acuerdo con lo previsto en la Agenda Regulatoria 2024-2025 y el Plan de Acción de la CRC para el año 2024. </t>
  </si>
  <si>
    <t>Servicios profesionales en materia de urbanismo, ordenamiento territorial y diseño arquitectónico para apoyar las labores de la CRC en cumplimiento de sus funciones en materia de despliegue de infraestructura de telecomunicaciones;  atención trámites de apelaciones en permisos de instalación de infraestructura; y revisión, ajustes e  implementación del Reglamento Técnico para Redes Internas de Telecomunicaciones, como apoyo al desarrollo de la Agenda Regulatoria 2024 - 2025 y el Plan de Acción de la CRC para el año 2024.</t>
  </si>
  <si>
    <t>Prestación de servicios profesionales para apoyar en la gestión e implementación de estrategias asociadas a la dimensión de gestión del conocimiento e innovación del MIPG, incluyendo actividades de desarrollos metodológicos para procesos de investigación, gestión de contenidos pedagógicos virtuales que contribuyan a promover y potenciar la apropiación de la regulación, así como el desarrollo de herramientas de innovación y su implementación, de acuerdo con la Agenda Regulatoria 2024-2025 y el Plan de Acción de la CRC para el año 2024</t>
  </si>
  <si>
    <t>Servicios profesionales de apoyo a la gestión y desarrollo de actividades asociadas al fortalecimiento de la innovación organizacional, así como la observación y revisión de contenidos audiovisuales dentro del proceso de vigilancia de TV abierta</t>
  </si>
  <si>
    <t>Fortalecimiento de actividades de gestión del conocimiento e  innovación en línea con el Plan Estratégico Institucional de la CRC, a través del desarrollo de una estrategia pedagógica y de apropiación mediática audiovisual, que cubra aspectos como cambios del marco regulatorio,  la promoción de la participación ciudadana, la mediación parental, la accesibilidad a la televisión,  la representación de grupos poblacionales en  pantallas y la perspectiva de género.</t>
  </si>
  <si>
    <t>Consultoría en el área de diseño y construcción de redes en viviendas como apoyo a la revisión Integral RITEL -nuevos escenarios</t>
  </si>
  <si>
    <t>Apoyo a la gestión en actividades de implementación de medidas regulatorias según el plan institucional 2024 y lineamientos del PND 202-2026Servicios profesionales especializados para la realización de análisis de prospectiva técnológica y regulatoria según Plan institucional 2024</t>
  </si>
  <si>
    <t>A1. Formular estudios o proyectos</t>
  </si>
  <si>
    <t>Diseño, desarrollo instruccional y pedagógico de contenidos virtuales, implementación y soporte</t>
  </si>
  <si>
    <t>Contratación de prestación de servicios jurídicos altamente especializados, con el propósito de acompañar el proceso de análisis y adopción de decisiones regulatorias a cargo de las Sesiones de Comisión de la CRC en ejercicio de las competencias legales atribuidas a esta Entidad, desde una perspectiva especializada propia del derecho de telecomunicaciones, la regulación económica y el derecho de la competencia, así como para brindar asesoría en materia de regulación económica, análisis de los mercados relevantes de servicios de telecomunicaciones con el fin de evaluar las medidas regulatorias para promover la competencia, derecho de telecomunicaciones, y en aquellos asuntos de competencia de la CRC que, por revestir una alta complejidad, requieren de la misma. Tal asesoría incluye el acompañamiento a la CRC en las actividades asociadas a la defensa judicial de la entidad, tratándose de procesos judiciales en los que se analicen las decisiones regulatorias proferidas por esta Entidad, así como a lo establecido en la Agenda Regulatoria 2024-2025 y el Plan de Acción 2024 de la Comisión de Regulación de Comunicaciones.</t>
  </si>
  <si>
    <t xml:space="preserve">Contratación de prestación de servicios jurídicos altamente especializados para brindar asesoría jurídica en materia de derecho administrativo, sancionatorio, disciplinario en aspectos de alta complejidad que requiera la CRC, para apoyar a las Coordinaciones Ejecutiva y Asesoría Jurídica y Solución de Controversias, dentro del desarrollo de las diferentes actividades que sobre la materia adelante la entidad. Tal asesoría incluye el acompañamiento a la CRC en las actividades asociadas a la defensa judicial de la entidad, tratándose de procesos judiciales en los que se discutan asuntos asociados a temas de derecho administrativo. </t>
  </si>
  <si>
    <t>Contratación de prestación de servicios jurídicos altamente especializados con el fin de brindar asesoría en materia de derecho constitucional, en asuntos de alta complejidad, para el desarrollo de actividades por parte de la CRC en procesos judiciales en los que se discuta temas asociados a la promoción de la competencia y el bienestar de los usuarios.</t>
  </si>
  <si>
    <t>Brindar apoyo jurídico especializado  en el desarrollo de las actividades misionales de las Sesiones de Comisión de Comunicaciones y Contenidos Audiovisuales de la Comisión de Regulación de Comunicaciones -CRC- en la ejecución de las funciones relacionadas principalmente con los trámites administrativos de solución de controversias y desconexiones y demás actuaciones administrativas que le sean asignadas, así como en los proyectos regulatorios que desarrolle la entidad y en la elaboración de conceptos jurídicos, teniendo en cuenta lo establecido en la Agenda Regulatoria 2024-2025 y el Plan de Acción del mismo año</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</si>
  <si>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principalmente con los trámites administrativos de solución de controversias y desconexiones, así como en las demás actuaciones administrativas que le sean asignadas, los proyectos regulatorios que desarrolle la entidad, la elaboración de respuestas a solicitudes y conceptos jurídicos solicitados, teniendo en cuenta lo establecido en la Agenda Regulatoria 2024 y el Plan de Acción del mismo año. </t>
  </si>
  <si>
    <t>Prestación de servicios profesionales para brindar apoyo jurídico especializado en el desarrollo de  las actividades relacionadas con la gestión de las actuaciones disciplinarias que se adelanten contra los sujetos disciplinables, esto es, los servidores públicos de la entidad, ex-servidores y particulares  cuando corresponda, de conformidad con lo previsto en la Ley 1952 de 2019 o aquella que la modifique o sustituya</t>
  </si>
  <si>
    <t xml:space="preserve">Examen Pericial </t>
  </si>
  <si>
    <t>Servicios profesionales especializados para brindar apoyo en el desarrollo de actividades asociadas a la promoción y protección de los derechos de la niñez y la familia en lo audiovisual, la promoción del pluralismo informativo, la pedagogía y la participación ciudadana mediante estrategias pedagógicas, la formulación y de estudios y acciones de capacitación con los agentes, en el marco de los proyectos contemplados dentro de la Agenda Regulatoria 2024, que hacen parte de las competencias legales de la CRC en el campo audiovisual.</t>
  </si>
  <si>
    <t>Prestación de servicios profesionales para brindar apoyo en el desarrollo de actividades asociadas a la pedagogía en el ecosistema audiovisual colombiano, la promoción de la alfabetización mediática audiovisual, la  protección de los derechos de la niñez y la familia en lo audiovisual, la promoción del pluralismo informativo, la participación ciudadana, la formulación,  difusión y socialización de estudios, en el marco de los proyectos contemplados dentro de la Agenda Regulatoria 2024, que hacen parte de las competencias legales de la CRC en el campo audiovisual.</t>
  </si>
  <si>
    <t>Prestación de servicios para el brindara apoyo en el desarrollo de actividades de promoción del pluralismo informativo mediante la implementación de estudios y estrategias pedagógicas, de innovación e información, el análisis de datos sobre audiencias o poblaciones, de reportes de información sectorial y la revisión y análisis de contenidos de acuerdo con las iniciativas de acuerdo con las iniciativas aprobadas en el Plan de Acción 2024 y contempladas dentro de la Agenda Regulatoria 2024-2025</t>
  </si>
  <si>
    <t>Prestación de servicios profesionales altamente especializados en materia de regulación de mercados de comunicaciones para apoyar el desarrollo de proyectos y estudios de la Coordinación de Política Regulatoria y Competencia y de la Coordinación de Innovación y Prospectiva Regulatoria, previstos en el plan de acción de la entidad para el año 2024 y en la Agenda Regulatoria 2024-2025.</t>
  </si>
  <si>
    <t>Prestación de servicios profesionales especializados en materia contable, auditoría, análisis, revisión de contabilidad financiera con fines regulatorios y enfoque en el sector TIC, así como en Normas Internacionales de la Información Financiera (NIIF) para apoyar el desarrollo de proyectos regulatorios y demás actividades misionales, de acuerdo con lo previsto en la Agenda Regulatoria 2024 - 2025 y el Plan de Acción de la CRC para el año 2024.</t>
  </si>
  <si>
    <t>Suscripciones de información - Adquirir el acceso mediante las plataformas exclusivas de Kantar Ibope Media Colombia S.A.S. a la información que de manera exclusiva desarrolla el contratista de medición de audiencias con la tecnología People Meters para los servicios de televisión abierta y televisión paga, de información de pauta e inversión publicitaria y de información de consumo y tendencias generales relacionadas con medios de comunicación en Colombia, para el año 2024.</t>
  </si>
  <si>
    <t>Contratar la suscripción a la plataforma MY CULLEN de CULLEN INTERNATIONAL S.A. para el monitoreo de tendencias y desarrollos regulatorios a nivel internacional en materia de servicios de telecomunicaciones, postales y contenidos audiovisuales.</t>
  </si>
  <si>
    <t>Servicios profesionales especializados en temas de derecho tributario para el apoyo, acompañamiento, en los procesos de fiscalización, régimen sancionatorio, cobro coactivo y demandas judiciales que por este concepto se presenten ante la CRC, durante la vigencia 2024. El presente objeto contractual deberá ser ejecutado de manera autónoma, independiente, sin subordinación o dependencia, utilizando sus propios medios, elementos y herramientas de trabajo.</t>
  </si>
  <si>
    <t xml:space="preserve">Apoyar las actividades relacionadas con los procesos administrativos y contables de la presentación y recaudo de la contribución durante la vigencia 2024. Prestación de servicios Técnico profesional y/o tecnólogo </t>
  </si>
  <si>
    <t>A9. Desarrollar y fortalecer las competencias y calidad de los conocimientos de los funcionarios de la CRC, en temas de gestión pública</t>
  </si>
  <si>
    <t xml:space="preserve">Apoyo en el desarrollo de acciones para el fortalecimiento de la Gestión Estratégica del Talento Humano en la CRC para el 2024, encaminadas a la ejecución de actividades relacionadas con el cumplimiento de los planes y programas correspondientes a las políticas de la dimensión de Talento Humano del Modelo Integrado de Planeación y Gestión - MIPG en la Comisión de Regulación De Comunicaciones (Bienestar Social, Capacitación, SST, actividades culturales, deportivas, recreativas y formativas, entre otros). </t>
  </si>
  <si>
    <t>A11. Elaborar lineamiento de documentos transversales a partir de recolección, análisis y procesamiento de la información</t>
  </si>
  <si>
    <t>Servicios jurídicos especializados en materia de derecho administrativo y contratación pública en aspectos de alta complejidad que requiera la CRC, para apoyar a las Coordinaciones Ejecutiva y de Gestión Administrativa, dentro del desarrollo de las diferentes actividades que, sobre la materia adelante la entidad, enmarcadas dentro de su agenda regulatoria 2024-2025 y su plan de acción 2024.</t>
  </si>
  <si>
    <t>Actualización permanente de la Resolución CRC 5050 de 2016 en relación con los conceptos, línea decisional, doctrina concordante, circulares y notas de vigencia, así como la compilación y actualización de las normas complementarias que son transversales a todas las entidades públicas, integrado en el Normograma de la CRC</t>
  </si>
  <si>
    <t xml:space="preserve">Apoyo contractual </t>
  </si>
  <si>
    <t>FORTALECIMIENTO - TSI</t>
  </si>
  <si>
    <t>Fortalecimiento MIPG</t>
  </si>
  <si>
    <t>Fortalecimiento TI</t>
  </si>
  <si>
    <t>A3. Contar con la asesoría y herramientas tecnológicas necesarias para toma de decisiones basadas en datos</t>
  </si>
  <si>
    <t>Contratación Unificada de Licencias Microsoft: Suscripción por un (1) año de los siguientes servicios de Microsoft: Power BI Pro, Enterprise Mobility and Security E3, Office 365 Plan E3, Phone System Open y Office 365 Plan E1 para la Comisión de Regulación de Comunicaciones.</t>
  </si>
  <si>
    <t>A1. Desarrollar proyectos de Infraestructura Tecnológica requerida para la gestión institucional</t>
  </si>
  <si>
    <t>Nube Azure: Renovar la suscripción que soporta la infraestructura crítica de Nube incluye licencias de Azure Devops</t>
  </si>
  <si>
    <t>A4. Diseñar e implementar procesos que soporten el fortalecimiento del Gobierno Digital</t>
  </si>
  <si>
    <t>Renovar la suscripción de la plataforma para automatización robótica de procesos - RPA de la CRC denominada Automation AnyWhere Pure Cloud por el término de un (1) año</t>
  </si>
  <si>
    <t>Renovar el Soporte y mantenimiento del sistema de información "Analisa" o herramienta de analítica de textos de la Comisión de Regulación de Comunicación a través de la comparación de documentos con inteligencia artificial y aprendizaje de máquina.</t>
  </si>
  <si>
    <t>A7. Diseñar y construir los instrumentos para la administración y desarrollo de los sistemas de gestión en el marco de MIPG</t>
  </si>
  <si>
    <t>Asistente Virtual: Renovación del servicio de actualización, soporte y mantenimiento para cuatro (5) licencias del sistema de atención virtual Agenti.</t>
  </si>
  <si>
    <t>A5. Aumentar las capacidades del sistema de gestión documental de la Entidad</t>
  </si>
  <si>
    <t>A2. Desarrollar y/o actualizar los sistemas y aplicativos requeridos para la gestión institucional segura y eficiente</t>
  </si>
  <si>
    <t>Renovación Mesa de Servicios de TI Aranda</t>
  </si>
  <si>
    <t>Servicios de Firewall , WAF, Access Point, Switches y Fortianalyzer que perimitan garantizar  la seguridad informática de la CRC así como las mejoras en los accesos de conectividad. (Incluye Monitoreo IPV6)</t>
  </si>
  <si>
    <t>Contratación Bolsa de Horas Mejoras Tecnologías Emergentes</t>
  </si>
  <si>
    <t>4x1000</t>
  </si>
  <si>
    <t>Objetivo Proyecto de Inversión</t>
  </si>
  <si>
    <t>Producto</t>
  </si>
  <si>
    <t>Actividad Proyecto</t>
  </si>
  <si>
    <t>Pilar Plan Estratégico CRC</t>
  </si>
  <si>
    <t>Objetivo Estratégico CRC</t>
  </si>
  <si>
    <t xml:space="preserve">Descripción </t>
  </si>
  <si>
    <t>Proyección 2025</t>
  </si>
  <si>
    <t xml:space="preserve">Promover la protección de los derechos de los usuarios, la competencia en el mercado, la inversión en infraestructura y la calidad de los servicios. </t>
  </si>
  <si>
    <t>Documento de lineamientos técnicos (2301003)</t>
  </si>
  <si>
    <t>A1. Formular estudios o proyectos de acuerdo con las necesidades del sector</t>
  </si>
  <si>
    <t>P3. Mercado y Competencia</t>
  </si>
  <si>
    <t>P5.O2. Fomentar la eficiencia y agilidad en los procesos, con el fin de facilitar la gestión del ciclo de política regulatoria y demás actividades misionales</t>
  </si>
  <si>
    <t>P4. Innovación y Mejora Regulatoria</t>
  </si>
  <si>
    <t>P4.O3. Consolidar un marco de gobernanza de datos que garantice su disponibilidad, integridad, usabilidad y oportunidad</t>
  </si>
  <si>
    <t>Adquirir el acceso a la plataforma web de Speedtest Intelligence de OOKLA LLC que provee información de calidad objetiva del servicio de internet que se presta a través de redes de acceso fijo suministrado por los proveedores de redes y servicios de telecomunicaciones en Colombia, desde la experiencia del usuario.</t>
  </si>
  <si>
    <t>Contratar la suscripción a la plataforma web de Statista www.statista.com que provee información global de indicadores y estadísticas sobre diferentes sectores de la economía.</t>
  </si>
  <si>
    <t>A2. Adelantar el estudio o proyecto de acuerdo con la metodología que se defina para cada uno de los casos, de manera que las acciones planeadas se lleven a cabo para alcanzar los resultados previstos.</t>
  </si>
  <si>
    <t>P3.O2. Fomentar la competencia y la inversión en los mercados de comunicaciones para garantizar la asequibilidad a servicios de calidad</t>
  </si>
  <si>
    <t>P3.O3. Resolver controversias entre los agentes del sector de las comunicaciones de manera oportuna</t>
  </si>
  <si>
    <t>Prestación de servicios profesionales para brindar apoyo jurídico especializado en el desarrollo de las actividades misionales de las Sesiones de Comisión de Comunicaciones y Contenidos Audiovisuales de la Comisión de Regulación de Comunicaciones – CRC – en la ejecución de las funciones relacionadas principalmente con los trámites administrativos de solución de controversias y desconexiones, así como en las demás actuaciones administrativas que le sean asignadas, los proyectos regulatorios que desarrolle la entidad, la elaboración de respuestas a solicitudes y conceptos jurídicos solicitados, teniendo en cuenta lo establecido en la Agenda Regulatoria 2024 y el Plan de Acción del mismo año. </t>
  </si>
  <si>
    <t>P5. Fortalecimiento Institucional</t>
  </si>
  <si>
    <t>P5.O1. Generar un ambiente y cultura organizacional que propicien la adopción de los valores institucionales, la responsabilidad social y el cumplimiento de los objetivos de la entidad</t>
  </si>
  <si>
    <t xml:space="preserve">Apoyar las actividades relacionadas con los procesos administrativos y contables de la presentación y recaudo de la contribución durante la vigencia 2024. El presente objeto contractual deberá ser ejecutado de manera autónoma, independiente, sin subordinación o dependencia, utilizando sus propios medios, elementos y herramientas de trabajo. </t>
  </si>
  <si>
    <t>P2. Gestión de Grupos de Valor</t>
  </si>
  <si>
    <t>P2.O2. Fomentar la participación en la actividad regulatoria de los grupos de valor, el empoderamiento de los usuarios, la formación de audiencias y la apropiación de la regulación por parte de los agentes regulados</t>
  </si>
  <si>
    <t>P4.O1. Fortalecer un ciclo regulatorio flexible, transparente y participativo que promueva la innovación en el sector de comunicaciones</t>
  </si>
  <si>
    <t xml:space="preserve">Servicios Profesionales para el apoyo en la gestión de las acciones jurídicas, operativas y de seguimiento en el desarrollo de la alianza Minciencias – CRC, para el impulso y la ejecución de programas o proyectos de investigación, desarrollo tecnológico e innovación, que permitan mejorar, promover, potenciar y fortalecer los sectores TIC, Postal y de Contenidos Audiovisuales en el País, de acuerdo con lo previsto en la Agenda Regulatoria 2024-2025 y el Plan de Acción de la CRC para el año 2024. </t>
  </si>
  <si>
    <t>P3.O1. Promover el acceso, uso eficiente y compartición de infraestructura de comunicaciones y otros sectores para aumentar la oferta de servicios y el despliegue de redes</t>
  </si>
  <si>
    <t>Servicios profesionales en materia de urbanismo, ordenamiento territorial y diseño arquitectónico para apoyar las labores de la CRC en cumplimiento de sus funciones en materia de despliegue de infraestructura de telecomunicaciones;  atención trámites de apelaciones en permisos de instalación de infraestructura; y revisión, ajustes e  implementación del Reglamento Técnico para Redes Internas de Telecomunicaciones, como apoyo al desarrollo de la Agenda Regulatoria 2024 – 2025 y el Plan de Acción de la CRC para el año 2024.</t>
  </si>
  <si>
    <t>Servicios de consultoría para i) el levantamiento, depuración, procesamiento y análisis de datos estadísticos, con el fin de llevar a cabo mediciones a través de encuestas para recopilar información sobre los servicios TIC de comunicaciones y servicios ofrecidos a través de plataformas en línea y ii) el levantamiento, depuración, procesamiento y análisis de datos estadísticos, con el fin de medir las expectativas y la satisfacción de los usuarios de los servicios de comunicaciones en relación con los servicios de telefonía fija y móvil, internet fijo y móvil, televisión abierta y por suscripción y radiodifusión sonora.</t>
  </si>
  <si>
    <t>P1. Bienestar y derechos de usuarios y audiencias</t>
  </si>
  <si>
    <t>P1.O1. Garantizar un marco regulatorio actualizado para la protección de los derechos de los usuarios y audiencias, así como la prestación de servicios en condiciones de calidad.</t>
  </si>
  <si>
    <t>P1.O3. Promover la apropiación del marco regulatorio por parte de los usuarios, así como la disposición de herramientas que faciliten el ejercicio de derechos y la toma de decisiones de los usuarios y audiencias</t>
  </si>
  <si>
    <t>P1.O2. Garantizar el pluralismo informativo en los contenidos audiovisuales y la formación de audiencias</t>
  </si>
  <si>
    <t>P2.O1. Fortalecer el posicionamiento de la CRC como el regulador único y convergente de los servicios de telecomunicaciones, postal y de contenidos audiovisuales</t>
  </si>
  <si>
    <t>Fortalecer el posicionamiento de la CRC y su relacionamiento con todos los grupos de interés, y divulgar la regulación e información de la CRC de manera oportuna y sencilla.</t>
  </si>
  <si>
    <t xml:space="preserve">Servicio de divulgación de la regulación en materia TIC y Postal (2301029) </t>
  </si>
  <si>
    <t xml:space="preserve">A3. Divulgar a los actores del sector y grupos de interés el resultado de los estudios y regulaciones emitidos por la entidad. </t>
  </si>
  <si>
    <t>A4. Participar de la CRC en eventos nacionales e internacionales en temas relacionados con TIC, postales, economía digital y de gobernanza de Internet, entre otros.</t>
  </si>
  <si>
    <t>Viáticos</t>
  </si>
  <si>
    <t>4*1000</t>
  </si>
  <si>
    <t>Estudio de Mercados Digitales en Colombia por parte de OECD</t>
  </si>
  <si>
    <t xml:space="preserve">Prestación de servicios profesionales especialidados en materia de ingeniería, economía y regulación de mercados de telecomunicaciones para incorporar al modelo de costos "Empresa Eficiente 2021" las inversiones y aspectos técnicos relativos a la prestación de servicios en tecnología 5G </t>
  </si>
  <si>
    <t>Servicios de consultoría que permita, a partir de un enfoque de pluralismo informativo y diversidad, construir una batería de indicadores para medir la calidad e impacto de la televisión pública, bajo criterios sociales, culturales y de participación.</t>
  </si>
  <si>
    <t>Fortalecimiento de actividades de innovación y gestión del conocimiento para alcanzar los objetivos del Plan Estratégico Institucional de la CRC a través del desarrollo de material pedagógico, talleres con agentes del sector, espacios de innovación y apropiación del marco normativo y la promoción de la participación ciudadana con operadores, grupos sociales, medios audiovisuales y organizaciones del sector.</t>
  </si>
  <si>
    <t>Incrementar la capacidad de los Servicios tecnológicos,   sistemas de información y los esquemas de soporte que apalanquen la estrategia Institucional</t>
  </si>
  <si>
    <t>Servicios de información actualizados (2399062)</t>
  </si>
  <si>
    <t>P5.O3. Impulsar y fortalecer la transformación digital de la Entidad, a fin de soportar de manera eficiente y efectiva los procesos asociados con la estrategia de esta</t>
  </si>
  <si>
    <t>Nube Azure: Renovar la suscripción que soporta la infraestructura tecnológica de Nube de la CRC e incluye licencias de Azure Devops</t>
  </si>
  <si>
    <t>Renovación de la prestación del servicio, mantenimiento y soporte para el aplicativo de control administrativo de inventarios y de propiedad planta y equipo – “AYMInventory” de la CRC en modalidad SaaS – software como servicio.</t>
  </si>
  <si>
    <t>Renovación del contrato de servicios, mantenimiento, soporte y bolsa de horas para el sistema de Nómina y Gestión del Recurso Humano – “Humano” de la CRC.</t>
  </si>
  <si>
    <t>Global Suite: Renovar el licenciamiento Herramienta de Seguridad</t>
  </si>
  <si>
    <t>Adquisición/Renovación Certificados firmas digitales Suministrar catorce (14) certificados de firma digital para el sistema SIIF Nación.</t>
  </si>
  <si>
    <t>Renovación Mesa  de Servicios de TI  Aranda</t>
  </si>
  <si>
    <t>Pantallas + combo teclado-mouse + auriculares</t>
  </si>
  <si>
    <t>Servicios de información implementados (2399063)</t>
  </si>
  <si>
    <t>Servicios de Firewall , WAF, Access Point, Switches y Fortianalyzer que perimitan garantizar  la seguridad informática de la CRC así como las mejoras en los accesos de conectividad. (Incluye Monitoreo IPV6)
Mantenimiento centro de datos de la CRC, organización cableado, limpieza dispositivos y marquillado de puntos de red.</t>
  </si>
  <si>
    <t>Servicios de telefonía IP administrado y gestionado por un operador de comunicaciones que cuente con la experiencia, capacidad y redundancia suficiente que garantice una disponibilidad del 99.6% mensual.</t>
  </si>
  <si>
    <t>Renovar la suscripción de la plataforma para automatización robótica de procesos – RPA de la CRC denominada Automation AnyWhere Pure Cloud por el término de un (1) año</t>
  </si>
  <si>
    <t>Renovar el Soporte y mantenimiento del sistema de información “Analisa” o herramienta de analítica de textos de la Comisión de Regulación de Comunicación a través de la comparación de documentos con inteligencia artificial y aprendizaje de máquina.</t>
  </si>
  <si>
    <t>Sistema de Gestión Documental actualizado  (2399072)</t>
  </si>
  <si>
    <t>A5. Aumentar las capacidades del sistema de gestión documental de la entidad </t>
  </si>
  <si>
    <t>Fortalecer la gestión e implementación de procesos, procedimientos y demás componentes del Modelo Integrado de Planeación y Gestión de la entidad </t>
  </si>
  <si>
    <t>Servicio de Actualización Sistemas de Gestión (2399071)</t>
  </si>
  <si>
    <t>A8.Desarrollar las actualizaciones y evaluar la implementación de los sistema de gestión en el marco de MIPG</t>
  </si>
  <si>
    <t>A9.Desarrollar y fortalecer las competencias y calidad de los conocimientos de los funcionarios de la CRC, en temas de gestión pública.</t>
  </si>
  <si>
    <t>Promover la construcción de herramientas e instrumentos para apoyar el desarrollo e implementación de políticas regulatorias</t>
  </si>
  <si>
    <t>Documentos de Lineamientos Técnicos  (2399053)</t>
  </si>
  <si>
    <t>A11.Elaborar lineamiento de documentos transversales a partir de recolección, análisis y procesamiento de la información.</t>
  </si>
  <si>
    <t>Prestación de servicios profesionales especializados en materia de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</si>
</sst>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quot;$&quot;* #,##0.00_-;\-&quot;$&quot;* #,##0.00_-;_-&quot;$&quot;* &quot;-&quot;??_-;_-@_-"/>
    <numFmt numFmtId="165" formatCode="#,###\ &quot;COP&quot;"/>
    <numFmt numFmtId="166" formatCode="&quot;$&quot;\ #,##0"/>
    <numFmt numFmtId="168" formatCode="&quot;$&quot;\ #,##0.00"/>
    <numFmt numFmtId="169" formatCode="0.0%"/>
    <numFmt numFmtId="171" formatCode="_-&quot;$&quot;\ * #,##0_-;\-&quot;$&quot;\ * #,##0_-;_-&quot;$&quot;\ * &quot;-&quot;??_-;_-@_-"/>
    <numFmt numFmtId="172" formatCode="_-&quot;$&quot;\ * #,##0.00000_-;\-&quot;$&quot;\ * #,##0.00000_-;_-&quot;$&quot;\ * &quot;-&quot;??_-;_-@_-"/>
  </numFmts>
  <fonts count="28"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Calibri"/>
      <family val="2"/>
    </font>
    <font>
      <sz val="11"/>
      <name val="Calibri"/>
      <family val="2"/>
    </font>
    <font>
      <b/>
      <sz val="11"/>
      <color theme="1"/>
      <name val="Calibri"/>
      <family val="2"/>
      <scheme val="minor"/>
    </font>
    <font>
      <sz val="11"/>
      <name val="Calibri"/>
      <family val="2"/>
      <scheme val="minor"/>
    </font>
    <font>
      <sz val="11"/>
      <color rgb="FFFF0000"/>
      <name val="Calibri"/>
      <family val="2"/>
    </font>
    <font>
      <sz val="10"/>
      <color theme="1"/>
      <name val="Verdana"/>
      <family val="2"/>
    </font>
    <font>
      <sz val="10"/>
      <color theme="1"/>
      <name val="Arial"/>
      <family val="2"/>
    </font>
    <font>
      <b/>
      <sz val="11"/>
      <name val="Calibri"/>
      <family val="2"/>
    </font>
    <font>
      <b/>
      <sz val="16"/>
      <color theme="1"/>
      <name val="Calibri"/>
      <family val="2"/>
      <scheme val="minor"/>
    </font>
    <font>
      <sz val="11"/>
      <color rgb="FF00B0F0"/>
      <name val="Calibri"/>
      <family val="2"/>
      <scheme val="minor"/>
    </font>
    <font>
      <sz val="11"/>
      <color rgb="FF00B050"/>
      <name val="Calibri"/>
      <family val="2"/>
      <scheme val="minor"/>
    </font>
    <font>
      <sz val="11"/>
      <color rgb="FF7030A0"/>
      <name val="Calibri"/>
      <family val="2"/>
      <scheme val="minor"/>
    </font>
    <font>
      <b/>
      <sz val="11"/>
      <name val="Calibri"/>
      <family val="2"/>
      <scheme val="minor"/>
    </font>
    <font>
      <sz val="11"/>
      <color rgb="FF00B050"/>
      <name val="Calibri"/>
      <family val="2"/>
    </font>
    <font>
      <sz val="9"/>
      <color indexed="81"/>
      <name val="Tahoma"/>
      <family val="2"/>
    </font>
    <font>
      <b/>
      <sz val="9"/>
      <color indexed="81"/>
      <name val="Tahoma"/>
      <family val="2"/>
    </font>
    <font>
      <sz val="11"/>
      <color rgb="FF9C5700"/>
      <name val="Calibri"/>
      <family val="2"/>
      <scheme val="minor"/>
    </font>
    <font>
      <sz val="10"/>
      <color theme="1"/>
      <name val="Tahoma"/>
      <family val="2"/>
    </font>
    <font>
      <b/>
      <sz val="9"/>
      <color rgb="FF000000"/>
      <name val="Tahoma"/>
      <family val="2"/>
    </font>
    <font>
      <sz val="9"/>
      <color theme="1"/>
      <name val="Tahoma"/>
      <family val="2"/>
    </font>
    <font>
      <sz val="9"/>
      <color theme="1"/>
      <name val="Calibri"/>
      <family val="2"/>
      <scheme val="minor"/>
    </font>
    <font>
      <sz val="8"/>
      <color theme="1"/>
      <name val="Tahoma"/>
      <family val="2"/>
    </font>
    <font>
      <sz val="8"/>
      <color rgb="FF9C5700"/>
      <name val="Tahoma"/>
      <family val="2"/>
    </font>
    <font>
      <sz val="8"/>
      <color rgb="FFFF0000"/>
      <name val="Tahoma"/>
      <family val="2"/>
    </font>
    <font>
      <sz val="8"/>
      <name val="Tahoma"/>
      <family val="2"/>
    </font>
  </fonts>
  <fills count="8">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D0CECE"/>
        <bgColor rgb="FF000000"/>
      </patternFill>
    </fill>
    <fill>
      <patternFill patternType="solid">
        <fgColor rgb="FFFFEB9C"/>
        <bgColor indexed="64"/>
      </patternFill>
    </fill>
    <fill>
      <patternFill patternType="solid">
        <fgColor theme="8" tint="0.79998168889431442"/>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right style="thin">
        <color theme="0" tint="-0.34998626667073579"/>
      </right>
      <top style="thin">
        <color theme="0" tint="-0.34998626667073579"/>
      </top>
      <bottom style="thin">
        <color theme="0" tint="-0.34998626667073579"/>
      </bottom>
      <diagonal/>
    </border>
  </borders>
  <cellStyleXfs count="9">
    <xf numFmtId="0" fontId="0" fillId="0" borderId="0"/>
    <xf numFmtId="44" fontId="1" fillId="0" borderId="0" applyFont="0" applyFill="0" applyBorder="0" applyAlignment="0" applyProtection="0"/>
    <xf numFmtId="164" fontId="1" fillId="0" borderId="0" applyFont="0" applyFill="0" applyBorder="0" applyAlignment="0" applyProtection="0"/>
    <xf numFmtId="0" fontId="2" fillId="0" borderId="0"/>
    <xf numFmtId="49" fontId="8" fillId="0" borderId="0" applyFill="0" applyBorder="0" applyProtection="0">
      <alignment horizontal="left" vertical="center"/>
    </xf>
    <xf numFmtId="165" fontId="9" fillId="0" borderId="0" applyFont="0" applyFill="0" applyBorder="0" applyAlignment="0" applyProtection="0"/>
    <xf numFmtId="9" fontId="1" fillId="0" borderId="0" applyFont="0" applyFill="0" applyBorder="0" applyAlignment="0" applyProtection="0"/>
    <xf numFmtId="0" fontId="19" fillId="3" borderId="0" applyNumberFormat="0" applyBorder="0" applyAlignment="0" applyProtection="0"/>
    <xf numFmtId="0" fontId="1" fillId="0" borderId="0"/>
  </cellStyleXfs>
  <cellXfs count="91">
    <xf numFmtId="0" fontId="0" fillId="0" borderId="0" xfId="0"/>
    <xf numFmtId="0" fontId="3" fillId="0" borderId="0" xfId="0" applyFont="1"/>
    <xf numFmtId="44" fontId="4" fillId="0" borderId="1" xfId="1"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0" xfId="0" applyFont="1"/>
    <xf numFmtId="0" fontId="6" fillId="0" borderId="1" xfId="0" applyFont="1" applyBorder="1" applyAlignment="1">
      <alignment horizontal="left" vertical="center" wrapText="1"/>
    </xf>
    <xf numFmtId="0" fontId="7" fillId="0" borderId="0" xfId="0" applyFont="1"/>
    <xf numFmtId="0" fontId="0" fillId="0" borderId="0" xfId="0" pivotButton="1"/>
    <xf numFmtId="0" fontId="0" fillId="0" borderId="0" xfId="0" applyAlignment="1">
      <alignment horizontal="left"/>
    </xf>
    <xf numFmtId="44" fontId="10"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0" xfId="0" applyFont="1"/>
    <xf numFmtId="0" fontId="0" fillId="0" borderId="0" xfId="0" applyAlignment="1">
      <alignment vertical="center"/>
    </xf>
    <xf numFmtId="0" fontId="12" fillId="0" borderId="0" xfId="0" applyFont="1"/>
    <xf numFmtId="0" fontId="13" fillId="0" borderId="0" xfId="0" applyFont="1"/>
    <xf numFmtId="0" fontId="14" fillId="0" borderId="0" xfId="0" applyFont="1"/>
    <xf numFmtId="0" fontId="6" fillId="0" borderId="0" xfId="0" applyFont="1"/>
    <xf numFmtId="0" fontId="5" fillId="0" borderId="0" xfId="0" applyFont="1" applyAlignment="1">
      <alignment horizontal="center" vertical="center"/>
    </xf>
    <xf numFmtId="0" fontId="5" fillId="0" borderId="0" xfId="0" applyFont="1" applyAlignment="1">
      <alignment horizontal="center"/>
    </xf>
    <xf numFmtId="0" fontId="11" fillId="0" borderId="0" xfId="0" applyFont="1" applyAlignment="1">
      <alignment horizontal="center"/>
    </xf>
    <xf numFmtId="0" fontId="4" fillId="0" borderId="1" xfId="0" applyFont="1" applyBorder="1" applyAlignment="1">
      <alignment vertical="center" wrapText="1"/>
    </xf>
    <xf numFmtId="44" fontId="4" fillId="0" borderId="0" xfId="0" applyNumberFormat="1" applyFont="1"/>
    <xf numFmtId="0" fontId="10" fillId="0" borderId="0" xfId="0" applyFont="1" applyAlignment="1">
      <alignment horizontal="center" vertical="center" wrapText="1"/>
    </xf>
    <xf numFmtId="0" fontId="6" fillId="0" borderId="1" xfId="0" applyFont="1" applyBorder="1" applyAlignment="1">
      <alignment horizontal="justify" vertical="center" wrapText="1"/>
    </xf>
    <xf numFmtId="0" fontId="4" fillId="0" borderId="0" xfId="0" applyFont="1" applyAlignment="1">
      <alignment horizontal="center" vertical="center"/>
    </xf>
    <xf numFmtId="0" fontId="15" fillId="0" borderId="1" xfId="0" applyFont="1" applyBorder="1" applyAlignment="1">
      <alignment horizontal="justify" vertical="center" wrapText="1"/>
    </xf>
    <xf numFmtId="0" fontId="10" fillId="0" borderId="1" xfId="0" applyFont="1" applyBorder="1" applyAlignment="1">
      <alignment vertical="center" wrapText="1"/>
    </xf>
    <xf numFmtId="44" fontId="16" fillId="0" borderId="1" xfId="1" applyFont="1" applyFill="1" applyBorder="1" applyAlignment="1">
      <alignment horizontal="center" vertical="center" wrapText="1"/>
    </xf>
    <xf numFmtId="0" fontId="16" fillId="0" borderId="0" xfId="0" applyFont="1"/>
    <xf numFmtId="44" fontId="4" fillId="2" borderId="1"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4" fontId="3" fillId="0" borderId="1" xfId="1" applyFont="1" applyFill="1" applyBorder="1" applyAlignment="1">
      <alignment horizontal="center" vertical="center" wrapText="1"/>
    </xf>
    <xf numFmtId="44" fontId="4" fillId="0" borderId="1" xfId="1"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0" xfId="0" applyFont="1" applyFill="1"/>
    <xf numFmtId="0" fontId="4" fillId="0" borderId="0" xfId="0" applyFont="1" applyAlignment="1">
      <alignment horizontal="right"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4" fillId="0" borderId="0" xfId="0" applyFont="1" applyAlignment="1">
      <alignment horizontal="center" vertical="center"/>
    </xf>
    <xf numFmtId="0" fontId="6"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166" fontId="20" fillId="0" borderId="0" xfId="0" applyNumberFormat="1" applyFont="1" applyAlignment="1">
      <alignment horizontal="right" vertical="center"/>
    </xf>
    <xf numFmtId="0" fontId="20" fillId="0" borderId="0" xfId="0" applyFont="1" applyAlignment="1">
      <alignment horizontal="left"/>
    </xf>
    <xf numFmtId="0" fontId="21" fillId="4" borderId="2" xfId="0" applyFont="1" applyFill="1" applyBorder="1" applyAlignment="1">
      <alignment horizontal="center" vertical="center" wrapText="1"/>
    </xf>
    <xf numFmtId="168" fontId="21" fillId="4" borderId="2" xfId="0" applyNumberFormat="1" applyFont="1" applyFill="1" applyBorder="1" applyAlignment="1">
      <alignment horizontal="center" vertical="center" wrapText="1"/>
    </xf>
    <xf numFmtId="166" fontId="22" fillId="0" borderId="0" xfId="0" applyNumberFormat="1" applyFont="1" applyAlignment="1">
      <alignment horizontal="right" vertical="center" wrapText="1"/>
    </xf>
    <xf numFmtId="0" fontId="22" fillId="0" borderId="0" xfId="0" applyFont="1" applyAlignment="1">
      <alignment horizontal="center" wrapText="1"/>
    </xf>
    <xf numFmtId="166" fontId="23" fillId="0" borderId="0" xfId="0" applyNumberFormat="1" applyFont="1" applyAlignment="1">
      <alignment horizontal="right" vertical="center" wrapText="1"/>
    </xf>
    <xf numFmtId="0" fontId="23" fillId="0" borderId="0" xfId="0" applyFont="1" applyAlignment="1">
      <alignment horizontal="center" wrapText="1"/>
    </xf>
    <xf numFmtId="0" fontId="24" fillId="0" borderId="2" xfId="0" applyFont="1" applyBorder="1" applyAlignment="1">
      <alignment horizontal="left" vertical="center" wrapText="1"/>
    </xf>
    <xf numFmtId="0" fontId="24" fillId="0" borderId="2" xfId="0" applyFont="1" applyBorder="1" applyAlignment="1">
      <alignment horizontal="center" vertical="center" wrapText="1"/>
    </xf>
    <xf numFmtId="0" fontId="25" fillId="3" borderId="2" xfId="7" applyFont="1" applyBorder="1" applyAlignment="1">
      <alignment horizontal="center" vertical="center" wrapText="1"/>
    </xf>
    <xf numFmtId="0" fontId="24" fillId="0" borderId="2" xfId="8" applyFont="1" applyBorder="1" applyAlignment="1">
      <alignment horizontal="left" vertical="center" wrapText="1"/>
    </xf>
    <xf numFmtId="166" fontId="26" fillId="3" borderId="2" xfId="7" applyNumberFormat="1" applyFont="1" applyBorder="1" applyAlignment="1">
      <alignment horizontal="right" vertical="center"/>
    </xf>
    <xf numFmtId="0" fontId="25" fillId="3" borderId="2" xfId="7" applyFont="1" applyBorder="1" applyAlignment="1">
      <alignment horizontal="left" vertical="center" wrapText="1"/>
    </xf>
    <xf numFmtId="169" fontId="24" fillId="0" borderId="0" xfId="6" applyNumberFormat="1" applyFont="1" applyAlignment="1">
      <alignment horizontal="right" vertical="center"/>
    </xf>
    <xf numFmtId="166" fontId="24" fillId="0" borderId="0" xfId="0" applyNumberFormat="1" applyFont="1" applyAlignment="1">
      <alignment horizontal="right" vertical="center"/>
    </xf>
    <xf numFmtId="0" fontId="24" fillId="0" borderId="0" xfId="0" applyFont="1" applyAlignment="1">
      <alignment horizontal="left"/>
    </xf>
    <xf numFmtId="0" fontId="24" fillId="0" borderId="2" xfId="0" applyFont="1" applyBorder="1" applyAlignment="1">
      <alignment horizontal="left" vertical="top" wrapText="1"/>
    </xf>
    <xf numFmtId="166" fontId="25" fillId="3" borderId="2" xfId="7" applyNumberFormat="1" applyFont="1" applyBorder="1" applyAlignment="1">
      <alignment horizontal="right" vertical="center"/>
    </xf>
    <xf numFmtId="9" fontId="24" fillId="0" borderId="0" xfId="6" applyFont="1" applyAlignment="1">
      <alignment horizontal="right" vertical="center"/>
    </xf>
    <xf numFmtId="10" fontId="24" fillId="0" borderId="0" xfId="6" applyNumberFormat="1" applyFont="1" applyAlignment="1">
      <alignment horizontal="right" vertical="center"/>
    </xf>
    <xf numFmtId="166" fontId="25" fillId="5" borderId="2" xfId="7" applyNumberFormat="1" applyFont="1" applyFill="1" applyBorder="1" applyAlignment="1">
      <alignment horizontal="right" vertical="center"/>
    </xf>
    <xf numFmtId="166" fontId="25" fillId="3" borderId="2" xfId="1" applyNumberFormat="1" applyFont="1" applyFill="1" applyBorder="1" applyAlignment="1">
      <alignment horizontal="right" vertical="center"/>
    </xf>
    <xf numFmtId="166" fontId="26" fillId="3" borderId="2" xfId="1" applyNumberFormat="1" applyFont="1" applyFill="1" applyBorder="1" applyAlignment="1">
      <alignment horizontal="right" vertical="center"/>
    </xf>
    <xf numFmtId="44" fontId="24" fillId="0" borderId="0" xfId="1" applyFont="1" applyAlignment="1">
      <alignment horizontal="right" vertical="center"/>
    </xf>
    <xf numFmtId="0" fontId="24" fillId="2" borderId="2" xfId="0" applyFont="1" applyFill="1" applyBorder="1" applyAlignment="1">
      <alignment horizontal="left" vertical="center" wrapText="1"/>
    </xf>
    <xf numFmtId="0" fontId="27" fillId="0" borderId="2" xfId="0" applyFont="1" applyBorder="1" applyAlignment="1">
      <alignment horizontal="left" vertical="center" wrapText="1"/>
    </xf>
    <xf numFmtId="168" fontId="24" fillId="0" borderId="0" xfId="0" applyNumberFormat="1" applyFont="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center" vertical="center" wrapText="1"/>
    </xf>
    <xf numFmtId="0" fontId="24" fillId="0" borderId="4" xfId="0" applyFont="1" applyBorder="1" applyAlignment="1">
      <alignment horizontal="left" vertical="center" wrapText="1"/>
    </xf>
    <xf numFmtId="0" fontId="25" fillId="3" borderId="5" xfId="7" applyFont="1" applyBorder="1" applyAlignment="1">
      <alignment horizontal="center" vertical="center" wrapText="1"/>
    </xf>
    <xf numFmtId="0" fontId="20" fillId="0" borderId="0" xfId="0" applyFont="1" applyAlignment="1">
      <alignment horizontal="center"/>
    </xf>
    <xf numFmtId="171" fontId="26" fillId="6" borderId="2" xfId="7" applyNumberFormat="1" applyFont="1" applyFill="1" applyBorder="1" applyAlignment="1">
      <alignment horizontal="right" vertical="center"/>
    </xf>
    <xf numFmtId="171" fontId="25" fillId="6" borderId="2" xfId="7" applyNumberFormat="1" applyFont="1" applyFill="1" applyBorder="1" applyAlignment="1">
      <alignment horizontal="right" vertical="center"/>
    </xf>
    <xf numFmtId="9" fontId="0" fillId="0" borderId="0" xfId="0" applyNumberFormat="1"/>
    <xf numFmtId="9" fontId="0" fillId="0" borderId="0" xfId="6" applyFont="1"/>
    <xf numFmtId="0" fontId="0" fillId="7" borderId="0" xfId="0" applyFill="1"/>
    <xf numFmtId="171" fontId="25" fillId="6" borderId="2" xfId="7" applyNumberFormat="1" applyFont="1" applyFill="1" applyBorder="1" applyAlignment="1">
      <alignment horizontal="right" vertical="center" wrapText="1"/>
    </xf>
    <xf numFmtId="172" fontId="0" fillId="0" borderId="0" xfId="0" applyNumberFormat="1"/>
    <xf numFmtId="44" fontId="0" fillId="0" borderId="0" xfId="0" applyNumberFormat="1"/>
    <xf numFmtId="10" fontId="0" fillId="0" borderId="0" xfId="6" applyNumberFormat="1" applyFont="1"/>
    <xf numFmtId="171" fontId="25" fillId="3" borderId="2" xfId="7" applyNumberFormat="1" applyFont="1" applyBorder="1" applyAlignment="1">
      <alignment horizontal="right" vertical="center"/>
    </xf>
  </cellXfs>
  <cellStyles count="9">
    <cellStyle name="BodyStyle" xfId="4" xr:uid="{3C58473C-C99C-4624-84AD-A7BA4D4CD6FC}"/>
    <cellStyle name="Currency" xfId="5" xr:uid="{CF40A8D4-855C-4082-8735-676B62CB80F9}"/>
    <cellStyle name="Moneda" xfId="1" builtinId="4"/>
    <cellStyle name="Moneda 2" xfId="2" xr:uid="{A43DD54C-5B14-49B2-9F52-61A40D680DC7}"/>
    <cellStyle name="Neutral" xfId="7" builtinId="28"/>
    <cellStyle name="Normal" xfId="0" builtinId="0"/>
    <cellStyle name="Normal 2" xfId="3" xr:uid="{30401E59-3D73-4C52-B434-E997E8DCD96E}"/>
    <cellStyle name="Normal 3" xfId="8" xr:uid="{0E092F9D-2733-450E-8479-896279373730}"/>
    <cellStyle name="Porcentaje" xfId="6" builtinId="5"/>
  </cellStyles>
  <dxfs count="0"/>
  <tableStyles count="0" defaultTableStyle="TableStyleMedium2" defaultPivotStyle="PivotStyleLight16"/>
  <colors>
    <mruColors>
      <color rgb="FF00B050"/>
      <color rgb="FFED7D31"/>
      <color rgb="FFF09862"/>
      <color rgb="FFF2A372"/>
      <color rgb="FFDDEBF7"/>
      <color rgb="FFD3C1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rcom.sharepoint.com/sites/PlaneacinEstratgica/_vti_history/279040/Documentos%20compartidos/General/PRESUPUESTO/2023/Presupuesto%202023%20Detallado.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Patricia Villabona Duque" refreshedDate="44598.945787847224" createdVersion="7" refreshedVersion="7" minRefreshableVersion="3" recordCount="185" xr:uid="{5834E07B-128F-4600-8264-EFBA8DF90A29}">
  <cacheSource type="worksheet">
    <worksheetSource ref="A1:Y195" sheet="Compromiso" r:id="rId2"/>
  </cacheSource>
  <cacheFields count="24">
    <cacheField name="Tipo de Presupuesto" numFmtId="0">
      <sharedItems containsBlank="1"/>
    </cacheField>
    <cacheField name="Proyecto de Inversión" numFmtId="0">
      <sharedItems containsBlank="1" containsMixedTypes="1" containsNumber="1" containsInteger="1" minValue="190239000" maxValue="24571982000"/>
    </cacheField>
    <cacheField name="Coordinación" numFmtId="0">
      <sharedItems containsBlank="1"/>
    </cacheField>
    <cacheField name="Proyecto o rubro" numFmtId="0">
      <sharedItems containsBlank="1" containsMixedTypes="1" containsNumber="1" containsInteger="1" minValue="3990332460" maxValue="3990332460" longText="1"/>
    </cacheField>
    <cacheField name="Valor PAA" numFmtId="0">
      <sharedItems containsString="0" containsBlank="1" containsNumber="1" minValue="0" maxValue="14911687000"/>
    </cacheField>
    <cacheField name="Valor Contratado" numFmtId="44">
      <sharedItems containsString="0" containsBlank="1" containsNumber="1" minValue="0" maxValue="2123012298"/>
    </cacheField>
    <cacheField name="CONTRATISTA" numFmtId="0">
      <sharedItems containsBlank="1"/>
    </cacheField>
    <cacheField name="CDP" numFmtId="0">
      <sharedItems containsDate="1" containsBlank="1" containsMixedTypes="1" minDate="2022-02-04T00:00:00" maxDate="2022-03-19T00:00:00"/>
    </cacheField>
    <cacheField name="RP" numFmtId="0">
      <sharedItems containsDate="1" containsBlank="1" containsMixedTypes="1" minDate="2022-02-16T00:00:00" maxDate="2022-03-31T00:00:00"/>
    </cacheField>
    <cacheField name="Tipo de Contratación" numFmtId="0">
      <sharedItems containsBlank="1" count="10">
        <s v="Licitación"/>
        <s v="SAM"/>
        <s v="Mínima Cuantía"/>
        <s v="Directa"/>
        <s v="Vigencia Futura"/>
        <s v="AMP"/>
        <m/>
        <s v="Concurso de Méritos"/>
        <s v="Gastos Recurrentes"/>
        <s v="SAM/AMP" u="1"/>
      </sharedItems>
    </cacheField>
    <cacheField name="Fecha esperada de envío de Estudios Previos" numFmtId="0">
      <sharedItems containsDate="1" containsBlank="1" containsMixedTypes="1" minDate="2020-12-17T00:00:00" maxDate="2022-10-22T00:00:00"/>
    </cacheField>
    <cacheField name="Fecha esperada de Comité de Compras" numFmtId="0">
      <sharedItems containsDate="1" containsBlank="1" containsMixedTypes="1" minDate="2021-04-07T00:00:00" maxDate="2022-11-03T00:00:00"/>
    </cacheField>
    <cacheField name="ene-21" numFmtId="0">
      <sharedItems containsString="0" containsBlank="1" containsNumber="1" minValue="7.2086783556979658E-2" maxValue="11149854988"/>
    </cacheField>
    <cacheField name="feb-21" numFmtId="0">
      <sharedItems containsString="0" containsBlank="1" containsNumber="1" minValue="5.3382611257705602E-3" maxValue="1441557546.5"/>
    </cacheField>
    <cacheField name="mar-21" numFmtId="0">
      <sharedItems containsString="0" containsBlank="1" containsNumber="1" minValue="1.2370795588996711E-2" maxValue="1697193320"/>
    </cacheField>
    <cacheField name="abr-21" numFmtId="0">
      <sharedItems containsString="0" containsBlank="1" containsNumber="1" minValue="3.8721595949298644E-2" maxValue="4674531028"/>
    </cacheField>
    <cacheField name="may-21" numFmtId="0">
      <sharedItems containsString="0" containsBlank="1" containsNumber="1" minValue="7.2601523149414648E-2" maxValue="5241963320"/>
    </cacheField>
    <cacheField name="jun-21" numFmtId="0">
      <sharedItems containsString="0" containsBlank="1" containsNumber="1" minValue="6.2257615197667003E-2" maxValue="3859793000"/>
    </cacheField>
    <cacheField name="jul-21" numFmtId="0">
      <sharedItems containsString="0" containsBlank="1" containsNumber="1" minValue="5.0991815964401076E-2" maxValue="3131113320"/>
    </cacheField>
    <cacheField name="ago-21" numFmtId="0">
      <sharedItems containsString="0" containsBlank="1" containsNumber="1" minValue="7.082986305296822E-2" maxValue="3508430120"/>
    </cacheField>
    <cacheField name="sep-21" numFmtId="0">
      <sharedItems containsString="0" containsBlank="1" containsNumber="1" minValue="1.4633746001618059E-2" maxValue="2080434160"/>
    </cacheField>
    <cacheField name="oct-21" numFmtId="0">
      <sharedItems containsString="0" containsBlank="1" containsNumber="1" minValue="8.1640009446057905E-3" maxValue="1811000920"/>
    </cacheField>
    <cacheField name="nov-21" numFmtId="0">
      <sharedItems containsString="0" containsBlank="1" containsNumber="1" minValue="8.2974848462782809E-3" maxValue="2048482000"/>
    </cacheField>
    <cacheField name="dic-21" numFmtId="0">
      <sharedItems containsString="0" containsBlank="1" containsNumber="1" minValue="0" maxValue="359854954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5">
  <r>
    <s v="INVERSIÓN"/>
    <s v="MISIONAL"/>
    <s v="RCA"/>
    <s v="Acompañamiento en la organización logística de todos los eventos institucionales, presenciales o virtuales, organizados por la CRC durante el año 2022."/>
    <n v="1400000000"/>
    <n v="1400000000"/>
    <m/>
    <s v="7722_x000a_21 ene"/>
    <m/>
    <x v="0"/>
    <d v="2021-12-17T00:00:00"/>
    <d v="2022-01-12T00:00:00"/>
    <m/>
    <m/>
    <m/>
    <m/>
    <n v="1400000000"/>
    <m/>
    <m/>
    <m/>
    <m/>
    <m/>
    <m/>
    <m/>
  </r>
  <r>
    <s v="INVERSIÓN"/>
    <s v="MISIONAL"/>
    <s v="RCA"/>
    <s v="Adquisición de tiquetes aéreos requeridos para los funcionarios de la CRC en ejercicio de la actividad misional."/>
    <n v="86000000"/>
    <n v="86000000"/>
    <m/>
    <m/>
    <m/>
    <x v="1"/>
    <d v="2022-02-11T00:00:00"/>
    <d v="2022-02-23T00:00:00"/>
    <m/>
    <m/>
    <m/>
    <m/>
    <n v="86000000"/>
    <m/>
    <m/>
    <m/>
    <m/>
    <m/>
    <m/>
    <m/>
  </r>
  <r>
    <s v="INVERSIÓN"/>
    <s v="MISIONAL"/>
    <s v="RCA"/>
    <s v="Adquisición de tiquetes aéreos requeridos para los funcionarios de la CRC en ejercicio de la actividad misional."/>
    <n v="24000000"/>
    <n v="20000000"/>
    <m/>
    <s v="8122_x000a_27 ene"/>
    <m/>
    <x v="2"/>
    <d v="2022-01-07T00:00:00"/>
    <d v="2022-01-19T00:00:00"/>
    <m/>
    <n v="20000000"/>
    <m/>
    <m/>
    <m/>
    <m/>
    <m/>
    <m/>
    <m/>
    <m/>
    <m/>
    <m/>
  </r>
  <r>
    <s v="INVERSIÓN"/>
    <s v="MISIONAL"/>
    <s v="RCA"/>
    <s v="Ejecución de la Estrategia Digital y la administración de los canales de redes sociales de la CRC"/>
    <n v="104902410"/>
    <n v="104902416"/>
    <s v="JUAN CAMILO PEÑA"/>
    <s v="5622_x000a_12 ene"/>
    <s v="4122_x000a_17 ene"/>
    <x v="3"/>
    <d v="2021-12-17T00:00:00"/>
    <d v="2022-01-12T00:00:00"/>
    <n v="104902416"/>
    <m/>
    <m/>
    <m/>
    <m/>
    <m/>
    <m/>
    <m/>
    <m/>
    <m/>
    <m/>
    <m/>
  </r>
  <r>
    <s v="INVERSIÓN"/>
    <s v="MISIONAL"/>
    <s v="RCA"/>
    <s v="Diseño gráfico y producción multimedia de la CRC"/>
    <n v="114767754"/>
    <n v="114767560"/>
    <s v="ERIK BARBOSA"/>
    <s v="3822_x000a_06 ene"/>
    <s v="3422_x000a_17 ene"/>
    <x v="3"/>
    <d v="2021-12-17T00:00:00"/>
    <d v="2022-01-12T00:00:00"/>
    <n v="114767560"/>
    <m/>
    <m/>
    <m/>
    <m/>
    <m/>
    <m/>
    <m/>
    <m/>
    <m/>
    <m/>
    <m/>
  </r>
  <r>
    <s v="INVERSIÓN"/>
    <s v="MISIONAL"/>
    <s v="RCA"/>
    <s v="Producción de los contenidos audiovisuales de la Comisión de Regulación de Comunicaciones"/>
    <n v="89115600"/>
    <n v="89115600"/>
    <s v="ERIK ESPEJO"/>
    <s v="5422_x000a_12 ene"/>
    <s v="6322_x000a_21 ene"/>
    <x v="3"/>
    <d v="2021-12-17T00:00:00"/>
    <d v="2022-01-12T00:00:00"/>
    <n v="89115600"/>
    <m/>
    <m/>
    <m/>
    <m/>
    <m/>
    <m/>
    <m/>
    <m/>
    <m/>
    <m/>
    <m/>
  </r>
  <r>
    <s v="INVERSIÓN"/>
    <s v="MISIONAL"/>
    <s v="RCA"/>
    <s v="Servicios profesionales para el apoyo en la planeación, atribución, asignación, recuperación y gestión de los recursos de identificación administrados por la CRC"/>
    <n v="28800000"/>
    <n v="31270812"/>
    <s v="BRAYAN ANDRÉS FORERO"/>
    <s v="722_x000a_04 ene"/>
    <s v="622_x000a_11 ene"/>
    <x v="3"/>
    <d v="2021-12-17T00:00:00"/>
    <d v="2022-01-12T00:00:00"/>
    <n v="31270812"/>
    <m/>
    <m/>
    <m/>
    <m/>
    <m/>
    <m/>
    <m/>
    <m/>
    <m/>
    <m/>
    <m/>
  </r>
  <r>
    <s v="INVERSIÓN"/>
    <s v="MISIONAL"/>
    <s v="RCA"/>
    <s v="Apoyar y acompañar en el análisis técnico y especializado de las solicitudes de homologación y generación de conceptos de viabilidad técnica para la homologación de equipos terminales móviles (ETM) por parte de la CRC, de acuerdo a lo establecido en el Plan de Acción 2022 de la Comisión de Regulación de Comunicaciones"/>
    <n v="1061328000"/>
    <n v="1061328000"/>
    <s v="CINTEL"/>
    <s v="622_x000a_04 ene"/>
    <s v="3322_x000a_17 ene"/>
    <x v="3"/>
    <d v="2021-12-17T00:00:00"/>
    <d v="2022-01-12T00:00:00"/>
    <n v="1061328000"/>
    <m/>
    <m/>
    <m/>
    <m/>
    <m/>
    <m/>
    <m/>
    <m/>
    <m/>
    <m/>
    <m/>
  </r>
  <r>
    <s v="INVERSIÓN"/>
    <s v="MISIONAL"/>
    <s v="RCA"/>
    <s v="Adquirir los servicios del Centro de Contacto, para garantizar la atención de las solicitudes que se reciben a través de los canales de atención al cliente dispuestos por la Comisión - Contrato Actual"/>
    <n v="482950746"/>
    <n v="482950746"/>
    <m/>
    <m/>
    <m/>
    <x v="4"/>
    <m/>
    <m/>
    <n v="482950746"/>
    <m/>
    <m/>
    <m/>
    <m/>
    <m/>
    <m/>
    <m/>
    <m/>
    <m/>
    <m/>
    <m/>
  </r>
  <r>
    <s v="INVERSIÓN"/>
    <s v="MISIONAL"/>
    <s v="RCA"/>
    <s v="Adquirir los servicios del Centro de Contacto, para garantizar la atención de las solicitudes que se reciben a través de los canales de atención al cliente dispuestos por la Comisión"/>
    <n v="608000000"/>
    <n v="608000000"/>
    <m/>
    <m/>
    <m/>
    <x v="5"/>
    <d v="2022-05-06T00:00:00"/>
    <d v="2022-05-18T00:00:00"/>
    <m/>
    <m/>
    <m/>
    <m/>
    <m/>
    <m/>
    <m/>
    <n v="608000000"/>
    <m/>
    <m/>
    <m/>
    <m/>
  </r>
  <r>
    <s v="INVERSIÓN"/>
    <s v="MISIONAL"/>
    <s v="RCA"/>
    <s v="Servicio de monitoreo de noticias para la Comisión de Regulación de Comunicaciones. "/>
    <n v="50000000"/>
    <n v="45331406.5"/>
    <m/>
    <s v="8422_x000a_28 ene"/>
    <m/>
    <x v="1"/>
    <d v="2021-12-17T00:00:00"/>
    <d v="2022-01-12T00:00:00"/>
    <m/>
    <n v="45331406.5"/>
    <m/>
    <m/>
    <m/>
    <m/>
    <m/>
    <m/>
    <m/>
    <m/>
    <m/>
    <m/>
  </r>
  <r>
    <s v="INVERSIÓN"/>
    <s v="MISIONAL"/>
    <s v="RCA"/>
    <s v="Viáticos "/>
    <n v="100000000"/>
    <n v="100000000"/>
    <m/>
    <m/>
    <m/>
    <x v="6"/>
    <m/>
    <m/>
    <m/>
    <n v="5000000"/>
    <n v="10000000"/>
    <n v="5000000"/>
    <n v="5000000"/>
    <n v="5000000"/>
    <n v="20000000"/>
    <n v="5000000"/>
    <n v="5000000"/>
    <n v="10000000"/>
    <n v="10000000"/>
    <n v="20000000"/>
  </r>
  <r>
    <s v="INVERSIÓN"/>
    <s v="MISIONAL"/>
    <s v="RCA"/>
    <s v="Servicios de traducción técnica (oficial) escrita del idioma español-inglés e inglés-español de los textos normativos, documentos de trabajo, mensajes clave, cuestionarios, formularios, publicaciones, página web y demás material producido por organizaciones multilaterales o por la CRC. "/>
    <n v="10000000"/>
    <n v="10000000"/>
    <m/>
    <s v="7922_x000a_21 ene"/>
    <m/>
    <x v="2"/>
    <d v="2021-12-17T00:00:00"/>
    <d v="2022-01-12T00:00:00"/>
    <m/>
    <n v="10000000"/>
    <m/>
    <m/>
    <m/>
    <m/>
    <m/>
    <m/>
    <m/>
    <m/>
    <m/>
    <m/>
  </r>
  <r>
    <s v="INVERSIÓN"/>
    <s v="MISIONAL"/>
    <s v="RCA"/>
    <s v="Traducción de la Cartilla de Deberes y Derechos de los usuarios de los servicios de comunicaciones de la CRC a la lengua indígena Wayunaiki."/>
    <n v="1070000"/>
    <n v="1070000"/>
    <s v="ANGEL ROBLES"/>
    <s v="6122_x000a_13 ene"/>
    <s v="5722_x000a_20 ene"/>
    <x v="3"/>
    <d v="2022-01-07T00:00:00"/>
    <d v="2022-01-19T00:00:00"/>
    <n v="1070000"/>
    <m/>
    <m/>
    <m/>
    <m/>
    <m/>
    <m/>
    <m/>
    <m/>
    <m/>
    <m/>
    <m/>
  </r>
  <r>
    <s v="INVERSIÓN"/>
    <s v="MISIONAL"/>
    <s v="RCA"/>
    <s v="Traducción de la Cartilla de Deberes y Derechos de los usuarios de los servicios de comunicaciones de la CRC a la lengua indígena Emberá."/>
    <n v="1100000"/>
    <n v="1100000"/>
    <s v="LINA TOBÓN"/>
    <s v="4722_x000a_11 ene"/>
    <s v="8322_x000a_26 ene"/>
    <x v="3"/>
    <d v="2022-01-07T00:00:00"/>
    <d v="2022-01-19T00:00:00"/>
    <n v="1100000"/>
    <m/>
    <m/>
    <m/>
    <m/>
    <m/>
    <m/>
    <m/>
    <m/>
    <m/>
    <m/>
    <m/>
  </r>
  <r>
    <s v="INVERSIÓN"/>
    <s v="MISIONAL"/>
    <s v="RCA"/>
    <s v="Licencia Empresarial de Base de datos de dispositivos GSMA"/>
    <n v="44000000"/>
    <n v="44000000"/>
    <s v="GSMA"/>
    <s v="7622_x000a_17 ene"/>
    <s v="6022_x000a_21 ene"/>
    <x v="3"/>
    <d v="2022-01-07T00:00:00"/>
    <d v="2022-01-19T00:00:00"/>
    <n v="44000000"/>
    <m/>
    <m/>
    <m/>
    <m/>
    <m/>
    <m/>
    <m/>
    <m/>
    <m/>
    <m/>
    <m/>
  </r>
  <r>
    <s v="INVERSIÓN"/>
    <s v="MISIONAL"/>
    <s v="RCA"/>
    <s v="Suscripción OECD iLibrary "/>
    <n v="25000000"/>
    <n v="25000000"/>
    <m/>
    <m/>
    <m/>
    <x v="3"/>
    <d v="2022-09-09T00:00:00"/>
    <d v="2022-09-21T00:00:00"/>
    <m/>
    <m/>
    <m/>
    <m/>
    <m/>
    <m/>
    <m/>
    <m/>
    <m/>
    <n v="25000000"/>
    <m/>
    <m/>
  </r>
  <r>
    <s v="INVERSIÓN"/>
    <s v="MISIONAL"/>
    <s v="RCA"/>
    <s v="Comunicación estratégica para la ejecución de actividades de comunicación externa y de gestión con prensa para el posicionamiento local, regional, nacional e internacional de la Entidad."/>
    <n v="103200000"/>
    <n v="103200000"/>
    <s v="AMILDE FRÍAS"/>
    <s v="4822_x000a_11 ene"/>
    <s v="4922_x000a_19 ene"/>
    <x v="3"/>
    <d v="2021-12-17T00:00:00"/>
    <d v="2022-01-12T00:00:00"/>
    <n v="103200000"/>
    <m/>
    <m/>
    <m/>
    <m/>
    <m/>
    <m/>
    <m/>
    <m/>
    <m/>
    <m/>
    <m/>
  </r>
  <r>
    <s v="INVERSIÓN"/>
    <s v="MISIONAL"/>
    <s v="RCA"/>
    <s v="Gestión de la información de la CRC, en función de las necesidades web y apoyar trasversalmente en la generación de contenidos de comunicación estratégicos."/>
    <n v="101352000"/>
    <n v="101352000"/>
    <s v="JUAN MANUEL VELASCO"/>
    <s v="1422_x000a_04 ene"/>
    <s v="3122_x000a_17 ene"/>
    <x v="3"/>
    <d v="2021-12-17T00:00:00"/>
    <d v="2022-01-12T00:00:00"/>
    <n v="101352000"/>
    <m/>
    <m/>
    <m/>
    <m/>
    <m/>
    <m/>
    <m/>
    <m/>
    <m/>
    <m/>
    <m/>
  </r>
  <r>
    <s v="INVERSIÓN"/>
    <s v="MISIONAL"/>
    <s v="RCA"/>
    <s v="Entrenamiento de voceros teórico-práctico para la atención a medios de comunicación y hablar en público"/>
    <n v="28000000"/>
    <n v="28000000"/>
    <m/>
    <m/>
    <m/>
    <x v="2"/>
    <d v="2022-01-07T00:00:00"/>
    <d v="2022-01-19T00:00:00"/>
    <m/>
    <m/>
    <n v="28000000"/>
    <m/>
    <m/>
    <m/>
    <m/>
    <m/>
    <m/>
    <m/>
    <m/>
    <m/>
  </r>
  <r>
    <s v="INVERSIÓN"/>
    <s v="MISIONAL"/>
    <s v="PE"/>
    <s v="Servicios profesionales al despacho de la Dirección Ejecutiva de la CRC en la elaboración, implementación y seguimiento de las acciones estratégicas necesarias para el fortalecimiento de la gestión administrativa y la coordinación de las propuestas de la agenda regulatoria para la vigencia 2022. "/>
    <n v="96000000"/>
    <n v="96000000"/>
    <s v="CAMILO SÁNCHEZ"/>
    <s v="1622_x000a_04 ene"/>
    <s v="3722_x000a_17 ene"/>
    <x v="3"/>
    <d v="2021-12-17T00:00:00"/>
    <d v="2022-01-12T00:00:00"/>
    <n v="96000000"/>
    <m/>
    <m/>
    <m/>
    <m/>
    <m/>
    <m/>
    <m/>
    <m/>
    <m/>
    <m/>
    <m/>
  </r>
  <r>
    <s v="INVERSIÓN"/>
    <s v="MISIONAL"/>
    <s v="PE"/>
    <s v="Asesoría especializada en materia de planeación, gestión presupuestal y Modelo Integrado de Planeación y Gestión -MIPG, para apoyar a la Coordinación de Planeación Estratégica en las actividades de formulación, implementación y seguimiento, a las diferentes actividades establecidas en el Plan de Acción CRC 2022, así como a los objetivos e indicadores estratégicos definidos en el Plan estratégico CRC 2021-2025.  "/>
    <n v="202572000"/>
    <n v="202572000"/>
    <s v="LUZ ADRIANA BARBOSA"/>
    <s v="2022_x000a_04 ene"/>
    <s v="3622_x000a_17 ene"/>
    <x v="3"/>
    <d v="2021-12-17T00:00:00"/>
    <d v="2022-01-12T00:00:00"/>
    <n v="202572000"/>
    <m/>
    <m/>
    <m/>
    <m/>
    <m/>
    <m/>
    <m/>
    <m/>
    <m/>
    <m/>
    <m/>
  </r>
  <r>
    <s v="INVERSIÓN"/>
    <s v="MISIONAL"/>
    <s v="DR"/>
    <s v="Prestación de servicios profesionales especializados en materia de ingeniería para apoyar el desarrollo de proyectos regulatorios de la Comisión de Regulación de Comunicaciones, así como para apoyar desde la perspectiva técnica el trámite de solución de controversias de competencia de la CRC que se surtan durante el año 2022"/>
    <n v="301939980"/>
    <n v="301939980"/>
    <s v="TACHYON"/>
    <s v="6422_x000a_13 ene"/>
    <m/>
    <x v="3"/>
    <d v="2021-12-17T00:00:00"/>
    <d v="2022-01-12T00:00:00"/>
    <n v="301939980"/>
    <m/>
    <m/>
    <m/>
    <m/>
    <m/>
    <m/>
    <m/>
    <m/>
    <m/>
    <m/>
    <m/>
  </r>
  <r>
    <s v="INVERSIÓN"/>
    <s v="MISIONAL"/>
    <s v="DR"/>
    <s v="Prestación de servicios profesionales altamente especializados en materia de economía y regulación de mercados de telecomunicacione"/>
    <n v="189000000"/>
    <n v="189000000"/>
    <s v="ÁLVARO RIASCOS"/>
    <s v="5822_x000a_12 ene"/>
    <s v="8222_x000a_26 ene"/>
    <x v="3"/>
    <d v="2021-12-17T00:00:00"/>
    <d v="2022-01-12T00:00:00"/>
    <n v="189000000"/>
    <m/>
    <m/>
    <m/>
    <m/>
    <m/>
    <m/>
    <m/>
    <m/>
    <m/>
    <m/>
    <m/>
  </r>
  <r>
    <s v="INVERSIÓN"/>
    <s v="MISIONAL"/>
    <s v="DR"/>
    <s v="Prestación de servicios profesionales altamente especializados en materia de economía y regulación de mercados de telecomunicaciones"/>
    <n v="199920000"/>
    <n v="199920000"/>
    <s v="GUILLERMO CRUZ"/>
    <s v="6022_x000a_13 ene"/>
    <s v="6422_x000a_21 ene"/>
    <x v="3"/>
    <d v="2021-12-17T00:00:00"/>
    <d v="2022-01-12T00:00:00"/>
    <n v="199920000"/>
    <m/>
    <m/>
    <m/>
    <m/>
    <m/>
    <m/>
    <m/>
    <m/>
    <m/>
    <m/>
    <m/>
  </r>
  <r>
    <s v="INVERSIÓN"/>
    <s v="MISIONAL"/>
    <s v="DR"/>
    <s v="Contratar los servicios de consultoría para el levantamiento, depuración, procesamiento y análisis de datos estadísticos, con el fin de caracterizar  el uso, hábitos, preferencias y experiencia del usuario con respecto al consumo de contenidos audiovisuales que permita la definición de mercados de contenidos audiovisuales."/>
    <n v="680000000"/>
    <n v="680000000"/>
    <m/>
    <d v="2022-03-18T00:00:00"/>
    <d v="2022-03-30T00:00:00"/>
    <x v="7"/>
    <d v="2022-03-18T00:00:00"/>
    <d v="2022-03-30T00:00:00"/>
    <m/>
    <m/>
    <m/>
    <m/>
    <m/>
    <m/>
    <n v="680000000"/>
    <m/>
    <m/>
    <m/>
    <m/>
    <m/>
  </r>
  <r>
    <s v="INVERSIÓN"/>
    <s v="MISIONAL"/>
    <s v="DR"/>
    <s v="Apoyo y acompañamiento del proceso de atención y respuesta a los comentarios a la propuesta regulatoria publicada dentro del proyecto &quot;Revisión de los esquemas de remuneración móvil y del mercado minorista de Voz Saliente Móvil&quot;"/>
    <n v="40000000"/>
    <n v="40000000"/>
    <s v="ROBERTO BALTRA CONSULTORÍAS"/>
    <s v="5122_x000a_11 ene"/>
    <s v="7622_x000a_25 ene"/>
    <x v="3"/>
    <d v="2021-12-17T00:00:00"/>
    <d v="2022-01-12T00:00:00"/>
    <n v="40000000"/>
    <m/>
    <m/>
    <m/>
    <m/>
    <m/>
    <m/>
    <m/>
    <m/>
    <m/>
    <m/>
    <m/>
  </r>
  <r>
    <s v="INVERSIÓN"/>
    <s v="MISIONAL"/>
    <s v="PE"/>
    <s v="Servicios profesionales para apoyar en materia de economía y regulación de mercados de comunicaciones, específicamente en el desarrollo de proyectos a los procesos de Diseño Regulatorio; Investigación, Desarrollo e Innovación; y Gobierno y Análisis de Datos"/>
    <n v="82750200"/>
    <n v="72000000"/>
    <s v="LUIS FELIPE MONTEALEGRE"/>
    <s v="6522_x000a_13 ene"/>
    <s v="7122_x000a_21 ene"/>
    <x v="3"/>
    <d v="2021-12-17T00:00:00"/>
    <d v="2022-01-12T00:00:00"/>
    <n v="72000000"/>
    <m/>
    <m/>
    <m/>
    <m/>
    <m/>
    <m/>
    <m/>
    <m/>
    <m/>
    <m/>
    <m/>
  </r>
  <r>
    <s v="INVERSIÓN"/>
    <s v="MISIONAL"/>
    <s v="PE"/>
    <s v="Servicios profesionales especializados en materia de ingeniería electrónica para apoyar el desarrollo de actividades misionales de las Coordinaciones de Investigación, Desarrollo e Innovación; y Gobierno y Análisis de Datos, y Asesoría Jurídica y Solución de Controversias"/>
    <n v="126863040"/>
    <n v="126863040"/>
    <s v="CELSO FORERO"/>
    <s v="1522_x000a_04 ene"/>
    <s v="1322_x000a_12 ene"/>
    <x v="3"/>
    <d v="2021-12-17T00:00:00"/>
    <d v="2022-01-12T00:00:00"/>
    <n v="126863040"/>
    <m/>
    <m/>
    <m/>
    <m/>
    <m/>
    <m/>
    <m/>
    <m/>
    <m/>
    <m/>
    <m/>
  </r>
  <r>
    <s v="INVERSIÓN"/>
    <s v="MISIONAL"/>
    <s v="PE"/>
    <s v="Servicios profesionales especializados en materia de ingeniería con énfasis en el sector de telecomunicaciones para apoyar el desarrollo de iniciativas misionales y proyectos regulatorios"/>
    <n v="202580400"/>
    <n v="202580400"/>
    <s v="CARLOS RUIZ"/>
    <s v="1822_x000a_04 ene"/>
    <s v="1622_x000a_13 ene"/>
    <x v="3"/>
    <d v="2021-12-17T00:00:00"/>
    <d v="2022-01-12T00:00:00"/>
    <n v="202580400"/>
    <m/>
    <m/>
    <m/>
    <m/>
    <m/>
    <m/>
    <m/>
    <m/>
    <m/>
    <m/>
    <m/>
  </r>
  <r>
    <s v="INVERSIÓN"/>
    <s v="MISIONAL"/>
    <s v="GAD"/>
    <s v="Servicios de consultoría para i) el levantamiento, depuración, procesamiento y análisis de datos estadísticos, con el fin de medir las expectativas y la satisfacción de los usuarios de los servicios de comunicaciones en relación con los servicios fijos y móviles de telefonía e internet, así como del servicio de televisión (televisión por suscripción y televisión abierta) y de radiodifusión sonora y ii) el levantamiento, depuración, procesamiento y análisis de datos estadísticos, con el fin de llevar a cabo mediciones a través de encuestas para recopilar información sobre los servicios TIC de comunicaciones y servicios ofrecidos a través de plataformas en línea."/>
    <n v="960000000"/>
    <n v="960000000"/>
    <m/>
    <m/>
    <m/>
    <x v="7"/>
    <d v="2022-02-18T00:00:00"/>
    <d v="2022-03-02T00:00:00"/>
    <m/>
    <m/>
    <m/>
    <m/>
    <m/>
    <n v="960000000"/>
    <m/>
    <m/>
    <m/>
    <m/>
    <m/>
    <m/>
  </r>
  <r>
    <s v="INVERSIÓN"/>
    <s v="MISIONAL"/>
    <s v="IDi"/>
    <s v="Fortalecimiento de actividades de innovación y gestión del conocimiento para alcanzar los objetivos del Plan Estratégico Institucional de la CRC a través del desarrollo de contenidos virtuales pedagógicos, talleres con agentes del sector y espacios de innovación abierta para el aprovechamiento de datos sectoriales."/>
    <n v="653430376"/>
    <n v="653430376"/>
    <s v="UNIVERSIDAD NACIONAL"/>
    <s v="5922_x000a_12 ene"/>
    <s v="7322_x000a_24 ene"/>
    <x v="3"/>
    <d v="2020-12-17T00:00:00"/>
    <d v="2022-01-12T00:00:00"/>
    <n v="653430376"/>
    <m/>
    <m/>
    <m/>
    <m/>
    <m/>
    <m/>
    <m/>
    <m/>
    <m/>
    <m/>
    <m/>
  </r>
  <r>
    <s v="INVERSIÓN"/>
    <s v="MISIONAL"/>
    <s v="IDi"/>
    <s v="Apoyo jurídico y operativo en el desarrollo del convenio MinCiencias - CRC, para el impulso y la ejecución de programas o proyectos de investigación, desarrollo tecnológico e innovación, que permitan mejorar, promover, potenciar y fortalecer los sectores TIC, postal y de contenidos audiovisuales en el país. "/>
    <n v="145230000"/>
    <n v="145230000"/>
    <s v="ANGELA CHARRY"/>
    <s v="4522_x000a_11ene"/>
    <s v="6222_x000a_21 ene"/>
    <x v="3"/>
    <d v="2020-12-17T00:00:00"/>
    <d v="2022-01-12T00:00:00"/>
    <n v="145230000"/>
    <m/>
    <m/>
    <m/>
    <m/>
    <m/>
    <m/>
    <m/>
    <m/>
    <m/>
    <m/>
    <m/>
  </r>
  <r>
    <s v="INVERSIÓN"/>
    <s v="MISIONAL"/>
    <s v="IDi"/>
    <s v="Acompañamiento a la CRC en el seguimiento de los planes aprobados en fase de experimentación de la primera convocatoria de sandbox regulatorio 2021, verificación cumplimiento indicadores y salvaguardas  "/>
    <n v="300000000"/>
    <n v="300000000"/>
    <m/>
    <m/>
    <m/>
    <x v="7"/>
    <d v="2021-12-17T00:00:00"/>
    <d v="2022-01-12T00:00:00"/>
    <m/>
    <m/>
    <m/>
    <m/>
    <m/>
    <n v="100000000"/>
    <m/>
    <m/>
    <n v="200000000"/>
    <m/>
    <m/>
    <m/>
  </r>
  <r>
    <s v="INVERSIÓN"/>
    <s v="MISIONAL"/>
    <s v="IDi"/>
    <s v="Servicios profesionales en materia de urbanismo, ordenamiento territorial y diseño arquitectónico para apoyar las labores de la CRC en cumplimiento de sus funciones en materia de despliegue de infraestructura de telecomunicaciones;  atención trámites de apelaciones en permisos de instalación de infraestructura; y revisión, ajustes e  implementación del Reglamento Técnico para Redes Internas de Telecomunicaciones"/>
    <n v="94563888"/>
    <n v="94563888"/>
    <s v="JUAN DAVID BOTERO"/>
    <s v="3222_x000a_05 ene"/>
    <s v="5522_x000a_20 ene"/>
    <x v="3"/>
    <d v="2021-12-17T00:00:00"/>
    <d v="2022-01-12T00:00:00"/>
    <n v="94563888"/>
    <m/>
    <m/>
    <m/>
    <m/>
    <m/>
    <m/>
    <m/>
    <m/>
    <m/>
    <m/>
    <m/>
  </r>
  <r>
    <s v="INVERSIÓN"/>
    <s v="MISIONAL"/>
    <s v="RCA"/>
    <s v="Servicios profesionales en el seguimiento de las actividades del Congreso de la República, así como revisión y trámite de las asesorías, consultas o actuaciones administrativas, y apoyo a la implementación de la regulación que sean requeridas por la CRC  y propender directa o indirectamente por las funciones encomendadas por el legislador a la CRC durante la vigencia 2022."/>
    <n v="156588840"/>
    <n v="156588840"/>
    <s v="ARMANDO MONSALVE"/>
    <s v="522_x000a_04 ene"/>
    <s v="722_x000a_11 ene"/>
    <x v="3"/>
    <d v="2021-12-17T00:00:00"/>
    <d v="2022-01-12T00:00:00"/>
    <n v="156588840"/>
    <m/>
    <m/>
    <m/>
    <m/>
    <m/>
    <m/>
    <m/>
    <m/>
    <m/>
    <m/>
    <m/>
  </r>
  <r>
    <s v="INVERSIÓN"/>
    <s v="MISIONAL"/>
    <s v="IDi"/>
    <s v="Servicios profesionales para apoyar en la gestión de actividades en lo relacionado con la implementación de estrategias asociadas a la dimensión de gestión del conocimiento e innovación del MIPG, incluyendo actividades de desarrollos metodológicos para procesos de investigación, gestión de contenidos educativos virtuales y material de apoyo, así como el desarrollo de herramientas de innovación y su implementación"/>
    <n v="160680000"/>
    <n v="160680000"/>
    <s v="MIKE SILVA"/>
    <s v="5222_x000a_11 ene"/>
    <s v="5322_x000a_20 ene"/>
    <x v="3"/>
    <d v="2021-12-17T00:00:00"/>
    <d v="2022-01-12T00:00:00"/>
    <n v="160680000"/>
    <m/>
    <m/>
    <m/>
    <m/>
    <m/>
    <m/>
    <m/>
    <m/>
    <m/>
    <m/>
    <m/>
  </r>
  <r>
    <s v="INVERSIÓN"/>
    <s v="MISIONAL"/>
    <s v="AJSC"/>
    <s v="Asesoría Jurídica altamente especializada en materia de derecho constitucional, administrativo y regulatorio"/>
    <n v="309400000"/>
    <n v="309400000"/>
    <s v="JORGE SÁNCHEZ"/>
    <s v="222_x000a_04 ene"/>
    <s v="822_x000a_11 ene"/>
    <x v="3"/>
    <d v="2021-12-17T00:00:00"/>
    <d v="2022-01-12T00:00:00"/>
    <n v="309400000"/>
    <m/>
    <m/>
    <m/>
    <m/>
    <m/>
    <m/>
    <m/>
    <m/>
    <m/>
    <m/>
    <m/>
  </r>
  <r>
    <s v="INVERSIÓN"/>
    <s v="MISIONAL"/>
    <s v="AJSC"/>
    <s v="Asesoría Jurídica altamente especializada en materia de derecho constitucional, administrativo y regulatorio"/>
    <n v="249543000"/>
    <n v="249543000"/>
    <s v="JORGE SANTOS"/>
    <s v="1722_x000a_04 ene"/>
    <s v="6822_x000a_21 ene"/>
    <x v="3"/>
    <d v="2021-12-17T00:00:00"/>
    <d v="2022-01-12T00:00:00"/>
    <n v="249543000"/>
    <m/>
    <m/>
    <m/>
    <m/>
    <m/>
    <m/>
    <m/>
    <m/>
    <m/>
    <m/>
    <m/>
  </r>
  <r>
    <s v="INVERSIÓN"/>
    <s v="MISIONAL"/>
    <s v="AJSC"/>
    <s v="Seguimiento a procesos judiciales"/>
    <n v="15000000"/>
    <n v="15000000"/>
    <m/>
    <m/>
    <m/>
    <x v="2"/>
    <d v="2021-12-17T00:00:00"/>
    <d v="2022-01-12T00:00:00"/>
    <m/>
    <n v="15000000"/>
    <m/>
    <m/>
    <m/>
    <m/>
    <m/>
    <m/>
    <m/>
    <m/>
    <m/>
    <m/>
  </r>
  <r>
    <s v="INVERSIÓN"/>
    <s v="MISIONAL"/>
    <s v="PE"/>
    <s v="Servicios profesionales especializados en materia de ingeniería electrónica para apoyar el desarrollo de iniciativas misionales y proyectos regulatorios"/>
    <n v="126863040"/>
    <n v="126863040"/>
    <s v="DAVID MURILLO"/>
    <s v="3622_x000a_06 ene"/>
    <s v="3022_x000a_17 ene"/>
    <x v="3"/>
    <d v="2021-12-17T00:00:00"/>
    <d v="2022-01-12T00:00:00"/>
    <n v="126863040"/>
    <m/>
    <m/>
    <m/>
    <m/>
    <m/>
    <m/>
    <m/>
    <m/>
    <m/>
    <m/>
    <m/>
  </r>
  <r>
    <s v="INVERSIÓN"/>
    <s v="MISIONAL"/>
    <s v="PE"/>
    <s v="Servicios profesionales para, con autonomía e independencia, brindar apoyo jurídico especializado de manera transversal a las diferentes coordinaciones de la Comisión, en la ejecución de las funciones relacionadas con el adelantamiento de trámites administrativos de solución de controversias, así como de los proyectos regulatorios a cargo la CRC; la tramitación de los procedimientos sancionatorios que son de competencia de esta Entidad; la gestión de la defensa judicial de la CRC; y la contestación de las peticiones que sean presentadas ante la Comisión"/>
    <n v="148320000"/>
    <n v="148320000"/>
    <s v="LIZZETTE GRIMALDO"/>
    <s v="3522_x000a_06 ene"/>
    <s v="2822_x000a_17 ene"/>
    <x v="3"/>
    <d v="2021-12-17T00:00:00"/>
    <d v="2022-01-12T00:00:00"/>
    <n v="148320000"/>
    <m/>
    <m/>
    <m/>
    <m/>
    <m/>
    <m/>
    <m/>
    <m/>
    <m/>
    <m/>
    <m/>
  </r>
  <r>
    <s v="INVERSIÓN"/>
    <s v="MISIONAL"/>
    <s v="AJSC"/>
    <s v="Asesoría Jurídica altamente especializada en materia de derecho constitucional  en aspectos de alta complejidad"/>
    <n v="200000000"/>
    <n v="199859750"/>
    <s v="MANUEL JOSÉ CEPEDA"/>
    <s v="5022_x000a_11 ene"/>
    <s v="7222_x000a_24 ene"/>
    <x v="3"/>
    <d v="2021-12-17T00:00:00"/>
    <d v="2022-01-12T00:00:00"/>
    <n v="199859750"/>
    <m/>
    <m/>
    <m/>
    <m/>
    <m/>
    <m/>
    <m/>
    <m/>
    <m/>
    <m/>
    <m/>
  </r>
  <r>
    <s v="INVERSIÓN"/>
    <s v="MISIONAL"/>
    <s v="CA"/>
    <s v="Apoyo profesional especializado Contenidos Audiovisuales - Apoyo en el desarrollo de las actividades asociadas a la protección y promoción de los derechos de la niñez en lo audiovisual, la promoción de la diversidad y del pluralismo informativo en los contenidos y la implementación de estrategias de pedagogía y participación ciudadana"/>
    <n v="127308000"/>
    <n v="127308000"/>
    <s v="JOHN SÁNCHEZ"/>
    <s v="7022_x000a_14 ene"/>
    <s v="5222_x000a_20 ene"/>
    <x v="3"/>
    <d v="2021-12-17T00:00:00"/>
    <d v="2022-01-12T00:00:00"/>
    <n v="127308000"/>
    <m/>
    <m/>
    <m/>
    <m/>
    <m/>
    <m/>
    <m/>
    <m/>
    <m/>
    <m/>
    <m/>
  </r>
  <r>
    <s v="INVERSIÓN"/>
    <s v="MISIONAL"/>
    <s v="CA"/>
    <s v="Realizar las mediciones y análisis necesarios para surtir un barómetro general del pluralismo"/>
    <n v="700000000"/>
    <n v="700000000"/>
    <m/>
    <d v="2022-02-04T00:00:00"/>
    <d v="2022-02-16T00:00:00"/>
    <x v="7"/>
    <s v="31/01/2022_x000a_09/02/2022"/>
    <s v="9/02/2022_x000a_23/02/2022"/>
    <m/>
    <m/>
    <m/>
    <m/>
    <n v="700000000"/>
    <m/>
    <m/>
    <m/>
    <m/>
    <m/>
    <m/>
    <m/>
  </r>
  <r>
    <s v="INVERSIÓN"/>
    <s v="MISIONAL"/>
    <s v="CA"/>
    <s v="Apoyo profesional especializado Contenidos Audiovisuales - Apoyo en el desarrollo de estudios y análisis sobre el sector de contenidos audiovisuales en Colombia"/>
    <n v="108000000"/>
    <n v="108000000"/>
    <s v="CATALINA JURADO"/>
    <s v="5522_x000a_12 ene"/>
    <s v="4622_x000a_18 ene"/>
    <x v="3"/>
    <d v="2021-12-17T00:00:00"/>
    <d v="2022-01-12T00:00:00"/>
    <n v="108000000"/>
    <m/>
    <m/>
    <m/>
    <m/>
    <m/>
    <m/>
    <m/>
    <m/>
    <m/>
    <m/>
    <m/>
  </r>
  <r>
    <s v="INVERSIÓN"/>
    <s v="MISIONAL"/>
    <s v="CA"/>
    <s v="Consultoría para la realización de mediciones de las condiciones de efectividad y satisfacción de los sistemas implementados para permitir el acceso de la población con discapacidad auditiva a los servicios audiovisuales"/>
    <n v="740000000"/>
    <n v="740000000"/>
    <m/>
    <m/>
    <m/>
    <x v="7"/>
    <s v="31/01/2022_x000a_09/02/2022"/>
    <s v="9/02/2022_x000a_23/02/2022"/>
    <m/>
    <m/>
    <m/>
    <m/>
    <n v="740000000"/>
    <m/>
    <m/>
    <m/>
    <m/>
    <m/>
    <m/>
    <m/>
  </r>
  <r>
    <s v="INVERSIÓN"/>
    <s v="MISIONAL"/>
    <s v="PE"/>
    <s v="Servicios profesionales en materia de economía y regulación económica, para apoyar el desarrollo de proyectos de las Coordinaciones de Diseño Regulatorio, Gobierno y Análisis de Datos e Investigación, desarrollo e Innovación."/>
    <n v="126000000"/>
    <n v="126000000"/>
    <s v="NATALIA SERRANO"/>
    <s v="4322_x000a_06 ene"/>
    <s v="5022_x000a_19 ene"/>
    <x v="3"/>
    <d v="2021-12-17T00:00:00"/>
    <d v="2022-01-12T00:00:00"/>
    <n v="126000000"/>
    <m/>
    <m/>
    <m/>
    <m/>
    <m/>
    <m/>
    <m/>
    <m/>
    <m/>
    <m/>
    <m/>
  </r>
  <r>
    <s v="INVERSIÓN"/>
    <s v="MISIONAL"/>
    <s v="GAD"/>
    <s v="Servicios profesionales especializados en materia contable y financiera, auditoría, análisis y revisión de contabilidad financiera para el sector telecomunicaciones con fines regulatorios y enfoque en el sector de telecomunicaciones, así como en Normas Internacionales de la Información Financiera (NIIF) para apoyar el desarrollo de proyectos regulatorios"/>
    <n v="99350000"/>
    <n v="108000000"/>
    <s v="JUAN CARLOS NIÑO"/>
    <s v="2422_x000a_05 ene"/>
    <s v="4022_x000a_17 ene"/>
    <x v="3"/>
    <d v="2021-12-17T00:00:00"/>
    <d v="2022-01-12T00:00:00"/>
    <n v="108000000"/>
    <m/>
    <m/>
    <m/>
    <m/>
    <m/>
    <m/>
    <m/>
    <m/>
    <m/>
    <m/>
    <m/>
  </r>
  <r>
    <s v="INVERSIÓN"/>
    <s v="MISIONAL"/>
    <s v="PE"/>
    <s v="Servicios profesionales en materia de análisis de datos, para apoyar en el desarrollo de actividades relacionadas con la extracción, transformación, procesamiento y visualización de datos a cargo de las coordinaciones de Gobierno y Análisis de Datos y Diseño Regulatorio "/>
    <n v="55200000"/>
    <n v="55200000"/>
    <s v="SANTIAGO BERMÚDEZ"/>
    <s v="5322_x000a_11 ene"/>
    <s v="2222_x000a_14 ene"/>
    <x v="3"/>
    <d v="2021-12-17T00:00:00"/>
    <d v="2022-01-12T00:00:00"/>
    <n v="55200000"/>
    <m/>
    <m/>
    <m/>
    <m/>
    <m/>
    <m/>
    <m/>
    <m/>
    <m/>
    <m/>
    <m/>
  </r>
  <r>
    <s v="INVERSIÓN"/>
    <s v="MISIONAL"/>
    <s v="GAD"/>
    <s v="Provisión de información de audiencias de televisión para los servicios de televisión abierta y televisión paga, de información de pauta e inversión publicitaria y de información de consumo y tendencias generales relacionadas con medios de comunicación en Colombia, para el año 2022."/>
    <n v="504262983"/>
    <n v="504262983"/>
    <s v="KANTAR IBOPE"/>
    <s v="7822_x000a_21 ene"/>
    <s v="8422_x000a_27 ene"/>
    <x v="3"/>
    <d v="2021-12-17T00:00:00"/>
    <d v="2022-01-12T00:00:00"/>
    <n v="504262983"/>
    <m/>
    <m/>
    <m/>
    <m/>
    <m/>
    <m/>
    <m/>
    <m/>
    <m/>
    <m/>
    <m/>
  </r>
  <r>
    <s v="INVERSIÓN"/>
    <s v="MISIONAL"/>
    <s v="GAD"/>
    <s v="Información comparativa de la calidad objetiva del servicio de Internet suministrado a través de redes de acceso fijo y móvil desde la experiencia del usuario."/>
    <n v="89535600"/>
    <n v="89535600"/>
    <m/>
    <m/>
    <m/>
    <x v="3"/>
    <d v="2022-09-02T00:00:00"/>
    <d v="2022-09-14T00:00:00"/>
    <m/>
    <m/>
    <m/>
    <m/>
    <m/>
    <m/>
    <m/>
    <m/>
    <m/>
    <n v="89535600"/>
    <m/>
    <m/>
  </r>
  <r>
    <s v="INVERSIÓN"/>
    <s v="MISIONAL"/>
    <s v="GAD"/>
    <s v="Información sobre tendencias y desarrollos regulatorios a nivel internacional en materia de servicios de telecomunicaciones, postales y contenidos audiovisuales."/>
    <n v="517000000"/>
    <n v="517000000"/>
    <m/>
    <m/>
    <m/>
    <x v="3"/>
    <d v="2021-12-17T00:00:00"/>
    <d v="2022-01-12T00:00:00"/>
    <m/>
    <m/>
    <m/>
    <m/>
    <m/>
    <m/>
    <m/>
    <n v="517000000"/>
    <m/>
    <m/>
    <m/>
    <m/>
  </r>
  <r>
    <s v="INVERSIÓN"/>
    <s v="MISIONAL"/>
    <s v="GAD"/>
    <s v="Consultoría para la realización de ejerc¡c¡os de psicología del consumidory economía conductual para evaluar i) las medidas regulatorias asoc¡adas a Régimen de Protecclón de los Usuarios de los Serv¡cios de Comunicaciones y ii) la satisfacción y expectativas de los usuarios de servicios postales e identificar necesidades de actualización del RPU Postal."/>
    <n v="795000000"/>
    <n v="795000000"/>
    <m/>
    <m/>
    <m/>
    <x v="7"/>
    <d v="2022-02-18T00:00:00"/>
    <d v="2022-03-02T00:00:00"/>
    <m/>
    <m/>
    <m/>
    <m/>
    <m/>
    <n v="795000000"/>
    <m/>
    <m/>
    <m/>
    <m/>
    <m/>
    <m/>
  </r>
  <r>
    <s v="INVERSIÓN"/>
    <s v="MISIONAL"/>
    <s v="GAD"/>
    <s v="Información comparativa de la calidad objetiva del servicio de Internet suministrado a través de redes de acceso fijo y móvil desde la experiencia del usuario."/>
    <n v="258000000"/>
    <n v="258000000"/>
    <m/>
    <m/>
    <m/>
    <x v="3"/>
    <d v="2021-12-17T00:00:00"/>
    <d v="2022-01-12T00:00:00"/>
    <m/>
    <m/>
    <m/>
    <m/>
    <m/>
    <m/>
    <m/>
    <n v="258000000"/>
    <m/>
    <m/>
    <m/>
    <m/>
  </r>
  <r>
    <s v="INVERSIÓN"/>
    <s v="MISIONAL"/>
    <s v="GAF"/>
    <s v="Servicios profesionales ultra especializados en temas de derecho tributario para el apoyo, acompañamiento, en los procesos de fiscalización, régimen sancionatorio, cobro coactivo y demandas judiciales que por este concepto se presenten ante la CRC"/>
    <n v="192500000"/>
    <n v="181500000"/>
    <s v="FABIO VÁSQUEZ"/>
    <s v="4922_x000a_11 ene"/>
    <s v="4822_x000a_19 ene"/>
    <x v="3"/>
    <d v="2021-12-17T00:00:00"/>
    <d v="2022-01-12T00:00:00"/>
    <n v="181500000"/>
    <m/>
    <m/>
    <m/>
    <m/>
    <m/>
    <m/>
    <m/>
    <m/>
    <m/>
    <m/>
    <m/>
  </r>
  <r>
    <s v="INVERSIÓN"/>
    <s v="MISIONAL"/>
    <s v="GAF"/>
    <s v="Servicios profesionales para apoyar actividades relacionadas con los procesos de fiscalización, régimen sancionatorio y cobro coactivo, que deben ser adelantadas durante la vigencia 2022"/>
    <n v="54456000"/>
    <n v="54456000"/>
    <s v="CRISTIAN RAMÍREZ"/>
    <s v="822_x000a_04 ene"/>
    <s v="2122_x000a_13 ene"/>
    <x v="3"/>
    <d v="2021-12-17T00:00:00"/>
    <d v="2022-01-12T00:00:00"/>
    <n v="54456000"/>
    <m/>
    <m/>
    <m/>
    <m/>
    <m/>
    <m/>
    <m/>
    <m/>
    <m/>
    <m/>
    <m/>
  </r>
  <r>
    <s v="INVERSIÓN"/>
    <s v="MISIONAL"/>
    <s v="GAF"/>
    <s v="Servicios profesionales especializados en temas financieros para el apoyo, y acompañamiento para llevar a cabo actividades relacionadas con los procesos de fiscalización, régimen sancionatorio y cobro coactivo, que se requiera adelantar en la vigencia 2022"/>
    <n v="104724000"/>
    <n v="104724000"/>
    <s v="JULIO ESPEJO"/>
    <s v="1922_x000a_04 ene"/>
    <s v="3222_x000a_17 ene"/>
    <x v="3"/>
    <d v="2021-12-17T00:00:00"/>
    <d v="2022-01-12T00:00:00"/>
    <n v="104724000"/>
    <m/>
    <m/>
    <m/>
    <m/>
    <m/>
    <m/>
    <m/>
    <m/>
    <m/>
    <m/>
    <m/>
  </r>
  <r>
    <s v="INVERSIÓN"/>
    <s v="MISIONAL"/>
    <s v="GAF"/>
    <s v="Servicio de apoyo en el desarrollo de acciones para el fortalecimiento de la Gestión Estratégica del Talento Humano en la CRC, encaminadas a la ejecución de actividades relacionadas con el cumplimiento de los planes y programas correspondientes a las políticas de la dimensión de Talento Humano del Modelo Integrado de Planeación y Gestión - MIPG en la Comisión de Regulación De Comunicaciones (Bienestar Social, Capacitación, SST, actividades culturales, deportivas, recreativas y formativas, entre otros)."/>
    <n v="312000000"/>
    <n v="312000000"/>
    <s v="COMPENSAR"/>
    <s v="4022_x000a_06 ene"/>
    <s v="7522_x000a_24 ene"/>
    <x v="3"/>
    <d v="2021-12-17T00:00:00"/>
    <d v="2022-01-12T00:00:00"/>
    <n v="312000000"/>
    <m/>
    <m/>
    <m/>
    <m/>
    <m/>
    <m/>
    <m/>
    <m/>
    <m/>
    <m/>
    <m/>
  </r>
  <r>
    <s v="INVERSIÓN"/>
    <s v="MISIONAL"/>
    <s v="GAF"/>
    <s v="Aplicar la metodología Great Place to Work para la evaluación del ambiente de trabajo de la Comisión de Regulación de Comunicaciones en la vigencia 2022, así como a realizar la sensibilización al interior de la Entidad."/>
    <n v="17000000"/>
    <n v="17000000"/>
    <m/>
    <m/>
    <m/>
    <x v="3"/>
    <d v="2022-08-12T00:00:00"/>
    <d v="2022-08-31T00:00:00"/>
    <m/>
    <m/>
    <m/>
    <m/>
    <m/>
    <m/>
    <m/>
    <m/>
    <m/>
    <m/>
    <n v="17000000"/>
    <m/>
  </r>
  <r>
    <s v="INVERSIÓN"/>
    <s v="MISIONAL"/>
    <s v="GAF"/>
    <s v="Servicios técnico profesional y/o tecnólogo para apoyar las actividades relacionadas con los procesos administrativos y contables de la presentación y recaudo de la contribución durante la vigencia 2022"/>
    <n v="37080000"/>
    <n v="31270800"/>
    <s v="RONALD CABEZAS"/>
    <s v="3722_x000a_06 ene"/>
    <s v="2922_x000a_17 ene"/>
    <x v="3"/>
    <d v="2021-12-17T00:00:00"/>
    <d v="2022-01-12T00:00:00"/>
    <n v="31270800"/>
    <m/>
    <m/>
    <m/>
    <m/>
    <m/>
    <m/>
    <m/>
    <m/>
    <m/>
    <m/>
    <m/>
  </r>
  <r>
    <s v="INVERSIÓN"/>
    <s v="MISIONAL"/>
    <s v="GAF"/>
    <s v="Capacitaciones Misionales"/>
    <n v="50000000"/>
    <n v="50000000"/>
    <m/>
    <m/>
    <m/>
    <x v="3"/>
    <m/>
    <m/>
    <m/>
    <m/>
    <m/>
    <m/>
    <m/>
    <m/>
    <m/>
    <m/>
    <n v="10000000"/>
    <n v="10000000"/>
    <n v="10000000"/>
    <n v="20000000"/>
  </r>
  <r>
    <s v="INVERSIÓN"/>
    <s v="MISIONAL"/>
    <s v="GAF"/>
    <s v="Servicios profesionales en las etapas precontractual, contractual y poscontractuales de las diferentes modalidades de selección de contratista, que permitan dar cumplimiento a la misionalidad de la CRC"/>
    <n v="123600000"/>
    <n v="123600000"/>
    <s v="ZULMA LEÓN"/>
    <s v="122_x000a_04 ene"/>
    <s v="122_x000a_06 ene"/>
    <x v="3"/>
    <d v="2021-12-17T00:00:00"/>
    <d v="2022-01-12T00:00:00"/>
    <n v="123600000"/>
    <m/>
    <m/>
    <m/>
    <m/>
    <m/>
    <m/>
    <m/>
    <m/>
    <m/>
    <m/>
    <m/>
  </r>
  <r>
    <s v="INVERSIÓN"/>
    <s v="MISIONAL"/>
    <s v="GAF"/>
    <s v="Servicios jurídicos especializados en materia de derecho administrativo y contratación pública en aspectos de alta complejidad que requiera la CRC, para apoyar a las Coordinaciones Ejecutiva y de Gestión Administrativa, dentro del desarrollo de las diferentes actividades que, sobre la materia adelante la entidad, enmarcadas dentro de su agenda regulatoria 2022-2023 y su plan de acción 2022."/>
    <n v="165000000"/>
    <n v="165000000"/>
    <s v="DUQUE BOTERO CONSULTORES"/>
    <s v="3122_x000a_05 ene"/>
    <s v="2722_x000a_14 ene"/>
    <x v="3"/>
    <d v="2021-12-17T00:00:00"/>
    <d v="2022-01-12T00:00:00"/>
    <n v="165000000"/>
    <m/>
    <m/>
    <m/>
    <m/>
    <m/>
    <m/>
    <m/>
    <m/>
    <m/>
    <m/>
    <m/>
  </r>
  <r>
    <s v="INVERSIÓN"/>
    <s v="MISIONAL"/>
    <s v="GAF"/>
    <s v="Aplicar una metodología que permita la identificación de la cultura organizacional de la CRC, así como diseñar un plan de mejora y fortalecimiento de la misma."/>
    <n v="17000000"/>
    <n v="17000000"/>
    <m/>
    <m/>
    <m/>
    <x v="3"/>
    <d v="2022-06-10T00:00:00"/>
    <d v="2022-06-22T00:00:00"/>
    <m/>
    <m/>
    <m/>
    <m/>
    <m/>
    <m/>
    <m/>
    <m/>
    <n v="17000000"/>
    <m/>
    <m/>
    <m/>
  </r>
  <r>
    <s v="INVERSIÓN"/>
    <s v="MISIONAL"/>
    <s v="GAF"/>
    <s v="4*1000 Inversión Misional"/>
    <n v="800000"/>
    <m/>
    <m/>
    <m/>
    <m/>
    <x v="6"/>
    <m/>
    <m/>
    <m/>
    <m/>
    <m/>
    <m/>
    <m/>
    <m/>
    <m/>
    <m/>
    <m/>
    <m/>
    <m/>
    <n v="800000"/>
  </r>
  <r>
    <s v="INVERSIÓN"/>
    <s v="MISIONAL"/>
    <s v="CE"/>
    <s v="Realización de encuestas, para que la CRC conozca la satisfacción de sus grupos de valor con relación a los servicios prestados por la Comisión durante el año 2022 - Medición NSU de los servicios de la CRC"/>
    <n v="16000000"/>
    <n v="16000000"/>
    <m/>
    <m/>
    <m/>
    <x v="2"/>
    <d v="2022-06-17T00:00:00"/>
    <d v="2022-06-29T00:00:00"/>
    <m/>
    <m/>
    <m/>
    <m/>
    <m/>
    <m/>
    <n v="16000000"/>
    <m/>
    <m/>
    <m/>
    <m/>
    <m/>
  </r>
  <r>
    <s v="INVERSIÓN"/>
    <s v="MISIONAL"/>
    <s v="CE"/>
    <s v="Auditoria Externa de mantenimiento - Icontec"/>
    <n v="10000000"/>
    <n v="10000000"/>
    <m/>
    <m/>
    <m/>
    <x v="3"/>
    <d v="2022-06-24T00:00:00"/>
    <d v="2022-07-06T00:00:00"/>
    <m/>
    <m/>
    <m/>
    <m/>
    <m/>
    <m/>
    <m/>
    <n v="10000000"/>
    <m/>
    <m/>
    <m/>
    <m/>
  </r>
  <r>
    <s v="INVERSIÓN"/>
    <s v="MISIONAL"/>
    <s v="CE"/>
    <s v="Desarrollo organizacional de actividades tendientes a poyar el cumplimiento de los objetivos misionales de la Entidad"/>
    <n v="38000000"/>
    <n v="38000000"/>
    <m/>
    <m/>
    <m/>
    <x v="1"/>
    <d v="2022-04-08T00:00:00"/>
    <d v="2022-04-20T00:00:00"/>
    <m/>
    <m/>
    <m/>
    <m/>
    <m/>
    <m/>
    <n v="38000000"/>
    <m/>
    <m/>
    <m/>
    <m/>
    <m/>
  </r>
  <r>
    <s v="INVERSIÓN"/>
    <s v="MISIONAL"/>
    <s v="CE"/>
    <s v="Servicios profesionales a través de la herramienta deberá permitir la consulta detallada de la normatividad anteriormente referenciada, mantener la concordancia entre la normatividad, incorporar el análisis y síntesis jurídico que identifique su desarrollo doctrinal e incluyendo disposiciones regulatorias que en ejercicio de su actividad legal haya expedido la CRC"/>
    <n v="135061057"/>
    <n v="135061057"/>
    <s v="AVANCE JURÍDICO"/>
    <s v="1022_x000a_04 ene"/>
    <s v="6622_x000a_21 ene"/>
    <x v="3"/>
    <d v="2021-12-17T00:00:00"/>
    <d v="2022-01-12T00:00:00"/>
    <n v="135061057"/>
    <m/>
    <m/>
    <m/>
    <m/>
    <m/>
    <m/>
    <m/>
    <m/>
    <m/>
    <m/>
    <m/>
  </r>
  <r>
    <s v="INVERSIÓN"/>
    <s v="TI"/>
    <s v="TSI"/>
    <s v="Office 365 Plan E3. Correo + Office: Renovar el soporte y mantenimiento para contar con las últimas actualizaciones y soporte especializado.  165 lic"/>
    <n v="130000000"/>
    <n v="130000000"/>
    <m/>
    <m/>
    <m/>
    <x v="5"/>
    <d v="2022-03-11T00:00:00"/>
    <d v="2022-03-23T00:00:00"/>
    <m/>
    <m/>
    <m/>
    <n v="130000000"/>
    <m/>
    <m/>
    <m/>
    <m/>
    <m/>
    <m/>
    <m/>
    <m/>
  </r>
  <r>
    <s v="INVERSIÓN"/>
    <s v="TI"/>
    <s v="TSI"/>
    <s v="Office 365 Plan E1. Solo Correo: Renovar el soporte y mantenimiento para contar con las últimas actualizaciones y soporte especializado.  70 lic."/>
    <n v="23000000"/>
    <n v="23000000"/>
    <m/>
    <m/>
    <m/>
    <x v="5"/>
    <d v="2022-01-28T00:00:00"/>
    <d v="2022-02-09T00:00:00"/>
    <m/>
    <m/>
    <n v="23000000"/>
    <m/>
    <m/>
    <m/>
    <m/>
    <m/>
    <m/>
    <m/>
    <m/>
    <m/>
  </r>
  <r>
    <s v="INVERSIÓN"/>
    <s v="TI"/>
    <s v="TSI"/>
    <s v="EMS- antivirus, configuration manager: Renovar el soporte y mantenimiento para contar con las últimas actualizaciones y soporte especializado.  165 lic."/>
    <n v="56000000"/>
    <n v="56000000"/>
    <m/>
    <m/>
    <m/>
    <x v="5"/>
    <d v="2022-02-11T00:00:00"/>
    <d v="2022-02-23T00:00:00"/>
    <m/>
    <m/>
    <n v="56000000"/>
    <m/>
    <m/>
    <m/>
    <m/>
    <m/>
    <m/>
    <m/>
    <m/>
    <m/>
  </r>
  <r>
    <s v="INVERSIÓN"/>
    <s v="TI"/>
    <s v="TSI"/>
    <s v="4*1000 Inversión TI"/>
    <n v="200000"/>
    <m/>
    <m/>
    <m/>
    <m/>
    <x v="6"/>
    <m/>
    <m/>
    <m/>
    <m/>
    <m/>
    <m/>
    <m/>
    <m/>
    <m/>
    <m/>
    <m/>
    <m/>
    <m/>
    <n v="200000"/>
  </r>
  <r>
    <s v="INVERSIÓN"/>
    <s v="TI"/>
    <s v="TSI"/>
    <s v="Renovación licenciamiento de Assurence SQL (2 años) 5 + 3 en diciembre: Renovar el soporte y mantenimiento para contar con las últimas actualizaciones y soporte especializado.  "/>
    <n v="32000000"/>
    <n v="32000000"/>
    <m/>
    <m/>
    <m/>
    <x v="5"/>
    <d v="2022-01-28T00:00:00"/>
    <d v="2022-02-09T00:00:00"/>
    <m/>
    <m/>
    <n v="32000000"/>
    <m/>
    <m/>
    <m/>
    <m/>
    <m/>
    <m/>
    <m/>
    <m/>
    <m/>
  </r>
  <r>
    <s v="INVERSIÓN"/>
    <s v="TI"/>
    <s v="TSI"/>
    <s v="Licenciamiento Phone System Open (teams): Renovación Microsoft Teams integración telefónica 165 Licencias."/>
    <n v="50000000"/>
    <n v="50000000"/>
    <m/>
    <m/>
    <m/>
    <x v="5"/>
    <d v="2022-02-04T00:00:00"/>
    <d v="2022-02-16T00:00:00"/>
    <m/>
    <m/>
    <n v="50000000"/>
    <m/>
    <m/>
    <m/>
    <m/>
    <m/>
    <m/>
    <m/>
    <m/>
    <m/>
  </r>
  <r>
    <s v="INVERSIÓN"/>
    <s v="TI"/>
    <s v="TSI"/>
    <s v="Stata:  Renovar el soporte y mantenimiento para contar con las últimas actualizaciones y soporte especializado.  18 lic. "/>
    <n v="20000000"/>
    <n v="20000000"/>
    <m/>
    <m/>
    <m/>
    <x v="3"/>
    <d v="2022-10-14T00:00:00"/>
    <d v="2022-10-26T00:00:00"/>
    <m/>
    <m/>
    <m/>
    <m/>
    <m/>
    <m/>
    <m/>
    <m/>
    <m/>
    <m/>
    <n v="20000000"/>
    <m/>
  </r>
  <r>
    <s v="INVERSIÓN"/>
    <s v="TI"/>
    <s v="TSI"/>
    <s v="Power BI Pro: Renovación de Licencias para el cumplimiento de las funciones de la CRC- (Para el 2022 se requieren 30 Licencias). Nuevos Tableros de Control."/>
    <n v="12000000"/>
    <n v="12000000"/>
    <m/>
    <m/>
    <m/>
    <x v="2"/>
    <d v="2022-01-07T00:00:00"/>
    <d v="2022-01-27T00:00:00"/>
    <m/>
    <m/>
    <n v="12000000"/>
    <m/>
    <m/>
    <m/>
    <m/>
    <m/>
    <m/>
    <m/>
    <m/>
    <m/>
  </r>
  <r>
    <s v="INVERSIÓN"/>
    <s v="TI"/>
    <s v="TSI"/>
    <s v="Suite Adobe Cloud y Acrobat: Renovar el soporte y mantenimiento para contar con las últimas actualizaciones y soporte especializado. 1 lic."/>
    <n v="3859410"/>
    <n v="4380000"/>
    <m/>
    <s v="8322_x000a_28 ene"/>
    <m/>
    <x v="2"/>
    <d v="2022-01-07T00:00:00"/>
    <d v="2022-01-27T00:00:00"/>
    <m/>
    <n v="4380000"/>
    <m/>
    <m/>
    <m/>
    <m/>
    <m/>
    <m/>
    <m/>
    <m/>
    <m/>
    <m/>
  </r>
  <r>
    <s v="INVERSIÓN"/>
    <s v="TI"/>
    <s v="TSI"/>
    <s v="Editor PDF: Renovar el soporte y mantenimiento para contar con las últimas actualizaciones y soporte especializado. 10 lic."/>
    <n v="19000000"/>
    <n v="19000000"/>
    <m/>
    <m/>
    <m/>
    <x v="2"/>
    <d v="2022-08-12T00:00:00"/>
    <d v="2022-08-24T00:00:00"/>
    <m/>
    <m/>
    <m/>
    <m/>
    <m/>
    <m/>
    <m/>
    <m/>
    <n v="19000000"/>
    <m/>
    <m/>
    <m/>
  </r>
  <r>
    <s v="INVERSIÓN"/>
    <s v="TI"/>
    <s v="TSI"/>
    <s v="Herramienta de Proyectos Project for the Web: Renovar el servicio, soporte y mantenimiento para contar con las últimas actualizaciones y soporte especializado 80 lic"/>
    <n v="80000000"/>
    <n v="80000000"/>
    <m/>
    <m/>
    <m/>
    <x v="5"/>
    <d v="2022-10-21T00:00:00"/>
    <d v="2022-11-02T00:00:00"/>
    <m/>
    <m/>
    <m/>
    <m/>
    <m/>
    <m/>
    <m/>
    <m/>
    <m/>
    <m/>
    <m/>
    <n v="80000000"/>
  </r>
  <r>
    <s v="INVERSIÓN"/>
    <s v="TI"/>
    <s v="TSI"/>
    <s v="Renovar el licenciamiento Herramienta de Seguridad"/>
    <n v="108000000"/>
    <n v="108000000"/>
    <m/>
    <m/>
    <m/>
    <x v="1"/>
    <d v="2022-08-19T00:00:00"/>
    <d v="2022-08-31T00:00:00"/>
    <m/>
    <m/>
    <m/>
    <m/>
    <m/>
    <m/>
    <m/>
    <m/>
    <m/>
    <m/>
    <n v="108000000"/>
    <m/>
  </r>
  <r>
    <s v="INVERSIÓN"/>
    <s v="TI"/>
    <s v="TSI"/>
    <s v="Renovar la suscripción que soporta la infraestructura crítica de Nube incluye licencias de Azure Devops"/>
    <n v="635000000"/>
    <n v="635000000"/>
    <m/>
    <m/>
    <m/>
    <x v="5"/>
    <d v="2022-02-25T00:00:00"/>
    <d v="2022-03-09T00:00:00"/>
    <m/>
    <m/>
    <m/>
    <n v="635000000"/>
    <m/>
    <m/>
    <m/>
    <m/>
    <m/>
    <m/>
    <m/>
    <m/>
  </r>
  <r>
    <s v="INVERSIÓN"/>
    <s v="TI"/>
    <s v="TSI"/>
    <s v="Servicios profesionales para la implementación de un Plan de Recuperación de Desastres (DRP) para la CRC en línea con un Plan de Continuidad de Negocio Fase 2"/>
    <n v="150000000"/>
    <n v="150000000"/>
    <m/>
    <m/>
    <m/>
    <x v="7"/>
    <d v="2022-03-11T00:00:00"/>
    <d v="2022-03-23T00:00:00"/>
    <m/>
    <m/>
    <m/>
    <m/>
    <m/>
    <n v="150000000"/>
    <m/>
    <m/>
    <m/>
    <m/>
    <m/>
    <m/>
  </r>
  <r>
    <s v="INVERSIÓN"/>
    <s v="TI"/>
    <s v="TSI"/>
    <s v="Apoyo analisis de soporte  sistemas y onbase"/>
    <n v="71366640"/>
    <n v="71366640"/>
    <s v="DUGLAS LIZCANO"/>
    <s v="3922_x000a_06 ene"/>
    <s v="3522_x000a_17 ene"/>
    <x v="3"/>
    <d v="2021-12-17T00:00:00"/>
    <d v="2022-01-12T00:00:00"/>
    <n v="71366640"/>
    <m/>
    <m/>
    <m/>
    <m/>
    <m/>
    <m/>
    <m/>
    <m/>
    <m/>
    <m/>
    <m/>
  </r>
  <r>
    <s v="INVERSIÓN"/>
    <s v="TI"/>
    <s v="TSI"/>
    <s v="Apoyo a servicios tecnológicos"/>
    <n v="33372000"/>
    <n v="33372000"/>
    <s v="JEISSON PULIDO"/>
    <s v="2522_x000a_05 ene"/>
    <s v="1222_x000a_12 ene"/>
    <x v="3"/>
    <d v="2021-12-17T00:00:00"/>
    <d v="2022-01-12T00:00:00"/>
    <n v="33372000"/>
    <m/>
    <m/>
    <m/>
    <m/>
    <m/>
    <m/>
    <m/>
    <m/>
    <m/>
    <m/>
    <m/>
  </r>
  <r>
    <s v="INVERSIÓN"/>
    <s v="TI"/>
    <s v="TSI"/>
    <s v="Renovar el licenciamiento de ARCServer Backup y ARCServer UDP que permiten garantizar los backup de los servidores que alojan los servicios tecnológicos de la CRC."/>
    <n v="125000000"/>
    <n v="125000000"/>
    <m/>
    <m/>
    <m/>
    <x v="1"/>
    <d v="2022-01-28T00:00:00"/>
    <d v="2022-02-09T00:00:00"/>
    <m/>
    <m/>
    <m/>
    <m/>
    <n v="125000000"/>
    <m/>
    <m/>
    <m/>
    <m/>
    <m/>
    <m/>
    <m/>
  </r>
  <r>
    <s v="INVERSIÓN"/>
    <s v="TI"/>
    <s v="TSI"/>
    <s v="Mantenimiento de ETP (Equipos Tecnologicos y Perifericos)"/>
    <n v="20000000"/>
    <n v="20000000"/>
    <m/>
    <m/>
    <m/>
    <x v="2"/>
    <d v="2022-02-11T00:00:00"/>
    <d v="2022-02-23T00:00:00"/>
    <m/>
    <m/>
    <n v="20000000"/>
    <m/>
    <m/>
    <m/>
    <m/>
    <m/>
    <m/>
    <m/>
    <m/>
    <m/>
  </r>
  <r>
    <s v="INVERSIÓN"/>
    <s v="TI"/>
    <s v="TSI"/>
    <s v="Servicios de soporte y mantenimiento para Impresoras y Escaners, así como el suministros de insumos."/>
    <n v="15000000"/>
    <n v="15000000"/>
    <m/>
    <m/>
    <m/>
    <x v="2"/>
    <d v="2022-02-11T00:00:00"/>
    <d v="2022-02-23T00:00:00"/>
    <m/>
    <m/>
    <n v="15000000"/>
    <m/>
    <m/>
    <m/>
    <m/>
    <m/>
    <m/>
    <m/>
    <m/>
    <m/>
  </r>
  <r>
    <s v="INVERSIÓN"/>
    <s v="TI"/>
    <s v="TSI"/>
    <s v="Renovar el soporte y mantenimiento para contar con las últimas actualizaciones y soporte especializado y contar con una bolsa de horas disponibles para nuevos desarrollos y ajustes a los aplicativos de acuerdo a las necesidades de la entidad."/>
    <n v="260000000"/>
    <n v="260000000"/>
    <m/>
    <m/>
    <m/>
    <x v="7"/>
    <d v="2022-03-04T00:00:00"/>
    <d v="2022-03-16T00:00:00"/>
    <m/>
    <m/>
    <m/>
    <m/>
    <m/>
    <m/>
    <n v="260000000"/>
    <m/>
    <m/>
    <m/>
    <m/>
    <m/>
  </r>
  <r>
    <s v="INVERSIÓN"/>
    <s v="TI"/>
    <s v="TSI"/>
    <s v="Herramienta Integral de inventarios, almacén y propiedad planta y equipo"/>
    <n v="40000000"/>
    <n v="40000000"/>
    <m/>
    <m/>
    <m/>
    <x v="3"/>
    <d v="2022-08-08T00:00:00"/>
    <d v="2022-08-20T00:00:00"/>
    <m/>
    <m/>
    <m/>
    <m/>
    <m/>
    <m/>
    <m/>
    <m/>
    <n v="40000000"/>
    <m/>
    <m/>
    <m/>
  </r>
  <r>
    <s v="INVERSIÓN"/>
    <s v="TI"/>
    <s v="TSI"/>
    <s v="Herramienta Integral de gestión humana y administrativa - Soporte Lógico"/>
    <n v="51282541.25"/>
    <n v="51780432"/>
    <s v="SOPORTE LÓGICO"/>
    <s v="1122_x000a_04 ene"/>
    <s v="8022_x000a_25 ene"/>
    <x v="3"/>
    <d v="2021-12-17T00:00:00"/>
    <d v="2022-01-12T00:00:00"/>
    <n v="51780432"/>
    <m/>
    <m/>
    <m/>
    <m/>
    <m/>
    <m/>
    <m/>
    <m/>
    <m/>
    <m/>
    <m/>
  </r>
  <r>
    <s v="INVERSIÓN"/>
    <s v="TI"/>
    <s v="TSI"/>
    <s v="Herramienta de Gestión Estratégica: Renovación del servicio de actualización, soporte y mantenimiento de la Herramienta de Gestión Estratégica."/>
    <n v="16600000"/>
    <n v="16674280"/>
    <s v="ITS SOLUCIONES ESTRATÉGICAS"/>
    <s v="5722_x000a_12 ene"/>
    <s v="5422_x000a_20 ene"/>
    <x v="3"/>
    <d v="2021-12-17T00:00:00"/>
    <d v="2022-01-12T00:00:00"/>
    <n v="16674280"/>
    <m/>
    <m/>
    <m/>
    <m/>
    <m/>
    <m/>
    <m/>
    <m/>
    <m/>
    <m/>
    <m/>
  </r>
  <r>
    <s v="INVERSIÓN"/>
    <s v="TI"/>
    <s v="TSI"/>
    <s v="Asistente Virtual: Renovación del servicio de actualización, soporte y mantenimiento para cuatro (4) licencias del sistema de atención virtual Agenti."/>
    <n v="27810000"/>
    <n v="27810000"/>
    <m/>
    <m/>
    <m/>
    <x v="3"/>
    <d v="2022-09-23T00:00:00"/>
    <d v="2022-10-05T00:00:00"/>
    <m/>
    <m/>
    <m/>
    <m/>
    <m/>
    <m/>
    <m/>
    <m/>
    <m/>
    <n v="27810000"/>
    <m/>
    <m/>
  </r>
  <r>
    <s v="INVERSIÓN"/>
    <s v="TI"/>
    <s v="TSI"/>
    <s v="Fábrica de software. Desarrollador Senior"/>
    <n v="127308000"/>
    <n v="127308000"/>
    <s v="ALEJANDRO OSORIO"/>
    <s v="6322_x000a_13 ene"/>
    <s v="5622_x000a_20 ene"/>
    <x v="3"/>
    <d v="2021-12-17T00:00:00"/>
    <d v="2022-01-12T00:00:00"/>
    <n v="127308000"/>
    <m/>
    <m/>
    <m/>
    <m/>
    <m/>
    <m/>
    <m/>
    <m/>
    <m/>
    <m/>
    <m/>
  </r>
  <r>
    <s v="INVERSIÓN"/>
    <s v="TI"/>
    <s v="TSI"/>
    <s v="Fábrica de software. Desarrollador Junior"/>
    <n v="101846400"/>
    <n v="101846400"/>
    <s v="BRAYAN SILVA"/>
    <s v="6222_x000a_13 ene"/>
    <s v="3922_x000a_17 ene"/>
    <x v="3"/>
    <d v="2021-12-17T00:00:00"/>
    <d v="2022-01-12T00:00:00"/>
    <n v="101846400"/>
    <m/>
    <m/>
    <m/>
    <m/>
    <m/>
    <m/>
    <m/>
    <m/>
    <m/>
    <m/>
    <m/>
  </r>
  <r>
    <s v="INVERSIÓN"/>
    <s v="TI"/>
    <s v="TSI"/>
    <s v="Fábrica de software. Desarrollador Junior"/>
    <n v="101846400"/>
    <n v="101846400"/>
    <s v="JOHANN RINCÓN"/>
    <s v="1322_x000a_04 ene"/>
    <s v="6922_x000a_21 ene"/>
    <x v="3"/>
    <d v="2021-12-17T00:00:00"/>
    <d v="2022-01-12T00:00:00"/>
    <n v="101846400"/>
    <m/>
    <m/>
    <m/>
    <m/>
    <m/>
    <m/>
    <m/>
    <m/>
    <m/>
    <m/>
    <m/>
  </r>
  <r>
    <s v="INVERSIÓN"/>
    <s v="TI"/>
    <s v="TSI"/>
    <s v="Fábrica de software. Desarrollador Senior"/>
    <n v="127308000"/>
    <n v="127308000"/>
    <s v="SANDRA YANETH MORENO"/>
    <s v="2122_x000a_04 ene"/>
    <s v="3822_x000a_17 ene"/>
    <x v="3"/>
    <d v="2021-12-17T00:00:00"/>
    <d v="2022-01-12T00:00:00"/>
    <n v="127308000"/>
    <m/>
    <m/>
    <m/>
    <m/>
    <m/>
    <m/>
    <m/>
    <m/>
    <m/>
    <m/>
    <m/>
  </r>
  <r>
    <s v="INVERSIÓN"/>
    <s v="TI"/>
    <s v="TSI"/>
    <s v="Fábrica de software. Desarrollador Senior"/>
    <n v="127308000"/>
    <n v="127308000"/>
    <s v="CARLOS ANDRÉS GÓMEZ"/>
    <s v="1222_x000a_04 ene"/>
    <s v="7022_x000a_21 ene"/>
    <x v="3"/>
    <d v="2021-12-17T00:00:00"/>
    <d v="2022-01-12T00:00:00"/>
    <n v="127308000"/>
    <m/>
    <m/>
    <m/>
    <m/>
    <m/>
    <m/>
    <m/>
    <m/>
    <m/>
    <m/>
    <m/>
  </r>
  <r>
    <s v="INVERSIÓN"/>
    <s v="TI"/>
    <s v="TSI"/>
    <s v="Fábrica de software. Desarrollador Senior"/>
    <n v="127308000"/>
    <n v="127308000"/>
    <s v="OMAR DUARTE"/>
    <s v="422_x000a_04 ene"/>
    <s v="6122_x000a_21 ene"/>
    <x v="3"/>
    <d v="2021-12-17T00:00:00"/>
    <d v="2022-01-12T00:00:00"/>
    <n v="127308000"/>
    <m/>
    <m/>
    <m/>
    <m/>
    <m/>
    <m/>
    <m/>
    <m/>
    <m/>
    <m/>
    <m/>
  </r>
  <r>
    <s v="INVERSIÓN"/>
    <s v="TI"/>
    <s v="TSI"/>
    <s v="Fábrica de software. Analista de Pruebas"/>
    <n v="89115600"/>
    <n v="89115600"/>
    <s v="HANSON GARZÓN"/>
    <s v="922_x000a_04 ene"/>
    <s v="1122_x000a_11 ene"/>
    <x v="3"/>
    <d v="2021-12-17T00:00:00"/>
    <d v="2022-01-12T00:00:00"/>
    <n v="89115600"/>
    <m/>
    <m/>
    <m/>
    <m/>
    <m/>
    <m/>
    <m/>
    <m/>
    <m/>
    <m/>
    <m/>
  </r>
  <r>
    <s v="INVERSIÓN"/>
    <s v="TI"/>
    <s v="TSI"/>
    <s v="Fábrica de software. Arquitecto de Solución"/>
    <n v="108211800"/>
    <n v="108211800"/>
    <s v="HELDER CERÓN"/>
    <s v="3022_x000a_05 ene"/>
    <s v="1022_x000a_11 ene"/>
    <x v="3"/>
    <d v="2021-12-17T00:00:00"/>
    <d v="2022-01-12T00:00:00"/>
    <n v="108211800"/>
    <m/>
    <m/>
    <m/>
    <m/>
    <m/>
    <m/>
    <m/>
    <m/>
    <m/>
    <m/>
    <m/>
  </r>
  <r>
    <s v="INVERSIÓN"/>
    <s v="TI"/>
    <s v="TSI"/>
    <s v="Apoyo Gestión de Gobierno Digital y Seguridad de la Información"/>
    <n v="129000000"/>
    <n v="129000000"/>
    <s v="JUAN NICOLÁS AYALA"/>
    <s v="4222_x000a_06 ene"/>
    <s v="5822_x000a_21 ene"/>
    <x v="3"/>
    <d v="2021-12-17T00:00:00"/>
    <d v="2022-01-12T00:00:00"/>
    <n v="129000000"/>
    <m/>
    <m/>
    <m/>
    <m/>
    <m/>
    <m/>
    <m/>
    <m/>
    <m/>
    <m/>
    <m/>
  </r>
  <r>
    <s v="INVERSIÓN"/>
    <s v="TI"/>
    <s v="TSI"/>
    <s v="Apoyo en la gestión de los portales web de la CRC (Web Master)"/>
    <n v="120000000"/>
    <n v="120000000"/>
    <s v="JONATHAN MIRANDA"/>
    <s v="4122_x000a_06 ene"/>
    <s v="5122_x000a_20 ene"/>
    <x v="3"/>
    <d v="2021-12-17T00:00:00"/>
    <d v="2022-01-12T00:00:00"/>
    <n v="120000000"/>
    <m/>
    <m/>
    <m/>
    <m/>
    <m/>
    <m/>
    <m/>
    <m/>
    <m/>
    <m/>
    <m/>
  </r>
  <r>
    <s v="INVERSIÓN"/>
    <s v="TI"/>
    <s v="TSI"/>
    <s v="Fábrica de software. Analista de Pruebas"/>
    <n v="72000000"/>
    <n v="68400000"/>
    <s v="MARÍA CAMPOS"/>
    <s v="7522_x000a_17 ene"/>
    <s v="5922_x000a_21 ene"/>
    <x v="3"/>
    <d v="2021-12-17T00:00:00"/>
    <d v="2022-01-12T00:00:00"/>
    <n v="68400000"/>
    <m/>
    <m/>
    <m/>
    <m/>
    <m/>
    <m/>
    <m/>
    <m/>
    <m/>
    <m/>
    <m/>
  </r>
  <r>
    <s v="INVERSIÓN"/>
    <s v="TI"/>
    <s v="TSI"/>
    <s v="Mailing: Contratar una aplicación por servicios (SaaS) para el envío masivo de correos (mailing) para la ejecución de actividades de comunicación externa y digital de la Comisión de Regulación de Comunicaciones,"/>
    <n v="7000000"/>
    <n v="6442820"/>
    <m/>
    <s v="8522_x000a_28 ene"/>
    <m/>
    <x v="2"/>
    <d v="2022-01-07T00:00:00"/>
    <d v="2022-01-27T00:00:00"/>
    <m/>
    <n v="6442820"/>
    <m/>
    <m/>
    <m/>
    <m/>
    <m/>
    <m/>
    <m/>
    <m/>
    <m/>
    <m/>
  </r>
  <r>
    <s v="INVERSIÓN"/>
    <s v="TI"/>
    <s v="TSI"/>
    <s v="Mesa de Servicios CRC: Adquisición de una nueva herramienta más integral para la gestión de Tecnología (Mesa de Servicios, Gestión de Cambios, Gestión de Problemas, Indicadores)"/>
    <n v="120000000"/>
    <n v="120000000"/>
    <m/>
    <m/>
    <m/>
    <x v="1"/>
    <d v="2022-05-13T00:00:00"/>
    <d v="2022-05-25T00:00:00"/>
    <m/>
    <m/>
    <m/>
    <m/>
    <m/>
    <m/>
    <m/>
    <n v="120000000"/>
    <m/>
    <m/>
    <m/>
    <m/>
  </r>
  <r>
    <s v="INVERSIÓN"/>
    <s v="TI"/>
    <s v="TSI"/>
    <s v="Herramienta de Monitoreo Servicios Tecnológicos: Adquisición de una nueva herramienta  que permita Monitorear toda la Infraestrcutura y Servicios Tecnológicos de la CRC"/>
    <n v="100000000"/>
    <n v="100000000"/>
    <m/>
    <m/>
    <m/>
    <x v="1"/>
    <d v="2022-02-18T00:00:00"/>
    <d v="2022-03-02T00:00:00"/>
    <m/>
    <m/>
    <m/>
    <m/>
    <n v="100000000"/>
    <m/>
    <m/>
    <m/>
    <m/>
    <m/>
    <m/>
    <m/>
  </r>
  <r>
    <s v="INVERSIÓN"/>
    <s v="TI"/>
    <s v="TSI"/>
    <s v="Modernización de Firewall y Access Point: Garantizar  la seguridad informática de la CRc así como las mejoras en los accesos de conectividad. (Incluye Monitoreo IPV6)"/>
    <n v="220000000"/>
    <n v="220000000"/>
    <m/>
    <m/>
    <m/>
    <x v="1"/>
    <d v="2022-03-11T00:00:00"/>
    <d v="2022-03-23T00:00:00"/>
    <m/>
    <m/>
    <m/>
    <m/>
    <m/>
    <n v="220000000"/>
    <m/>
    <m/>
    <m/>
    <m/>
    <m/>
    <m/>
  </r>
  <r>
    <s v="INVERSIÓN"/>
    <s v="TI"/>
    <s v="TSI"/>
    <s v="Adquisición/Renovación Certificados firmas digitales GAYF: Suministrar nueve (9) certificados de firma digital para el sistema SIIF Nación, el sistema de la expedición de la certificación electrónica de tiempos laborales (CETIL) del Ministerio de Hacienda con vigencia de dos (2) años, que incluya una (1) reposición de Token por usuario sin costo adicional por motivo de pérdida, cambio titular, bloqueo, daño físico durante la vigencia para la Comisión de Regulación de Comunicaciones"/>
    <n v="2000000"/>
    <n v="2000000"/>
    <m/>
    <m/>
    <m/>
    <x v="2"/>
    <d v="2022-04-15T00:00:00"/>
    <d v="2022-04-27T00:00:00"/>
    <m/>
    <m/>
    <m/>
    <m/>
    <n v="2000000"/>
    <m/>
    <m/>
    <m/>
    <m/>
    <m/>
    <m/>
    <m/>
  </r>
  <r>
    <s v="INVERSIÓN"/>
    <s v="TI"/>
    <s v="TSI"/>
    <s v="Apoyo especializado en desarrollo de actividades de implementación de la estrategia de gobierno digital en la CRC"/>
    <n v="200000000"/>
    <n v="200000000"/>
    <m/>
    <m/>
    <m/>
    <x v="7"/>
    <d v="2022-05-20T00:00:00"/>
    <d v="2022-06-01T00:00:00"/>
    <m/>
    <m/>
    <m/>
    <m/>
    <m/>
    <m/>
    <m/>
    <n v="200000000"/>
    <m/>
    <m/>
    <m/>
    <m/>
  </r>
  <r>
    <s v="INVERSIÓN"/>
    <s v="TI"/>
    <s v="TSI"/>
    <s v="Renovación de Portátiles: Renovar un lote de 40 portátiles para suplir los equipos que ya cumplieron su ciclo de vida y el soporte del fabricante."/>
    <n v="100000000"/>
    <n v="100000000"/>
    <m/>
    <m/>
    <m/>
    <x v="5"/>
    <d v="2022-04-15T00:00:00"/>
    <d v="2022-04-27T00:00:00"/>
    <m/>
    <m/>
    <m/>
    <m/>
    <m/>
    <n v="100000000"/>
    <m/>
    <m/>
    <m/>
    <m/>
    <m/>
    <m/>
  </r>
  <r>
    <s v="INVERSIÓN"/>
    <s v="TI"/>
    <s v="TSI"/>
    <s v="Fábrica de software. Desarrollador Programa Misión TIC"/>
    <n v="30900000"/>
    <n v="30900000"/>
    <s v="YAMID ORTÍZ"/>
    <s v="322_x000a_04 ene"/>
    <s v="922_x000a_11 ene"/>
    <x v="3"/>
    <d v="2021-03-24T00:00:00"/>
    <d v="2021-04-07T00:00:00"/>
    <n v="30900000"/>
    <m/>
    <m/>
    <m/>
    <m/>
    <m/>
    <m/>
    <m/>
    <m/>
    <m/>
    <m/>
    <m/>
  </r>
  <r>
    <s v="INVERSIÓN"/>
    <s v="TI"/>
    <s v="TSI"/>
    <s v="Pruebas ethical hacking y horas de remediación: Bolsa de acompañamiento de remediación y consultoria (120 Horas)"/>
    <n v="50000000"/>
    <n v="50000000"/>
    <m/>
    <m/>
    <m/>
    <x v="1"/>
    <d v="2022-06-03T00:00:00"/>
    <d v="2022-06-15T00:00:00"/>
    <m/>
    <m/>
    <m/>
    <m/>
    <m/>
    <m/>
    <m/>
    <n v="50000000"/>
    <m/>
    <m/>
    <m/>
    <m/>
  </r>
  <r>
    <s v="INVERSIÓN"/>
    <s v="TI"/>
    <s v="TSI"/>
    <s v="Transformación Digital"/>
    <n v="300000000"/>
    <n v="300000000"/>
    <m/>
    <m/>
    <m/>
    <x v="7"/>
    <d v="2022-02-04T00:00:00"/>
    <d v="2022-02-16T00:00:00"/>
    <m/>
    <m/>
    <m/>
    <m/>
    <n v="300000000"/>
    <m/>
    <m/>
    <m/>
    <m/>
    <m/>
    <m/>
    <m/>
  </r>
  <r>
    <s v="FUNCIONAMIENTO"/>
    <s v="GASTOS DE PERSONAL"/>
    <s v="GAF"/>
    <s v="Salario y remuneraciones no constitutivas"/>
    <n v="14911687000"/>
    <m/>
    <m/>
    <m/>
    <m/>
    <x v="6"/>
    <m/>
    <m/>
    <n v="894133602"/>
    <n v="959034420"/>
    <n v="959034420"/>
    <n v="1060034420"/>
    <n v="1395360420"/>
    <n v="1142690100"/>
    <n v="1541382420"/>
    <n v="1261552420"/>
    <n v="1402331260"/>
    <n v="1261552420"/>
    <n v="1377690100"/>
    <n v="2803920600"/>
  </r>
  <r>
    <s v="FUNCIONAMIENTO"/>
    <s v="GASTOS DE PERSONAL"/>
    <s v="GAF"/>
    <s v="Contribuciones inherentes a la nómina"/>
    <n v="4710166000"/>
    <m/>
    <m/>
    <m/>
    <m/>
    <x v="6"/>
    <m/>
    <m/>
    <n v="336800000"/>
    <n v="340000000"/>
    <n v="340000000"/>
    <n v="340000000"/>
    <n v="364684000"/>
    <n v="364684000"/>
    <n v="364684000"/>
    <n v="364684000"/>
    <n v="364684000"/>
    <n v="364684000"/>
    <n v="364684000"/>
    <n v="364684000"/>
  </r>
  <r>
    <s v="FUNCIONAMIENTO"/>
    <s v="GASTOS DE PERSONAL"/>
    <s v="GAF"/>
    <s v="Remuneraciones no constitutivas de factor salarial - Estímulos"/>
    <n v="25000000"/>
    <m/>
    <m/>
    <m/>
    <m/>
    <x v="6"/>
    <m/>
    <m/>
    <m/>
    <m/>
    <m/>
    <m/>
    <m/>
    <m/>
    <m/>
    <m/>
    <m/>
    <m/>
    <m/>
    <n v="25000000"/>
  </r>
  <r>
    <s v="FUNCIONAMIENTO"/>
    <s v="GASTOS DE PERSONAL"/>
    <s v="GAF"/>
    <s v="4*1000 Gastos de Personal"/>
    <n v="5000000"/>
    <m/>
    <m/>
    <m/>
    <m/>
    <x v="6"/>
    <m/>
    <m/>
    <m/>
    <m/>
    <m/>
    <m/>
    <m/>
    <m/>
    <m/>
    <m/>
    <m/>
    <m/>
    <m/>
    <n v="5000000"/>
  </r>
  <r>
    <s v="FUNCIONAMIENTO"/>
    <s v="GASTOS DE PERSONAL"/>
    <s v="GAF"/>
    <s v="4*1000 Contribuciones"/>
    <n v="20000000"/>
    <m/>
    <m/>
    <m/>
    <m/>
    <x v="6"/>
    <m/>
    <m/>
    <m/>
    <m/>
    <m/>
    <m/>
    <m/>
    <m/>
    <m/>
    <m/>
    <m/>
    <m/>
    <m/>
    <n v="20000000"/>
  </r>
  <r>
    <s v="FUNCIONAMIENTO"/>
    <s v="GASTOS DE PERSONAL"/>
    <s v="GAF"/>
    <s v="Previo Concepto Gastos de Personal"/>
    <n v="912774000"/>
    <m/>
    <m/>
    <m/>
    <m/>
    <x v="6"/>
    <m/>
    <m/>
    <m/>
    <m/>
    <m/>
    <m/>
    <m/>
    <m/>
    <m/>
    <m/>
    <m/>
    <m/>
    <m/>
    <n v="0"/>
  </r>
  <r>
    <s v="FUNCIONAMIENTO"/>
    <s v="ADQUISICIÓN DE BIENES Y SERVICIOS"/>
    <s v="GAF"/>
    <s v="Servicios profesionales especializados para la elaboración de un concepto respecto a la obligación de la CRC de aplicar retención de IVA en contratossuscritos con empresas en el extranjero"/>
    <n v="3500000"/>
    <n v="3500000"/>
    <s v="CAMILO GUZMÁN"/>
    <s v="3322_x000a_05 ene"/>
    <s v="1422_x000a_12 ene"/>
    <x v="3"/>
    <d v="2022-01-07T00:00:00"/>
    <d v="2022-01-19T00:00:00"/>
    <n v="3500000"/>
    <m/>
    <m/>
    <m/>
    <m/>
    <m/>
    <m/>
    <m/>
    <m/>
    <m/>
    <m/>
    <m/>
  </r>
  <r>
    <s v="FUNCIONAMIENTO"/>
    <s v="ADQUISICIÓN DE BIENES Y SERVICIOS"/>
    <s v="GAF"/>
    <s v="Servicios profesionales especializados en el apoyo técnico, para la estructuración de los procesos de contratación, necesarios para las reparaciones locativas y actualización de redes de los pisos 8, 9 y 10 de las instalaciones de Comisión de Regulación de Comunicaciones – CRC, así como el apoyo a la supervisión de los contratos que resulten de los mismos."/>
    <n v="129960000"/>
    <n v="129960000"/>
    <s v="RENATO GONZÁLEZ"/>
    <s v="3422_x000a_05 ene"/>
    <s v="2322_x000a_14 ene"/>
    <x v="3"/>
    <d v="2021-12-17T00:00:00"/>
    <d v="2022-01-12T00:00:00"/>
    <n v="129960000"/>
    <m/>
    <m/>
    <m/>
    <m/>
    <m/>
    <m/>
    <m/>
    <m/>
    <m/>
    <m/>
    <m/>
  </r>
  <r>
    <s v="FUNCIONAMIENTO"/>
    <s v="ADQUISICIÓN DE BIENES Y SERVICIOS"/>
    <s v="GAF"/>
    <s v="Adquisición del seguro obligatorio de accidentes de tránsito -SOAT para los ocho (8) vehículos de propiedad de la CRC. "/>
    <n v="5000000"/>
    <n v="4000000"/>
    <m/>
    <m/>
    <m/>
    <x v="2"/>
    <d v="2022-05-06T00:00:00"/>
    <d v="2022-05-18T00:00:00"/>
    <m/>
    <m/>
    <m/>
    <m/>
    <m/>
    <m/>
    <m/>
    <n v="4000000"/>
    <m/>
    <m/>
    <m/>
    <m/>
  </r>
  <r>
    <s v="FUNCIONAMIENTO"/>
    <s v="ADQUISICIÓN DE BIENES Y SERVICIOS"/>
    <s v="GAF"/>
    <s v="Ejecutar las obras de reparaciones locativas de los pisos 8, 9 y 10 del Edificio Link Siete Sesenta, propiedad de la Comisión de Regulación de Comunicaciones, bajo la modalidad de precios unitarios fijos."/>
    <n v="2140000000"/>
    <n v="2123012298"/>
    <m/>
    <m/>
    <m/>
    <x v="0"/>
    <d v="2021-12-24T00:00:00"/>
    <d v="2022-01-12T00:00:00"/>
    <m/>
    <m/>
    <m/>
    <n v="2123012298"/>
    <m/>
    <m/>
    <m/>
    <m/>
    <m/>
    <m/>
    <m/>
    <m/>
  </r>
  <r>
    <s v="FUNCIONAMIENTO"/>
    <s v="ADQUISICIÓN DE BIENES Y SERVICIOS"/>
    <s v="GAF"/>
    <s v="Realizar la interventoría técnica, administrativa, financiera, ambiental, contable y jurídica, para el contrato de obra de reparaciones locativas de los pisos 8, 9 y 10 del edificio link siete sesenta, propiedad de la Comisión de Regulación de Comunicaciones."/>
    <n v="210000000"/>
    <n v="204815410"/>
    <m/>
    <m/>
    <m/>
    <x v="7"/>
    <d v="2021-12-17T00:00:00"/>
    <d v="2022-01-12T00:00:00"/>
    <m/>
    <m/>
    <m/>
    <n v="204815410"/>
    <m/>
    <m/>
    <m/>
    <m/>
    <m/>
    <m/>
    <m/>
    <m/>
  </r>
  <r>
    <s v="FUNCIONAMIENTO"/>
    <s v="ADQUISICIÓN DE BIENES Y SERVICIOS"/>
    <s v="GAF"/>
    <s v="Servicio de mantenimiento preventivo y correctivo, incluido mano de obra calificada y el suministro de repuestos originales nuevos, otros insumos y otros servicios para los vehículos de propiedad de la Comisión de Regulación de Comunicaciones."/>
    <n v="20000000"/>
    <n v="20000000"/>
    <m/>
    <m/>
    <m/>
    <x v="2"/>
    <d v="2022-01-07T00:00:00"/>
    <d v="2022-01-19T00:00:00"/>
    <m/>
    <m/>
    <n v="20000000"/>
    <m/>
    <m/>
    <m/>
    <m/>
    <m/>
    <m/>
    <m/>
    <m/>
    <m/>
  </r>
  <r>
    <s v="FUNCIONAMIENTO"/>
    <s v="ADQUISICIÓN DE BIENES Y SERVICIOS"/>
    <s v="GAF"/>
    <s v="Servicio integral de aseo, cafetería, mantenimiento y suministros para la Comisión de Regulación de Comunicaciones (Contrato Actual)"/>
    <n v="36571208"/>
    <n v="36571208"/>
    <m/>
    <m/>
    <m/>
    <x v="4"/>
    <m/>
    <m/>
    <n v="36571208"/>
    <m/>
    <m/>
    <m/>
    <m/>
    <m/>
    <m/>
    <m/>
    <m/>
    <m/>
    <m/>
    <m/>
  </r>
  <r>
    <s v="FUNCIONAMIENTO"/>
    <s v="ADQUISICIÓN DE BIENES Y SERVICIOS"/>
    <s v="GAF"/>
    <s v="Servicio integral de aseo, cafetería, mantenimiento y suministros para la Comisión de Regulación de Comunicaciones"/>
    <n v="119999792"/>
    <n v="109740000"/>
    <m/>
    <m/>
    <m/>
    <x v="5"/>
    <d v="2022-06-03T00:00:00"/>
    <d v="2022-06-15T00:00:00"/>
    <m/>
    <m/>
    <n v="109740000"/>
    <m/>
    <m/>
    <m/>
    <n v="109740000"/>
    <m/>
    <m/>
    <m/>
    <m/>
    <m/>
  </r>
  <r>
    <s v="FUNCIONAMIENTO"/>
    <s v="ADQUISICIÓN DE BIENES Y SERVICIOS"/>
    <s v="GAF"/>
    <s v="Suministro de combustible para los ocho (8) vehículos de propiedad de la CRC"/>
    <n v="14000000"/>
    <n v="14000000"/>
    <m/>
    <s v="8022_x000a_27 ene"/>
    <m/>
    <x v="5"/>
    <d v="2022-01-07T00:00:00"/>
    <d v="2022-01-19T00:00:00"/>
    <m/>
    <n v="14000000"/>
    <m/>
    <m/>
    <m/>
    <m/>
    <m/>
    <m/>
    <m/>
    <m/>
    <m/>
    <m/>
  </r>
  <r>
    <s v="FUNCIONAMIENTO"/>
    <s v="ADQUISICIÓN DE BIENES Y SERVICIOS"/>
    <s v="GAF"/>
    <s v="Servicio de recepcionistas, apoyo administrativo y conductor para la Comisión de Regulación de Comunicaciones. (Contrato Actual)"/>
    <n v="106084635"/>
    <n v="106084635"/>
    <m/>
    <m/>
    <m/>
    <x v="4"/>
    <m/>
    <m/>
    <n v="106084635"/>
    <m/>
    <m/>
    <m/>
    <m/>
    <m/>
    <m/>
    <m/>
    <m/>
    <m/>
    <m/>
    <m/>
  </r>
  <r>
    <s v="FUNCIONAMIENTO"/>
    <s v="ADQUISICIÓN DE BIENES Y SERVICIOS"/>
    <s v="GAF"/>
    <s v="Servicio de recepcionistas, apoyo administrativo y conductor para la Comisión de Regulación de Comunicaciones."/>
    <n v="80000365"/>
    <n v="75774800"/>
    <m/>
    <m/>
    <m/>
    <x v="0"/>
    <d v="2022-06-03T00:00:00"/>
    <d v="2022-06-15T00:00:00"/>
    <m/>
    <m/>
    <m/>
    <m/>
    <m/>
    <m/>
    <m/>
    <n v="75774800"/>
    <m/>
    <m/>
    <m/>
    <m/>
  </r>
  <r>
    <s v="FUNCIONAMIENTO"/>
    <s v="ADQUISICIÓN DE BIENES Y SERVICIOS"/>
    <s v="GAF"/>
    <s v="Servicio de almacenamiento, la custodia y la organización del archivo de la Comisión de Regulación de Comunicaciones. (Contrato actual)"/>
    <n v="14135746"/>
    <n v="14135746"/>
    <m/>
    <m/>
    <m/>
    <x v="4"/>
    <m/>
    <m/>
    <n v="14135746"/>
    <m/>
    <m/>
    <m/>
    <m/>
    <m/>
    <m/>
    <m/>
    <m/>
    <m/>
    <m/>
    <m/>
  </r>
  <r>
    <s v="FUNCIONAMIENTO"/>
    <s v="ADQUISICIÓN DE BIENES Y SERVICIOS"/>
    <s v="GAF"/>
    <s v="Servicio de almacenamiento, la custodia y la organización del archivo de la Comisión de Regulación de Comunicaciones. "/>
    <n v="15864254"/>
    <n v="11000000"/>
    <m/>
    <m/>
    <m/>
    <x v="1"/>
    <d v="2022-06-03T00:00:00"/>
    <d v="2022-06-15T00:00:00"/>
    <m/>
    <m/>
    <m/>
    <m/>
    <m/>
    <m/>
    <n v="11000000"/>
    <m/>
    <m/>
    <m/>
    <m/>
    <m/>
  </r>
  <r>
    <s v="FUNCIONAMIENTO"/>
    <s v="ADQUISICIÓN DE BIENES Y SERVICIOS"/>
    <s v="GAF"/>
    <s v="Contratar los seguros que amparen los intereses patrimoniales actuales y futuros, así como los bienes de propiedad de la Comisión de Regulación de Comunicaciones (CRC), que estén bajo su responsabilidad y custodia y aquellos que sean adquiridos para desarrollar las funciones inherentes a su actividad y cualquier otra póliza de seguros que requiera la entidad en el desarrollo de su actividad. (Todo Riesgo Daños Materiales, Transporte de Valores, Manejo Global Entidades Estatales, Infidelidad y Riesgos Financieros, Responsabilidad Civil Extracontractual, Responsabilidad Civil Servidores Públicos)"/>
    <n v="370000000"/>
    <n v="200000000"/>
    <m/>
    <m/>
    <m/>
    <x v="0"/>
    <d v="2022-07-08T00:00:00"/>
    <d v="2022-07-20T00:00:00"/>
    <m/>
    <m/>
    <m/>
    <m/>
    <m/>
    <m/>
    <m/>
    <m/>
    <m/>
    <m/>
    <m/>
    <n v="200000000"/>
  </r>
  <r>
    <s v="FUNCIONAMIENTO"/>
    <s v="ADQUISICIÓN DE BIENES Y SERVICIOS"/>
    <s v="GAF"/>
    <s v="Contratar los seguros que amparen los intereses patrimoniales actuales y futuros, así como los bienes de propiedad de la Comisión de Regulación de Comunicaciones (CRC), que estén bajo su responsabilidad y custodia y aquellos que sean adquiridos para desarrollar las funciones inherentes a su actividad y cualquier otra póliza de seguros que requiera la entidad en el desarrollo de su actividad.(Responsabilidad Civil Protección de datos)"/>
    <n v="100000000"/>
    <n v="80000000"/>
    <m/>
    <m/>
    <m/>
    <x v="1"/>
    <d v="2022-02-04T00:00:00"/>
    <d v="2022-02-16T00:00:00"/>
    <m/>
    <m/>
    <m/>
    <n v="80000000"/>
    <m/>
    <m/>
    <m/>
    <m/>
    <m/>
    <m/>
    <m/>
    <m/>
  </r>
  <r>
    <s v="FUNCIONAMIENTO"/>
    <s v="ADQUISICIÓN DE BIENES Y SERVICIOS"/>
    <s v="GAF"/>
    <s v="Contratar la póliza de los ocho (8) vehículos que los proteja de los riesgos asociados a la conducción, como los daños por accidentes de tránsito, el hurto de los vehículos, los daños ocasionados a bienes de terceros y la muerte o lesiones ocasionados a terceros como consecuencia de un accidente de tránsito por los que sean legalmente responsable."/>
    <n v="15000000"/>
    <n v="12000000"/>
    <m/>
    <m/>
    <m/>
    <x v="2"/>
    <d v="2022-05-06T00:00:00"/>
    <d v="2022-05-18T00:00:00"/>
    <m/>
    <m/>
    <m/>
    <m/>
    <m/>
    <m/>
    <m/>
    <n v="12000000"/>
    <m/>
    <m/>
    <m/>
    <m/>
  </r>
  <r>
    <s v="FUNCIONAMIENTO"/>
    <s v="ADQUISICIÓN DE BIENES Y SERVICIOS"/>
    <s v="GAF"/>
    <s v="Servicios profesionales para brindar apoyo a la gestión y asesoría técnica especializada en las actividades anuales de medición, seguimiento y evaluación del Plan de Gestión Ambiental, Política y Objetivos ambientales de la Comisión de Regulación de Comunicaciones en 2022, alineado con el sistema de responsablidad social institucional de la CRC"/>
    <n v="40000000"/>
    <n v="39338172"/>
    <s v="LUIS FELIPE CALA"/>
    <s v="2222_x000a_05 ene"/>
    <s v="6522_x000a_21 ene"/>
    <x v="3"/>
    <d v="2021-12-17T00:00:00"/>
    <d v="2022-01-12T00:00:00"/>
    <n v="39338172"/>
    <m/>
    <m/>
    <m/>
    <m/>
    <m/>
    <m/>
    <m/>
    <m/>
    <m/>
    <m/>
    <m/>
  </r>
  <r>
    <s v="FUNCIONAMIENTO"/>
    <s v="ADQUISICIÓN DE BIENES Y SERVICIOS"/>
    <s v="GAF"/>
    <s v="Servicios profesionales para brindar apoyo a la Coordinación de Gestión Administrativa y Financiera, en las actividades propias del proceso de Talento Humano que se requieran en virtud del Plan de Acción y los diferentes planes de Gestión Humana, relacionados con la gestión de nómina de la entidad, así como con temas de gestión financiera relacionados principalmente con auditorías tributarias que permitan el cumplimiento de las metas establecidas al respecto en el plan de acción 2022."/>
    <n v="60000000"/>
    <n v="60000000"/>
    <s v="MARIO SUESCÚN"/>
    <s v="4622_x000a_11 ene"/>
    <s v="1522_x000a_13 ene"/>
    <x v="3"/>
    <d v="2021-12-17T00:00:00"/>
    <d v="2022-01-12T00:00:00"/>
    <n v="60000000"/>
    <m/>
    <m/>
    <m/>
    <m/>
    <m/>
    <m/>
    <m/>
    <m/>
    <m/>
    <m/>
    <m/>
  </r>
  <r>
    <s v="FUNCIONAMIENTO"/>
    <s v="ADQUISICIÓN DE BIENES Y SERVICIOS"/>
    <s v="GAF"/>
    <s v="Servicio de recolección, curso y entrega de correspondencia y demás envíos postales a nivel nacional e internacional, servicio de motorizados para la entrega de correspondencia en Bogotá y servicio de correo electrónico y SMS certificado (Contrato Actual)"/>
    <n v="82443159"/>
    <n v="82443159"/>
    <m/>
    <m/>
    <m/>
    <x v="4"/>
    <m/>
    <m/>
    <n v="82443159"/>
    <m/>
    <m/>
    <m/>
    <m/>
    <m/>
    <m/>
    <m/>
    <m/>
    <m/>
    <m/>
    <m/>
  </r>
  <r>
    <s v="FUNCIONAMIENTO"/>
    <s v="ADQUISICIÓN DE BIENES Y SERVICIOS"/>
    <s v="GAF"/>
    <s v="Servicio de recolección, curso y entrega de correspondencia y demás envíos postales a nivel nacional e internacional, servicio de motorizados para la entrega de correspondencia en Bogotá y servicio de correo electrónico y SMS certificado"/>
    <n v="57556841"/>
    <n v="58888000"/>
    <m/>
    <m/>
    <m/>
    <x v="3"/>
    <d v="2022-06-03T00:00:00"/>
    <d v="2022-06-15T00:00:00"/>
    <m/>
    <m/>
    <m/>
    <m/>
    <m/>
    <m/>
    <n v="58888000"/>
    <m/>
    <m/>
    <m/>
    <m/>
    <m/>
  </r>
  <r>
    <s v="FUNCIONAMIENTO"/>
    <s v="ADQUISICIÓN DE BIENES Y SERVICIOS"/>
    <s v="GAF"/>
    <s v="Arrendamiento de dos (02) depósitos para ser destinados al almacenamiento de bienes muebles obsoletos y devolutivos de la CRC."/>
    <n v="10000000"/>
    <n v="4802112"/>
    <s v="CONSTRUCTORA ESFEGA"/>
    <s v="2322_x000a_05 ene"/>
    <s v="6722_x000a_21 ene"/>
    <x v="3"/>
    <d v="2022-01-07T00:00:00"/>
    <d v="2022-01-19T00:00:00"/>
    <n v="4802112"/>
    <m/>
    <m/>
    <m/>
    <m/>
    <m/>
    <m/>
    <m/>
    <m/>
    <m/>
    <m/>
    <m/>
  </r>
  <r>
    <s v="FUNCIONAMIENTO"/>
    <s v="ADQUISICIÓN DE BIENES Y SERVICIOS"/>
    <s v="GAF"/>
    <s v="Servicio de recolección, transporte, almacenamiento, tratamiento y/o disposición final de los residuos peligrosos generados en la Comisión de Regulación de Comunicaciones."/>
    <n v="500000"/>
    <n v="500000"/>
    <m/>
    <m/>
    <m/>
    <x v="2"/>
    <d v="2022-04-15T00:00:00"/>
    <d v="2022-04-27T00:00:00"/>
    <m/>
    <m/>
    <m/>
    <m/>
    <n v="500000"/>
    <m/>
    <m/>
    <m/>
    <m/>
    <m/>
    <m/>
    <m/>
  </r>
  <r>
    <s v="FUNCIONAMIENTO"/>
    <s v="ADQUISICIÓN DE BIENES Y SERVICIOS"/>
    <s v="GAF"/>
    <s v="Realizar el servicio de mantenimiento preventivo y recarga de los extintores existentes en la Comisión de Regulación de Comunicaciones."/>
    <n v="1500000"/>
    <n v="700000"/>
    <m/>
    <m/>
    <m/>
    <x v="2"/>
    <d v="2022-09-09T00:00:00"/>
    <d v="2022-09-21T00:00:00"/>
    <m/>
    <m/>
    <m/>
    <m/>
    <m/>
    <m/>
    <m/>
    <m/>
    <m/>
    <m/>
    <n v="700000"/>
    <m/>
  </r>
  <r>
    <s v="FUNCIONAMIENTO"/>
    <s v="ADQUISICIÓN DE BIENES Y SERVICIOS"/>
    <s v="GAF"/>
    <s v="Actualizar la información de la Comisión de Regulación de Comunicaciones, tales como, los datos de contacto e información de la estructura institucional de la entidad, cada vez que se requiera, en el portal www.despachospublicos.com.co. y suministro de las bases de datos del Directorio de Despachos Públicos para consulta de la CRC. "/>
    <n v="1000000"/>
    <n v="1000000"/>
    <m/>
    <m/>
    <m/>
    <x v="3"/>
    <d v="2022-06-10T00:00:00"/>
    <d v="2022-06-22T00:00:00"/>
    <m/>
    <m/>
    <m/>
    <m/>
    <n v="1000000"/>
    <m/>
    <m/>
    <m/>
    <m/>
    <m/>
    <m/>
    <m/>
  </r>
  <r>
    <s v="FUNCIONAMIENTO"/>
    <s v="ADQUISICIÓN DE BIENES Y SERVICIOS"/>
    <s v="GAF"/>
    <s v="Adquisición de elementos de bioseguridad necesarios para la prevención y protección de los funcionarios de la CRC en el marco de la pandemia de COVID 19"/>
    <n v="5000000"/>
    <n v="0"/>
    <m/>
    <m/>
    <m/>
    <x v="6"/>
    <d v="2022-05-13T00:00:00"/>
    <d v="2022-05-25T00:00:00"/>
    <m/>
    <m/>
    <m/>
    <m/>
    <m/>
    <m/>
    <m/>
    <m/>
    <m/>
    <m/>
    <m/>
    <m/>
  </r>
  <r>
    <s v="FUNCIONAMIENTO"/>
    <s v="ADQUISICIÓN DE BIENES Y SERVICIOS"/>
    <s v="GAF"/>
    <s v="Administración oficinas piso 8, 9 y 10"/>
    <n v="170000000"/>
    <n v="170000000"/>
    <m/>
    <m/>
    <m/>
    <x v="8"/>
    <m/>
    <m/>
    <n v="12868900"/>
    <n v="12868900"/>
    <n v="12868900"/>
    <n v="12868900"/>
    <n v="12868900"/>
    <n v="12868900"/>
    <n v="12868900"/>
    <n v="12868900"/>
    <n v="12868900"/>
    <n v="12868900"/>
    <n v="12868900"/>
    <n v="28442100"/>
  </r>
  <r>
    <s v="FUNCIONAMIENTO"/>
    <s v="ADQUISICIÓN DE BIENES Y SERVICIOS"/>
    <s v="GAF"/>
    <s v="Servicios de Enlaces Dedicados Internet y Datos - OnPremise vs Azure (Contrato Actual)"/>
    <n v="12127614"/>
    <n v="12127614"/>
    <m/>
    <m/>
    <m/>
    <x v="4"/>
    <m/>
    <m/>
    <n v="12127614"/>
    <m/>
    <m/>
    <m/>
    <m/>
    <m/>
    <m/>
    <m/>
    <m/>
    <m/>
    <m/>
    <m/>
  </r>
  <r>
    <s v="FUNCIONAMIENTO"/>
    <s v="ADQUISICIÓN DE BIENES Y SERVICIOS"/>
    <s v="GAF"/>
    <s v="Servicios de Enlaces Dedicados Internet y Datos: Canales dedicados Internet y Datos conexión Onpremise (aumento a 150Mbps y 6Mbps respectivamente, con operadores diferentes) Y Canales dedicados conexión Onpremise a Nube Azure (aumento a 150 Mbps con operadores diferentes)"/>
    <n v="9000000"/>
    <n v="9000000"/>
    <m/>
    <m/>
    <m/>
    <x v="5"/>
    <m/>
    <m/>
    <m/>
    <m/>
    <m/>
    <m/>
    <m/>
    <m/>
    <n v="9000000"/>
    <m/>
    <m/>
    <m/>
    <m/>
    <m/>
  </r>
  <r>
    <s v="FUNCIONAMIENTO"/>
    <s v="ADQUISICIÓN DE BIENES Y SERVICIOS"/>
    <s v="GAF"/>
    <s v="Servicios públicos"/>
    <n v="113000000"/>
    <n v="113000000"/>
    <m/>
    <m/>
    <m/>
    <x v="8"/>
    <m/>
    <m/>
    <n v="9000000"/>
    <n v="9000000"/>
    <n v="9000000"/>
    <n v="9000000"/>
    <n v="9000000"/>
    <n v="9000000"/>
    <n v="9000000"/>
    <n v="9000000"/>
    <n v="9000000"/>
    <n v="9000000"/>
    <n v="9000000"/>
    <n v="14000000"/>
  </r>
  <r>
    <s v="FUNCIONAMIENTO"/>
    <s v="ADQUISICIÓN DE BIENES Y SERVICIOS"/>
    <s v="GAF"/>
    <s v="Publicación en el Diario Oficial - Imprenta (VF hasta julio 2022) (Contrato Actual)"/>
    <n v="25000000"/>
    <n v="25000000"/>
    <m/>
    <m/>
    <m/>
    <x v="4"/>
    <m/>
    <m/>
    <n v="25000000"/>
    <m/>
    <m/>
    <m/>
    <m/>
    <m/>
    <m/>
    <m/>
    <m/>
    <m/>
    <m/>
    <m/>
  </r>
  <r>
    <s v="FUNCIONAMIENTO"/>
    <s v="ADQUISICIÓN DE BIENES Y SERVICIOS"/>
    <s v="GAF"/>
    <s v="Publicación en el Diario Oficial - Imprenta"/>
    <n v="2000000"/>
    <n v="2000000"/>
    <m/>
    <m/>
    <m/>
    <x v="3"/>
    <m/>
    <m/>
    <m/>
    <m/>
    <m/>
    <m/>
    <m/>
    <m/>
    <m/>
    <m/>
    <m/>
    <m/>
    <n v="2000000"/>
    <m/>
  </r>
  <r>
    <s v="FUNCIONAMIENTO"/>
    <s v="ADQUISICIÓN DE BIENES Y SERVICIOS"/>
    <s v="GAF"/>
    <s v="Viáticos y gastos de viaje"/>
    <n v="0"/>
    <m/>
    <m/>
    <m/>
    <m/>
    <x v="6"/>
    <m/>
    <m/>
    <m/>
    <m/>
    <m/>
    <m/>
    <m/>
    <m/>
    <m/>
    <m/>
    <m/>
    <m/>
    <m/>
    <m/>
  </r>
  <r>
    <s v="FUNCIONAMIENTO"/>
    <s v="ADQUISICIÓN DE BIENES Y SERVICIOS"/>
    <s v="GAF"/>
    <s v="Capacitaciones"/>
    <n v="0"/>
    <m/>
    <m/>
    <m/>
    <m/>
    <x v="6"/>
    <m/>
    <m/>
    <m/>
    <m/>
    <m/>
    <m/>
    <m/>
    <m/>
    <m/>
    <m/>
    <m/>
    <m/>
    <m/>
    <m/>
  </r>
  <r>
    <s v="FUNCIONAMIENTO"/>
    <s v="ADQUISICIÓN DE BIENES Y SERVICIOS"/>
    <s v="GAF"/>
    <s v="ARL pasantes"/>
    <n v="500000"/>
    <n v="500000"/>
    <m/>
    <m/>
    <m/>
    <x v="8"/>
    <m/>
    <m/>
    <m/>
    <m/>
    <n v="50000"/>
    <n v="50000"/>
    <n v="50000"/>
    <n v="50000"/>
    <n v="50000"/>
    <n v="50000"/>
    <n v="50000"/>
    <n v="50000"/>
    <n v="50000"/>
    <n v="50000"/>
  </r>
  <r>
    <s v="FUNCIONAMIENTO"/>
    <s v="ADQUISICIÓN DE BIENES Y SERVICIOS"/>
    <s v="GAF"/>
    <s v="Caja menor bienes y servicios"/>
    <n v="20000000"/>
    <n v="20000000"/>
    <m/>
    <m/>
    <m/>
    <x v="8"/>
    <m/>
    <m/>
    <n v="4550000"/>
    <n v="500000"/>
    <n v="500000"/>
    <n v="500000"/>
    <n v="500000"/>
    <n v="500000"/>
    <n v="500000"/>
    <n v="500000"/>
    <n v="500000"/>
    <n v="500000"/>
    <n v="500000"/>
    <n v="10450000"/>
  </r>
  <r>
    <s v="FUNCIONAMIENTO"/>
    <s v="ADQUISICIÓN DE BIENES Y SERVICIOS"/>
    <s v="GAF"/>
    <s v="4*1000 Adquisición de Bienes y Servicios"/>
    <n v="588846"/>
    <n v="588846"/>
    <m/>
    <m/>
    <m/>
    <x v="6"/>
    <m/>
    <m/>
    <m/>
    <m/>
    <m/>
    <m/>
    <m/>
    <m/>
    <m/>
    <m/>
    <m/>
    <m/>
    <m/>
    <n v="588846"/>
  </r>
  <r>
    <s v="FUNCIONAMIENTO"/>
    <s v="TRANSFERENCIAS CORRIENTES"/>
    <s v="GAF"/>
    <s v="Incapacidades"/>
    <n v="31134000"/>
    <n v="31134000"/>
    <m/>
    <m/>
    <m/>
    <x v="6"/>
    <m/>
    <m/>
    <m/>
    <m/>
    <m/>
    <m/>
    <m/>
    <m/>
    <m/>
    <m/>
    <m/>
    <m/>
    <m/>
    <m/>
  </r>
  <r>
    <s v="FUNCIONAMIENTO"/>
    <s v="TRANSFERENCIAS CORRIENTES"/>
    <s v="GAF"/>
    <s v="Licencias de maternidad y paternidad"/>
    <n v="21500000"/>
    <n v="21500000"/>
    <m/>
    <m/>
    <m/>
    <x v="6"/>
    <m/>
    <m/>
    <m/>
    <m/>
    <m/>
    <m/>
    <m/>
    <m/>
    <m/>
    <m/>
    <m/>
    <m/>
    <m/>
    <m/>
  </r>
  <r>
    <s v="FUNCIONAMIENTO"/>
    <s v="TRANSFERENCIAS CORRIENTES"/>
    <s v="GAF"/>
    <s v="Previo Concepto Transferencias Corrientes"/>
    <n v="919793000"/>
    <n v="919793000"/>
    <m/>
    <m/>
    <m/>
    <x v="6"/>
    <m/>
    <m/>
    <m/>
    <m/>
    <m/>
    <m/>
    <m/>
    <m/>
    <m/>
    <m/>
    <m/>
    <m/>
    <m/>
    <m/>
  </r>
  <r>
    <s v="FUNCIONAMIENTO"/>
    <s v="GASTOS POR TRIBUTOS, MULTAS, SANCIONES E INTERESES DE MORA"/>
    <s v="GAF"/>
    <s v="Impuesto Predial"/>
    <n v="73515000"/>
    <n v="73515000"/>
    <m/>
    <m/>
    <m/>
    <x v="6"/>
    <m/>
    <m/>
    <m/>
    <m/>
    <m/>
    <n v="73515000"/>
    <m/>
    <m/>
    <m/>
    <m/>
    <m/>
    <m/>
    <m/>
    <m/>
  </r>
  <r>
    <s v="FUNCIONAMIENTO"/>
    <s v="GASTOS POR TRIBUTOS, MULTAS, SANCIONES E INTERESES DE MORA"/>
    <s v="GAF"/>
    <s v="Impuesto Vehículos"/>
    <n v="735000"/>
    <n v="735000"/>
    <m/>
    <m/>
    <m/>
    <x v="6"/>
    <m/>
    <m/>
    <m/>
    <m/>
    <m/>
    <n v="735000"/>
    <m/>
    <m/>
    <m/>
    <m/>
    <m/>
    <m/>
    <m/>
    <m/>
  </r>
  <r>
    <s v="FUNCIONAMIENTO"/>
    <s v="GASTOS POR TRIBUTOS, MULTAS, SANCIONES E INTERESES DE MORA"/>
    <s v="GAF"/>
    <s v="Couta de auditaje"/>
    <n v="115989000"/>
    <n v="115989000"/>
    <m/>
    <m/>
    <m/>
    <x v="6"/>
    <m/>
    <m/>
    <m/>
    <m/>
    <m/>
    <m/>
    <m/>
    <m/>
    <m/>
    <m/>
    <m/>
    <m/>
    <n v="115989000"/>
    <m/>
  </r>
  <r>
    <s v="SERVICIO DE LA DEUDA PÚBLICA"/>
    <s v="GASTOS POR TRIBUTOS, MULTAS, SANCIONES E INTERESES DE MORA"/>
    <s v="GAF"/>
    <s v="Servicio de la deuda pública"/>
    <n v="5414000"/>
    <n v="5414000"/>
    <m/>
    <m/>
    <m/>
    <x v="6"/>
    <m/>
    <m/>
    <m/>
    <m/>
    <m/>
    <m/>
    <m/>
    <m/>
    <m/>
    <m/>
    <m/>
    <m/>
    <m/>
    <n v="5414000"/>
  </r>
  <r>
    <m/>
    <m/>
    <m/>
    <m/>
    <m/>
    <m/>
    <m/>
    <m/>
    <m/>
    <x v="6"/>
    <m/>
    <m/>
    <n v="11149854988"/>
    <n v="1441557546.5"/>
    <n v="1697193320"/>
    <n v="4674531028"/>
    <n v="5241963320"/>
    <n v="3859793000"/>
    <n v="3131113320"/>
    <n v="3508430120"/>
    <n v="2080434160"/>
    <n v="1811000920"/>
    <n v="2048482000"/>
    <n v="3598549546"/>
  </r>
  <r>
    <m/>
    <m/>
    <m/>
    <m/>
    <m/>
    <m/>
    <m/>
    <m/>
    <m/>
    <x v="6"/>
    <m/>
    <m/>
    <n v="0.2507673803846529"/>
    <n v="3.2421552567149181E-2"/>
    <n v="3.8170964852976434E-2"/>
    <n v="0.10513319695008921"/>
    <n v="0.11789511264887118"/>
    <n v="8.6809216844410203E-2"/>
    <n v="7.0420744107339728E-2"/>
    <n v="7.89068406182767E-2"/>
    <n v="4.67902968179792E-2"/>
    <n v="4.0730570673014423E-2"/>
    <n v="4.6071672273583351E-2"/>
    <n v="8.0933684232306721E-2"/>
  </r>
  <r>
    <m/>
    <m/>
    <m/>
    <m/>
    <m/>
    <m/>
    <m/>
    <m/>
    <m/>
    <x v="6"/>
    <m/>
    <m/>
    <m/>
    <n v="0.28318893295180209"/>
    <n v="0.32135989780477853"/>
    <n v="0.42649309475486774"/>
    <n v="0.54438820740373894"/>
    <n v="0.63119742424814917"/>
    <n v="0.70161816835548896"/>
    <n v="0.78052500897376564"/>
    <n v="0.82731530579174484"/>
    <n v="0.86804587646475928"/>
    <n v="0.91411754873834261"/>
    <n v="0.99505123297064935"/>
  </r>
  <r>
    <s v="FUNCIONAMIENTO"/>
    <m/>
    <m/>
    <m/>
    <m/>
    <m/>
    <m/>
    <m/>
    <m/>
    <x v="6"/>
    <m/>
    <m/>
    <m/>
    <m/>
    <m/>
    <m/>
    <m/>
    <m/>
    <m/>
    <m/>
    <m/>
    <m/>
    <m/>
    <m/>
  </r>
  <r>
    <s v="GASTOS DE PERSONAL"/>
    <n v="20584627000"/>
    <m/>
    <s v="Adq. Bienes y Servicios"/>
    <n v="2824689000"/>
    <m/>
    <m/>
    <m/>
    <m/>
    <x v="6"/>
    <m/>
    <s v="INVERSIÓN"/>
    <n v="9378539840"/>
    <n v="106154226.5"/>
    <n v="246000000"/>
    <n v="770000000"/>
    <n v="3458000000"/>
    <n v="2330000000"/>
    <n v="1014000000"/>
    <n v="1768000000"/>
    <n v="291000000"/>
    <n v="162345600"/>
    <n v="165000000"/>
    <n v="121000000"/>
  </r>
  <r>
    <s v="ADQUISICIÓN DE BIENES Y SERVICIOS"/>
    <n v="2824689000"/>
    <m/>
    <n v="3990332460"/>
    <n v="3744482000"/>
    <m/>
    <m/>
    <m/>
    <m/>
    <x v="6"/>
    <m/>
    <m/>
    <n v="0.47162601334919479"/>
    <n v="5.3382611257705602E-3"/>
    <n v="1.2370795588996711E-2"/>
    <n v="3.8721595949298644E-2"/>
    <n v="0.17389516726321391"/>
    <n v="0.11717054358683876"/>
    <n v="5.0991815964401076E-2"/>
    <n v="8.8908807322545469E-2"/>
    <n v="1.4633746001618059E-2"/>
    <n v="8.1640009446057905E-3"/>
    <n v="8.2974848462782809E-3"/>
    <n v="6.0848222206040734E-3"/>
  </r>
  <r>
    <s v="TRANSFERENCIAS CORRIENTES"/>
    <n v="972427000"/>
    <m/>
    <m/>
    <n v="919793000"/>
    <m/>
    <m/>
    <m/>
    <m/>
    <x v="6"/>
    <m/>
    <m/>
    <m/>
    <n v="0.47696427447496537"/>
    <n v="0.4893350700639621"/>
    <n v="0.52805666601326073"/>
    <n v="0.7019518332764747"/>
    <n v="0.81912237686331346"/>
    <n v="0.87011419282771452"/>
    <n v="0.95902300015025999"/>
    <n v="0.97365674615187803"/>
    <n v="0.98182074709648381"/>
    <n v="0.99011823194276205"/>
    <n v="0.99620305416336608"/>
  </r>
  <r>
    <s v="GASTOS POR TRIBUTOS, MULTAS, SANCIONES E INTERESES DE MORA"/>
    <n v="190239000"/>
    <m/>
    <s v="Con levantamiento"/>
    <n v="3744482000"/>
    <m/>
    <m/>
    <m/>
    <m/>
    <x v="6"/>
    <m/>
    <s v="FUNCIONAMIENTO"/>
    <n v="1771315148"/>
    <n v="1335403320"/>
    <n v="1451193320"/>
    <n v="3904531028"/>
    <n v="1783963320"/>
    <n v="1529793000"/>
    <n v="2117113320"/>
    <n v="1740430120"/>
    <n v="1789434160"/>
    <n v="1648655320"/>
    <n v="1883482000"/>
    <n v="3477549546"/>
  </r>
  <r>
    <s v="TOTAL"/>
    <n v="24571982000"/>
    <m/>
    <m/>
    <n v="0"/>
    <m/>
    <m/>
    <m/>
    <m/>
    <x v="6"/>
    <m/>
    <m/>
    <n v="7.2086783556979658E-2"/>
    <n v="5.4346585472836502E-2"/>
    <n v="5.9058863057933217E-2"/>
    <n v="0.15890175355003922"/>
    <n v="7.2601523149414648E-2"/>
    <n v="6.2257615197667003E-2"/>
    <n v="8.6159648008858225E-2"/>
    <n v="7.082986305296822E-2"/>
    <n v="7.2824168599830486E-2"/>
    <n v="6.7094926245672815E-2"/>
    <n v="7.6651610765464506E-2"/>
    <n v="0.14152499159408469"/>
  </r>
  <r>
    <m/>
    <m/>
    <m/>
    <m/>
    <m/>
    <m/>
    <m/>
    <m/>
    <m/>
    <x v="6"/>
    <m/>
    <m/>
    <m/>
    <n v="0.12643336902981617"/>
    <n v="0.1854922320877494"/>
    <n v="0.34439398563778861"/>
    <n v="0.41699550878720326"/>
    <n v="0.47925312398487024"/>
    <n v="0.56541277199372852"/>
    <n v="0.63624263504669676"/>
    <n v="0.7090668036465273"/>
    <n v="0.77616172989220011"/>
    <n v="0.85281334065766456"/>
    <n v="0.99433833225174928"/>
  </r>
  <r>
    <s v="INVERSIÓN MISIONAL"/>
    <m/>
    <m/>
    <m/>
    <m/>
    <m/>
    <m/>
    <m/>
    <m/>
    <x v="6"/>
    <m/>
    <m/>
    <m/>
    <m/>
    <m/>
    <m/>
    <m/>
    <m/>
    <m/>
    <m/>
    <m/>
    <m/>
    <m/>
    <m/>
  </r>
  <r>
    <s v="DR"/>
    <n v="2370859980"/>
    <m/>
    <m/>
    <m/>
    <m/>
    <m/>
    <m/>
    <m/>
    <x v="6"/>
    <m/>
    <m/>
    <m/>
    <m/>
    <m/>
    <m/>
    <m/>
    <m/>
    <m/>
    <m/>
    <m/>
    <m/>
    <m/>
    <m/>
  </r>
  <r>
    <s v="PE"/>
    <n v="1167148680"/>
    <m/>
    <m/>
    <m/>
    <m/>
    <m/>
    <m/>
    <m/>
    <x v="6"/>
    <m/>
    <m/>
    <m/>
    <m/>
    <m/>
    <m/>
    <m/>
    <m/>
    <m/>
    <m/>
    <m/>
    <m/>
    <m/>
    <m/>
  </r>
  <r>
    <s v="IDI"/>
    <n v="1353904264"/>
    <m/>
    <m/>
    <m/>
    <m/>
    <m/>
    <m/>
    <m/>
    <x v="6"/>
    <m/>
    <m/>
    <m/>
    <m/>
    <m/>
    <m/>
    <m/>
    <m/>
    <m/>
    <m/>
    <m/>
    <m/>
    <m/>
    <m/>
  </r>
  <r>
    <s v="RCA"/>
    <n v="4620175350"/>
    <m/>
    <m/>
    <m/>
    <m/>
    <m/>
    <m/>
    <m/>
    <x v="6"/>
    <m/>
    <m/>
    <m/>
    <m/>
    <m/>
    <m/>
    <m/>
    <m/>
    <m/>
    <m/>
    <m/>
    <m/>
    <m/>
    <m/>
  </r>
  <r>
    <s v="AJYSC"/>
    <n v="773943000"/>
    <m/>
    <m/>
    <m/>
    <m/>
    <m/>
    <m/>
    <m/>
    <x v="6"/>
    <m/>
    <m/>
    <m/>
    <m/>
    <m/>
    <m/>
    <m/>
    <m/>
    <m/>
    <m/>
    <m/>
    <m/>
    <m/>
    <m/>
  </r>
  <r>
    <s v="GAD"/>
    <n v="2263148583"/>
    <m/>
    <m/>
    <m/>
    <m/>
    <m/>
    <m/>
    <m/>
    <x v="6"/>
    <m/>
    <m/>
    <m/>
    <m/>
    <m/>
    <m/>
    <m/>
    <m/>
    <m/>
    <m/>
    <m/>
    <m/>
    <m/>
    <m/>
  </r>
  <r>
    <s v="CA"/>
    <n v="1675308000"/>
    <m/>
    <m/>
    <m/>
    <m/>
    <m/>
    <m/>
    <m/>
    <x v="6"/>
    <m/>
    <m/>
    <m/>
    <m/>
    <m/>
    <m/>
    <m/>
    <m/>
    <m/>
    <m/>
    <m/>
    <m/>
    <m/>
    <m/>
  </r>
  <r>
    <s v="GAF"/>
    <n v="1074160000"/>
    <m/>
    <m/>
    <m/>
    <m/>
    <m/>
    <m/>
    <m/>
    <x v="6"/>
    <m/>
    <m/>
    <m/>
    <m/>
    <m/>
    <m/>
    <m/>
    <m/>
    <m/>
    <m/>
    <m/>
    <m/>
    <m/>
    <m/>
  </r>
  <r>
    <s v="CE"/>
    <n v="199061057"/>
    <m/>
    <m/>
    <m/>
    <m/>
    <m/>
    <m/>
    <m/>
    <x v="6"/>
    <m/>
    <m/>
    <m/>
    <m/>
    <m/>
    <m/>
    <m/>
    <m/>
    <m/>
    <m/>
    <m/>
    <m/>
    <m/>
    <m/>
  </r>
  <r>
    <s v="TOTAL"/>
    <n v="15497708914"/>
    <m/>
    <m/>
    <m/>
    <m/>
    <m/>
    <m/>
    <m/>
    <x v="6"/>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F1C8B80-FB39-4E25-8F7F-BECEB24CD1FA}" name="TablaDinámica6" cacheId="6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3" firstHeaderRow="1" firstDataRow="1" firstDataCol="1"/>
  <pivotFields count="24">
    <pivotField showAll="0"/>
    <pivotField showAll="0"/>
    <pivotField showAll="0"/>
    <pivotField showAll="0"/>
    <pivotField showAll="0"/>
    <pivotField dataField="1" showAll="0"/>
    <pivotField showAll="0"/>
    <pivotField showAll="0"/>
    <pivotField showAll="0"/>
    <pivotField axis="axisRow" showAll="0">
      <items count="11">
        <item x="5"/>
        <item x="7"/>
        <item x="3"/>
        <item x="8"/>
        <item x="0"/>
        <item x="2"/>
        <item x="1"/>
        <item m="1" x="9"/>
        <item x="4"/>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9"/>
  </rowFields>
  <rowItems count="10">
    <i>
      <x/>
    </i>
    <i>
      <x v="1"/>
    </i>
    <i>
      <x v="2"/>
    </i>
    <i>
      <x v="3"/>
    </i>
    <i>
      <x v="4"/>
    </i>
    <i>
      <x v="5"/>
    </i>
    <i>
      <x v="6"/>
    </i>
    <i>
      <x v="8"/>
    </i>
    <i>
      <x v="9"/>
    </i>
    <i t="grand">
      <x/>
    </i>
  </rowItems>
  <colItems count="1">
    <i/>
  </colItems>
  <dataFields count="1">
    <dataField name="Suma de Valor Contratado" fld="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785A7-119E-4D02-9186-E5ED3A8F7AEE}">
  <dimension ref="A3:B13"/>
  <sheetViews>
    <sheetView workbookViewId="0">
      <selection activeCell="B7" sqref="B7"/>
    </sheetView>
  </sheetViews>
  <sheetFormatPr baseColWidth="10" defaultColWidth="11.453125" defaultRowHeight="14.5" x14ac:dyDescent="0.35"/>
  <cols>
    <col min="1" max="1" width="19.26953125" bestFit="1" customWidth="1"/>
    <col min="2" max="2" width="24.26953125" bestFit="1" customWidth="1"/>
  </cols>
  <sheetData>
    <row r="3" spans="1:2" x14ac:dyDescent="0.35">
      <c r="A3" s="9" t="s">
        <v>0</v>
      </c>
      <c r="B3" t="s">
        <v>1</v>
      </c>
    </row>
    <row r="4" spans="1:2" x14ac:dyDescent="0.35">
      <c r="A4" s="10" t="s">
        <v>2</v>
      </c>
      <c r="B4">
        <v>1846740000</v>
      </c>
    </row>
    <row r="5" spans="1:2" x14ac:dyDescent="0.35">
      <c r="A5" s="10" t="s">
        <v>3</v>
      </c>
      <c r="B5">
        <v>5289815410</v>
      </c>
    </row>
    <row r="6" spans="1:2" x14ac:dyDescent="0.35">
      <c r="A6" s="10" t="s">
        <v>4</v>
      </c>
      <c r="B6">
        <v>10266422978</v>
      </c>
    </row>
    <row r="7" spans="1:2" x14ac:dyDescent="0.35">
      <c r="A7" s="10" t="s">
        <v>5</v>
      </c>
      <c r="B7">
        <v>303500000</v>
      </c>
    </row>
    <row r="8" spans="1:2" x14ac:dyDescent="0.35">
      <c r="A8" s="10" t="s">
        <v>6</v>
      </c>
      <c r="B8">
        <v>3798787098</v>
      </c>
    </row>
    <row r="9" spans="1:2" x14ac:dyDescent="0.35">
      <c r="A9" s="10" t="s">
        <v>7</v>
      </c>
      <c r="B9">
        <v>205022820</v>
      </c>
    </row>
    <row r="10" spans="1:2" x14ac:dyDescent="0.35">
      <c r="A10" s="10" t="s">
        <v>8</v>
      </c>
      <c r="B10">
        <v>983331406.5</v>
      </c>
    </row>
    <row r="11" spans="1:2" x14ac:dyDescent="0.35">
      <c r="A11" s="10" t="s">
        <v>9</v>
      </c>
      <c r="B11">
        <v>759313108</v>
      </c>
    </row>
    <row r="12" spans="1:2" x14ac:dyDescent="0.35">
      <c r="A12" s="10" t="s">
        <v>10</v>
      </c>
      <c r="B12">
        <v>1268668846</v>
      </c>
    </row>
    <row r="13" spans="1:2" x14ac:dyDescent="0.35">
      <c r="A13" s="10" t="s">
        <v>11</v>
      </c>
      <c r="B13">
        <v>24721601666.5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AD1CE-37CB-492E-A400-98141DA3EE33}">
  <dimension ref="A1:G175"/>
  <sheetViews>
    <sheetView tabSelected="1" zoomScale="85" zoomScaleNormal="85" workbookViewId="0">
      <pane ySplit="1" topLeftCell="A2" activePane="bottomLeft" state="frozen"/>
      <selection pane="bottomLeft" activeCell="D2" sqref="D2"/>
    </sheetView>
  </sheetViews>
  <sheetFormatPr baseColWidth="10" defaultColWidth="9.1796875" defaultRowHeight="14.5" x14ac:dyDescent="0.35"/>
  <cols>
    <col min="1" max="1" width="18.453125" style="27" customWidth="1"/>
    <col min="2" max="3" width="22.1796875" style="27" customWidth="1"/>
    <col min="4" max="4" width="20.453125" style="27" bestFit="1" customWidth="1"/>
    <col min="5" max="5" width="45.453125" style="6" customWidth="1"/>
    <col min="6" max="6" width="20.54296875" style="6" customWidth="1"/>
    <col min="7" max="7" width="21.453125" style="27" bestFit="1" customWidth="1"/>
    <col min="8" max="16384" width="9.1796875" style="6"/>
  </cols>
  <sheetData>
    <row r="1" spans="1:7" s="25" customFormat="1" ht="29" x14ac:dyDescent="0.35">
      <c r="A1" s="12" t="s">
        <v>12</v>
      </c>
      <c r="B1" s="12" t="s">
        <v>13</v>
      </c>
      <c r="C1" s="12" t="s">
        <v>136</v>
      </c>
      <c r="D1" s="12" t="s">
        <v>14</v>
      </c>
      <c r="E1" s="12" t="s">
        <v>15</v>
      </c>
      <c r="F1" s="12" t="s">
        <v>200</v>
      </c>
      <c r="G1" s="12" t="s">
        <v>137</v>
      </c>
    </row>
    <row r="2" spans="1:7" s="40" customFormat="1" ht="58" x14ac:dyDescent="0.35">
      <c r="A2" s="38" t="s">
        <v>17</v>
      </c>
      <c r="B2" s="38" t="s">
        <v>201</v>
      </c>
      <c r="C2" s="5" t="s">
        <v>138</v>
      </c>
      <c r="D2" s="38" t="s">
        <v>19</v>
      </c>
      <c r="E2" s="37" t="s">
        <v>20</v>
      </c>
      <c r="F2" s="32">
        <v>1200000000</v>
      </c>
      <c r="G2" s="32">
        <f>1100000000-406178.42</f>
        <v>1099593821.5799999</v>
      </c>
    </row>
    <row r="3" spans="1:7" ht="43.5" x14ac:dyDescent="0.35">
      <c r="A3" s="5" t="s">
        <v>17</v>
      </c>
      <c r="B3" s="38" t="s">
        <v>201</v>
      </c>
      <c r="C3" s="5" t="s">
        <v>139</v>
      </c>
      <c r="D3" s="5" t="s">
        <v>19</v>
      </c>
      <c r="E3" s="3" t="s">
        <v>140</v>
      </c>
      <c r="F3" s="2">
        <v>20000000</v>
      </c>
      <c r="G3" s="2">
        <f>20000000+10000000-532775.16</f>
        <v>29467224.84</v>
      </c>
    </row>
    <row r="4" spans="1:7" ht="43.5" x14ac:dyDescent="0.35">
      <c r="A4" s="5" t="s">
        <v>17</v>
      </c>
      <c r="B4" s="38" t="s">
        <v>201</v>
      </c>
      <c r="C4" s="5" t="s">
        <v>139</v>
      </c>
      <c r="D4" s="5" t="s">
        <v>19</v>
      </c>
      <c r="E4" s="3" t="s">
        <v>21</v>
      </c>
      <c r="F4" s="2">
        <v>350000000</v>
      </c>
      <c r="G4" s="2">
        <f>350000000-112756894</f>
        <v>237243106</v>
      </c>
    </row>
    <row r="5" spans="1:7" ht="72.5" x14ac:dyDescent="0.35">
      <c r="A5" s="5" t="s">
        <v>17</v>
      </c>
      <c r="B5" s="38" t="s">
        <v>201</v>
      </c>
      <c r="C5" s="5" t="s">
        <v>138</v>
      </c>
      <c r="D5" s="5" t="s">
        <v>19</v>
      </c>
      <c r="E5" s="3" t="s">
        <v>22</v>
      </c>
      <c r="F5" s="2">
        <v>115392660</v>
      </c>
      <c r="G5" s="2">
        <v>38464220</v>
      </c>
    </row>
    <row r="6" spans="1:7" ht="72.5" x14ac:dyDescent="0.35">
      <c r="A6" s="5" t="s">
        <v>17</v>
      </c>
      <c r="B6" s="38" t="s">
        <v>201</v>
      </c>
      <c r="C6" s="5" t="s">
        <v>138</v>
      </c>
      <c r="D6" s="5" t="s">
        <v>19</v>
      </c>
      <c r="E6" s="3" t="s">
        <v>22</v>
      </c>
      <c r="F6" s="2">
        <v>0</v>
      </c>
      <c r="G6" s="2">
        <f>+G5/4*7</f>
        <v>67312385</v>
      </c>
    </row>
    <row r="7" spans="1:7" ht="130.5" x14ac:dyDescent="0.35">
      <c r="A7" s="5" t="s">
        <v>17</v>
      </c>
      <c r="B7" s="38" t="s">
        <v>201</v>
      </c>
      <c r="C7" s="5" t="s">
        <v>138</v>
      </c>
      <c r="D7" s="5" t="s">
        <v>19</v>
      </c>
      <c r="E7" s="3" t="s">
        <v>141</v>
      </c>
      <c r="F7" s="2">
        <v>126244536</v>
      </c>
      <c r="G7" s="2">
        <v>42081512</v>
      </c>
    </row>
    <row r="8" spans="1:7" ht="130.5" x14ac:dyDescent="0.35">
      <c r="A8" s="5" t="s">
        <v>17</v>
      </c>
      <c r="B8" s="38" t="s">
        <v>201</v>
      </c>
      <c r="C8" s="5" t="s">
        <v>138</v>
      </c>
      <c r="D8" s="5" t="s">
        <v>19</v>
      </c>
      <c r="E8" s="3" t="s">
        <v>23</v>
      </c>
      <c r="F8" s="2">
        <v>0</v>
      </c>
      <c r="G8" s="2">
        <f>+G7/4*7</f>
        <v>73642646</v>
      </c>
    </row>
    <row r="9" spans="1:7" ht="130.5" x14ac:dyDescent="0.35">
      <c r="A9" s="5" t="s">
        <v>17</v>
      </c>
      <c r="B9" s="38" t="s">
        <v>201</v>
      </c>
      <c r="C9" s="5" t="s">
        <v>138</v>
      </c>
      <c r="D9" s="5" t="s">
        <v>19</v>
      </c>
      <c r="E9" s="3" t="s">
        <v>24</v>
      </c>
      <c r="F9" s="2">
        <v>98027160</v>
      </c>
      <c r="G9" s="2">
        <v>32675720</v>
      </c>
    </row>
    <row r="10" spans="1:7" ht="130.5" x14ac:dyDescent="0.35">
      <c r="A10" s="5" t="s">
        <v>17</v>
      </c>
      <c r="B10" s="38" t="s">
        <v>201</v>
      </c>
      <c r="C10" s="5" t="s">
        <v>138</v>
      </c>
      <c r="D10" s="5" t="s">
        <v>19</v>
      </c>
      <c r="E10" s="3" t="s">
        <v>24</v>
      </c>
      <c r="F10" s="2">
        <v>0</v>
      </c>
      <c r="G10" s="2">
        <f>+G9/4*7</f>
        <v>57182510</v>
      </c>
    </row>
    <row r="11" spans="1:7" ht="72.5" x14ac:dyDescent="0.35">
      <c r="A11" s="5" t="s">
        <v>17</v>
      </c>
      <c r="B11" s="38" t="s">
        <v>201</v>
      </c>
      <c r="C11" s="5" t="s">
        <v>138</v>
      </c>
      <c r="D11" s="5" t="s">
        <v>19</v>
      </c>
      <c r="E11" s="3" t="s">
        <v>25</v>
      </c>
      <c r="F11" s="2">
        <v>34397892</v>
      </c>
      <c r="G11" s="2">
        <v>11465964</v>
      </c>
    </row>
    <row r="12" spans="1:7" ht="72.5" x14ac:dyDescent="0.35">
      <c r="A12" s="5" t="s">
        <v>17</v>
      </c>
      <c r="B12" s="38" t="s">
        <v>201</v>
      </c>
      <c r="C12" s="5" t="s">
        <v>138</v>
      </c>
      <c r="D12" s="5" t="s">
        <v>19</v>
      </c>
      <c r="E12" s="3" t="s">
        <v>25</v>
      </c>
      <c r="F12" s="2">
        <v>0</v>
      </c>
      <c r="G12" s="2">
        <f>+G11/4*7</f>
        <v>20065437</v>
      </c>
    </row>
    <row r="13" spans="1:7" ht="43.5" x14ac:dyDescent="0.35">
      <c r="A13" s="5" t="s">
        <v>17</v>
      </c>
      <c r="B13" s="38" t="s">
        <v>201</v>
      </c>
      <c r="C13" s="5" t="s">
        <v>138</v>
      </c>
      <c r="D13" s="5" t="s">
        <v>19</v>
      </c>
      <c r="E13" s="3" t="s">
        <v>26</v>
      </c>
      <c r="F13" s="2">
        <v>111487200</v>
      </c>
      <c r="G13" s="2">
        <v>37162400</v>
      </c>
    </row>
    <row r="14" spans="1:7" ht="43.5" x14ac:dyDescent="0.35">
      <c r="A14" s="5" t="s">
        <v>17</v>
      </c>
      <c r="B14" s="38" t="s">
        <v>201</v>
      </c>
      <c r="C14" s="5" t="s">
        <v>138</v>
      </c>
      <c r="D14" s="5" t="s">
        <v>19</v>
      </c>
      <c r="E14" s="3" t="s">
        <v>26</v>
      </c>
      <c r="F14" s="2">
        <v>0</v>
      </c>
      <c r="G14" s="2">
        <f>+G13/4*7</f>
        <v>65034200</v>
      </c>
    </row>
    <row r="15" spans="1:7" ht="101.5" x14ac:dyDescent="0.35">
      <c r="A15" s="5" t="s">
        <v>17</v>
      </c>
      <c r="B15" s="38" t="s">
        <v>201</v>
      </c>
      <c r="C15" s="5" t="s">
        <v>138</v>
      </c>
      <c r="D15" s="5" t="s">
        <v>19</v>
      </c>
      <c r="E15" s="3" t="s">
        <v>27</v>
      </c>
      <c r="F15" s="2">
        <v>1236156000</v>
      </c>
      <c r="G15" s="2">
        <v>1236156000</v>
      </c>
    </row>
    <row r="16" spans="1:7" ht="58" x14ac:dyDescent="0.35">
      <c r="A16" s="5" t="s">
        <v>17</v>
      </c>
      <c r="B16" s="38" t="s">
        <v>201</v>
      </c>
      <c r="C16" s="5" t="s">
        <v>138</v>
      </c>
      <c r="D16" s="5" t="s">
        <v>19</v>
      </c>
      <c r="E16" s="3" t="s">
        <v>28</v>
      </c>
      <c r="F16" s="2">
        <v>825605370.66999996</v>
      </c>
      <c r="G16" s="2">
        <f>825605370.67+131738876.07-224154.26</f>
        <v>957120092.48000002</v>
      </c>
    </row>
    <row r="17" spans="1:7" ht="43.5" x14ac:dyDescent="0.35">
      <c r="A17" s="5" t="s">
        <v>17</v>
      </c>
      <c r="B17" s="38" t="s">
        <v>201</v>
      </c>
      <c r="C17" s="5" t="s">
        <v>138</v>
      </c>
      <c r="D17" s="5" t="s">
        <v>19</v>
      </c>
      <c r="E17" s="3" t="s">
        <v>29</v>
      </c>
      <c r="F17" s="2">
        <v>45000000</v>
      </c>
      <c r="G17" s="2">
        <f>38199000-2864925</f>
        <v>35334075</v>
      </c>
    </row>
    <row r="18" spans="1:7" ht="43.5" x14ac:dyDescent="0.35">
      <c r="A18" s="5" t="s">
        <v>17</v>
      </c>
      <c r="B18" s="38" t="s">
        <v>201</v>
      </c>
      <c r="C18" s="5" t="s">
        <v>139</v>
      </c>
      <c r="D18" s="5" t="s">
        <v>19</v>
      </c>
      <c r="E18" s="3" t="s">
        <v>30</v>
      </c>
      <c r="F18" s="2">
        <v>150000000</v>
      </c>
      <c r="G18" s="32">
        <f>150000000+50000000+120000000+110000000-70034754</f>
        <v>359965246</v>
      </c>
    </row>
    <row r="19" spans="1:7" ht="101.5" x14ac:dyDescent="0.35">
      <c r="A19" s="5" t="s">
        <v>17</v>
      </c>
      <c r="B19" s="38" t="s">
        <v>201</v>
      </c>
      <c r="C19" s="5" t="s">
        <v>138</v>
      </c>
      <c r="D19" s="5" t="s">
        <v>19</v>
      </c>
      <c r="E19" s="3" t="s">
        <v>31</v>
      </c>
      <c r="F19" s="2">
        <v>10000000</v>
      </c>
      <c r="G19" s="2">
        <f>10000000-96701</f>
        <v>9903299</v>
      </c>
    </row>
    <row r="20" spans="1:7" ht="43.5" x14ac:dyDescent="0.35">
      <c r="A20" s="5" t="s">
        <v>17</v>
      </c>
      <c r="B20" s="38" t="s">
        <v>201</v>
      </c>
      <c r="C20" s="5" t="s">
        <v>138</v>
      </c>
      <c r="D20" s="5" t="s">
        <v>19</v>
      </c>
      <c r="E20" s="3" t="s">
        <v>32</v>
      </c>
      <c r="F20" s="2">
        <v>49500000</v>
      </c>
      <c r="G20" s="2">
        <f>(15000*5031.45)+2600000-1168026.25</f>
        <v>76903723.75</v>
      </c>
    </row>
    <row r="21" spans="1:7" ht="43.5" x14ac:dyDescent="0.35">
      <c r="A21" s="5" t="s">
        <v>17</v>
      </c>
      <c r="B21" s="38" t="s">
        <v>201</v>
      </c>
      <c r="C21" s="5" t="s">
        <v>138</v>
      </c>
      <c r="D21" s="5" t="s">
        <v>19</v>
      </c>
      <c r="E21" s="3" t="s">
        <v>33</v>
      </c>
      <c r="F21" s="2">
        <v>29700000</v>
      </c>
      <c r="G21" s="2">
        <f>(5102*4200)-4999974-649978.94</f>
        <v>15778447.060000001</v>
      </c>
    </row>
    <row r="22" spans="1:7" s="1" customFormat="1" ht="43.5" x14ac:dyDescent="0.35">
      <c r="A22" s="33" t="s">
        <v>17</v>
      </c>
      <c r="B22" s="38" t="s">
        <v>201</v>
      </c>
      <c r="C22" s="5" t="s">
        <v>138</v>
      </c>
      <c r="D22" s="33" t="s">
        <v>19</v>
      </c>
      <c r="E22" s="34" t="s">
        <v>34</v>
      </c>
      <c r="F22" s="35">
        <v>50000000</v>
      </c>
      <c r="G22" s="35">
        <v>12800000</v>
      </c>
    </row>
    <row r="23" spans="1:7" ht="104.25" customHeight="1" x14ac:dyDescent="0.35">
      <c r="A23" s="5" t="s">
        <v>17</v>
      </c>
      <c r="B23" s="38" t="s">
        <v>201</v>
      </c>
      <c r="C23" s="5" t="s">
        <v>138</v>
      </c>
      <c r="D23" s="5" t="s">
        <v>19</v>
      </c>
      <c r="E23" s="3" t="s">
        <v>142</v>
      </c>
      <c r="F23" s="2">
        <v>0</v>
      </c>
      <c r="G23" s="2">
        <f>(3200000*5.5)-213333</f>
        <v>17386667</v>
      </c>
    </row>
    <row r="24" spans="1:7" s="8" customFormat="1" ht="57.75" customHeight="1" x14ac:dyDescent="0.35">
      <c r="A24" s="33" t="s">
        <v>17</v>
      </c>
      <c r="B24" s="38" t="s">
        <v>201</v>
      </c>
      <c r="C24" s="5" t="s">
        <v>138</v>
      </c>
      <c r="D24" s="33" t="s">
        <v>19</v>
      </c>
      <c r="E24" s="34" t="s">
        <v>143</v>
      </c>
      <c r="F24" s="35">
        <v>0</v>
      </c>
      <c r="G24" s="32">
        <v>0</v>
      </c>
    </row>
    <row r="25" spans="1:7" ht="54.75" customHeight="1" x14ac:dyDescent="0.35">
      <c r="A25" s="5" t="s">
        <v>17</v>
      </c>
      <c r="B25" s="38" t="s">
        <v>201</v>
      </c>
      <c r="C25" s="5"/>
      <c r="D25" s="5" t="s">
        <v>19</v>
      </c>
      <c r="E25" s="3" t="s">
        <v>35</v>
      </c>
      <c r="F25" s="2">
        <v>50000000</v>
      </c>
      <c r="G25" s="2">
        <v>0</v>
      </c>
    </row>
    <row r="26" spans="1:7" ht="101.5" x14ac:dyDescent="0.35">
      <c r="A26" s="5" t="s">
        <v>17</v>
      </c>
      <c r="B26" s="38" t="s">
        <v>201</v>
      </c>
      <c r="C26" s="5" t="s">
        <v>144</v>
      </c>
      <c r="D26" s="5" t="s">
        <v>36</v>
      </c>
      <c r="E26" s="3" t="s">
        <v>37</v>
      </c>
      <c r="F26" s="2">
        <v>105600000</v>
      </c>
      <c r="G26" s="2">
        <f>8100000*4</f>
        <v>32400000</v>
      </c>
    </row>
    <row r="27" spans="1:7" ht="58" x14ac:dyDescent="0.35">
      <c r="A27" s="5" t="s">
        <v>17</v>
      </c>
      <c r="B27" s="38" t="s">
        <v>201</v>
      </c>
      <c r="C27" s="5" t="s">
        <v>144</v>
      </c>
      <c r="D27" s="5" t="s">
        <v>38</v>
      </c>
      <c r="E27" s="3" t="s">
        <v>39</v>
      </c>
      <c r="F27" s="2">
        <v>202572000</v>
      </c>
      <c r="G27" s="2">
        <v>67524000</v>
      </c>
    </row>
    <row r="28" spans="1:7" ht="58" x14ac:dyDescent="0.35">
      <c r="A28" s="5" t="s">
        <v>17</v>
      </c>
      <c r="B28" s="38" t="s">
        <v>201</v>
      </c>
      <c r="C28" s="5" t="s">
        <v>144</v>
      </c>
      <c r="D28" s="5" t="s">
        <v>38</v>
      </c>
      <c r="E28" s="3" t="s">
        <v>39</v>
      </c>
      <c r="F28" s="2">
        <v>0</v>
      </c>
      <c r="G28" s="32">
        <f>121543200-2813500</f>
        <v>118729700</v>
      </c>
    </row>
    <row r="29" spans="1:7" ht="43.5" x14ac:dyDescent="0.35">
      <c r="A29" s="5" t="s">
        <v>17</v>
      </c>
      <c r="B29" s="38" t="s">
        <v>201</v>
      </c>
      <c r="C29" s="5" t="s">
        <v>139</v>
      </c>
      <c r="D29" s="5" t="s">
        <v>38</v>
      </c>
      <c r="E29" s="3" t="s">
        <v>40</v>
      </c>
      <c r="F29" s="2">
        <v>5500000</v>
      </c>
      <c r="G29" s="2">
        <v>4598160</v>
      </c>
    </row>
    <row r="30" spans="1:7" ht="29" x14ac:dyDescent="0.35">
      <c r="A30" s="5" t="s">
        <v>17</v>
      </c>
      <c r="B30" s="38" t="s">
        <v>201</v>
      </c>
      <c r="C30" s="5" t="s">
        <v>144</v>
      </c>
      <c r="D30" s="5" t="s">
        <v>38</v>
      </c>
      <c r="E30" s="3" t="s">
        <v>41</v>
      </c>
      <c r="F30" s="2">
        <v>0</v>
      </c>
      <c r="G30" s="32">
        <f>37800000-1750000</f>
        <v>36050000</v>
      </c>
    </row>
    <row r="31" spans="1:7" ht="58" x14ac:dyDescent="0.35">
      <c r="A31" s="5" t="s">
        <v>17</v>
      </c>
      <c r="B31" s="38" t="s">
        <v>201</v>
      </c>
      <c r="C31" s="5" t="s">
        <v>139</v>
      </c>
      <c r="D31" s="5" t="s">
        <v>38</v>
      </c>
      <c r="E31" s="3" t="s">
        <v>42</v>
      </c>
      <c r="F31" s="2">
        <v>17600000</v>
      </c>
      <c r="G31" s="2">
        <v>11900000</v>
      </c>
    </row>
    <row r="32" spans="1:7" ht="33" customHeight="1" x14ac:dyDescent="0.35">
      <c r="A32" s="5" t="s">
        <v>17</v>
      </c>
      <c r="B32" s="38" t="s">
        <v>201</v>
      </c>
      <c r="C32" s="5" t="s">
        <v>144</v>
      </c>
      <c r="D32" s="5" t="s">
        <v>38</v>
      </c>
      <c r="E32" s="3" t="s">
        <v>145</v>
      </c>
      <c r="F32" s="2">
        <v>0</v>
      </c>
      <c r="G32" s="2">
        <v>75000000</v>
      </c>
    </row>
    <row r="33" spans="1:7" ht="33" customHeight="1" x14ac:dyDescent="0.35">
      <c r="A33" s="5" t="s">
        <v>17</v>
      </c>
      <c r="B33" s="38" t="s">
        <v>201</v>
      </c>
      <c r="C33" s="5" t="s">
        <v>144</v>
      </c>
      <c r="D33" s="5" t="s">
        <v>38</v>
      </c>
      <c r="E33" s="26" t="s">
        <v>146</v>
      </c>
      <c r="F33" s="36">
        <v>0</v>
      </c>
      <c r="G33" s="32">
        <v>30000000</v>
      </c>
    </row>
    <row r="34" spans="1:7" ht="101.5" x14ac:dyDescent="0.35">
      <c r="A34" s="5" t="s">
        <v>17</v>
      </c>
      <c r="B34" s="38" t="s">
        <v>201</v>
      </c>
      <c r="C34" s="5" t="s">
        <v>144</v>
      </c>
      <c r="D34" s="5" t="s">
        <v>43</v>
      </c>
      <c r="E34" s="3" t="s">
        <v>44</v>
      </c>
      <c r="F34" s="2">
        <v>332145681</v>
      </c>
      <c r="G34" s="2">
        <f>332133955+65769100</f>
        <v>397903055</v>
      </c>
    </row>
    <row r="35" spans="1:7" ht="58" x14ac:dyDescent="0.35">
      <c r="A35" s="5" t="s">
        <v>17</v>
      </c>
      <c r="B35" s="38" t="s">
        <v>201</v>
      </c>
      <c r="C35" s="5" t="s">
        <v>144</v>
      </c>
      <c r="D35" s="5" t="s">
        <v>43</v>
      </c>
      <c r="E35" s="3" t="s">
        <v>45</v>
      </c>
      <c r="F35" s="2">
        <v>219912000</v>
      </c>
      <c r="G35" s="2">
        <f>219912000+71995000</f>
        <v>291907000</v>
      </c>
    </row>
    <row r="36" spans="1:7" ht="43.5" x14ac:dyDescent="0.35">
      <c r="A36" s="5" t="s">
        <v>17</v>
      </c>
      <c r="B36" s="38" t="s">
        <v>201</v>
      </c>
      <c r="C36" s="5" t="s">
        <v>144</v>
      </c>
      <c r="D36" s="5" t="s">
        <v>43</v>
      </c>
      <c r="E36" s="3" t="s">
        <v>46</v>
      </c>
      <c r="F36" s="2">
        <v>194040000</v>
      </c>
      <c r="G36" s="2">
        <v>194040000</v>
      </c>
    </row>
    <row r="37" spans="1:7" ht="120.75" customHeight="1" x14ac:dyDescent="0.35">
      <c r="A37" s="5" t="s">
        <v>17</v>
      </c>
      <c r="B37" s="38" t="s">
        <v>201</v>
      </c>
      <c r="C37" s="5" t="s">
        <v>144</v>
      </c>
      <c r="D37" s="5" t="s">
        <v>43</v>
      </c>
      <c r="E37" s="3" t="s">
        <v>47</v>
      </c>
      <c r="F37" s="2">
        <v>550000000</v>
      </c>
      <c r="G37" s="2">
        <v>550000000</v>
      </c>
    </row>
    <row r="38" spans="1:7" ht="188.5" x14ac:dyDescent="0.35">
      <c r="A38" s="5" t="s">
        <v>17</v>
      </c>
      <c r="B38" s="38" t="s">
        <v>201</v>
      </c>
      <c r="C38" s="5" t="s">
        <v>144</v>
      </c>
      <c r="D38" s="5" t="s">
        <v>43</v>
      </c>
      <c r="E38" s="3" t="s">
        <v>48</v>
      </c>
      <c r="F38" s="2">
        <v>1150000000</v>
      </c>
      <c r="G38" s="2">
        <v>1112944833</v>
      </c>
    </row>
    <row r="39" spans="1:7" ht="72.5" x14ac:dyDescent="0.35">
      <c r="A39" s="5" t="s">
        <v>17</v>
      </c>
      <c r="B39" s="38" t="s">
        <v>201</v>
      </c>
      <c r="C39" s="5" t="s">
        <v>144</v>
      </c>
      <c r="D39" s="5" t="s">
        <v>43</v>
      </c>
      <c r="E39" s="3" t="s">
        <v>49</v>
      </c>
      <c r="F39" s="2">
        <v>79200000</v>
      </c>
      <c r="G39" s="2">
        <v>43600000</v>
      </c>
    </row>
    <row r="40" spans="1:7" ht="72.5" x14ac:dyDescent="0.35">
      <c r="A40" s="5" t="s">
        <v>17</v>
      </c>
      <c r="B40" s="38" t="s">
        <v>201</v>
      </c>
      <c r="C40" s="5" t="s">
        <v>144</v>
      </c>
      <c r="D40" s="5" t="s">
        <v>43</v>
      </c>
      <c r="E40" s="3" t="s">
        <v>49</v>
      </c>
      <c r="F40" s="2">
        <v>0</v>
      </c>
      <c r="G40" s="32">
        <f>(6300000*4)-3570000</f>
        <v>21630000</v>
      </c>
    </row>
    <row r="41" spans="1:7" ht="145" x14ac:dyDescent="0.35">
      <c r="A41" s="5" t="s">
        <v>17</v>
      </c>
      <c r="B41" s="38" t="s">
        <v>201</v>
      </c>
      <c r="C41" s="5" t="s">
        <v>144</v>
      </c>
      <c r="D41" s="5" t="s">
        <v>50</v>
      </c>
      <c r="E41" s="3" t="s">
        <v>51</v>
      </c>
      <c r="F41" s="2">
        <v>159753000</v>
      </c>
      <c r="G41" s="2">
        <v>159753000</v>
      </c>
    </row>
    <row r="42" spans="1:7" ht="101.5" x14ac:dyDescent="0.35">
      <c r="A42" s="5" t="s">
        <v>17</v>
      </c>
      <c r="B42" s="38" t="s">
        <v>201</v>
      </c>
      <c r="C42" s="5" t="s">
        <v>144</v>
      </c>
      <c r="D42" s="5" t="s">
        <v>43</v>
      </c>
      <c r="E42" s="3" t="s">
        <v>52</v>
      </c>
      <c r="F42" s="2">
        <v>150000000</v>
      </c>
      <c r="G42" s="2">
        <v>50000000</v>
      </c>
    </row>
    <row r="43" spans="1:7" ht="44.15" customHeight="1" x14ac:dyDescent="0.35">
      <c r="A43" s="5" t="s">
        <v>17</v>
      </c>
      <c r="B43" s="38" t="s">
        <v>201</v>
      </c>
      <c r="C43" s="5" t="s">
        <v>144</v>
      </c>
      <c r="D43" s="5" t="s">
        <v>50</v>
      </c>
      <c r="E43" s="3" t="s">
        <v>53</v>
      </c>
      <c r="F43" s="2">
        <v>104019600</v>
      </c>
      <c r="G43" s="2">
        <v>34673200</v>
      </c>
    </row>
    <row r="44" spans="1:7" ht="44.15" customHeight="1" x14ac:dyDescent="0.35">
      <c r="A44" s="5" t="s">
        <v>17</v>
      </c>
      <c r="B44" s="38" t="s">
        <v>201</v>
      </c>
      <c r="C44" s="5" t="s">
        <v>144</v>
      </c>
      <c r="D44" s="5" t="s">
        <v>50</v>
      </c>
      <c r="E44" s="3" t="s">
        <v>53</v>
      </c>
      <c r="F44" s="2">
        <v>0</v>
      </c>
      <c r="G44" s="32">
        <f>62411760-1733660</f>
        <v>60678100</v>
      </c>
    </row>
    <row r="45" spans="1:7" ht="174" x14ac:dyDescent="0.35">
      <c r="A45" s="5" t="s">
        <v>17</v>
      </c>
      <c r="B45" s="38" t="s">
        <v>201</v>
      </c>
      <c r="C45" s="5" t="s">
        <v>144</v>
      </c>
      <c r="D45" s="5" t="s">
        <v>50</v>
      </c>
      <c r="E45" s="3" t="s">
        <v>54</v>
      </c>
      <c r="F45" s="2">
        <v>176748000</v>
      </c>
      <c r="G45" s="2">
        <f>58916000-14729000-(14729000-1963866.66)</f>
        <v>31421866.66</v>
      </c>
    </row>
    <row r="46" spans="1:7" ht="174" x14ac:dyDescent="0.35">
      <c r="A46" s="5" t="s">
        <v>17</v>
      </c>
      <c r="B46" s="38" t="s">
        <v>201</v>
      </c>
      <c r="C46" s="5" t="s">
        <v>144</v>
      </c>
      <c r="D46" s="5" t="s">
        <v>50</v>
      </c>
      <c r="E46" s="3" t="s">
        <v>147</v>
      </c>
      <c r="F46" s="2">
        <v>0</v>
      </c>
      <c r="G46" s="2">
        <f>86250000-2300000</f>
        <v>83950000</v>
      </c>
    </row>
    <row r="47" spans="1:7" ht="87" x14ac:dyDescent="0.35">
      <c r="A47" s="5" t="s">
        <v>17</v>
      </c>
      <c r="B47" s="38" t="s">
        <v>201</v>
      </c>
      <c r="C47" s="5" t="s">
        <v>144</v>
      </c>
      <c r="D47" s="5" t="s">
        <v>50</v>
      </c>
      <c r="E47" s="3" t="s">
        <v>55</v>
      </c>
      <c r="F47" s="2">
        <v>159600000</v>
      </c>
      <c r="G47" s="2">
        <v>53200000</v>
      </c>
    </row>
    <row r="48" spans="1:7" ht="87" x14ac:dyDescent="0.35">
      <c r="A48" s="5" t="s">
        <v>17</v>
      </c>
      <c r="B48" s="38" t="s">
        <v>201</v>
      </c>
      <c r="C48" s="5" t="s">
        <v>144</v>
      </c>
      <c r="D48" s="5" t="s">
        <v>50</v>
      </c>
      <c r="E48" s="3" t="s">
        <v>55</v>
      </c>
      <c r="F48" s="2">
        <v>0</v>
      </c>
      <c r="G48" s="2">
        <f>94430000-443333</f>
        <v>93986667</v>
      </c>
    </row>
    <row r="49" spans="1:7" ht="145" x14ac:dyDescent="0.35">
      <c r="A49" s="5" t="s">
        <v>17</v>
      </c>
      <c r="B49" s="38" t="s">
        <v>201</v>
      </c>
      <c r="C49" s="5" t="s">
        <v>144</v>
      </c>
      <c r="D49" s="5" t="s">
        <v>50</v>
      </c>
      <c r="E49" s="3" t="s">
        <v>56</v>
      </c>
      <c r="F49" s="2">
        <v>145800000</v>
      </c>
      <c r="G49" s="2">
        <v>48600000</v>
      </c>
    </row>
    <row r="50" spans="1:7" ht="145" x14ac:dyDescent="0.35">
      <c r="A50" s="5" t="s">
        <v>17</v>
      </c>
      <c r="B50" s="38" t="s">
        <v>201</v>
      </c>
      <c r="C50" s="5" t="s">
        <v>144</v>
      </c>
      <c r="D50" s="5" t="s">
        <v>50</v>
      </c>
      <c r="E50" s="3" t="s">
        <v>56</v>
      </c>
      <c r="F50" s="2">
        <v>0</v>
      </c>
      <c r="G50" s="32">
        <f>88290000-2025000</f>
        <v>86265000</v>
      </c>
    </row>
    <row r="51" spans="1:7" ht="29" x14ac:dyDescent="0.35">
      <c r="A51" s="5" t="s">
        <v>17</v>
      </c>
      <c r="B51" s="38" t="s">
        <v>201</v>
      </c>
      <c r="C51" s="5"/>
      <c r="D51" s="5" t="s">
        <v>19</v>
      </c>
      <c r="E51" s="3" t="s">
        <v>57</v>
      </c>
      <c r="F51" s="2">
        <v>5000000</v>
      </c>
      <c r="G51" s="2">
        <v>0</v>
      </c>
    </row>
    <row r="52" spans="1:7" ht="188.5" x14ac:dyDescent="0.35">
      <c r="A52" s="5" t="s">
        <v>17</v>
      </c>
      <c r="B52" s="38" t="s">
        <v>201</v>
      </c>
      <c r="C52" s="5" t="s">
        <v>144</v>
      </c>
      <c r="D52" s="5" t="s">
        <v>19</v>
      </c>
      <c r="E52" s="3" t="s">
        <v>58</v>
      </c>
      <c r="F52" s="2">
        <v>204000000</v>
      </c>
      <c r="G52" s="2">
        <f>187000000-8500000</f>
        <v>178500000</v>
      </c>
    </row>
    <row r="53" spans="1:7" ht="72.5" x14ac:dyDescent="0.35">
      <c r="A53" s="5" t="s">
        <v>17</v>
      </c>
      <c r="B53" s="38" t="s">
        <v>201</v>
      </c>
      <c r="C53" s="5" t="s">
        <v>144</v>
      </c>
      <c r="D53" s="5" t="s">
        <v>50</v>
      </c>
      <c r="E53" s="3" t="s">
        <v>59</v>
      </c>
      <c r="F53" s="2">
        <v>132250000</v>
      </c>
      <c r="G53" s="32">
        <f>82150000-2630000-33600000-373333.34</f>
        <v>45546666.659999996</v>
      </c>
    </row>
    <row r="54" spans="1:7" ht="72.5" x14ac:dyDescent="0.35">
      <c r="A54" s="5" t="s">
        <v>17</v>
      </c>
      <c r="B54" s="38" t="s">
        <v>201</v>
      </c>
      <c r="C54" s="5" t="s">
        <v>144</v>
      </c>
      <c r="D54" s="5" t="s">
        <v>50</v>
      </c>
      <c r="E54" s="3" t="s">
        <v>59</v>
      </c>
      <c r="F54" s="2">
        <v>132250000</v>
      </c>
      <c r="G54" s="2">
        <v>44800000</v>
      </c>
    </row>
    <row r="55" spans="1:7" ht="72.5" x14ac:dyDescent="0.35">
      <c r="A55" s="5" t="s">
        <v>17</v>
      </c>
      <c r="B55" s="38" t="s">
        <v>201</v>
      </c>
      <c r="C55" s="5" t="s">
        <v>144</v>
      </c>
      <c r="D55" s="5" t="s">
        <v>50</v>
      </c>
      <c r="E55" s="3" t="s">
        <v>59</v>
      </c>
      <c r="F55" s="2">
        <v>0</v>
      </c>
      <c r="G55" s="2">
        <f>11200000*5</f>
        <v>56000000</v>
      </c>
    </row>
    <row r="56" spans="1:7" ht="145" x14ac:dyDescent="0.35">
      <c r="A56" s="5" t="s">
        <v>17</v>
      </c>
      <c r="B56" s="38" t="s">
        <v>201</v>
      </c>
      <c r="C56" s="5" t="s">
        <v>144</v>
      </c>
      <c r="D56" s="5" t="s">
        <v>50</v>
      </c>
      <c r="E56" s="3" t="s">
        <v>60</v>
      </c>
      <c r="F56" s="2">
        <v>420000000</v>
      </c>
      <c r="G56" s="2">
        <f>399727481-1</f>
        <v>399727480</v>
      </c>
    </row>
    <row r="57" spans="1:7" ht="43.5" x14ac:dyDescent="0.35">
      <c r="A57" s="38" t="s">
        <v>17</v>
      </c>
      <c r="B57" s="38" t="s">
        <v>201</v>
      </c>
      <c r="C57" s="5" t="s">
        <v>144</v>
      </c>
      <c r="D57" s="5" t="s">
        <v>50</v>
      </c>
      <c r="E57" s="3" t="s">
        <v>148</v>
      </c>
      <c r="F57" s="2">
        <v>260000000</v>
      </c>
      <c r="G57" s="2">
        <v>260000000</v>
      </c>
    </row>
    <row r="58" spans="1:7" ht="87" x14ac:dyDescent="0.35">
      <c r="A58" s="5" t="s">
        <v>17</v>
      </c>
      <c r="B58" s="38" t="s">
        <v>201</v>
      </c>
      <c r="C58" s="5" t="s">
        <v>144</v>
      </c>
      <c r="D58" s="5" t="s">
        <v>50</v>
      </c>
      <c r="E58" s="3" t="s">
        <v>149</v>
      </c>
      <c r="F58" s="2">
        <v>0</v>
      </c>
      <c r="G58" s="2">
        <v>70000000</v>
      </c>
    </row>
    <row r="59" spans="1:7" ht="43.5" x14ac:dyDescent="0.35">
      <c r="A59" s="5" t="s">
        <v>17</v>
      </c>
      <c r="B59" s="38" t="s">
        <v>201</v>
      </c>
      <c r="C59" s="5" t="s">
        <v>144</v>
      </c>
      <c r="D59" s="5" t="s">
        <v>50</v>
      </c>
      <c r="E59" s="3" t="s">
        <v>150</v>
      </c>
      <c r="F59" s="2">
        <v>120000000</v>
      </c>
      <c r="G59" s="35">
        <v>0</v>
      </c>
    </row>
    <row r="60" spans="1:7" ht="31.5" customHeight="1" x14ac:dyDescent="0.35">
      <c r="A60" s="38" t="s">
        <v>17</v>
      </c>
      <c r="B60" s="38" t="s">
        <v>201</v>
      </c>
      <c r="C60" s="5" t="s">
        <v>144</v>
      </c>
      <c r="D60" s="5" t="s">
        <v>50</v>
      </c>
      <c r="E60" s="3" t="s">
        <v>151</v>
      </c>
      <c r="F60" s="2">
        <v>0</v>
      </c>
      <c r="G60" s="32">
        <v>11000000</v>
      </c>
    </row>
    <row r="61" spans="1:7" ht="43.5" x14ac:dyDescent="0.35">
      <c r="A61" s="5" t="s">
        <v>17</v>
      </c>
      <c r="B61" s="38" t="s">
        <v>201</v>
      </c>
      <c r="C61" s="5" t="s">
        <v>144</v>
      </c>
      <c r="D61" s="5" t="s">
        <v>50</v>
      </c>
      <c r="E61" s="3" t="s">
        <v>61</v>
      </c>
      <c r="F61" s="2">
        <v>150000000</v>
      </c>
      <c r="G61" s="2">
        <v>0</v>
      </c>
    </row>
    <row r="62" spans="1:7" ht="43.5" x14ac:dyDescent="0.35">
      <c r="A62" s="5" t="s">
        <v>17</v>
      </c>
      <c r="B62" s="38" t="s">
        <v>201</v>
      </c>
      <c r="C62" s="5" t="s">
        <v>152</v>
      </c>
      <c r="D62" s="5" t="s">
        <v>50</v>
      </c>
      <c r="E62" s="3" t="s">
        <v>62</v>
      </c>
      <c r="F62" s="2">
        <v>230000000</v>
      </c>
      <c r="G62" s="2">
        <f>250846847-1</f>
        <v>250846846</v>
      </c>
    </row>
    <row r="63" spans="1:7" ht="87" x14ac:dyDescent="0.35">
      <c r="A63" s="5" t="s">
        <v>17</v>
      </c>
      <c r="B63" s="38" t="s">
        <v>201</v>
      </c>
      <c r="C63" s="5" t="s">
        <v>144</v>
      </c>
      <c r="D63" s="5" t="s">
        <v>63</v>
      </c>
      <c r="E63" s="3" t="s">
        <v>64</v>
      </c>
      <c r="F63" s="2">
        <v>421000000</v>
      </c>
      <c r="G63" s="2">
        <f>420403200+105100800-7751186</f>
        <v>517752814</v>
      </c>
    </row>
    <row r="64" spans="1:7" ht="159.75" customHeight="1" x14ac:dyDescent="0.35">
      <c r="A64" s="5" t="s">
        <v>17</v>
      </c>
      <c r="B64" s="38" t="s">
        <v>201</v>
      </c>
      <c r="C64" s="5" t="s">
        <v>144</v>
      </c>
      <c r="D64" s="5" t="s">
        <v>63</v>
      </c>
      <c r="E64" s="3" t="s">
        <v>65</v>
      </c>
      <c r="F64" s="2">
        <v>274497300</v>
      </c>
      <c r="G64" s="2">
        <v>274497300</v>
      </c>
    </row>
    <row r="65" spans="1:7" ht="116" x14ac:dyDescent="0.35">
      <c r="A65" s="5" t="s">
        <v>17</v>
      </c>
      <c r="B65" s="38" t="s">
        <v>201</v>
      </c>
      <c r="C65" s="5" t="s">
        <v>144</v>
      </c>
      <c r="D65" s="5" t="s">
        <v>43</v>
      </c>
      <c r="E65" s="3" t="s">
        <v>66</v>
      </c>
      <c r="F65" s="2">
        <v>195000000</v>
      </c>
      <c r="G65" s="2">
        <f>65000000-16250000-16250000-(16250000-2708333)</f>
        <v>18958333</v>
      </c>
    </row>
    <row r="66" spans="1:7" ht="101.5" x14ac:dyDescent="0.35">
      <c r="A66" s="5" t="s">
        <v>17</v>
      </c>
      <c r="B66" s="38" t="s">
        <v>201</v>
      </c>
      <c r="C66" s="5" t="s">
        <v>144</v>
      </c>
      <c r="D66" s="5" t="s">
        <v>63</v>
      </c>
      <c r="E66" s="3" t="s">
        <v>67</v>
      </c>
      <c r="F66" s="2">
        <v>175876580</v>
      </c>
      <c r="G66" s="2">
        <v>175876600</v>
      </c>
    </row>
    <row r="67" spans="1:7" ht="58" x14ac:dyDescent="0.35">
      <c r="A67" s="5" t="s">
        <v>17</v>
      </c>
      <c r="B67" s="38" t="s">
        <v>201</v>
      </c>
      <c r="C67" s="5" t="s">
        <v>144</v>
      </c>
      <c r="D67" s="5" t="s">
        <v>63</v>
      </c>
      <c r="E67" s="3" t="s">
        <v>68</v>
      </c>
      <c r="F67" s="2">
        <v>75000000</v>
      </c>
      <c r="G67" s="32">
        <v>100000000</v>
      </c>
    </row>
    <row r="68" spans="1:7" ht="29" x14ac:dyDescent="0.35">
      <c r="A68" s="5" t="s">
        <v>17</v>
      </c>
      <c r="B68" s="38" t="s">
        <v>201</v>
      </c>
      <c r="C68" s="5" t="s">
        <v>144</v>
      </c>
      <c r="D68" s="5" t="s">
        <v>63</v>
      </c>
      <c r="E68" s="3" t="s">
        <v>153</v>
      </c>
      <c r="F68" s="2">
        <v>0</v>
      </c>
      <c r="G68" s="32">
        <f>(9000000*4)-1800000</f>
        <v>34200000</v>
      </c>
    </row>
    <row r="69" spans="1:7" ht="29" x14ac:dyDescent="0.35">
      <c r="A69" s="5" t="s">
        <v>17</v>
      </c>
      <c r="B69" s="38" t="s">
        <v>201</v>
      </c>
      <c r="C69" s="5" t="s">
        <v>144</v>
      </c>
      <c r="D69" s="5" t="s">
        <v>63</v>
      </c>
      <c r="E69" s="3" t="s">
        <v>154</v>
      </c>
      <c r="F69" s="2">
        <v>0</v>
      </c>
      <c r="G69" s="32">
        <f>16000000*4</f>
        <v>64000000</v>
      </c>
    </row>
    <row r="70" spans="1:7" ht="29" x14ac:dyDescent="0.35">
      <c r="A70" s="5" t="s">
        <v>17</v>
      </c>
      <c r="B70" s="38" t="s">
        <v>201</v>
      </c>
      <c r="C70" s="5" t="s">
        <v>144</v>
      </c>
      <c r="D70" s="5" t="s">
        <v>63</v>
      </c>
      <c r="E70" s="3" t="s">
        <v>155</v>
      </c>
      <c r="F70" s="2">
        <v>0</v>
      </c>
      <c r="G70" s="32">
        <f>11000000*4</f>
        <v>44000000</v>
      </c>
    </row>
    <row r="71" spans="1:7" s="40" customFormat="1" ht="29" x14ac:dyDescent="0.35">
      <c r="A71" s="38" t="s">
        <v>17</v>
      </c>
      <c r="B71" s="38" t="s">
        <v>201</v>
      </c>
      <c r="C71" s="5" t="s">
        <v>144</v>
      </c>
      <c r="D71" s="38" t="s">
        <v>63</v>
      </c>
      <c r="E71" s="37" t="s">
        <v>153</v>
      </c>
      <c r="F71" s="32">
        <v>0</v>
      </c>
      <c r="G71" s="32">
        <f>32400000-900000</f>
        <v>31500000</v>
      </c>
    </row>
    <row r="72" spans="1:7" ht="130.5" x14ac:dyDescent="0.35">
      <c r="A72" s="5" t="s">
        <v>17</v>
      </c>
      <c r="B72" s="38" t="s">
        <v>201</v>
      </c>
      <c r="C72" s="5" t="s">
        <v>144</v>
      </c>
      <c r="D72" s="5" t="s">
        <v>63</v>
      </c>
      <c r="E72" s="3" t="s">
        <v>69</v>
      </c>
      <c r="F72" s="2">
        <v>211200000</v>
      </c>
      <c r="G72" s="2">
        <f>70400000+35200000</f>
        <v>105600000</v>
      </c>
    </row>
    <row r="73" spans="1:7" ht="130.5" x14ac:dyDescent="0.35">
      <c r="A73" s="5" t="s">
        <v>17</v>
      </c>
      <c r="B73" s="38" t="s">
        <v>201</v>
      </c>
      <c r="C73" s="5" t="s">
        <v>144</v>
      </c>
      <c r="D73" s="5" t="s">
        <v>63</v>
      </c>
      <c r="E73" s="3" t="s">
        <v>69</v>
      </c>
      <c r="F73" s="2">
        <v>0</v>
      </c>
      <c r="G73" s="2">
        <f>91520000-586666.67</f>
        <v>90933333.329999998</v>
      </c>
    </row>
    <row r="74" spans="1:7" ht="159.5" x14ac:dyDescent="0.35">
      <c r="A74" s="5" t="s">
        <v>17</v>
      </c>
      <c r="B74" s="38" t="s">
        <v>201</v>
      </c>
      <c r="C74" s="5" t="s">
        <v>144</v>
      </c>
      <c r="D74" s="5" t="s">
        <v>63</v>
      </c>
      <c r="E74" s="3" t="s">
        <v>156</v>
      </c>
      <c r="F74" s="2">
        <v>201600000</v>
      </c>
      <c r="G74" s="2">
        <v>67200000</v>
      </c>
    </row>
    <row r="75" spans="1:7" ht="159.5" x14ac:dyDescent="0.35">
      <c r="A75" s="5" t="s">
        <v>17</v>
      </c>
      <c r="B75" s="38" t="s">
        <v>201</v>
      </c>
      <c r="C75" s="5" t="s">
        <v>144</v>
      </c>
      <c r="D75" s="5" t="s">
        <v>63</v>
      </c>
      <c r="E75" s="3" t="s">
        <v>70</v>
      </c>
      <c r="F75" s="2">
        <v>0</v>
      </c>
      <c r="G75" s="2">
        <f>122080000-1120000+4703318</f>
        <v>125663318</v>
      </c>
    </row>
    <row r="76" spans="1:7" ht="72.5" x14ac:dyDescent="0.35">
      <c r="A76" s="5" t="s">
        <v>17</v>
      </c>
      <c r="B76" s="38" t="s">
        <v>201</v>
      </c>
      <c r="C76" s="5" t="s">
        <v>144</v>
      </c>
      <c r="D76" s="5" t="s">
        <v>63</v>
      </c>
      <c r="E76" s="3" t="s">
        <v>71</v>
      </c>
      <c r="F76" s="2">
        <v>14150400</v>
      </c>
      <c r="G76" s="2">
        <f>8558340-985615.16</f>
        <v>7572724.8399999999</v>
      </c>
    </row>
    <row r="77" spans="1:7" ht="190.5" customHeight="1" x14ac:dyDescent="0.35">
      <c r="A77" s="5" t="s">
        <v>17</v>
      </c>
      <c r="B77" s="38" t="s">
        <v>201</v>
      </c>
      <c r="C77" s="5" t="s">
        <v>144</v>
      </c>
      <c r="D77" s="5" t="s">
        <v>72</v>
      </c>
      <c r="E77" s="3" t="s">
        <v>73</v>
      </c>
      <c r="F77" s="2">
        <v>140038800</v>
      </c>
      <c r="G77" s="2">
        <v>46679600</v>
      </c>
    </row>
    <row r="78" spans="1:7" ht="174" x14ac:dyDescent="0.35">
      <c r="A78" s="5" t="s">
        <v>17</v>
      </c>
      <c r="B78" s="38" t="s">
        <v>201</v>
      </c>
      <c r="C78" s="5" t="s">
        <v>144</v>
      </c>
      <c r="D78" s="5" t="s">
        <v>72</v>
      </c>
      <c r="E78" s="3" t="s">
        <v>73</v>
      </c>
      <c r="F78" s="2">
        <v>0</v>
      </c>
      <c r="G78" s="2">
        <f>(11669900*6)+13225887-388997</f>
        <v>82856290</v>
      </c>
    </row>
    <row r="79" spans="1:7" ht="188.5" x14ac:dyDescent="0.35">
      <c r="A79" s="5" t="s">
        <v>17</v>
      </c>
      <c r="B79" s="38" t="s">
        <v>201</v>
      </c>
      <c r="C79" s="5" t="s">
        <v>144</v>
      </c>
      <c r="D79" s="5" t="s">
        <v>72</v>
      </c>
      <c r="E79" s="3" t="s">
        <v>74</v>
      </c>
      <c r="F79" s="2">
        <v>118800000</v>
      </c>
      <c r="G79" s="2">
        <v>39600000</v>
      </c>
    </row>
    <row r="80" spans="1:7" ht="174" x14ac:dyDescent="0.35">
      <c r="A80" s="5" t="s">
        <v>17</v>
      </c>
      <c r="B80" s="38" t="s">
        <v>201</v>
      </c>
      <c r="C80" s="5" t="s">
        <v>144</v>
      </c>
      <c r="D80" s="5" t="s">
        <v>72</v>
      </c>
      <c r="E80" s="3" t="s">
        <v>157</v>
      </c>
      <c r="F80" s="2">
        <v>0</v>
      </c>
      <c r="G80" s="2">
        <f>70950000-660000</f>
        <v>70290000</v>
      </c>
    </row>
    <row r="81" spans="1:7" ht="174" x14ac:dyDescent="0.35">
      <c r="A81" s="5" t="s">
        <v>17</v>
      </c>
      <c r="B81" s="38" t="s">
        <v>201</v>
      </c>
      <c r="C81" s="5" t="s">
        <v>144</v>
      </c>
      <c r="D81" s="5" t="s">
        <v>72</v>
      </c>
      <c r="E81" s="3" t="s">
        <v>75</v>
      </c>
      <c r="F81" s="2">
        <v>400000000</v>
      </c>
      <c r="G81" s="2">
        <v>457342693</v>
      </c>
    </row>
    <row r="82" spans="1:7" ht="116" x14ac:dyDescent="0.35">
      <c r="A82" s="5" t="s">
        <v>17</v>
      </c>
      <c r="B82" s="38" t="s">
        <v>201</v>
      </c>
      <c r="C82" s="5" t="s">
        <v>144</v>
      </c>
      <c r="D82" s="5" t="s">
        <v>72</v>
      </c>
      <c r="E82" s="3" t="s">
        <v>76</v>
      </c>
      <c r="F82" s="2">
        <v>150000000</v>
      </c>
      <c r="G82" s="2">
        <f>11670000*4</f>
        <v>46680000</v>
      </c>
    </row>
    <row r="83" spans="1:7" ht="130.5" customHeight="1" x14ac:dyDescent="0.35">
      <c r="A83" s="5" t="s">
        <v>17</v>
      </c>
      <c r="B83" s="38" t="s">
        <v>201</v>
      </c>
      <c r="C83" s="5" t="s">
        <v>144</v>
      </c>
      <c r="D83" s="5" t="s">
        <v>72</v>
      </c>
      <c r="E83" s="3" t="s">
        <v>76</v>
      </c>
      <c r="F83" s="2">
        <v>0</v>
      </c>
      <c r="G83" s="2">
        <f>61462000-389000</f>
        <v>61073000</v>
      </c>
    </row>
    <row r="84" spans="1:7" ht="30.75" customHeight="1" x14ac:dyDescent="0.35">
      <c r="A84" s="38" t="s">
        <v>17</v>
      </c>
      <c r="B84" s="38" t="s">
        <v>201</v>
      </c>
      <c r="C84" s="5" t="s">
        <v>144</v>
      </c>
      <c r="D84" s="38" t="s">
        <v>72</v>
      </c>
      <c r="E84" s="3" t="s">
        <v>158</v>
      </c>
      <c r="F84" s="2">
        <v>0</v>
      </c>
      <c r="G84" s="2">
        <f>30100000-1750000</f>
        <v>28350000</v>
      </c>
    </row>
    <row r="85" spans="1:7" ht="30.75" customHeight="1" x14ac:dyDescent="0.35">
      <c r="A85" s="38" t="s">
        <v>17</v>
      </c>
      <c r="B85" s="38" t="s">
        <v>201</v>
      </c>
      <c r="C85" s="5" t="s">
        <v>144</v>
      </c>
      <c r="D85" s="38" t="s">
        <v>72</v>
      </c>
      <c r="E85" s="3" t="s">
        <v>159</v>
      </c>
      <c r="F85" s="2">
        <v>0</v>
      </c>
      <c r="G85" s="2">
        <v>23800000</v>
      </c>
    </row>
    <row r="86" spans="1:7" ht="116" x14ac:dyDescent="0.35">
      <c r="A86" s="5" t="s">
        <v>17</v>
      </c>
      <c r="B86" s="38" t="s">
        <v>201</v>
      </c>
      <c r="C86" s="5" t="s">
        <v>144</v>
      </c>
      <c r="D86" s="5" t="s">
        <v>43</v>
      </c>
      <c r="E86" s="3" t="s">
        <v>66</v>
      </c>
      <c r="F86" s="2"/>
      <c r="G86" s="2">
        <f>58320000-1350000</f>
        <v>56970000</v>
      </c>
    </row>
    <row r="87" spans="1:7" ht="116" x14ac:dyDescent="0.35">
      <c r="A87" s="5" t="s">
        <v>17</v>
      </c>
      <c r="B87" s="38" t="s">
        <v>201</v>
      </c>
      <c r="C87" s="5" t="s">
        <v>144</v>
      </c>
      <c r="D87" s="5" t="s">
        <v>43</v>
      </c>
      <c r="E87" s="3" t="s">
        <v>77</v>
      </c>
      <c r="F87" s="2">
        <v>187520000</v>
      </c>
      <c r="G87" s="2">
        <v>187520000</v>
      </c>
    </row>
    <row r="88" spans="1:7" ht="130.5" x14ac:dyDescent="0.35">
      <c r="A88" s="5" t="s">
        <v>17</v>
      </c>
      <c r="B88" s="38" t="s">
        <v>201</v>
      </c>
      <c r="C88" s="5" t="s">
        <v>144</v>
      </c>
      <c r="D88" s="5" t="s">
        <v>78</v>
      </c>
      <c r="E88" s="3" t="s">
        <v>79</v>
      </c>
      <c r="F88" s="2">
        <v>128700000</v>
      </c>
      <c r="G88" s="2">
        <v>128700000</v>
      </c>
    </row>
    <row r="89" spans="1:7" ht="130.5" x14ac:dyDescent="0.35">
      <c r="A89" s="5" t="s">
        <v>17</v>
      </c>
      <c r="B89" s="38" t="s">
        <v>201</v>
      </c>
      <c r="C89" s="5" t="s">
        <v>144</v>
      </c>
      <c r="D89" s="5" t="s">
        <v>78</v>
      </c>
      <c r="E89" s="3" t="s">
        <v>80</v>
      </c>
      <c r="F89" s="2">
        <v>62400000</v>
      </c>
      <c r="G89" s="2">
        <v>20800000</v>
      </c>
    </row>
    <row r="90" spans="1:7" ht="130.5" x14ac:dyDescent="0.35">
      <c r="A90" s="5" t="s">
        <v>17</v>
      </c>
      <c r="B90" s="38" t="s">
        <v>201</v>
      </c>
      <c r="C90" s="5" t="s">
        <v>144</v>
      </c>
      <c r="D90" s="5" t="s">
        <v>78</v>
      </c>
      <c r="E90" s="3" t="s">
        <v>80</v>
      </c>
      <c r="F90" s="2">
        <v>0</v>
      </c>
      <c r="G90" s="2">
        <f>45440000-426667</f>
        <v>45013333</v>
      </c>
    </row>
    <row r="91" spans="1:7" ht="72.5" x14ac:dyDescent="0.35">
      <c r="A91" s="5" t="s">
        <v>17</v>
      </c>
      <c r="B91" s="38" t="s">
        <v>201</v>
      </c>
      <c r="C91" s="5" t="s">
        <v>144</v>
      </c>
      <c r="D91" s="5" t="s">
        <v>43</v>
      </c>
      <c r="E91" s="3" t="s">
        <v>160</v>
      </c>
      <c r="F91" s="2">
        <v>0</v>
      </c>
      <c r="G91" s="2">
        <f>72000000+24000000</f>
        <v>96000000</v>
      </c>
    </row>
    <row r="92" spans="1:7" ht="145" x14ac:dyDescent="0.35">
      <c r="A92" s="5" t="s">
        <v>17</v>
      </c>
      <c r="B92" s="38" t="s">
        <v>201</v>
      </c>
      <c r="C92" s="5" t="s">
        <v>152</v>
      </c>
      <c r="D92" s="5" t="s">
        <v>78</v>
      </c>
      <c r="E92" s="3" t="s">
        <v>81</v>
      </c>
      <c r="F92" s="2">
        <v>598802634</v>
      </c>
      <c r="G92" s="2">
        <v>598802634</v>
      </c>
    </row>
    <row r="93" spans="1:7" ht="43.5" x14ac:dyDescent="0.35">
      <c r="A93" s="5" t="s">
        <v>17</v>
      </c>
      <c r="B93" s="38" t="s">
        <v>201</v>
      </c>
      <c r="C93" s="5" t="s">
        <v>152</v>
      </c>
      <c r="D93" s="5" t="s">
        <v>78</v>
      </c>
      <c r="E93" s="3" t="s">
        <v>82</v>
      </c>
      <c r="F93" s="2">
        <v>331529388</v>
      </c>
      <c r="G93" s="2">
        <f>317013200-27404685.28</f>
        <v>289608514.72000003</v>
      </c>
    </row>
    <row r="94" spans="1:7" ht="72.5" x14ac:dyDescent="0.35">
      <c r="A94" s="5" t="s">
        <v>17</v>
      </c>
      <c r="B94" s="38" t="s">
        <v>201</v>
      </c>
      <c r="C94" s="5" t="s">
        <v>152</v>
      </c>
      <c r="D94" s="5" t="s">
        <v>78</v>
      </c>
      <c r="E94" s="3" t="s">
        <v>83</v>
      </c>
      <c r="F94" s="2">
        <v>99259449</v>
      </c>
      <c r="G94" s="2">
        <v>237656650.49000001</v>
      </c>
    </row>
    <row r="95" spans="1:7" ht="145" x14ac:dyDescent="0.35">
      <c r="A95" s="5" t="s">
        <v>17</v>
      </c>
      <c r="B95" s="38" t="s">
        <v>201</v>
      </c>
      <c r="C95" s="5" t="s">
        <v>144</v>
      </c>
      <c r="D95" s="5" t="s">
        <v>84</v>
      </c>
      <c r="E95" s="3" t="s">
        <v>85</v>
      </c>
      <c r="F95" s="2">
        <v>199650000</v>
      </c>
      <c r="G95" s="2">
        <f>199650000-11</f>
        <v>199649989</v>
      </c>
    </row>
    <row r="96" spans="1:7" ht="72.5" x14ac:dyDescent="0.35">
      <c r="A96" s="5" t="s">
        <v>17</v>
      </c>
      <c r="B96" s="38" t="s">
        <v>201</v>
      </c>
      <c r="C96" s="5" t="s">
        <v>144</v>
      </c>
      <c r="D96" s="5" t="s">
        <v>84</v>
      </c>
      <c r="E96" s="3" t="s">
        <v>86</v>
      </c>
      <c r="F96" s="2">
        <v>59901600</v>
      </c>
      <c r="G96" s="2">
        <v>19967200</v>
      </c>
    </row>
    <row r="97" spans="1:7" ht="97.5" customHeight="1" x14ac:dyDescent="0.35">
      <c r="A97" s="5" t="s">
        <v>17</v>
      </c>
      <c r="B97" s="38" t="s">
        <v>201</v>
      </c>
      <c r="C97" s="5" t="s">
        <v>144</v>
      </c>
      <c r="D97" s="5" t="s">
        <v>84</v>
      </c>
      <c r="E97" s="3" t="s">
        <v>161</v>
      </c>
      <c r="F97" s="2">
        <v>0</v>
      </c>
      <c r="G97" s="32">
        <f>20066666-1399999</f>
        <v>18666667</v>
      </c>
    </row>
    <row r="98" spans="1:7" ht="87" x14ac:dyDescent="0.35">
      <c r="A98" s="5" t="s">
        <v>17</v>
      </c>
      <c r="B98" s="38" t="s">
        <v>201</v>
      </c>
      <c r="C98" s="5" t="s">
        <v>144</v>
      </c>
      <c r="D98" s="5" t="s">
        <v>84</v>
      </c>
      <c r="E98" s="3" t="s">
        <v>87</v>
      </c>
      <c r="F98" s="2">
        <v>115196400</v>
      </c>
      <c r="G98" s="32">
        <f>30100000-1750000</f>
        <v>28350000</v>
      </c>
    </row>
    <row r="99" spans="1:7" ht="159.5" x14ac:dyDescent="0.35">
      <c r="A99" s="5" t="s">
        <v>17</v>
      </c>
      <c r="B99" s="38" t="s">
        <v>201</v>
      </c>
      <c r="C99" s="5" t="s">
        <v>144</v>
      </c>
      <c r="D99" s="5" t="s">
        <v>84</v>
      </c>
      <c r="E99" s="3" t="s">
        <v>88</v>
      </c>
      <c r="F99" s="2">
        <v>321360000</v>
      </c>
      <c r="G99" s="2">
        <f>321360000-39045</f>
        <v>321320955</v>
      </c>
    </row>
    <row r="100" spans="1:7" ht="87" x14ac:dyDescent="0.35">
      <c r="A100" s="5" t="s">
        <v>17</v>
      </c>
      <c r="B100" s="38" t="s">
        <v>201</v>
      </c>
      <c r="C100" s="5" t="s">
        <v>138</v>
      </c>
      <c r="D100" s="5" t="s">
        <v>84</v>
      </c>
      <c r="E100" s="3" t="s">
        <v>89</v>
      </c>
      <c r="F100" s="2">
        <v>37400000</v>
      </c>
      <c r="G100" s="2">
        <v>32570300</v>
      </c>
    </row>
    <row r="101" spans="1:7" ht="116" x14ac:dyDescent="0.35">
      <c r="A101" s="5" t="s">
        <v>17</v>
      </c>
      <c r="B101" s="38" t="s">
        <v>201</v>
      </c>
      <c r="C101" s="5" t="s">
        <v>144</v>
      </c>
      <c r="D101" s="5" t="s">
        <v>84</v>
      </c>
      <c r="E101" s="3" t="s">
        <v>90</v>
      </c>
      <c r="F101" s="2">
        <v>37400000</v>
      </c>
      <c r="G101" s="2">
        <v>11466000</v>
      </c>
    </row>
    <row r="102" spans="1:7" ht="116" x14ac:dyDescent="0.35">
      <c r="A102" s="5" t="s">
        <v>17</v>
      </c>
      <c r="B102" s="38" t="s">
        <v>201</v>
      </c>
      <c r="C102" s="5" t="s">
        <v>144</v>
      </c>
      <c r="D102" s="5" t="s">
        <v>84</v>
      </c>
      <c r="E102" s="3" t="s">
        <v>90</v>
      </c>
      <c r="F102" s="2">
        <v>0</v>
      </c>
      <c r="G102" s="32">
        <f>20734350-668850</f>
        <v>20065500</v>
      </c>
    </row>
    <row r="103" spans="1:7" ht="29" x14ac:dyDescent="0.35">
      <c r="A103" s="5" t="s">
        <v>17</v>
      </c>
      <c r="B103" s="38" t="s">
        <v>201</v>
      </c>
      <c r="C103" s="5" t="s">
        <v>144</v>
      </c>
      <c r="D103" s="5" t="s">
        <v>84</v>
      </c>
      <c r="E103" s="3" t="s">
        <v>162</v>
      </c>
      <c r="F103" s="2">
        <v>0</v>
      </c>
      <c r="G103" s="2">
        <f>7000000*4</f>
        <v>28000000</v>
      </c>
    </row>
    <row r="104" spans="1:7" ht="72.5" x14ac:dyDescent="0.35">
      <c r="A104" s="5" t="s">
        <v>17</v>
      </c>
      <c r="B104" s="38" t="s">
        <v>201</v>
      </c>
      <c r="C104" s="5" t="s">
        <v>144</v>
      </c>
      <c r="D104" s="5" t="s">
        <v>84</v>
      </c>
      <c r="E104" s="3" t="s">
        <v>163</v>
      </c>
      <c r="F104" s="2">
        <v>0</v>
      </c>
      <c r="G104" s="2">
        <f>36866667-700000</f>
        <v>36166667</v>
      </c>
    </row>
    <row r="105" spans="1:7" ht="29" x14ac:dyDescent="0.35">
      <c r="A105" s="5" t="s">
        <v>17</v>
      </c>
      <c r="B105" s="38" t="s">
        <v>201</v>
      </c>
      <c r="C105" s="5"/>
      <c r="D105" s="5" t="s">
        <v>84</v>
      </c>
      <c r="E105" s="3" t="s">
        <v>91</v>
      </c>
      <c r="F105" s="2">
        <v>50000000</v>
      </c>
      <c r="G105" s="2">
        <v>0</v>
      </c>
    </row>
    <row r="106" spans="1:7" ht="29" x14ac:dyDescent="0.35">
      <c r="A106" s="5" t="s">
        <v>17</v>
      </c>
      <c r="B106" s="38" t="s">
        <v>201</v>
      </c>
      <c r="C106" s="5"/>
      <c r="D106" s="5" t="s">
        <v>84</v>
      </c>
      <c r="E106" s="3" t="s">
        <v>92</v>
      </c>
      <c r="F106" s="2">
        <v>1000000</v>
      </c>
      <c r="G106" s="2">
        <v>260319.61</v>
      </c>
    </row>
    <row r="107" spans="1:7" ht="49.5" customHeight="1" x14ac:dyDescent="0.35">
      <c r="A107" s="5" t="s">
        <v>17</v>
      </c>
      <c r="B107" s="38" t="s">
        <v>201</v>
      </c>
      <c r="C107" s="5" t="s">
        <v>144</v>
      </c>
      <c r="D107" s="5" t="s">
        <v>36</v>
      </c>
      <c r="E107" s="3" t="s">
        <v>164</v>
      </c>
      <c r="F107" s="36">
        <v>0</v>
      </c>
      <c r="G107" s="32">
        <v>20000000</v>
      </c>
    </row>
    <row r="108" spans="1:7" ht="159.5" x14ac:dyDescent="0.35">
      <c r="A108" s="5" t="s">
        <v>17</v>
      </c>
      <c r="B108" s="38" t="s">
        <v>201</v>
      </c>
      <c r="C108" s="5" t="s">
        <v>144</v>
      </c>
      <c r="D108" s="5" t="s">
        <v>36</v>
      </c>
      <c r="E108" s="3" t="s">
        <v>165</v>
      </c>
      <c r="F108" s="2">
        <v>0</v>
      </c>
      <c r="G108" s="2">
        <f>54000000-1733334</f>
        <v>52266666</v>
      </c>
    </row>
    <row r="109" spans="1:7" ht="101.5" x14ac:dyDescent="0.35">
      <c r="A109" s="5" t="s">
        <v>17</v>
      </c>
      <c r="B109" s="38" t="s">
        <v>201</v>
      </c>
      <c r="C109" s="5" t="s">
        <v>144</v>
      </c>
      <c r="D109" s="5" t="s">
        <v>36</v>
      </c>
      <c r="E109" s="3" t="s">
        <v>37</v>
      </c>
      <c r="F109" s="2">
        <v>0</v>
      </c>
      <c r="G109" s="2">
        <v>51570000</v>
      </c>
    </row>
    <row r="110" spans="1:7" ht="101.5" x14ac:dyDescent="0.35">
      <c r="A110" s="5" t="s">
        <v>17</v>
      </c>
      <c r="B110" s="38" t="s">
        <v>201</v>
      </c>
      <c r="C110" s="5" t="s">
        <v>144</v>
      </c>
      <c r="D110" s="5" t="s">
        <v>36</v>
      </c>
      <c r="E110" s="3" t="s">
        <v>93</v>
      </c>
      <c r="F110" s="2">
        <v>135960000</v>
      </c>
      <c r="G110" s="2">
        <v>16995000</v>
      </c>
    </row>
    <row r="111" spans="1:7" ht="101.5" x14ac:dyDescent="0.35">
      <c r="A111" s="5" t="s">
        <v>17</v>
      </c>
      <c r="B111" s="38" t="s">
        <v>201</v>
      </c>
      <c r="C111" s="5" t="s">
        <v>144</v>
      </c>
      <c r="D111" s="5" t="s">
        <v>36</v>
      </c>
      <c r="E111" s="3" t="s">
        <v>93</v>
      </c>
      <c r="F111" s="2">
        <v>0</v>
      </c>
      <c r="G111" s="2">
        <f>11330000*4</f>
        <v>45320000</v>
      </c>
    </row>
    <row r="112" spans="1:7" ht="101.5" x14ac:dyDescent="0.35">
      <c r="A112" s="5" t="s">
        <v>17</v>
      </c>
      <c r="B112" s="38" t="s">
        <v>201</v>
      </c>
      <c r="C112" s="5" t="s">
        <v>144</v>
      </c>
      <c r="D112" s="5" t="s">
        <v>36</v>
      </c>
      <c r="E112" s="3" t="s">
        <v>93</v>
      </c>
      <c r="F112" s="2">
        <v>0</v>
      </c>
      <c r="G112" s="2">
        <f>11330000*5</f>
        <v>56650000</v>
      </c>
    </row>
    <row r="113" spans="1:7" ht="130.5" x14ac:dyDescent="0.35">
      <c r="A113" s="5" t="s">
        <v>17</v>
      </c>
      <c r="B113" s="38" t="s">
        <v>201</v>
      </c>
      <c r="C113" s="5" t="s">
        <v>144</v>
      </c>
      <c r="D113" s="5" t="s">
        <v>36</v>
      </c>
      <c r="E113" s="3" t="s">
        <v>94</v>
      </c>
      <c r="F113" s="2">
        <v>71400000</v>
      </c>
      <c r="G113" s="2">
        <f>66000000-1512500</f>
        <v>64487500</v>
      </c>
    </row>
    <row r="114" spans="1:7" ht="116" x14ac:dyDescent="0.35">
      <c r="A114" s="5" t="s">
        <v>17</v>
      </c>
      <c r="B114" s="38" t="s">
        <v>201</v>
      </c>
      <c r="C114" s="5" t="s">
        <v>152</v>
      </c>
      <c r="D114" s="5" t="s">
        <v>36</v>
      </c>
      <c r="E114" s="3" t="s">
        <v>95</v>
      </c>
      <c r="F114" s="2">
        <v>148567163</v>
      </c>
      <c r="G114" s="2">
        <f>136186556-825373</f>
        <v>135361183</v>
      </c>
    </row>
    <row r="115" spans="1:7" ht="258" customHeight="1" x14ac:dyDescent="0.35">
      <c r="A115" s="5" t="s">
        <v>17</v>
      </c>
      <c r="B115" s="5" t="s">
        <v>202</v>
      </c>
      <c r="C115" s="5" t="s">
        <v>166</v>
      </c>
      <c r="D115" s="5" t="s">
        <v>97</v>
      </c>
      <c r="E115" s="3" t="s">
        <v>167</v>
      </c>
      <c r="F115" s="2">
        <f>198000000+34011332+104224000+78569000+15100000</f>
        <v>429904332</v>
      </c>
      <c r="G115" s="2">
        <f>205866722.4+36855932.4+94877707.2+71605815.6+13162833</f>
        <v>422369010.60000002</v>
      </c>
    </row>
    <row r="116" spans="1:7" ht="72.5" x14ac:dyDescent="0.35">
      <c r="A116" s="5" t="s">
        <v>17</v>
      </c>
      <c r="B116" s="5" t="s">
        <v>202</v>
      </c>
      <c r="C116" s="5" t="s">
        <v>166</v>
      </c>
      <c r="D116" s="5" t="s">
        <v>97</v>
      </c>
      <c r="E116" s="3" t="s">
        <v>98</v>
      </c>
      <c r="F116" s="2">
        <v>72991149</v>
      </c>
      <c r="G116" s="32">
        <v>118340045.8</v>
      </c>
    </row>
    <row r="117" spans="1:7" ht="72.5" x14ac:dyDescent="0.35">
      <c r="A117" s="5" t="s">
        <v>17</v>
      </c>
      <c r="B117" s="5" t="s">
        <v>202</v>
      </c>
      <c r="C117" s="5" t="s">
        <v>166</v>
      </c>
      <c r="D117" s="5" t="s">
        <v>97</v>
      </c>
      <c r="E117" s="3" t="s">
        <v>99</v>
      </c>
      <c r="F117" s="2">
        <v>12000000</v>
      </c>
      <c r="G117" s="32">
        <v>0</v>
      </c>
    </row>
    <row r="118" spans="1:7" x14ac:dyDescent="0.35">
      <c r="A118" s="5" t="s">
        <v>17</v>
      </c>
      <c r="B118" s="5" t="s">
        <v>202</v>
      </c>
      <c r="C118" s="5"/>
      <c r="D118" s="5" t="s">
        <v>97</v>
      </c>
      <c r="E118" s="3" t="s">
        <v>100</v>
      </c>
      <c r="F118" s="2">
        <v>200000</v>
      </c>
      <c r="G118" s="32">
        <v>130574.37</v>
      </c>
    </row>
    <row r="119" spans="1:7" x14ac:dyDescent="0.35">
      <c r="A119" s="5" t="s">
        <v>17</v>
      </c>
      <c r="B119" s="5" t="s">
        <v>202</v>
      </c>
      <c r="C119" s="5"/>
      <c r="D119" s="5" t="s">
        <v>97</v>
      </c>
      <c r="E119" s="7" t="s">
        <v>101</v>
      </c>
      <c r="F119" s="2">
        <v>18000000</v>
      </c>
      <c r="G119" s="32">
        <v>0</v>
      </c>
    </row>
    <row r="120" spans="1:7" ht="87" x14ac:dyDescent="0.35">
      <c r="A120" s="5" t="s">
        <v>17</v>
      </c>
      <c r="B120" s="5" t="s">
        <v>202</v>
      </c>
      <c r="C120" s="5" t="s">
        <v>168</v>
      </c>
      <c r="D120" s="5" t="s">
        <v>97</v>
      </c>
      <c r="E120" s="7" t="s">
        <v>102</v>
      </c>
      <c r="F120" s="2">
        <v>148000000</v>
      </c>
      <c r="G120" s="32">
        <v>174782959.19999999</v>
      </c>
    </row>
    <row r="121" spans="1:7" ht="72.5" x14ac:dyDescent="0.35">
      <c r="A121" s="5" t="s">
        <v>17</v>
      </c>
      <c r="B121" s="5" t="s">
        <v>202</v>
      </c>
      <c r="C121" s="5" t="s">
        <v>166</v>
      </c>
      <c r="D121" s="5" t="s">
        <v>97</v>
      </c>
      <c r="E121" s="3" t="s">
        <v>103</v>
      </c>
      <c r="F121" s="2">
        <v>20600000</v>
      </c>
      <c r="G121" s="32">
        <v>18506880</v>
      </c>
    </row>
    <row r="122" spans="1:7" ht="72.5" x14ac:dyDescent="0.35">
      <c r="A122" s="5" t="s">
        <v>17</v>
      </c>
      <c r="B122" s="5" t="s">
        <v>202</v>
      </c>
      <c r="C122" s="5" t="s">
        <v>166</v>
      </c>
      <c r="D122" s="5" t="s">
        <v>97</v>
      </c>
      <c r="E122" s="3" t="s">
        <v>104</v>
      </c>
      <c r="F122" s="2">
        <v>3322799</v>
      </c>
      <c r="G122" s="32">
        <v>3700283</v>
      </c>
    </row>
    <row r="123" spans="1:7" ht="72.5" x14ac:dyDescent="0.35">
      <c r="A123" s="5" t="s">
        <v>17</v>
      </c>
      <c r="B123" s="5" t="s">
        <v>202</v>
      </c>
      <c r="C123" s="5" t="s">
        <v>166</v>
      </c>
      <c r="D123" s="5" t="s">
        <v>97</v>
      </c>
      <c r="E123" s="3" t="s">
        <v>105</v>
      </c>
      <c r="F123" s="2">
        <v>19570000</v>
      </c>
      <c r="G123" s="32">
        <v>0</v>
      </c>
    </row>
    <row r="124" spans="1:7" ht="87" x14ac:dyDescent="0.35">
      <c r="A124" s="5" t="s">
        <v>17</v>
      </c>
      <c r="B124" s="5" t="s">
        <v>202</v>
      </c>
      <c r="C124" s="5" t="s">
        <v>168</v>
      </c>
      <c r="D124" s="5" t="s">
        <v>97</v>
      </c>
      <c r="E124" s="3" t="s">
        <v>106</v>
      </c>
      <c r="F124" s="2">
        <v>5665000</v>
      </c>
      <c r="G124" s="32">
        <f>6069000-101150</f>
        <v>5967850</v>
      </c>
    </row>
    <row r="125" spans="1:7" ht="72.5" x14ac:dyDescent="0.35">
      <c r="A125" s="5" t="s">
        <v>17</v>
      </c>
      <c r="B125" s="5" t="s">
        <v>202</v>
      </c>
      <c r="C125" s="5" t="s">
        <v>166</v>
      </c>
      <c r="D125" s="5" t="s">
        <v>97</v>
      </c>
      <c r="E125" s="3" t="s">
        <v>107</v>
      </c>
      <c r="F125" s="2">
        <v>111240000</v>
      </c>
      <c r="G125" s="32">
        <v>151332300</v>
      </c>
    </row>
    <row r="126" spans="1:7" ht="87" x14ac:dyDescent="0.35">
      <c r="A126" s="5" t="s">
        <v>17</v>
      </c>
      <c r="B126" s="5" t="s">
        <v>202</v>
      </c>
      <c r="C126" s="5" t="s">
        <v>168</v>
      </c>
      <c r="D126" s="5" t="s">
        <v>97</v>
      </c>
      <c r="E126" s="23" t="s">
        <v>108</v>
      </c>
      <c r="F126" s="2">
        <v>1464000000</v>
      </c>
      <c r="G126" s="32">
        <f>1413784799.79+209682000</f>
        <v>1623466799.79</v>
      </c>
    </row>
    <row r="127" spans="1:7" ht="100.5" customHeight="1" x14ac:dyDescent="0.35">
      <c r="A127" s="5" t="s">
        <v>17</v>
      </c>
      <c r="B127" s="5" t="s">
        <v>202</v>
      </c>
      <c r="C127" s="5" t="s">
        <v>168</v>
      </c>
      <c r="D127" s="5" t="s">
        <v>97</v>
      </c>
      <c r="E127" s="37" t="s">
        <v>109</v>
      </c>
      <c r="F127" s="2">
        <v>138000000</v>
      </c>
      <c r="G127" s="32">
        <v>63860000</v>
      </c>
    </row>
    <row r="128" spans="1:7" ht="72.5" x14ac:dyDescent="0.35">
      <c r="A128" s="5" t="s">
        <v>17</v>
      </c>
      <c r="B128" s="5" t="s">
        <v>202</v>
      </c>
      <c r="C128" s="5" t="s">
        <v>169</v>
      </c>
      <c r="D128" s="5" t="s">
        <v>97</v>
      </c>
      <c r="E128" s="26" t="s">
        <v>110</v>
      </c>
      <c r="F128" s="2">
        <v>61200000</v>
      </c>
      <c r="G128" s="32">
        <v>20400000</v>
      </c>
    </row>
    <row r="129" spans="1:7" ht="72.5" x14ac:dyDescent="0.35">
      <c r="A129" s="5" t="s">
        <v>17</v>
      </c>
      <c r="B129" s="5" t="s">
        <v>202</v>
      </c>
      <c r="C129" s="5" t="s">
        <v>169</v>
      </c>
      <c r="D129" s="5" t="s">
        <v>97</v>
      </c>
      <c r="E129" s="26" t="s">
        <v>110</v>
      </c>
      <c r="F129" s="2">
        <v>0</v>
      </c>
      <c r="G129" s="32">
        <f>37060000-1360000</f>
        <v>35700000</v>
      </c>
    </row>
    <row r="130" spans="1:7" ht="87" x14ac:dyDescent="0.35">
      <c r="A130" s="5" t="s">
        <v>17</v>
      </c>
      <c r="B130" s="5" t="s">
        <v>202</v>
      </c>
      <c r="C130" s="5" t="s">
        <v>168</v>
      </c>
      <c r="D130" s="5" t="s">
        <v>97</v>
      </c>
      <c r="E130" s="37" t="s">
        <v>111</v>
      </c>
      <c r="F130" s="2">
        <v>200000000</v>
      </c>
      <c r="G130" s="32">
        <v>198906737</v>
      </c>
    </row>
    <row r="131" spans="1:7" ht="145" x14ac:dyDescent="0.35">
      <c r="A131" s="5" t="s">
        <v>17</v>
      </c>
      <c r="B131" s="5" t="s">
        <v>202</v>
      </c>
      <c r="C131" s="5" t="s">
        <v>168</v>
      </c>
      <c r="D131" s="5" t="s">
        <v>97</v>
      </c>
      <c r="E131" s="3" t="s">
        <v>170</v>
      </c>
      <c r="F131" s="2">
        <f>8000000+13390000+12154000</f>
        <v>33544000</v>
      </c>
      <c r="G131" s="32">
        <f>13690000-5192000</f>
        <v>8498000</v>
      </c>
    </row>
    <row r="132" spans="1:7" ht="87" x14ac:dyDescent="0.35">
      <c r="A132" s="5" t="s">
        <v>17</v>
      </c>
      <c r="B132" s="5" t="s">
        <v>202</v>
      </c>
      <c r="C132" s="5" t="s">
        <v>171</v>
      </c>
      <c r="D132" s="5" t="s">
        <v>97</v>
      </c>
      <c r="E132" s="3" t="s">
        <v>172</v>
      </c>
      <c r="F132" s="2">
        <f>227494368+139000000</f>
        <v>366494368</v>
      </c>
      <c r="G132" s="32">
        <v>158232700</v>
      </c>
    </row>
    <row r="133" spans="1:7" ht="72.5" x14ac:dyDescent="0.35">
      <c r="A133" s="38" t="s">
        <v>17</v>
      </c>
      <c r="B133" s="5" t="s">
        <v>202</v>
      </c>
      <c r="C133" s="5" t="s">
        <v>171</v>
      </c>
      <c r="D133" s="5" t="s">
        <v>97</v>
      </c>
      <c r="E133" s="39" t="s">
        <v>173</v>
      </c>
      <c r="F133" s="2">
        <v>391000000</v>
      </c>
      <c r="G133" s="32">
        <v>17136000</v>
      </c>
    </row>
    <row r="134" spans="1:7" ht="72.5" x14ac:dyDescent="0.35">
      <c r="A134" s="5" t="s">
        <v>17</v>
      </c>
      <c r="B134" s="5" t="s">
        <v>202</v>
      </c>
      <c r="C134" s="5" t="s">
        <v>171</v>
      </c>
      <c r="D134" s="5" t="s">
        <v>97</v>
      </c>
      <c r="E134" s="4" t="s">
        <v>174</v>
      </c>
      <c r="F134" s="2">
        <v>0</v>
      </c>
      <c r="G134" s="32">
        <v>335853000</v>
      </c>
    </row>
    <row r="135" spans="1:7" ht="40.5" customHeight="1" x14ac:dyDescent="0.35">
      <c r="A135" s="5" t="s">
        <v>17</v>
      </c>
      <c r="B135" s="5" t="s">
        <v>202</v>
      </c>
      <c r="C135" s="5" t="s">
        <v>171</v>
      </c>
      <c r="D135" s="5" t="s">
        <v>97</v>
      </c>
      <c r="E135" s="4" t="s">
        <v>175</v>
      </c>
      <c r="F135" s="2">
        <v>0</v>
      </c>
      <c r="G135" s="32">
        <v>54000000</v>
      </c>
    </row>
    <row r="136" spans="1:7" ht="43.5" x14ac:dyDescent="0.35">
      <c r="A136" s="5" t="s">
        <v>17</v>
      </c>
      <c r="B136" s="5" t="s">
        <v>202</v>
      </c>
      <c r="C136" s="5"/>
      <c r="D136" s="5" t="s">
        <v>97</v>
      </c>
      <c r="E136" s="4" t="s">
        <v>115</v>
      </c>
      <c r="F136" s="2">
        <v>60000000</v>
      </c>
      <c r="G136" s="32">
        <v>0</v>
      </c>
    </row>
    <row r="137" spans="1:7" ht="72.5" x14ac:dyDescent="0.35">
      <c r="A137" s="5" t="s">
        <v>17</v>
      </c>
      <c r="B137" s="5" t="s">
        <v>202</v>
      </c>
      <c r="C137" s="5" t="s">
        <v>166</v>
      </c>
      <c r="D137" s="5" t="s">
        <v>97</v>
      </c>
      <c r="E137" s="3" t="s">
        <v>116</v>
      </c>
      <c r="F137" s="2">
        <v>98000000</v>
      </c>
      <c r="G137" s="32">
        <v>77989245.599999994</v>
      </c>
    </row>
    <row r="138" spans="1:7" ht="87" x14ac:dyDescent="0.35">
      <c r="A138" s="5" t="s">
        <v>17</v>
      </c>
      <c r="B138" s="5" t="s">
        <v>202</v>
      </c>
      <c r="C138" s="5" t="s">
        <v>168</v>
      </c>
      <c r="D138" s="5" t="s">
        <v>97</v>
      </c>
      <c r="E138" s="3" t="s">
        <v>117</v>
      </c>
      <c r="F138" s="2">
        <v>17174508.399999999</v>
      </c>
      <c r="G138" s="32">
        <v>18711560</v>
      </c>
    </row>
    <row r="139" spans="1:7" ht="87" x14ac:dyDescent="0.35">
      <c r="A139" s="5" t="s">
        <v>17</v>
      </c>
      <c r="B139" s="5" t="s">
        <v>202</v>
      </c>
      <c r="C139" s="5" t="s">
        <v>168</v>
      </c>
      <c r="D139" s="5" t="s">
        <v>97</v>
      </c>
      <c r="E139" s="3" t="s">
        <v>118</v>
      </c>
      <c r="F139" s="2">
        <v>55000000</v>
      </c>
      <c r="G139" s="32">
        <v>57994077</v>
      </c>
    </row>
    <row r="140" spans="1:7" ht="72.5" x14ac:dyDescent="0.35">
      <c r="A140" s="5" t="s">
        <v>17</v>
      </c>
      <c r="B140" s="5" t="s">
        <v>202</v>
      </c>
      <c r="C140" s="5" t="s">
        <v>166</v>
      </c>
      <c r="D140" s="5" t="s">
        <v>97</v>
      </c>
      <c r="E140" s="3" t="s">
        <v>119</v>
      </c>
      <c r="F140" s="2">
        <v>36350000</v>
      </c>
      <c r="G140" s="32">
        <v>34741138</v>
      </c>
    </row>
    <row r="141" spans="1:7" ht="87" x14ac:dyDescent="0.35">
      <c r="A141" s="5" t="s">
        <v>17</v>
      </c>
      <c r="B141" s="5" t="s">
        <v>202</v>
      </c>
      <c r="C141" s="5" t="s">
        <v>176</v>
      </c>
      <c r="D141" s="5" t="s">
        <v>97</v>
      </c>
      <c r="E141" s="37" t="s">
        <v>120</v>
      </c>
      <c r="F141" s="2">
        <v>310000000</v>
      </c>
      <c r="G141" s="32">
        <v>270827459</v>
      </c>
    </row>
    <row r="142" spans="1:7" ht="72.5" x14ac:dyDescent="0.35">
      <c r="A142" s="5" t="s">
        <v>17</v>
      </c>
      <c r="B142" s="5" t="s">
        <v>202</v>
      </c>
      <c r="C142" s="5" t="s">
        <v>169</v>
      </c>
      <c r="D142" s="5" t="s">
        <v>97</v>
      </c>
      <c r="E142" s="26" t="s">
        <v>110</v>
      </c>
      <c r="F142" s="2">
        <v>112031040</v>
      </c>
      <c r="G142" s="32">
        <v>37343680</v>
      </c>
    </row>
    <row r="143" spans="1:7" ht="72.5" x14ac:dyDescent="0.35">
      <c r="A143" s="5" t="s">
        <v>17</v>
      </c>
      <c r="B143" s="5" t="s">
        <v>202</v>
      </c>
      <c r="C143" s="5" t="s">
        <v>169</v>
      </c>
      <c r="D143" s="5" t="s">
        <v>97</v>
      </c>
      <c r="E143" s="26" t="s">
        <v>110</v>
      </c>
      <c r="F143" s="2">
        <v>0</v>
      </c>
      <c r="G143" s="32">
        <f>67218624-1555987</f>
        <v>65662637</v>
      </c>
    </row>
    <row r="144" spans="1:7" ht="72.5" x14ac:dyDescent="0.35">
      <c r="A144" s="5" t="s">
        <v>17</v>
      </c>
      <c r="B144" s="5" t="s">
        <v>202</v>
      </c>
      <c r="C144" s="5" t="s">
        <v>169</v>
      </c>
      <c r="D144" s="5" t="s">
        <v>97</v>
      </c>
      <c r="E144" s="23" t="s">
        <v>121</v>
      </c>
      <c r="F144" s="2">
        <v>140038800</v>
      </c>
      <c r="G144" s="32">
        <v>46679600</v>
      </c>
    </row>
    <row r="145" spans="1:7" ht="72.5" x14ac:dyDescent="0.35">
      <c r="A145" s="5" t="s">
        <v>17</v>
      </c>
      <c r="B145" s="5" t="s">
        <v>202</v>
      </c>
      <c r="C145" s="5" t="s">
        <v>169</v>
      </c>
      <c r="D145" s="5" t="s">
        <v>97</v>
      </c>
      <c r="E145" s="23" t="s">
        <v>121</v>
      </c>
      <c r="F145" s="2">
        <v>0</v>
      </c>
      <c r="G145" s="32">
        <f>82856290-1166990</f>
        <v>81689300</v>
      </c>
    </row>
    <row r="146" spans="1:7" ht="72.5" x14ac:dyDescent="0.35">
      <c r="A146" s="5" t="s">
        <v>17</v>
      </c>
      <c r="B146" s="5" t="s">
        <v>202</v>
      </c>
      <c r="C146" s="5" t="s">
        <v>169</v>
      </c>
      <c r="D146" s="5" t="s">
        <v>97</v>
      </c>
      <c r="E146" s="23" t="s">
        <v>122</v>
      </c>
      <c r="F146" s="2">
        <v>119032980</v>
      </c>
      <c r="G146" s="32">
        <v>39677660</v>
      </c>
    </row>
    <row r="147" spans="1:7" ht="72.5" x14ac:dyDescent="0.35">
      <c r="A147" s="5" t="s">
        <v>17</v>
      </c>
      <c r="B147" s="5" t="s">
        <v>202</v>
      </c>
      <c r="C147" s="5" t="s">
        <v>169</v>
      </c>
      <c r="D147" s="5" t="s">
        <v>97</v>
      </c>
      <c r="E147" s="23" t="s">
        <v>122</v>
      </c>
      <c r="F147" s="2">
        <v>0</v>
      </c>
      <c r="G147" s="32">
        <f>62822962-2314530-1</f>
        <v>60508431</v>
      </c>
    </row>
    <row r="148" spans="1:7" ht="72.5" x14ac:dyDescent="0.35">
      <c r="A148" s="5" t="s">
        <v>17</v>
      </c>
      <c r="B148" s="5" t="s">
        <v>202</v>
      </c>
      <c r="C148" s="5" t="s">
        <v>169</v>
      </c>
      <c r="D148" s="5" t="s">
        <v>97</v>
      </c>
      <c r="E148" s="26" t="s">
        <v>121</v>
      </c>
      <c r="F148" s="2">
        <v>140038800</v>
      </c>
      <c r="G148" s="32">
        <v>46679600</v>
      </c>
    </row>
    <row r="149" spans="1:7" ht="72.5" x14ac:dyDescent="0.35">
      <c r="A149" s="5" t="s">
        <v>17</v>
      </c>
      <c r="B149" s="5" t="s">
        <v>202</v>
      </c>
      <c r="C149" s="5" t="s">
        <v>169</v>
      </c>
      <c r="D149" s="5" t="s">
        <v>97</v>
      </c>
      <c r="E149" s="26" t="s">
        <v>121</v>
      </c>
      <c r="F149" s="2">
        <v>0</v>
      </c>
      <c r="G149" s="36">
        <f>84412277-2722977</f>
        <v>81689300</v>
      </c>
    </row>
    <row r="150" spans="1:7" ht="72.5" x14ac:dyDescent="0.35">
      <c r="A150" s="5" t="s">
        <v>17</v>
      </c>
      <c r="B150" s="5" t="s">
        <v>202</v>
      </c>
      <c r="C150" s="5" t="s">
        <v>169</v>
      </c>
      <c r="D150" s="5" t="s">
        <v>97</v>
      </c>
      <c r="E150" s="26" t="s">
        <v>121</v>
      </c>
      <c r="F150" s="2">
        <v>140038800</v>
      </c>
      <c r="G150" s="32">
        <v>46679600</v>
      </c>
    </row>
    <row r="151" spans="1:7" ht="72.5" x14ac:dyDescent="0.35">
      <c r="A151" s="5" t="s">
        <v>17</v>
      </c>
      <c r="B151" s="5" t="s">
        <v>202</v>
      </c>
      <c r="C151" s="5" t="s">
        <v>169</v>
      </c>
      <c r="D151" s="5" t="s">
        <v>97</v>
      </c>
      <c r="E151" s="26" t="s">
        <v>121</v>
      </c>
      <c r="F151" s="2">
        <v>0</v>
      </c>
      <c r="G151" s="32">
        <f>84412277-2333980</f>
        <v>82078297</v>
      </c>
    </row>
    <row r="152" spans="1:7" ht="72.5" x14ac:dyDescent="0.35">
      <c r="A152" s="5" t="s">
        <v>17</v>
      </c>
      <c r="B152" s="5" t="s">
        <v>202</v>
      </c>
      <c r="C152" s="5" t="s">
        <v>169</v>
      </c>
      <c r="D152" s="5" t="s">
        <v>97</v>
      </c>
      <c r="E152" s="26" t="s">
        <v>121</v>
      </c>
      <c r="F152" s="2">
        <v>140038800</v>
      </c>
      <c r="G152" s="32">
        <v>46679600</v>
      </c>
    </row>
    <row r="153" spans="1:7" ht="72.5" x14ac:dyDescent="0.35">
      <c r="A153" s="5" t="s">
        <v>17</v>
      </c>
      <c r="B153" s="5" t="s">
        <v>202</v>
      </c>
      <c r="C153" s="5" t="s">
        <v>169</v>
      </c>
      <c r="D153" s="5" t="s">
        <v>97</v>
      </c>
      <c r="E153" s="26" t="s">
        <v>121</v>
      </c>
      <c r="F153" s="2">
        <v>0</v>
      </c>
      <c r="G153" s="36">
        <f>84412277-2722977</f>
        <v>81689300</v>
      </c>
    </row>
    <row r="154" spans="1:7" ht="72.5" x14ac:dyDescent="0.35">
      <c r="A154" s="5" t="s">
        <v>17</v>
      </c>
      <c r="B154" s="5" t="s">
        <v>202</v>
      </c>
      <c r="C154" s="5" t="s">
        <v>169</v>
      </c>
      <c r="D154" s="5" t="s">
        <v>97</v>
      </c>
      <c r="E154" s="26" t="s">
        <v>123</v>
      </c>
      <c r="F154" s="2">
        <v>98027160</v>
      </c>
      <c r="G154" s="32">
        <v>32675720</v>
      </c>
    </row>
    <row r="155" spans="1:7" ht="72.5" x14ac:dyDescent="0.35">
      <c r="A155" s="5" t="s">
        <v>17</v>
      </c>
      <c r="B155" s="5" t="s">
        <v>202</v>
      </c>
      <c r="C155" s="5" t="s">
        <v>169</v>
      </c>
      <c r="D155" s="5" t="s">
        <v>97</v>
      </c>
      <c r="E155" s="26" t="s">
        <v>123</v>
      </c>
      <c r="F155" s="2">
        <v>0</v>
      </c>
      <c r="G155" s="32">
        <f>59088594-1089191</f>
        <v>57999403</v>
      </c>
    </row>
    <row r="156" spans="1:7" ht="72.5" x14ac:dyDescent="0.35">
      <c r="A156" s="5" t="s">
        <v>17</v>
      </c>
      <c r="B156" s="5" t="s">
        <v>202</v>
      </c>
      <c r="C156" s="5" t="s">
        <v>169</v>
      </c>
      <c r="D156" s="5" t="s">
        <v>97</v>
      </c>
      <c r="E156" s="26" t="s">
        <v>121</v>
      </c>
      <c r="F156" s="2">
        <v>140038800</v>
      </c>
      <c r="G156" s="32">
        <f>11669900*4</f>
        <v>46679600</v>
      </c>
    </row>
    <row r="157" spans="1:7" ht="72.5" x14ac:dyDescent="0.35">
      <c r="A157" s="5" t="s">
        <v>17</v>
      </c>
      <c r="B157" s="5" t="s">
        <v>202</v>
      </c>
      <c r="C157" s="5" t="s">
        <v>169</v>
      </c>
      <c r="D157" s="5" t="s">
        <v>97</v>
      </c>
      <c r="E157" s="26" t="s">
        <v>121</v>
      </c>
      <c r="F157" s="2">
        <v>0</v>
      </c>
      <c r="G157" s="32">
        <f>(11669900*5.5)-2722977</f>
        <v>61461473</v>
      </c>
    </row>
    <row r="158" spans="1:7" ht="72.5" x14ac:dyDescent="0.35">
      <c r="A158" s="5" t="s">
        <v>17</v>
      </c>
      <c r="B158" s="5" t="s">
        <v>202</v>
      </c>
      <c r="C158" s="5" t="s">
        <v>177</v>
      </c>
      <c r="D158" s="5" t="s">
        <v>97</v>
      </c>
      <c r="E158" s="26" t="s">
        <v>124</v>
      </c>
      <c r="F158" s="2">
        <v>36709200</v>
      </c>
      <c r="G158" s="32">
        <v>12236400</v>
      </c>
    </row>
    <row r="159" spans="1:7" ht="72.5" x14ac:dyDescent="0.35">
      <c r="A159" s="5" t="s">
        <v>17</v>
      </c>
      <c r="B159" s="5" t="s">
        <v>202</v>
      </c>
      <c r="C159" s="5" t="s">
        <v>177</v>
      </c>
      <c r="D159" s="5" t="s">
        <v>97</v>
      </c>
      <c r="E159" s="26" t="s">
        <v>124</v>
      </c>
      <c r="F159" s="2">
        <v>0</v>
      </c>
      <c r="G159" s="32">
        <f>25900000-616667</f>
        <v>25283333</v>
      </c>
    </row>
    <row r="160" spans="1:7" ht="72.5" x14ac:dyDescent="0.35">
      <c r="A160" s="5" t="s">
        <v>17</v>
      </c>
      <c r="B160" s="5" t="s">
        <v>202</v>
      </c>
      <c r="C160" s="5" t="s">
        <v>177</v>
      </c>
      <c r="D160" s="5" t="s">
        <v>97</v>
      </c>
      <c r="E160" s="26" t="s">
        <v>125</v>
      </c>
      <c r="F160" s="2">
        <v>78503304</v>
      </c>
      <c r="G160" s="32">
        <v>19625826</v>
      </c>
    </row>
    <row r="161" spans="1:7" ht="87" x14ac:dyDescent="0.35">
      <c r="A161" s="5" t="s">
        <v>17</v>
      </c>
      <c r="B161" s="5" t="s">
        <v>202</v>
      </c>
      <c r="C161" s="5" t="s">
        <v>168</v>
      </c>
      <c r="D161" s="5" t="s">
        <v>97</v>
      </c>
      <c r="E161" s="26" t="s">
        <v>125</v>
      </c>
      <c r="F161" s="2">
        <v>0</v>
      </c>
      <c r="G161" s="32">
        <f>26279994-1459998</f>
        <v>24819996</v>
      </c>
    </row>
    <row r="162" spans="1:7" ht="72.5" x14ac:dyDescent="0.35">
      <c r="A162" s="5" t="s">
        <v>17</v>
      </c>
      <c r="B162" s="5" t="s">
        <v>202</v>
      </c>
      <c r="C162" s="5" t="s">
        <v>169</v>
      </c>
      <c r="D162" s="5" t="s">
        <v>97</v>
      </c>
      <c r="E162" s="26" t="s">
        <v>126</v>
      </c>
      <c r="F162" s="2">
        <v>98027160</v>
      </c>
      <c r="G162" s="32">
        <v>32675720</v>
      </c>
    </row>
    <row r="163" spans="1:7" ht="72.5" x14ac:dyDescent="0.35">
      <c r="A163" s="5" t="s">
        <v>17</v>
      </c>
      <c r="B163" s="5" t="s">
        <v>202</v>
      </c>
      <c r="C163" s="5" t="s">
        <v>169</v>
      </c>
      <c r="D163" s="5" t="s">
        <v>97</v>
      </c>
      <c r="E163" s="26" t="s">
        <v>126</v>
      </c>
      <c r="F163" s="2">
        <v>0</v>
      </c>
      <c r="G163" s="32">
        <f>58816296-1633786</f>
        <v>57182510</v>
      </c>
    </row>
    <row r="164" spans="1:7" ht="72.5" x14ac:dyDescent="0.35">
      <c r="A164" s="5" t="s">
        <v>17</v>
      </c>
      <c r="B164" s="5" t="s">
        <v>202</v>
      </c>
      <c r="C164" s="5" t="s">
        <v>169</v>
      </c>
      <c r="D164" s="5" t="s">
        <v>97</v>
      </c>
      <c r="E164" s="26" t="s">
        <v>127</v>
      </c>
      <c r="F164" s="2">
        <v>132000000</v>
      </c>
      <c r="G164" s="32">
        <v>44000000</v>
      </c>
    </row>
    <row r="165" spans="1:7" ht="72.5" x14ac:dyDescent="0.35">
      <c r="A165" s="5" t="s">
        <v>17</v>
      </c>
      <c r="B165" s="5" t="s">
        <v>202</v>
      </c>
      <c r="C165" s="5" t="s">
        <v>169</v>
      </c>
      <c r="D165" s="5" t="s">
        <v>97</v>
      </c>
      <c r="E165" s="26" t="s">
        <v>127</v>
      </c>
      <c r="F165" s="2">
        <v>0</v>
      </c>
      <c r="G165" s="36">
        <f>77733333-1100000</f>
        <v>76633333</v>
      </c>
    </row>
    <row r="166" spans="1:7" ht="72.5" x14ac:dyDescent="0.35">
      <c r="A166" s="5" t="s">
        <v>17</v>
      </c>
      <c r="B166" s="5" t="s">
        <v>202</v>
      </c>
      <c r="C166" s="5" t="s">
        <v>169</v>
      </c>
      <c r="D166" s="5" t="s">
        <v>97</v>
      </c>
      <c r="E166" s="26" t="s">
        <v>128</v>
      </c>
      <c r="F166" s="2">
        <v>141900000</v>
      </c>
      <c r="G166" s="32">
        <v>47300000</v>
      </c>
    </row>
    <row r="167" spans="1:7" ht="72.5" x14ac:dyDescent="0.35">
      <c r="A167" s="5" t="s">
        <v>17</v>
      </c>
      <c r="B167" s="5" t="s">
        <v>202</v>
      </c>
      <c r="C167" s="5" t="s">
        <v>169</v>
      </c>
      <c r="D167" s="5" t="s">
        <v>97</v>
      </c>
      <c r="E167" s="26" t="s">
        <v>128</v>
      </c>
      <c r="F167" s="2">
        <v>0</v>
      </c>
      <c r="G167" s="32">
        <f>83957500-1182500</f>
        <v>82775000</v>
      </c>
    </row>
    <row r="168" spans="1:7" ht="72.5" x14ac:dyDescent="0.35">
      <c r="A168" s="5" t="s">
        <v>17</v>
      </c>
      <c r="B168" s="5" t="s">
        <v>202</v>
      </c>
      <c r="C168" s="5" t="s">
        <v>169</v>
      </c>
      <c r="D168" s="5" t="s">
        <v>97</v>
      </c>
      <c r="E168" s="26" t="s">
        <v>178</v>
      </c>
      <c r="F168" s="2">
        <v>0</v>
      </c>
      <c r="G168" s="32">
        <f>10500000*6.5</f>
        <v>68250000</v>
      </c>
    </row>
    <row r="169" spans="1:7" ht="87" x14ac:dyDescent="0.35">
      <c r="A169" s="5" t="s">
        <v>17</v>
      </c>
      <c r="B169" s="5" t="s">
        <v>202</v>
      </c>
      <c r="C169" s="5" t="s">
        <v>169</v>
      </c>
      <c r="D169" s="5" t="s">
        <v>97</v>
      </c>
      <c r="E169" s="26" t="s">
        <v>179</v>
      </c>
      <c r="F169" s="2">
        <v>0</v>
      </c>
      <c r="G169" s="32">
        <v>127500000</v>
      </c>
    </row>
    <row r="170" spans="1:7" ht="87" x14ac:dyDescent="0.35">
      <c r="A170" s="5" t="s">
        <v>17</v>
      </c>
      <c r="B170" s="5" t="s">
        <v>202</v>
      </c>
      <c r="C170" s="5" t="s">
        <v>168</v>
      </c>
      <c r="D170" s="5" t="s">
        <v>97</v>
      </c>
      <c r="E170" s="3" t="s">
        <v>129</v>
      </c>
      <c r="F170" s="2">
        <v>36000000</v>
      </c>
      <c r="G170" s="32">
        <v>41260000</v>
      </c>
    </row>
    <row r="171" spans="1:7" ht="72.5" x14ac:dyDescent="0.35">
      <c r="A171" s="5" t="s">
        <v>17</v>
      </c>
      <c r="B171" s="5" t="s">
        <v>202</v>
      </c>
      <c r="C171" s="5" t="s">
        <v>169</v>
      </c>
      <c r="D171" s="5" t="s">
        <v>97</v>
      </c>
      <c r="E171" s="3" t="s">
        <v>130</v>
      </c>
      <c r="F171" s="2">
        <v>6000000</v>
      </c>
      <c r="G171" s="32">
        <v>0</v>
      </c>
    </row>
    <row r="172" spans="1:7" ht="72.5" x14ac:dyDescent="0.35">
      <c r="A172" s="5" t="s">
        <v>17</v>
      </c>
      <c r="B172" s="5" t="s">
        <v>202</v>
      </c>
      <c r="C172" s="5" t="s">
        <v>166</v>
      </c>
      <c r="D172" s="5" t="s">
        <v>97</v>
      </c>
      <c r="E172" s="23" t="s">
        <v>131</v>
      </c>
      <c r="F172" s="2">
        <v>95000000</v>
      </c>
      <c r="G172" s="32">
        <v>266189622</v>
      </c>
    </row>
    <row r="173" spans="1:7" ht="145" x14ac:dyDescent="0.35">
      <c r="A173" s="5" t="s">
        <v>17</v>
      </c>
      <c r="B173" s="5" t="s">
        <v>202</v>
      </c>
      <c r="C173" s="5" t="s">
        <v>166</v>
      </c>
      <c r="D173" s="5" t="s">
        <v>97</v>
      </c>
      <c r="E173" s="23" t="s">
        <v>132</v>
      </c>
      <c r="F173" s="2">
        <v>2000000</v>
      </c>
      <c r="G173" s="32">
        <v>1568000</v>
      </c>
    </row>
    <row r="174" spans="1:7" ht="72.5" x14ac:dyDescent="0.35">
      <c r="A174" s="5" t="s">
        <v>17</v>
      </c>
      <c r="B174" s="5" t="s">
        <v>202</v>
      </c>
      <c r="C174" s="5" t="s">
        <v>166</v>
      </c>
      <c r="D174" s="5" t="s">
        <v>97</v>
      </c>
      <c r="E174" s="23" t="s">
        <v>133</v>
      </c>
      <c r="F174" s="2">
        <v>12000000</v>
      </c>
      <c r="G174" s="32">
        <v>10335150</v>
      </c>
    </row>
    <row r="175" spans="1:7" x14ac:dyDescent="0.35">
      <c r="E175" s="41"/>
      <c r="F175" s="24"/>
      <c r="G175" s="24"/>
    </row>
  </sheetData>
  <autoFilter ref="A1:G174" xr:uid="{9ECAD1CE-37CB-492E-A400-98141DA3EE33}"/>
  <dataValidations count="2">
    <dataValidation type="list" allowBlank="1" showInputMessage="1" showErrorMessage="1" sqref="C107:C114 C2:C104" xr:uid="{D943DC87-A98E-47AC-ABF3-38DFFBC2BD5C}">
      <formula1>#REF!</formula1>
    </dataValidation>
    <dataValidation type="list" allowBlank="1" showInputMessage="1" showErrorMessage="1" sqref="C115:C174" xr:uid="{9F7DA1E0-BB70-40DB-B809-182B340CD6DA}">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9C71B-D728-4A21-B310-CBE9236F3B2E}">
  <dimension ref="A1:G98"/>
  <sheetViews>
    <sheetView zoomScale="85" zoomScaleNormal="85" workbookViewId="0">
      <pane ySplit="1" topLeftCell="A2" activePane="bottomLeft" state="frozen"/>
      <selection pane="bottomLeft" activeCell="A2" sqref="A2"/>
    </sheetView>
  </sheetViews>
  <sheetFormatPr baseColWidth="10" defaultColWidth="9.1796875" defaultRowHeight="14.5" x14ac:dyDescent="0.35"/>
  <cols>
    <col min="1" max="1" width="16.453125" style="27" customWidth="1"/>
    <col min="2" max="2" width="17.54296875" style="27" customWidth="1"/>
    <col min="3" max="3" width="23.54296875" style="27" customWidth="1"/>
    <col min="4" max="4" width="16.7265625" style="27" customWidth="1"/>
    <col min="5" max="5" width="53.1796875" style="6" customWidth="1"/>
    <col min="6" max="7" width="20.54296875" style="6" customWidth="1"/>
    <col min="8" max="16384" width="9.1796875" style="6"/>
  </cols>
  <sheetData>
    <row r="1" spans="1:7" s="25" customFormat="1" ht="29" x14ac:dyDescent="0.35">
      <c r="A1" s="12" t="s">
        <v>12</v>
      </c>
      <c r="B1" s="12" t="s">
        <v>13</v>
      </c>
      <c r="C1" s="12" t="s">
        <v>136</v>
      </c>
      <c r="D1" s="12" t="s">
        <v>14</v>
      </c>
      <c r="E1" s="12" t="s">
        <v>15</v>
      </c>
      <c r="F1" s="12" t="s">
        <v>16</v>
      </c>
      <c r="G1" s="12" t="s">
        <v>137</v>
      </c>
    </row>
    <row r="2" spans="1:7" ht="72.5" x14ac:dyDescent="0.35">
      <c r="A2" s="5" t="s">
        <v>17</v>
      </c>
      <c r="B2" s="5" t="s">
        <v>18</v>
      </c>
      <c r="C2" s="5" t="s">
        <v>203</v>
      </c>
      <c r="D2" s="5" t="s">
        <v>19</v>
      </c>
      <c r="E2" s="3" t="s">
        <v>204</v>
      </c>
      <c r="F2" s="2">
        <v>1000000000</v>
      </c>
      <c r="G2" s="2">
        <v>1000000000</v>
      </c>
    </row>
    <row r="3" spans="1:7" ht="87" x14ac:dyDescent="0.35">
      <c r="A3" s="5" t="s">
        <v>17</v>
      </c>
      <c r="B3" s="5" t="s">
        <v>18</v>
      </c>
      <c r="C3" s="5" t="s">
        <v>203</v>
      </c>
      <c r="D3" s="5" t="s">
        <v>19</v>
      </c>
      <c r="E3" s="3" t="s">
        <v>205</v>
      </c>
      <c r="F3" s="2">
        <v>48000000</v>
      </c>
      <c r="G3" s="2">
        <f>48000000-2133333.33333334</f>
        <v>45866666.666666657</v>
      </c>
    </row>
    <row r="4" spans="1:7" ht="87" x14ac:dyDescent="0.35">
      <c r="A4" s="5" t="s">
        <v>17</v>
      </c>
      <c r="B4" s="5" t="s">
        <v>18</v>
      </c>
      <c r="C4" s="5" t="s">
        <v>203</v>
      </c>
      <c r="D4" s="5" t="s">
        <v>19</v>
      </c>
      <c r="E4" s="3" t="s">
        <v>205</v>
      </c>
      <c r="F4" s="2">
        <v>48000000</v>
      </c>
      <c r="G4" s="2">
        <f>48000000-2133333.33333334</f>
        <v>45866666.666666657</v>
      </c>
    </row>
    <row r="5" spans="1:7" ht="87" x14ac:dyDescent="0.35">
      <c r="A5" s="5" t="s">
        <v>17</v>
      </c>
      <c r="B5" s="5" t="s">
        <v>18</v>
      </c>
      <c r="C5" s="5" t="s">
        <v>203</v>
      </c>
      <c r="D5" s="5" t="s">
        <v>19</v>
      </c>
      <c r="E5" s="3" t="s">
        <v>205</v>
      </c>
      <c r="F5" s="2">
        <v>48000000</v>
      </c>
      <c r="G5" s="2">
        <f>48000000-2133333.33333334</f>
        <v>45866666.666666657</v>
      </c>
    </row>
    <row r="6" spans="1:7" ht="87" x14ac:dyDescent="0.35">
      <c r="A6" s="5" t="s">
        <v>17</v>
      </c>
      <c r="B6" s="5" t="s">
        <v>18</v>
      </c>
      <c r="C6" s="5" t="s">
        <v>203</v>
      </c>
      <c r="D6" s="5" t="s">
        <v>19</v>
      </c>
      <c r="E6" s="3" t="s">
        <v>205</v>
      </c>
      <c r="F6" s="2">
        <v>41195880</v>
      </c>
      <c r="G6" s="2">
        <f>41195880-1830928</f>
        <v>39364952</v>
      </c>
    </row>
    <row r="7" spans="1:7" ht="87" x14ac:dyDescent="0.35">
      <c r="A7" s="5" t="s">
        <v>17</v>
      </c>
      <c r="B7" s="5" t="s">
        <v>18</v>
      </c>
      <c r="C7" s="5" t="s">
        <v>203</v>
      </c>
      <c r="D7" s="5" t="s">
        <v>19</v>
      </c>
      <c r="E7" s="3" t="s">
        <v>205</v>
      </c>
      <c r="F7" s="2">
        <v>41195880</v>
      </c>
      <c r="G7" s="2">
        <f>36046395-686598</f>
        <v>35359797</v>
      </c>
    </row>
    <row r="8" spans="1:7" ht="43.5" x14ac:dyDescent="0.35">
      <c r="A8" s="5" t="s">
        <v>17</v>
      </c>
      <c r="B8" s="5" t="s">
        <v>18</v>
      </c>
      <c r="C8" s="5" t="s">
        <v>206</v>
      </c>
      <c r="D8" s="5" t="s">
        <v>19</v>
      </c>
      <c r="E8" s="3" t="s">
        <v>207</v>
      </c>
      <c r="F8" s="2">
        <v>30000000</v>
      </c>
      <c r="G8" s="2">
        <f>30000000+15000000</f>
        <v>45000000</v>
      </c>
    </row>
    <row r="9" spans="1:7" ht="43.5" x14ac:dyDescent="0.35">
      <c r="A9" s="5" t="s">
        <v>17</v>
      </c>
      <c r="B9" s="5" t="s">
        <v>18</v>
      </c>
      <c r="C9" s="5" t="s">
        <v>206</v>
      </c>
      <c r="D9" s="5" t="s">
        <v>19</v>
      </c>
      <c r="E9" s="3" t="s">
        <v>207</v>
      </c>
      <c r="F9" s="2">
        <v>300000000</v>
      </c>
      <c r="G9" s="2">
        <v>300000000</v>
      </c>
    </row>
    <row r="10" spans="1:7" ht="116" x14ac:dyDescent="0.35">
      <c r="A10" s="5" t="s">
        <v>17</v>
      </c>
      <c r="B10" s="5" t="s">
        <v>18</v>
      </c>
      <c r="C10" s="5" t="s">
        <v>203</v>
      </c>
      <c r="D10" s="5" t="s">
        <v>19</v>
      </c>
      <c r="E10" s="3" t="s">
        <v>141</v>
      </c>
      <c r="F10" s="2">
        <v>133082781.7</v>
      </c>
      <c r="G10" s="2">
        <f>133082782-1928734</f>
        <v>131154048</v>
      </c>
    </row>
    <row r="11" spans="1:7" ht="116" x14ac:dyDescent="0.35">
      <c r="A11" s="5" t="s">
        <v>17</v>
      </c>
      <c r="B11" s="5" t="s">
        <v>18</v>
      </c>
      <c r="C11" s="5" t="s">
        <v>203</v>
      </c>
      <c r="D11" s="5" t="s">
        <v>19</v>
      </c>
      <c r="E11" s="3" t="s">
        <v>24</v>
      </c>
      <c r="F11" s="2">
        <v>103336964.5</v>
      </c>
      <c r="G11" s="2">
        <f>103336965-1797165.1</f>
        <v>101539799.90000001</v>
      </c>
    </row>
    <row r="12" spans="1:7" ht="72.5" x14ac:dyDescent="0.35">
      <c r="A12" s="5" t="s">
        <v>17</v>
      </c>
      <c r="B12" s="5" t="s">
        <v>18</v>
      </c>
      <c r="C12" s="5" t="s">
        <v>203</v>
      </c>
      <c r="D12" s="5" t="s">
        <v>19</v>
      </c>
      <c r="E12" s="3" t="s">
        <v>208</v>
      </c>
      <c r="F12" s="2">
        <v>121643095.75</v>
      </c>
      <c r="G12" s="2">
        <f>121643096-2115526.7</f>
        <v>119527569.3</v>
      </c>
    </row>
    <row r="13" spans="1:7" ht="72.5" x14ac:dyDescent="0.35">
      <c r="A13" s="5" t="s">
        <v>17</v>
      </c>
      <c r="B13" s="5" t="s">
        <v>18</v>
      </c>
      <c r="C13" s="5" t="s">
        <v>203</v>
      </c>
      <c r="D13" s="5" t="s">
        <v>19</v>
      </c>
      <c r="E13" s="3" t="s">
        <v>26</v>
      </c>
      <c r="F13" s="2">
        <v>117526090</v>
      </c>
      <c r="G13" s="2">
        <f>117526090-2043932</f>
        <v>115482158</v>
      </c>
    </row>
    <row r="14" spans="1:7" ht="87" x14ac:dyDescent="0.35">
      <c r="A14" s="5" t="s">
        <v>17</v>
      </c>
      <c r="B14" s="5" t="s">
        <v>18</v>
      </c>
      <c r="C14" s="5" t="s">
        <v>203</v>
      </c>
      <c r="D14" s="5" t="s">
        <v>19</v>
      </c>
      <c r="E14" s="3" t="s">
        <v>209</v>
      </c>
      <c r="F14" s="2">
        <f>470136391.64+533363608.36+98500000</f>
        <v>1102000000</v>
      </c>
      <c r="G14" s="2">
        <f>470136391.64+140659680.68</f>
        <v>610796072.31999993</v>
      </c>
    </row>
    <row r="15" spans="1:7" ht="112.5" customHeight="1" x14ac:dyDescent="0.35">
      <c r="A15" s="5" t="s">
        <v>17</v>
      </c>
      <c r="B15" s="5" t="s">
        <v>18</v>
      </c>
      <c r="C15" s="5" t="s">
        <v>203</v>
      </c>
      <c r="D15" s="5" t="s">
        <v>19</v>
      </c>
      <c r="E15" s="3" t="s">
        <v>210</v>
      </c>
      <c r="F15" s="36"/>
      <c r="G15" s="2">
        <f>631863608.36-140659680.68</f>
        <v>491203927.68000001</v>
      </c>
    </row>
    <row r="16" spans="1:7" ht="72.5" x14ac:dyDescent="0.35">
      <c r="A16" s="5" t="s">
        <v>17</v>
      </c>
      <c r="B16" s="5" t="s">
        <v>18</v>
      </c>
      <c r="C16" s="5" t="s">
        <v>203</v>
      </c>
      <c r="D16" s="5" t="s">
        <v>19</v>
      </c>
      <c r="E16" s="3" t="s">
        <v>211</v>
      </c>
      <c r="F16" s="2">
        <v>45000000</v>
      </c>
      <c r="G16" s="2">
        <v>36049066</v>
      </c>
    </row>
    <row r="17" spans="1:7" ht="51" customHeight="1" x14ac:dyDescent="0.35">
      <c r="A17" s="5" t="s">
        <v>17</v>
      </c>
      <c r="B17" s="5" t="s">
        <v>18</v>
      </c>
      <c r="C17" s="5" t="s">
        <v>206</v>
      </c>
      <c r="D17" s="5" t="s">
        <v>19</v>
      </c>
      <c r="E17" s="3" t="s">
        <v>30</v>
      </c>
      <c r="F17" s="2">
        <v>350000000</v>
      </c>
      <c r="G17" s="2">
        <v>350000000</v>
      </c>
    </row>
    <row r="18" spans="1:7" ht="87" x14ac:dyDescent="0.35">
      <c r="A18" s="5" t="s">
        <v>17</v>
      </c>
      <c r="B18" s="5" t="s">
        <v>18</v>
      </c>
      <c r="C18" s="5" t="s">
        <v>203</v>
      </c>
      <c r="D18" s="5" t="s">
        <v>19</v>
      </c>
      <c r="E18" s="3" t="s">
        <v>31</v>
      </c>
      <c r="F18" s="2">
        <v>10000000</v>
      </c>
      <c r="G18" s="2">
        <v>10000000</v>
      </c>
    </row>
    <row r="19" spans="1:7" ht="72.5" x14ac:dyDescent="0.35">
      <c r="A19" s="5" t="s">
        <v>17</v>
      </c>
      <c r="B19" s="5" t="s">
        <v>18</v>
      </c>
      <c r="C19" s="5" t="s">
        <v>203</v>
      </c>
      <c r="D19" s="5" t="s">
        <v>19</v>
      </c>
      <c r="E19" s="3" t="s">
        <v>212</v>
      </c>
      <c r="F19" s="2">
        <v>38720000</v>
      </c>
      <c r="G19" s="2">
        <v>38720000</v>
      </c>
    </row>
    <row r="20" spans="1:7" ht="72.5" x14ac:dyDescent="0.35">
      <c r="A20" s="5" t="s">
        <v>17</v>
      </c>
      <c r="B20" s="5" t="s">
        <v>18</v>
      </c>
      <c r="C20" s="5" t="s">
        <v>203</v>
      </c>
      <c r="D20" s="5" t="s">
        <v>19</v>
      </c>
      <c r="E20" s="3" t="s">
        <v>213</v>
      </c>
      <c r="F20" s="2">
        <v>50000000</v>
      </c>
      <c r="G20" s="2">
        <v>88655000</v>
      </c>
    </row>
    <row r="21" spans="1:7" ht="51.75" customHeight="1" x14ac:dyDescent="0.35">
      <c r="A21" s="5" t="s">
        <v>17</v>
      </c>
      <c r="B21" s="5" t="s">
        <v>202</v>
      </c>
      <c r="C21" s="5" t="s">
        <v>214</v>
      </c>
      <c r="D21" s="5" t="s">
        <v>38</v>
      </c>
      <c r="E21" s="3" t="s">
        <v>40</v>
      </c>
      <c r="F21" s="2">
        <v>5350000</v>
      </c>
      <c r="G21" s="2">
        <v>5350000</v>
      </c>
    </row>
    <row r="22" spans="1:7" ht="72.5" x14ac:dyDescent="0.35">
      <c r="A22" s="5" t="s">
        <v>17</v>
      </c>
      <c r="B22" s="5" t="s">
        <v>18</v>
      </c>
      <c r="C22" s="5" t="s">
        <v>203</v>
      </c>
      <c r="D22" s="5" t="s">
        <v>38</v>
      </c>
      <c r="E22" s="3" t="s">
        <v>215</v>
      </c>
      <c r="F22" s="2">
        <v>12000000</v>
      </c>
      <c r="G22" s="2">
        <v>20000000</v>
      </c>
    </row>
    <row r="23" spans="1:7" ht="29" x14ac:dyDescent="0.35">
      <c r="A23" s="5" t="s">
        <v>17</v>
      </c>
      <c r="B23" s="5" t="s">
        <v>18</v>
      </c>
      <c r="C23" s="5" t="s">
        <v>216</v>
      </c>
      <c r="D23" s="5" t="s">
        <v>38</v>
      </c>
      <c r="E23" s="3" t="s">
        <v>217</v>
      </c>
      <c r="F23" s="2">
        <v>0</v>
      </c>
      <c r="G23" s="2">
        <v>0</v>
      </c>
    </row>
    <row r="24" spans="1:7" ht="87" x14ac:dyDescent="0.35">
      <c r="A24" s="5" t="s">
        <v>17</v>
      </c>
      <c r="B24" s="5" t="s">
        <v>18</v>
      </c>
      <c r="C24" s="5" t="s">
        <v>216</v>
      </c>
      <c r="D24" s="5" t="s">
        <v>43</v>
      </c>
      <c r="E24" s="3" t="s">
        <v>218</v>
      </c>
      <c r="F24" s="2">
        <v>402375000</v>
      </c>
      <c r="G24" s="2">
        <v>402375000</v>
      </c>
    </row>
    <row r="25" spans="1:7" ht="29" x14ac:dyDescent="0.35">
      <c r="A25" s="5" t="s">
        <v>17</v>
      </c>
      <c r="B25" s="5" t="s">
        <v>18</v>
      </c>
      <c r="C25" s="5" t="s">
        <v>216</v>
      </c>
      <c r="D25" s="5" t="s">
        <v>43</v>
      </c>
      <c r="E25" s="3" t="s">
        <v>219</v>
      </c>
      <c r="F25" s="2">
        <v>0</v>
      </c>
      <c r="G25" s="2">
        <v>50000000</v>
      </c>
    </row>
    <row r="26" spans="1:7" ht="58" x14ac:dyDescent="0.35">
      <c r="A26" s="5" t="s">
        <v>17</v>
      </c>
      <c r="B26" s="5" t="s">
        <v>18</v>
      </c>
      <c r="C26" s="5" t="s">
        <v>216</v>
      </c>
      <c r="D26" s="5" t="s">
        <v>43</v>
      </c>
      <c r="E26" s="3" t="s">
        <v>45</v>
      </c>
      <c r="F26" s="2">
        <v>213000000</v>
      </c>
      <c r="G26" s="2">
        <v>213000000</v>
      </c>
    </row>
    <row r="27" spans="1:7" ht="29" x14ac:dyDescent="0.35">
      <c r="A27" s="5" t="s">
        <v>17</v>
      </c>
      <c r="B27" s="5" t="s">
        <v>18</v>
      </c>
      <c r="C27" s="5" t="s">
        <v>216</v>
      </c>
      <c r="D27" s="5" t="s">
        <v>43</v>
      </c>
      <c r="E27" s="3" t="s">
        <v>46</v>
      </c>
      <c r="F27" s="2">
        <v>260050000</v>
      </c>
      <c r="G27" s="2">
        <v>260050000</v>
      </c>
    </row>
    <row r="28" spans="1:7" ht="246.5" x14ac:dyDescent="0.35">
      <c r="A28" s="5" t="s">
        <v>17</v>
      </c>
      <c r="B28" s="5" t="s">
        <v>18</v>
      </c>
      <c r="C28" s="5" t="s">
        <v>216</v>
      </c>
      <c r="D28" s="5" t="s">
        <v>43</v>
      </c>
      <c r="E28" s="3" t="s">
        <v>220</v>
      </c>
      <c r="F28" s="2">
        <v>1500000000</v>
      </c>
      <c r="G28" s="2">
        <v>1525511702</v>
      </c>
    </row>
    <row r="29" spans="1:7" ht="101.5" x14ac:dyDescent="0.35">
      <c r="A29" s="5" t="s">
        <v>17</v>
      </c>
      <c r="B29" s="5" t="s">
        <v>18</v>
      </c>
      <c r="C29" s="5" t="s">
        <v>216</v>
      </c>
      <c r="D29" s="5" t="s">
        <v>43</v>
      </c>
      <c r="E29" s="3" t="s">
        <v>221</v>
      </c>
      <c r="F29" s="2">
        <v>80960000</v>
      </c>
      <c r="G29" s="2">
        <v>80960000</v>
      </c>
    </row>
    <row r="30" spans="1:7" ht="43.5" x14ac:dyDescent="0.35">
      <c r="A30" s="5" t="s">
        <v>17</v>
      </c>
      <c r="B30" s="5" t="s">
        <v>18</v>
      </c>
      <c r="C30" s="5" t="s">
        <v>216</v>
      </c>
      <c r="D30" s="5" t="s">
        <v>43</v>
      </c>
      <c r="E30" s="37" t="s">
        <v>222</v>
      </c>
      <c r="F30" s="2">
        <v>0</v>
      </c>
      <c r="G30" s="2">
        <v>250000000</v>
      </c>
    </row>
    <row r="31" spans="1:7" ht="130.5" x14ac:dyDescent="0.35">
      <c r="A31" s="5" t="s">
        <v>17</v>
      </c>
      <c r="B31" s="5" t="s">
        <v>18</v>
      </c>
      <c r="C31" s="5" t="s">
        <v>216</v>
      </c>
      <c r="D31" s="5" t="s">
        <v>50</v>
      </c>
      <c r="E31" s="3" t="s">
        <v>223</v>
      </c>
      <c r="F31" s="2">
        <v>169970000</v>
      </c>
      <c r="G31" s="2">
        <f>168406288-488135</f>
        <v>167918153</v>
      </c>
    </row>
    <row r="32" spans="1:7" ht="44.15" customHeight="1" x14ac:dyDescent="0.35">
      <c r="A32" s="5" t="s">
        <v>17</v>
      </c>
      <c r="B32" s="5" t="s">
        <v>18</v>
      </c>
      <c r="C32" s="5" t="s">
        <v>216</v>
      </c>
      <c r="D32" s="5" t="s">
        <v>50</v>
      </c>
      <c r="E32" s="3" t="s">
        <v>224</v>
      </c>
      <c r="F32" s="2">
        <v>110630000</v>
      </c>
      <c r="G32" s="2">
        <f>109653995-2224865</f>
        <v>107429130</v>
      </c>
    </row>
    <row r="33" spans="1:7" ht="145" x14ac:dyDescent="0.35">
      <c r="A33" s="5" t="s">
        <v>17</v>
      </c>
      <c r="B33" s="5" t="s">
        <v>18</v>
      </c>
      <c r="C33" s="5" t="s">
        <v>216</v>
      </c>
      <c r="D33" s="5" t="s">
        <v>50</v>
      </c>
      <c r="E33" s="3" t="s">
        <v>225</v>
      </c>
      <c r="F33" s="2">
        <v>139150000</v>
      </c>
      <c r="G33" s="2">
        <f>139150000-2951667</f>
        <v>136198333</v>
      </c>
    </row>
    <row r="34" spans="1:7" ht="72.5" x14ac:dyDescent="0.35">
      <c r="A34" s="5" t="s">
        <v>17</v>
      </c>
      <c r="B34" s="5" t="s">
        <v>18</v>
      </c>
      <c r="C34" s="5" t="s">
        <v>216</v>
      </c>
      <c r="D34" s="5" t="s">
        <v>50</v>
      </c>
      <c r="E34" s="3" t="s">
        <v>226</v>
      </c>
      <c r="F34" s="2">
        <v>36800000</v>
      </c>
      <c r="G34" s="2">
        <f>36800000-213333</f>
        <v>36586667</v>
      </c>
    </row>
    <row r="35" spans="1:7" ht="159.5" x14ac:dyDescent="0.35">
      <c r="A35" s="5" t="s">
        <v>17</v>
      </c>
      <c r="B35" s="5" t="s">
        <v>18</v>
      </c>
      <c r="C35" s="5" t="s">
        <v>216</v>
      </c>
      <c r="D35" s="5" t="s">
        <v>19</v>
      </c>
      <c r="E35" s="3" t="s">
        <v>58</v>
      </c>
      <c r="F35" s="2">
        <v>200464000</v>
      </c>
      <c r="G35" s="2">
        <v>200464000</v>
      </c>
    </row>
    <row r="36" spans="1:7" ht="148.5" customHeight="1" x14ac:dyDescent="0.35">
      <c r="A36" s="5" t="s">
        <v>17</v>
      </c>
      <c r="B36" s="5" t="s">
        <v>18</v>
      </c>
      <c r="C36" s="5" t="s">
        <v>216</v>
      </c>
      <c r="D36" s="5" t="s">
        <v>50</v>
      </c>
      <c r="E36" s="3" t="s">
        <v>227</v>
      </c>
      <c r="F36" s="2">
        <v>500000000</v>
      </c>
      <c r="G36" s="2">
        <v>499917000</v>
      </c>
    </row>
    <row r="37" spans="1:7" ht="43.5" x14ac:dyDescent="0.35">
      <c r="A37" s="5" t="s">
        <v>17</v>
      </c>
      <c r="B37" s="5" t="s">
        <v>18</v>
      </c>
      <c r="C37" s="5" t="s">
        <v>216</v>
      </c>
      <c r="D37" s="5" t="s">
        <v>50</v>
      </c>
      <c r="E37" s="3" t="s">
        <v>228</v>
      </c>
      <c r="F37" s="2">
        <v>300000000</v>
      </c>
      <c r="G37" s="2">
        <v>300000000</v>
      </c>
    </row>
    <row r="38" spans="1:7" ht="72.5" x14ac:dyDescent="0.35">
      <c r="A38" s="5" t="s">
        <v>17</v>
      </c>
      <c r="B38" s="5" t="s">
        <v>18</v>
      </c>
      <c r="C38" s="5" t="s">
        <v>216</v>
      </c>
      <c r="D38" s="5" t="s">
        <v>50</v>
      </c>
      <c r="E38" s="3" t="s">
        <v>229</v>
      </c>
      <c r="F38" s="2">
        <v>150000000</v>
      </c>
      <c r="G38" s="2">
        <v>0</v>
      </c>
    </row>
    <row r="39" spans="1:7" ht="54.75" customHeight="1" x14ac:dyDescent="0.35">
      <c r="A39" s="5" t="s">
        <v>17</v>
      </c>
      <c r="B39" s="5" t="s">
        <v>18</v>
      </c>
      <c r="C39" s="5" t="s">
        <v>230</v>
      </c>
      <c r="D39" s="5" t="s">
        <v>50</v>
      </c>
      <c r="E39" s="3" t="s">
        <v>231</v>
      </c>
      <c r="F39" s="2">
        <v>200000000</v>
      </c>
      <c r="G39" s="2">
        <v>0</v>
      </c>
    </row>
    <row r="40" spans="1:7" ht="290" x14ac:dyDescent="0.35">
      <c r="A40" s="5" t="s">
        <v>17</v>
      </c>
      <c r="B40" s="5" t="s">
        <v>18</v>
      </c>
      <c r="C40" s="5" t="s">
        <v>216</v>
      </c>
      <c r="D40" s="5" t="s">
        <v>63</v>
      </c>
      <c r="E40" s="3" t="s">
        <v>232</v>
      </c>
      <c r="F40" s="2">
        <v>450251827</v>
      </c>
      <c r="G40" s="2">
        <v>450251732</v>
      </c>
    </row>
    <row r="41" spans="1:7" ht="159.75" customHeight="1" x14ac:dyDescent="0.35">
      <c r="A41" s="5" t="s">
        <v>17</v>
      </c>
      <c r="B41" s="5" t="s">
        <v>18</v>
      </c>
      <c r="C41" s="5" t="s">
        <v>216</v>
      </c>
      <c r="D41" s="5" t="s">
        <v>63</v>
      </c>
      <c r="E41" s="3" t="s">
        <v>233</v>
      </c>
      <c r="F41" s="2">
        <v>264807428</v>
      </c>
      <c r="G41" s="2">
        <v>260704170</v>
      </c>
    </row>
    <row r="42" spans="1:7" ht="87" x14ac:dyDescent="0.35">
      <c r="A42" s="5" t="s">
        <v>17</v>
      </c>
      <c r="B42" s="5" t="s">
        <v>18</v>
      </c>
      <c r="C42" s="5" t="s">
        <v>216</v>
      </c>
      <c r="D42" s="5" t="s">
        <v>63</v>
      </c>
      <c r="E42" s="3" t="s">
        <v>234</v>
      </c>
      <c r="F42" s="2">
        <v>80000000</v>
      </c>
      <c r="G42" s="2">
        <v>80000000</v>
      </c>
    </row>
    <row r="43" spans="1:7" ht="159.5" x14ac:dyDescent="0.35">
      <c r="A43" s="5" t="s">
        <v>17</v>
      </c>
      <c r="B43" s="5" t="s">
        <v>18</v>
      </c>
      <c r="C43" s="5" t="s">
        <v>216</v>
      </c>
      <c r="D43" s="5" t="s">
        <v>63</v>
      </c>
      <c r="E43" s="3" t="s">
        <v>235</v>
      </c>
      <c r="F43" s="2">
        <v>144000000</v>
      </c>
      <c r="G43" s="2">
        <v>144000000</v>
      </c>
    </row>
    <row r="44" spans="1:7" ht="174" x14ac:dyDescent="0.35">
      <c r="A44" s="5" t="s">
        <v>17</v>
      </c>
      <c r="B44" s="5" t="s">
        <v>18</v>
      </c>
      <c r="C44" s="5" t="s">
        <v>216</v>
      </c>
      <c r="D44" s="5" t="s">
        <v>63</v>
      </c>
      <c r="E44" s="3" t="s">
        <v>236</v>
      </c>
      <c r="F44" s="2">
        <v>222640000</v>
      </c>
      <c r="G44" s="2">
        <f>222640000-645333.34</f>
        <v>221994666.66</v>
      </c>
    </row>
    <row r="45" spans="1:7" ht="101.5" x14ac:dyDescent="0.35">
      <c r="A45" s="5" t="s">
        <v>17</v>
      </c>
      <c r="B45" s="5" t="s">
        <v>18</v>
      </c>
      <c r="C45" s="5" t="s">
        <v>216</v>
      </c>
      <c r="D45" s="5" t="s">
        <v>63</v>
      </c>
      <c r="E45" s="3" t="s">
        <v>237</v>
      </c>
      <c r="F45" s="2">
        <v>72600000</v>
      </c>
      <c r="G45" s="2">
        <v>60000000</v>
      </c>
    </row>
    <row r="46" spans="1:7" ht="29" x14ac:dyDescent="0.35">
      <c r="A46" s="5" t="s">
        <v>17</v>
      </c>
      <c r="B46" s="5" t="s">
        <v>18</v>
      </c>
      <c r="C46" s="5" t="s">
        <v>216</v>
      </c>
      <c r="D46" s="5" t="s">
        <v>63</v>
      </c>
      <c r="E46" s="3" t="s">
        <v>238</v>
      </c>
      <c r="F46" s="2">
        <v>0</v>
      </c>
      <c r="G46" s="2">
        <v>50000000</v>
      </c>
    </row>
    <row r="47" spans="1:7" ht="58" x14ac:dyDescent="0.35">
      <c r="A47" s="5" t="s">
        <v>17</v>
      </c>
      <c r="B47" s="5" t="s">
        <v>18</v>
      </c>
      <c r="C47" s="5" t="s">
        <v>216</v>
      </c>
      <c r="D47" s="5" t="s">
        <v>63</v>
      </c>
      <c r="E47" s="3" t="s">
        <v>71</v>
      </c>
      <c r="F47" s="2">
        <v>10000000</v>
      </c>
      <c r="G47" s="2">
        <v>6937214</v>
      </c>
    </row>
    <row r="48" spans="1:7" ht="145" x14ac:dyDescent="0.35">
      <c r="A48" s="5" t="s">
        <v>17</v>
      </c>
      <c r="B48" s="5" t="s">
        <v>18</v>
      </c>
      <c r="C48" s="5" t="s">
        <v>216</v>
      </c>
      <c r="D48" s="5" t="s">
        <v>72</v>
      </c>
      <c r="E48" s="3" t="s">
        <v>239</v>
      </c>
      <c r="F48" s="2">
        <v>147624235</v>
      </c>
      <c r="G48" s="2">
        <f>147624235-427896</f>
        <v>147196339</v>
      </c>
    </row>
    <row r="49" spans="1:7" ht="145" x14ac:dyDescent="0.35">
      <c r="A49" s="5" t="s">
        <v>17</v>
      </c>
      <c r="B49" s="5" t="s">
        <v>18</v>
      </c>
      <c r="C49" s="5" t="s">
        <v>216</v>
      </c>
      <c r="D49" s="5" t="s">
        <v>72</v>
      </c>
      <c r="E49" s="3" t="s">
        <v>240</v>
      </c>
      <c r="F49" s="2">
        <v>125235000</v>
      </c>
      <c r="G49" s="2">
        <v>125235000</v>
      </c>
    </row>
    <row r="50" spans="1:7" ht="130.5" x14ac:dyDescent="0.35">
      <c r="A50" s="5" t="s">
        <v>17</v>
      </c>
      <c r="B50" s="5" t="s">
        <v>18</v>
      </c>
      <c r="C50" s="5" t="s">
        <v>216</v>
      </c>
      <c r="D50" s="5" t="s">
        <v>72</v>
      </c>
      <c r="E50" s="3" t="s">
        <v>241</v>
      </c>
      <c r="F50" s="2">
        <v>147625500</v>
      </c>
      <c r="G50" s="2">
        <f>147625500-855800</f>
        <v>146769700</v>
      </c>
    </row>
    <row r="51" spans="1:7" ht="116" x14ac:dyDescent="0.35">
      <c r="A51" s="5" t="s">
        <v>17</v>
      </c>
      <c r="B51" s="5" t="s">
        <v>18</v>
      </c>
      <c r="C51" s="5" t="s">
        <v>216</v>
      </c>
      <c r="D51" s="5" t="s">
        <v>43</v>
      </c>
      <c r="E51" s="3" t="s">
        <v>242</v>
      </c>
      <c r="F51" s="2">
        <v>188400000</v>
      </c>
      <c r="G51" s="2">
        <v>188400000</v>
      </c>
    </row>
    <row r="52" spans="1:7" ht="116" x14ac:dyDescent="0.35">
      <c r="A52" s="5" t="s">
        <v>17</v>
      </c>
      <c r="B52" s="5" t="s">
        <v>18</v>
      </c>
      <c r="C52" s="5" t="s">
        <v>216</v>
      </c>
      <c r="D52" s="5" t="s">
        <v>78</v>
      </c>
      <c r="E52" s="3" t="s">
        <v>243</v>
      </c>
      <c r="F52" s="2">
        <v>141960000</v>
      </c>
      <c r="G52" s="2">
        <v>141960000</v>
      </c>
    </row>
    <row r="53" spans="1:7" ht="130.5" x14ac:dyDescent="0.35">
      <c r="A53" s="5" t="s">
        <v>17</v>
      </c>
      <c r="B53" s="5" t="s">
        <v>18</v>
      </c>
      <c r="C53" s="5" t="s">
        <v>230</v>
      </c>
      <c r="D53" s="5" t="s">
        <v>78</v>
      </c>
      <c r="E53" s="3" t="s">
        <v>244</v>
      </c>
      <c r="F53" s="2">
        <v>612864457</v>
      </c>
      <c r="G53" s="2">
        <v>598177309</v>
      </c>
    </row>
    <row r="54" spans="1:7" ht="72.5" x14ac:dyDescent="0.35">
      <c r="A54" s="5" t="s">
        <v>17</v>
      </c>
      <c r="B54" s="5" t="s">
        <v>18</v>
      </c>
      <c r="C54" s="5" t="s">
        <v>230</v>
      </c>
      <c r="D54" s="5" t="s">
        <v>78</v>
      </c>
      <c r="E54" s="3" t="s">
        <v>245</v>
      </c>
      <c r="F54" s="2">
        <f>130900*4500</f>
        <v>589050000</v>
      </c>
      <c r="G54" s="2">
        <f>(130900*4500)-29147503</f>
        <v>559902497</v>
      </c>
    </row>
    <row r="55" spans="1:7" ht="116" x14ac:dyDescent="0.35">
      <c r="A55" s="5" t="s">
        <v>17</v>
      </c>
      <c r="B55" s="5" t="s">
        <v>18</v>
      </c>
      <c r="C55" s="5" t="s">
        <v>216</v>
      </c>
      <c r="D55" s="5" t="s">
        <v>84</v>
      </c>
      <c r="E55" s="3" t="s">
        <v>246</v>
      </c>
      <c r="F55" s="2">
        <v>239580000</v>
      </c>
      <c r="G55" s="2">
        <f>239580000-9982500.55</f>
        <v>229597499.44999999</v>
      </c>
    </row>
    <row r="56" spans="1:7" ht="58" x14ac:dyDescent="0.35">
      <c r="A56" s="5" t="s">
        <v>17</v>
      </c>
      <c r="B56" s="5" t="s">
        <v>18</v>
      </c>
      <c r="C56" s="5" t="s">
        <v>216</v>
      </c>
      <c r="D56" s="5" t="s">
        <v>84</v>
      </c>
      <c r="E56" s="3" t="s">
        <v>247</v>
      </c>
      <c r="F56" s="2">
        <v>36800000</v>
      </c>
      <c r="G56" s="2">
        <f>34684650-1576575</f>
        <v>33108075</v>
      </c>
    </row>
    <row r="57" spans="1:7" s="14" customFormat="1" ht="130.5" x14ac:dyDescent="0.35">
      <c r="A57" s="12" t="s">
        <v>17</v>
      </c>
      <c r="B57" s="12" t="s">
        <v>202</v>
      </c>
      <c r="C57" s="12" t="s">
        <v>248</v>
      </c>
      <c r="D57" s="12" t="s">
        <v>84</v>
      </c>
      <c r="E57" s="13" t="s">
        <v>249</v>
      </c>
      <c r="F57" s="11">
        <v>345000000</v>
      </c>
      <c r="G57" s="11">
        <v>345000000</v>
      </c>
    </row>
    <row r="58" spans="1:7" ht="87" x14ac:dyDescent="0.35">
      <c r="A58" s="5" t="s">
        <v>17</v>
      </c>
      <c r="B58" s="5" t="s">
        <v>202</v>
      </c>
      <c r="C58" s="5" t="s">
        <v>248</v>
      </c>
      <c r="D58" s="5" t="s">
        <v>84</v>
      </c>
      <c r="E58" s="3" t="s">
        <v>89</v>
      </c>
      <c r="F58" s="2">
        <v>40000000</v>
      </c>
      <c r="G58" s="2">
        <v>40000000</v>
      </c>
    </row>
    <row r="59" spans="1:7" ht="44.25" customHeight="1" x14ac:dyDescent="0.35">
      <c r="A59" s="5" t="s">
        <v>17</v>
      </c>
      <c r="B59" s="5" t="s">
        <v>202</v>
      </c>
      <c r="C59" s="5" t="s">
        <v>248</v>
      </c>
      <c r="D59" s="5" t="s">
        <v>84</v>
      </c>
      <c r="E59" s="3" t="s">
        <v>91</v>
      </c>
      <c r="F59" s="2">
        <v>44590720</v>
      </c>
      <c r="G59" s="2">
        <f>44590720-14691209</f>
        <v>29899511</v>
      </c>
    </row>
    <row r="60" spans="1:7" ht="26.25" customHeight="1" x14ac:dyDescent="0.35">
      <c r="A60" s="5" t="s">
        <v>17</v>
      </c>
      <c r="B60" s="5" t="s">
        <v>18</v>
      </c>
      <c r="C60" s="5"/>
      <c r="D60" s="5" t="s">
        <v>84</v>
      </c>
      <c r="E60" s="3" t="s">
        <v>92</v>
      </c>
      <c r="F60" s="2">
        <v>1000000</v>
      </c>
      <c r="G60" s="2">
        <v>1000000</v>
      </c>
    </row>
    <row r="61" spans="1:7" s="14" customFormat="1" ht="101.5" x14ac:dyDescent="0.35">
      <c r="A61" s="12" t="s">
        <v>17</v>
      </c>
      <c r="B61" s="12" t="s">
        <v>202</v>
      </c>
      <c r="C61" s="12" t="s">
        <v>250</v>
      </c>
      <c r="D61" s="12" t="s">
        <v>36</v>
      </c>
      <c r="E61" s="13" t="s">
        <v>251</v>
      </c>
      <c r="F61" s="11">
        <v>70000000</v>
      </c>
      <c r="G61" s="11">
        <v>55000000</v>
      </c>
    </row>
    <row r="62" spans="1:7" ht="87" x14ac:dyDescent="0.35">
      <c r="A62" s="5" t="s">
        <v>17</v>
      </c>
      <c r="B62" s="5" t="s">
        <v>18</v>
      </c>
      <c r="C62" s="5" t="s">
        <v>230</v>
      </c>
      <c r="D62" s="5" t="s">
        <v>36</v>
      </c>
      <c r="E62" s="3" t="s">
        <v>252</v>
      </c>
      <c r="F62" s="2">
        <v>174805216</v>
      </c>
      <c r="G62" s="2">
        <v>170992000</v>
      </c>
    </row>
    <row r="63" spans="1:7" ht="29" x14ac:dyDescent="0.35">
      <c r="A63" s="5" t="s">
        <v>17</v>
      </c>
      <c r="B63" s="5" t="s">
        <v>18</v>
      </c>
      <c r="C63" s="5" t="s">
        <v>216</v>
      </c>
      <c r="D63" s="5" t="s">
        <v>36</v>
      </c>
      <c r="E63" s="3" t="s">
        <v>253</v>
      </c>
      <c r="F63" s="2">
        <v>0</v>
      </c>
      <c r="G63" s="2">
        <v>37389000</v>
      </c>
    </row>
    <row r="64" spans="1:7" x14ac:dyDescent="0.35">
      <c r="A64" s="5" t="s">
        <v>17</v>
      </c>
      <c r="B64" s="5" t="s">
        <v>18</v>
      </c>
      <c r="C64" s="5"/>
      <c r="D64" s="5"/>
      <c r="E64" s="3" t="s">
        <v>96</v>
      </c>
      <c r="F64" s="2">
        <v>152171300.04999924</v>
      </c>
      <c r="G64" s="2"/>
    </row>
    <row r="65" spans="1:7" ht="29" x14ac:dyDescent="0.35">
      <c r="A65" s="5" t="s">
        <v>17</v>
      </c>
      <c r="B65" s="5" t="s">
        <v>254</v>
      </c>
      <c r="C65" s="5"/>
      <c r="D65" s="5"/>
      <c r="E65" s="3" t="s">
        <v>96</v>
      </c>
      <c r="F65" s="2">
        <v>56972995.180000305</v>
      </c>
      <c r="G65" s="2"/>
    </row>
    <row r="66" spans="1:7" s="14" customFormat="1" ht="83.25" customHeight="1" x14ac:dyDescent="0.35">
      <c r="A66" s="12" t="s">
        <v>17</v>
      </c>
      <c r="B66" s="12" t="s">
        <v>202</v>
      </c>
      <c r="C66" s="12" t="s">
        <v>214</v>
      </c>
      <c r="D66" s="12" t="s">
        <v>38</v>
      </c>
      <c r="E66" s="13" t="s">
        <v>255</v>
      </c>
      <c r="F66" s="11">
        <v>20058791</v>
      </c>
      <c r="G66" s="11">
        <v>29750000</v>
      </c>
    </row>
    <row r="67" spans="1:7" s="14" customFormat="1" ht="83.25" customHeight="1" x14ac:dyDescent="0.35">
      <c r="A67" s="5" t="s">
        <v>17</v>
      </c>
      <c r="B67" s="5" t="s">
        <v>202</v>
      </c>
      <c r="C67" s="5" t="s">
        <v>214</v>
      </c>
      <c r="D67" s="5" t="s">
        <v>84</v>
      </c>
      <c r="E67" s="3" t="s">
        <v>256</v>
      </c>
      <c r="F67" s="11">
        <v>0</v>
      </c>
      <c r="G67" s="2">
        <v>20000000</v>
      </c>
    </row>
    <row r="68" spans="1:7" s="14" customFormat="1" ht="72.5" x14ac:dyDescent="0.35">
      <c r="A68" s="12" t="s">
        <v>17</v>
      </c>
      <c r="B68" s="12" t="s">
        <v>254</v>
      </c>
      <c r="C68" s="12" t="s">
        <v>257</v>
      </c>
      <c r="D68" s="12" t="s">
        <v>97</v>
      </c>
      <c r="E68" s="13" t="s">
        <v>258</v>
      </c>
      <c r="F68" s="11">
        <v>489339178.24000001</v>
      </c>
      <c r="G68" s="11">
        <v>323019532.80000001</v>
      </c>
    </row>
    <row r="69" spans="1:7" s="14" customFormat="1" ht="72.5" x14ac:dyDescent="0.35">
      <c r="A69" s="12" t="s">
        <v>17</v>
      </c>
      <c r="B69" s="12" t="s">
        <v>254</v>
      </c>
      <c r="C69" s="12" t="s">
        <v>257</v>
      </c>
      <c r="D69" s="12" t="s">
        <v>97</v>
      </c>
      <c r="E69" s="13" t="s">
        <v>104</v>
      </c>
      <c r="F69" s="11">
        <v>3966703.38</v>
      </c>
      <c r="G69" s="11">
        <v>4059446</v>
      </c>
    </row>
    <row r="70" spans="1:7" s="14" customFormat="1" ht="72.5" x14ac:dyDescent="0.35">
      <c r="A70" s="12" t="s">
        <v>17</v>
      </c>
      <c r="B70" s="12" t="s">
        <v>254</v>
      </c>
      <c r="C70" s="12" t="s">
        <v>257</v>
      </c>
      <c r="D70" s="12" t="s">
        <v>97</v>
      </c>
      <c r="E70" s="13" t="s">
        <v>105</v>
      </c>
      <c r="F70" s="11">
        <v>28400000</v>
      </c>
      <c r="G70" s="11">
        <v>23750000</v>
      </c>
    </row>
    <row r="71" spans="1:7" s="14" customFormat="1" ht="72.5" x14ac:dyDescent="0.35">
      <c r="A71" s="12" t="s">
        <v>17</v>
      </c>
      <c r="B71" s="12" t="s">
        <v>254</v>
      </c>
      <c r="C71" s="12" t="s">
        <v>259</v>
      </c>
      <c r="D71" s="12" t="s">
        <v>97</v>
      </c>
      <c r="E71" s="13" t="s">
        <v>106</v>
      </c>
      <c r="F71" s="11">
        <v>7240000</v>
      </c>
      <c r="G71" s="11">
        <v>4879000</v>
      </c>
    </row>
    <row r="72" spans="1:7" s="14" customFormat="1" ht="72.5" x14ac:dyDescent="0.35">
      <c r="A72" s="12" t="s">
        <v>17</v>
      </c>
      <c r="B72" s="12" t="s">
        <v>254</v>
      </c>
      <c r="C72" s="12" t="s">
        <v>259</v>
      </c>
      <c r="D72" s="12" t="s">
        <v>97</v>
      </c>
      <c r="E72" s="29" t="s">
        <v>260</v>
      </c>
      <c r="F72" s="11">
        <v>1680000000</v>
      </c>
      <c r="G72" s="11">
        <v>1541156751.26</v>
      </c>
    </row>
    <row r="73" spans="1:7" s="31" customFormat="1" ht="72.5" x14ac:dyDescent="0.35">
      <c r="A73" s="42" t="s">
        <v>17</v>
      </c>
      <c r="B73" s="42" t="s">
        <v>254</v>
      </c>
      <c r="C73" s="42" t="s">
        <v>259</v>
      </c>
      <c r="D73" s="42" t="s">
        <v>97</v>
      </c>
      <c r="E73" s="43" t="s">
        <v>111</v>
      </c>
      <c r="F73" s="30">
        <v>214400000</v>
      </c>
      <c r="G73" s="30">
        <v>200901881</v>
      </c>
    </row>
    <row r="74" spans="1:7" ht="72.5" x14ac:dyDescent="0.35">
      <c r="A74" s="5" t="s">
        <v>17</v>
      </c>
      <c r="B74" s="5" t="s">
        <v>254</v>
      </c>
      <c r="C74" s="5" t="s">
        <v>259</v>
      </c>
      <c r="D74" s="5" t="s">
        <v>97</v>
      </c>
      <c r="E74" s="3" t="s">
        <v>112</v>
      </c>
      <c r="F74" s="2">
        <v>14354080</v>
      </c>
      <c r="G74" s="2">
        <v>14354080</v>
      </c>
    </row>
    <row r="75" spans="1:7" ht="72.5" x14ac:dyDescent="0.35">
      <c r="A75" s="5"/>
      <c r="B75" s="5" t="s">
        <v>254</v>
      </c>
      <c r="C75" s="5" t="s">
        <v>259</v>
      </c>
      <c r="D75" s="5" t="s">
        <v>97</v>
      </c>
      <c r="E75" s="3" t="s">
        <v>113</v>
      </c>
      <c r="F75" s="2">
        <v>3000000</v>
      </c>
      <c r="G75" s="2">
        <v>3000000</v>
      </c>
    </row>
    <row r="76" spans="1:7" s="14" customFormat="1" ht="72.5" x14ac:dyDescent="0.35">
      <c r="A76" s="12" t="s">
        <v>17</v>
      </c>
      <c r="B76" s="12" t="s">
        <v>254</v>
      </c>
      <c r="C76" s="12" t="s">
        <v>261</v>
      </c>
      <c r="D76" s="12" t="s">
        <v>97</v>
      </c>
      <c r="E76" s="13" t="s">
        <v>114</v>
      </c>
      <c r="F76" s="11">
        <v>816210763.20000005</v>
      </c>
      <c r="G76" s="11">
        <v>816210763.20000005</v>
      </c>
    </row>
    <row r="77" spans="1:7" ht="72.5" x14ac:dyDescent="0.35">
      <c r="A77" s="5" t="s">
        <v>17</v>
      </c>
      <c r="B77" s="5" t="s">
        <v>254</v>
      </c>
      <c r="C77" s="5" t="s">
        <v>261</v>
      </c>
      <c r="D77" s="5" t="s">
        <v>97</v>
      </c>
      <c r="E77" s="4" t="s">
        <v>262</v>
      </c>
      <c r="F77" s="2">
        <v>360035000</v>
      </c>
      <c r="G77" s="2">
        <v>360035000</v>
      </c>
    </row>
    <row r="78" spans="1:7" ht="72.5" x14ac:dyDescent="0.35">
      <c r="A78" s="5" t="s">
        <v>17</v>
      </c>
      <c r="B78" s="5" t="s">
        <v>254</v>
      </c>
      <c r="C78" s="5" t="s">
        <v>261</v>
      </c>
      <c r="D78" s="5" t="s">
        <v>97</v>
      </c>
      <c r="E78" s="4" t="s">
        <v>263</v>
      </c>
      <c r="F78" s="2">
        <v>58000000</v>
      </c>
      <c r="G78" s="2">
        <v>58000000</v>
      </c>
    </row>
    <row r="79" spans="1:7" ht="72.5" x14ac:dyDescent="0.35">
      <c r="A79" s="5" t="s">
        <v>17</v>
      </c>
      <c r="B79" s="5" t="s">
        <v>254</v>
      </c>
      <c r="C79" s="5" t="s">
        <v>257</v>
      </c>
      <c r="D79" s="5" t="s">
        <v>97</v>
      </c>
      <c r="E79" s="3" t="s">
        <v>116</v>
      </c>
      <c r="F79" s="2">
        <v>83605000</v>
      </c>
      <c r="G79" s="2">
        <v>83605000</v>
      </c>
    </row>
    <row r="80" spans="1:7" s="14" customFormat="1" ht="87" x14ac:dyDescent="0.35">
      <c r="A80" s="12" t="s">
        <v>17</v>
      </c>
      <c r="B80" s="12" t="s">
        <v>254</v>
      </c>
      <c r="C80" s="12" t="s">
        <v>264</v>
      </c>
      <c r="D80" s="12" t="s">
        <v>97</v>
      </c>
      <c r="E80" s="13" t="s">
        <v>117</v>
      </c>
      <c r="F80" s="11">
        <v>20770260</v>
      </c>
      <c r="G80" s="11">
        <v>20770260</v>
      </c>
    </row>
    <row r="81" spans="1:7" s="14" customFormat="1" ht="72.5" x14ac:dyDescent="0.35">
      <c r="A81" s="12" t="s">
        <v>17</v>
      </c>
      <c r="B81" s="12" t="s">
        <v>254</v>
      </c>
      <c r="C81" s="12" t="s">
        <v>259</v>
      </c>
      <c r="D81" s="12" t="s">
        <v>97</v>
      </c>
      <c r="E81" s="13" t="s">
        <v>118</v>
      </c>
      <c r="F81" s="11">
        <v>64072000</v>
      </c>
      <c r="G81" s="11">
        <v>63375931</v>
      </c>
    </row>
    <row r="82" spans="1:7" ht="72.5" x14ac:dyDescent="0.35">
      <c r="A82" s="5" t="s">
        <v>17</v>
      </c>
      <c r="B82" s="5" t="s">
        <v>254</v>
      </c>
      <c r="C82" s="5" t="s">
        <v>257</v>
      </c>
      <c r="D82" s="5" t="s">
        <v>97</v>
      </c>
      <c r="E82" s="3" t="s">
        <v>265</v>
      </c>
      <c r="F82" s="2">
        <v>38000000</v>
      </c>
      <c r="G82" s="2">
        <v>38000000</v>
      </c>
    </row>
    <row r="83" spans="1:7" ht="72.5" x14ac:dyDescent="0.35">
      <c r="A83" s="5" t="s">
        <v>17</v>
      </c>
      <c r="B83" s="5" t="s">
        <v>254</v>
      </c>
      <c r="C83" s="5" t="s">
        <v>266</v>
      </c>
      <c r="D83" s="5" t="s">
        <v>97</v>
      </c>
      <c r="E83" s="3" t="s">
        <v>120</v>
      </c>
      <c r="F83" s="2">
        <v>280000000</v>
      </c>
      <c r="G83" s="2">
        <v>280000000</v>
      </c>
    </row>
    <row r="84" spans="1:7" s="14" customFormat="1" ht="87" x14ac:dyDescent="0.35">
      <c r="A84" s="12" t="s">
        <v>17</v>
      </c>
      <c r="B84" s="12" t="s">
        <v>254</v>
      </c>
      <c r="C84" s="12" t="s">
        <v>267</v>
      </c>
      <c r="D84" s="12" t="s">
        <v>97</v>
      </c>
      <c r="E84" s="28" t="s">
        <v>110</v>
      </c>
      <c r="F84" s="11">
        <v>70057000</v>
      </c>
      <c r="G84" s="11">
        <v>70056994</v>
      </c>
    </row>
    <row r="85" spans="1:7" s="14" customFormat="1" ht="87" x14ac:dyDescent="0.35">
      <c r="A85" s="12" t="s">
        <v>17</v>
      </c>
      <c r="B85" s="12" t="s">
        <v>254</v>
      </c>
      <c r="C85" s="12" t="s">
        <v>267</v>
      </c>
      <c r="D85" s="12" t="s">
        <v>97</v>
      </c>
      <c r="E85" s="28" t="s">
        <v>110</v>
      </c>
      <c r="F85" s="11">
        <v>87571000</v>
      </c>
      <c r="G85" s="11">
        <v>87570994</v>
      </c>
    </row>
    <row r="86" spans="1:7" s="14" customFormat="1" ht="87" x14ac:dyDescent="0.35">
      <c r="A86" s="12" t="s">
        <v>17</v>
      </c>
      <c r="B86" s="12" t="s">
        <v>254</v>
      </c>
      <c r="C86" s="12" t="s">
        <v>267</v>
      </c>
      <c r="D86" s="12" t="s">
        <v>97</v>
      </c>
      <c r="E86" s="29" t="s">
        <v>122</v>
      </c>
      <c r="F86" s="11">
        <v>74436000</v>
      </c>
      <c r="G86" s="11">
        <v>74435998</v>
      </c>
    </row>
    <row r="87" spans="1:7" s="14" customFormat="1" ht="87" x14ac:dyDescent="0.35">
      <c r="A87" s="12" t="s">
        <v>17</v>
      </c>
      <c r="B87" s="12" t="s">
        <v>254</v>
      </c>
      <c r="C87" s="12" t="s">
        <v>267</v>
      </c>
      <c r="D87" s="12" t="s">
        <v>97</v>
      </c>
      <c r="E87" s="28" t="s">
        <v>121</v>
      </c>
      <c r="F87" s="11">
        <v>87571000</v>
      </c>
      <c r="G87" s="11">
        <v>87570994</v>
      </c>
    </row>
    <row r="88" spans="1:7" s="14" customFormat="1" ht="87" x14ac:dyDescent="0.35">
      <c r="A88" s="12" t="s">
        <v>17</v>
      </c>
      <c r="B88" s="12" t="s">
        <v>254</v>
      </c>
      <c r="C88" s="12" t="s">
        <v>267</v>
      </c>
      <c r="D88" s="12" t="s">
        <v>97</v>
      </c>
      <c r="E88" s="28" t="s">
        <v>121</v>
      </c>
      <c r="F88" s="11">
        <v>87571000</v>
      </c>
      <c r="G88" s="11">
        <v>87570994</v>
      </c>
    </row>
    <row r="89" spans="1:7" s="14" customFormat="1" ht="87" x14ac:dyDescent="0.35">
      <c r="A89" s="12" t="s">
        <v>17</v>
      </c>
      <c r="B89" s="12" t="s">
        <v>254</v>
      </c>
      <c r="C89" s="12" t="s">
        <v>267</v>
      </c>
      <c r="D89" s="12" t="s">
        <v>97</v>
      </c>
      <c r="E89" s="28" t="s">
        <v>121</v>
      </c>
      <c r="F89" s="11">
        <v>87571000</v>
      </c>
      <c r="G89" s="11">
        <v>87570994</v>
      </c>
    </row>
    <row r="90" spans="1:7" s="14" customFormat="1" ht="87" x14ac:dyDescent="0.35">
      <c r="A90" s="12" t="s">
        <v>17</v>
      </c>
      <c r="B90" s="12" t="s">
        <v>254</v>
      </c>
      <c r="C90" s="12" t="s">
        <v>267</v>
      </c>
      <c r="D90" s="12" t="s">
        <v>97</v>
      </c>
      <c r="E90" s="28" t="s">
        <v>123</v>
      </c>
      <c r="F90" s="11">
        <v>61300000</v>
      </c>
      <c r="G90" s="11">
        <v>61299994</v>
      </c>
    </row>
    <row r="91" spans="1:7" ht="87" x14ac:dyDescent="0.35">
      <c r="A91" s="5" t="s">
        <v>17</v>
      </c>
      <c r="B91" s="5" t="s">
        <v>254</v>
      </c>
      <c r="C91" s="5" t="s">
        <v>267</v>
      </c>
      <c r="D91" s="5" t="s">
        <v>97</v>
      </c>
      <c r="E91" s="26" t="s">
        <v>110</v>
      </c>
      <c r="F91" s="2">
        <v>38271000</v>
      </c>
      <c r="G91" s="2">
        <v>38271000</v>
      </c>
    </row>
    <row r="92" spans="1:7" s="14" customFormat="1" ht="87" x14ac:dyDescent="0.35">
      <c r="A92" s="12" t="s">
        <v>17</v>
      </c>
      <c r="B92" s="12" t="s">
        <v>254</v>
      </c>
      <c r="C92" s="12" t="s">
        <v>267</v>
      </c>
      <c r="D92" s="12" t="s">
        <v>97</v>
      </c>
      <c r="E92" s="28" t="s">
        <v>126</v>
      </c>
      <c r="F92" s="11">
        <v>61300000</v>
      </c>
      <c r="G92" s="11">
        <v>61299994</v>
      </c>
    </row>
    <row r="93" spans="1:7" s="14" customFormat="1" ht="87" x14ac:dyDescent="0.35">
      <c r="A93" s="12" t="s">
        <v>17</v>
      </c>
      <c r="B93" s="12" t="s">
        <v>254</v>
      </c>
      <c r="C93" s="12" t="s">
        <v>267</v>
      </c>
      <c r="D93" s="12" t="s">
        <v>97</v>
      </c>
      <c r="E93" s="28" t="s">
        <v>128</v>
      </c>
      <c r="F93" s="11">
        <v>152117000</v>
      </c>
      <c r="G93" s="11">
        <f>152116992-9296039</f>
        <v>142820953</v>
      </c>
    </row>
    <row r="94" spans="1:7" ht="72.5" x14ac:dyDescent="0.35">
      <c r="A94" s="5" t="s">
        <v>17</v>
      </c>
      <c r="B94" s="5" t="s">
        <v>254</v>
      </c>
      <c r="C94" s="5" t="s">
        <v>259</v>
      </c>
      <c r="D94" s="5" t="s">
        <v>97</v>
      </c>
      <c r="E94" s="3" t="s">
        <v>129</v>
      </c>
      <c r="F94" s="2">
        <v>44231000</v>
      </c>
      <c r="G94" s="2">
        <v>44231000</v>
      </c>
    </row>
    <row r="95" spans="1:7" s="31" customFormat="1" ht="77.25" customHeight="1" x14ac:dyDescent="0.35">
      <c r="A95" s="42" t="s">
        <v>17</v>
      </c>
      <c r="B95" s="42" t="s">
        <v>254</v>
      </c>
      <c r="C95" s="42" t="s">
        <v>267</v>
      </c>
      <c r="D95" s="42" t="s">
        <v>97</v>
      </c>
      <c r="E95" s="43" t="s">
        <v>268</v>
      </c>
      <c r="F95" s="30">
        <v>70243000</v>
      </c>
      <c r="G95" s="30">
        <v>83019211</v>
      </c>
    </row>
    <row r="96" spans="1:7" ht="72.5" x14ac:dyDescent="0.35">
      <c r="A96" s="5" t="s">
        <v>17</v>
      </c>
      <c r="B96" s="5" t="s">
        <v>254</v>
      </c>
      <c r="C96" s="5" t="s">
        <v>257</v>
      </c>
      <c r="D96" s="5" t="s">
        <v>97</v>
      </c>
      <c r="E96" s="23" t="s">
        <v>269</v>
      </c>
      <c r="F96" s="2">
        <v>285400000</v>
      </c>
      <c r="G96" s="2">
        <v>285400000</v>
      </c>
    </row>
    <row r="97" spans="1:7" ht="72.5" x14ac:dyDescent="0.35">
      <c r="A97" s="5" t="s">
        <v>17</v>
      </c>
      <c r="B97" s="5" t="s">
        <v>254</v>
      </c>
      <c r="C97" s="5" t="s">
        <v>261</v>
      </c>
      <c r="D97" s="5" t="s">
        <v>97</v>
      </c>
      <c r="E97" s="23" t="s">
        <v>270</v>
      </c>
      <c r="F97" s="2">
        <v>70000000</v>
      </c>
      <c r="G97" s="2">
        <v>70000000</v>
      </c>
    </row>
    <row r="98" spans="1:7" ht="51.75" customHeight="1" x14ac:dyDescent="0.35">
      <c r="A98" s="5" t="s">
        <v>17</v>
      </c>
      <c r="B98" s="5" t="s">
        <v>254</v>
      </c>
      <c r="C98" s="5"/>
      <c r="D98" s="5" t="s">
        <v>97</v>
      </c>
      <c r="E98" s="23" t="s">
        <v>271</v>
      </c>
      <c r="F98" s="2">
        <v>1000000</v>
      </c>
      <c r="G98" s="2">
        <v>1000000</v>
      </c>
    </row>
  </sheetData>
  <autoFilter ref="A1:G98" xr:uid="{5CEE896A-E22A-428A-B33A-007ACB054C56}"/>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0CCF-A872-401C-A5EA-49C7012EF10B}">
  <dimension ref="A1:GJ88"/>
  <sheetViews>
    <sheetView workbookViewId="0">
      <selection activeCell="A3" sqref="A3"/>
    </sheetView>
  </sheetViews>
  <sheetFormatPr baseColWidth="10" defaultColWidth="12" defaultRowHeight="12.5" x14ac:dyDescent="0.25"/>
  <cols>
    <col min="1" max="1" width="34.36328125" style="49" customWidth="1"/>
    <col min="2" max="2" width="18" style="80" customWidth="1"/>
    <col min="3" max="3" width="26.7265625" style="49" customWidth="1"/>
    <col min="4" max="4" width="17.453125" style="49" customWidth="1"/>
    <col min="5" max="5" width="26.1796875" style="49" customWidth="1"/>
    <col min="6" max="6" width="47.453125" style="49" customWidth="1"/>
    <col min="7" max="7" width="20.7265625" style="49" customWidth="1"/>
    <col min="8" max="8" width="15.08984375" style="48" customWidth="1"/>
    <col min="9" max="9" width="18.08984375" style="48" customWidth="1"/>
    <col min="10" max="20" width="12" style="48"/>
    <col min="21" max="16384" width="12" style="49"/>
  </cols>
  <sheetData>
    <row r="1" spans="1:20" s="53" customFormat="1" ht="11.5" x14ac:dyDescent="0.25">
      <c r="A1" s="50" t="s">
        <v>272</v>
      </c>
      <c r="B1" s="50" t="s">
        <v>273</v>
      </c>
      <c r="C1" s="50" t="s">
        <v>274</v>
      </c>
      <c r="D1" s="50" t="s">
        <v>275</v>
      </c>
      <c r="E1" s="50" t="s">
        <v>276</v>
      </c>
      <c r="F1" s="50" t="s">
        <v>277</v>
      </c>
      <c r="G1" s="51" t="s">
        <v>278</v>
      </c>
      <c r="H1" s="52"/>
      <c r="I1" s="52"/>
      <c r="J1" s="52"/>
      <c r="K1" s="52"/>
      <c r="L1" s="52"/>
      <c r="M1" s="52"/>
      <c r="N1" s="52"/>
      <c r="O1" s="52"/>
      <c r="P1" s="52"/>
      <c r="Q1" s="52"/>
      <c r="R1" s="52"/>
      <c r="S1" s="52"/>
      <c r="T1" s="52"/>
    </row>
    <row r="2" spans="1:20" s="55" customFormat="1" ht="12" x14ac:dyDescent="0.3">
      <c r="A2" s="50"/>
      <c r="B2" s="50"/>
      <c r="C2" s="50"/>
      <c r="D2" s="50"/>
      <c r="E2" s="50"/>
      <c r="F2" s="50"/>
      <c r="G2" s="50"/>
      <c r="H2" s="54"/>
      <c r="I2" s="54"/>
      <c r="J2" s="54"/>
      <c r="K2" s="54"/>
      <c r="L2" s="54"/>
      <c r="M2" s="54"/>
      <c r="N2" s="54"/>
      <c r="O2" s="54"/>
      <c r="P2" s="54"/>
      <c r="Q2" s="54"/>
      <c r="R2" s="54"/>
      <c r="S2" s="54"/>
      <c r="T2" s="54"/>
    </row>
    <row r="3" spans="1:20" s="64" customFormat="1" ht="50" x14ac:dyDescent="0.2">
      <c r="A3" s="56" t="s">
        <v>279</v>
      </c>
      <c r="B3" s="57" t="s">
        <v>280</v>
      </c>
      <c r="C3" s="56" t="s">
        <v>281</v>
      </c>
      <c r="D3" s="58" t="s">
        <v>282</v>
      </c>
      <c r="E3" s="58" t="s">
        <v>283</v>
      </c>
      <c r="F3" s="59" t="s">
        <v>252</v>
      </c>
      <c r="G3" s="60">
        <f>(13272000*11.5)*1.06+320</f>
        <v>161786000</v>
      </c>
      <c r="H3" s="62"/>
      <c r="I3" s="63"/>
      <c r="J3" s="63"/>
      <c r="K3" s="63"/>
      <c r="L3" s="63"/>
      <c r="M3" s="63"/>
      <c r="N3" s="63"/>
      <c r="O3" s="63"/>
      <c r="P3" s="63"/>
      <c r="Q3" s="63"/>
      <c r="R3" s="63"/>
      <c r="S3" s="63"/>
      <c r="T3" s="63"/>
    </row>
    <row r="4" spans="1:20" s="64" customFormat="1" ht="50" x14ac:dyDescent="0.2">
      <c r="A4" s="56" t="s">
        <v>279</v>
      </c>
      <c r="B4" s="57" t="s">
        <v>280</v>
      </c>
      <c r="C4" s="56" t="s">
        <v>281</v>
      </c>
      <c r="D4" s="58" t="s">
        <v>284</v>
      </c>
      <c r="E4" s="58" t="s">
        <v>285</v>
      </c>
      <c r="F4" s="65" t="s">
        <v>286</v>
      </c>
      <c r="G4" s="60">
        <f>60000*4407*1.1</f>
        <v>290862000</v>
      </c>
      <c r="H4" s="62"/>
      <c r="I4" s="67"/>
      <c r="J4" s="63"/>
      <c r="K4" s="63"/>
      <c r="L4" s="63"/>
      <c r="M4" s="63"/>
      <c r="N4" s="63"/>
      <c r="O4" s="63"/>
      <c r="P4" s="63"/>
      <c r="Q4" s="63"/>
      <c r="R4" s="63"/>
      <c r="S4" s="63"/>
      <c r="T4" s="63"/>
    </row>
    <row r="5" spans="1:20" s="64" customFormat="1" ht="40" x14ac:dyDescent="0.2">
      <c r="A5" s="56" t="s">
        <v>279</v>
      </c>
      <c r="B5" s="57" t="s">
        <v>280</v>
      </c>
      <c r="C5" s="56" t="s">
        <v>281</v>
      </c>
      <c r="D5" s="58" t="s">
        <v>284</v>
      </c>
      <c r="E5" s="58" t="s">
        <v>285</v>
      </c>
      <c r="F5" s="65" t="s">
        <v>287</v>
      </c>
      <c r="G5" s="60">
        <f>38199*4407*1.1-292.3</f>
        <v>185177000</v>
      </c>
      <c r="H5" s="62"/>
      <c r="I5" s="67"/>
      <c r="J5" s="63"/>
      <c r="K5" s="63"/>
      <c r="L5" s="63"/>
      <c r="M5" s="63"/>
      <c r="N5" s="63"/>
      <c r="O5" s="63"/>
      <c r="P5" s="63"/>
      <c r="Q5" s="63"/>
      <c r="R5" s="63"/>
      <c r="S5" s="63"/>
      <c r="T5" s="63"/>
    </row>
    <row r="6" spans="1:20" s="64" customFormat="1" ht="40" x14ac:dyDescent="0.2">
      <c r="A6" s="56" t="s">
        <v>279</v>
      </c>
      <c r="B6" s="57" t="s">
        <v>280</v>
      </c>
      <c r="C6" s="56" t="s">
        <v>281</v>
      </c>
      <c r="D6" s="58" t="s">
        <v>284</v>
      </c>
      <c r="E6" s="58" t="s">
        <v>285</v>
      </c>
      <c r="F6" s="56" t="s">
        <v>245</v>
      </c>
      <c r="G6" s="60">
        <f>130900*4700*1.1</f>
        <v>676753000</v>
      </c>
      <c r="H6" s="62"/>
      <c r="I6" s="63"/>
      <c r="J6" s="63"/>
      <c r="K6" s="63"/>
      <c r="L6" s="63"/>
      <c r="M6" s="63"/>
      <c r="N6" s="63"/>
      <c r="O6" s="63"/>
      <c r="P6" s="63"/>
      <c r="Q6" s="63"/>
      <c r="R6" s="63"/>
      <c r="S6" s="63"/>
      <c r="T6" s="63"/>
    </row>
    <row r="7" spans="1:20" s="64" customFormat="1" ht="170" x14ac:dyDescent="0.2">
      <c r="A7" s="56" t="s">
        <v>279</v>
      </c>
      <c r="B7" s="57" t="s">
        <v>280</v>
      </c>
      <c r="C7" s="56" t="s">
        <v>288</v>
      </c>
      <c r="D7" s="58" t="s">
        <v>282</v>
      </c>
      <c r="E7" s="58" t="s">
        <v>289</v>
      </c>
      <c r="F7" s="56" t="s">
        <v>232</v>
      </c>
      <c r="G7" s="60">
        <f>945907*370+410</f>
        <v>349986000</v>
      </c>
      <c r="H7" s="62"/>
      <c r="I7" s="63"/>
      <c r="J7" s="63"/>
      <c r="K7" s="63"/>
      <c r="L7" s="63"/>
      <c r="M7" s="63"/>
      <c r="N7" s="63"/>
      <c r="O7" s="63"/>
      <c r="P7" s="63"/>
      <c r="Q7" s="63"/>
      <c r="R7" s="63"/>
      <c r="S7" s="63"/>
      <c r="T7" s="63"/>
    </row>
    <row r="8" spans="1:20" s="64" customFormat="1" ht="100" x14ac:dyDescent="0.2">
      <c r="A8" s="56" t="s">
        <v>279</v>
      </c>
      <c r="B8" s="57" t="s">
        <v>280</v>
      </c>
      <c r="C8" s="56" t="s">
        <v>288</v>
      </c>
      <c r="D8" s="58" t="s">
        <v>282</v>
      </c>
      <c r="E8" s="58" t="s">
        <v>290</v>
      </c>
      <c r="F8" s="56" t="s">
        <v>233</v>
      </c>
      <c r="G8" s="66" t="e">
        <f>+#REF!-170</f>
        <v>#REF!</v>
      </c>
      <c r="H8" s="62"/>
      <c r="I8" s="63"/>
      <c r="J8" s="63"/>
      <c r="K8" s="63"/>
      <c r="L8" s="63"/>
      <c r="M8" s="63"/>
      <c r="N8" s="63"/>
      <c r="O8" s="63"/>
      <c r="P8" s="63"/>
      <c r="Q8" s="63"/>
      <c r="R8" s="63"/>
      <c r="S8" s="63"/>
      <c r="T8" s="63"/>
    </row>
    <row r="9" spans="1:20" s="64" customFormat="1" ht="60" x14ac:dyDescent="0.2">
      <c r="A9" s="56" t="s">
        <v>279</v>
      </c>
      <c r="B9" s="57" t="s">
        <v>280</v>
      </c>
      <c r="C9" s="56" t="s">
        <v>288</v>
      </c>
      <c r="D9" s="58" t="s">
        <v>282</v>
      </c>
      <c r="E9" s="58" t="s">
        <v>289</v>
      </c>
      <c r="F9" s="65" t="s">
        <v>234</v>
      </c>
      <c r="G9" s="60">
        <v>90000000</v>
      </c>
      <c r="H9" s="62"/>
      <c r="I9" s="63"/>
      <c r="J9" s="67"/>
      <c r="K9" s="63"/>
      <c r="L9" s="63"/>
      <c r="M9" s="63"/>
      <c r="N9" s="63"/>
      <c r="O9" s="63"/>
      <c r="P9" s="63"/>
      <c r="Q9" s="63"/>
      <c r="R9" s="63"/>
      <c r="S9" s="63"/>
      <c r="T9" s="63"/>
    </row>
    <row r="10" spans="1:20" s="64" customFormat="1" ht="60" x14ac:dyDescent="0.2">
      <c r="A10" s="56" t="s">
        <v>279</v>
      </c>
      <c r="B10" s="57" t="s">
        <v>280</v>
      </c>
      <c r="C10" s="56" t="s">
        <v>288</v>
      </c>
      <c r="D10" s="58" t="s">
        <v>282</v>
      </c>
      <c r="E10" s="58" t="s">
        <v>290</v>
      </c>
      <c r="F10" s="65" t="s">
        <v>71</v>
      </c>
      <c r="G10" s="66">
        <v>10000000</v>
      </c>
      <c r="H10" s="62"/>
      <c r="I10" s="63"/>
      <c r="J10" s="63"/>
      <c r="K10" s="63"/>
      <c r="L10" s="63"/>
      <c r="M10" s="63"/>
      <c r="N10" s="63"/>
      <c r="O10" s="63"/>
      <c r="P10" s="63"/>
      <c r="Q10" s="63"/>
      <c r="R10" s="63"/>
      <c r="S10" s="63"/>
      <c r="T10" s="63"/>
    </row>
    <row r="11" spans="1:20" s="64" customFormat="1" ht="110" x14ac:dyDescent="0.2">
      <c r="A11" s="56" t="s">
        <v>279</v>
      </c>
      <c r="B11" s="57" t="s">
        <v>280</v>
      </c>
      <c r="C11" s="56" t="s">
        <v>288</v>
      </c>
      <c r="D11" s="58" t="s">
        <v>282</v>
      </c>
      <c r="E11" s="58" t="s">
        <v>290</v>
      </c>
      <c r="F11" s="65" t="s">
        <v>291</v>
      </c>
      <c r="G11" s="66">
        <f>+(19360000*1.06)*11.5-400</f>
        <v>235998000</v>
      </c>
      <c r="H11" s="68"/>
      <c r="I11" s="68"/>
      <c r="J11" s="63"/>
      <c r="K11" s="63"/>
      <c r="L11" s="63"/>
      <c r="M11" s="63"/>
      <c r="N11" s="63"/>
      <c r="O11" s="63"/>
      <c r="P11" s="63"/>
      <c r="Q11" s="63"/>
      <c r="R11" s="63"/>
      <c r="S11" s="63"/>
      <c r="T11" s="63"/>
    </row>
    <row r="12" spans="1:20" s="64" customFormat="1" ht="60" x14ac:dyDescent="0.2">
      <c r="A12" s="56" t="s">
        <v>279</v>
      </c>
      <c r="B12" s="57" t="s">
        <v>280</v>
      </c>
      <c r="C12" s="56" t="s">
        <v>288</v>
      </c>
      <c r="D12" s="58" t="s">
        <v>292</v>
      </c>
      <c r="E12" s="58" t="s">
        <v>293</v>
      </c>
      <c r="F12" s="65" t="s">
        <v>294</v>
      </c>
      <c r="G12" s="69">
        <f>+(3345454.54545455*1.06)*11</f>
        <v>39008000.00000006</v>
      </c>
      <c r="H12" s="68"/>
      <c r="I12" s="63"/>
      <c r="J12" s="63"/>
      <c r="K12" s="63"/>
      <c r="L12" s="63"/>
      <c r="M12" s="63"/>
      <c r="N12" s="63"/>
      <c r="O12" s="63"/>
      <c r="P12" s="63"/>
      <c r="Q12" s="63"/>
      <c r="R12" s="63"/>
      <c r="S12" s="63"/>
      <c r="T12" s="63"/>
    </row>
    <row r="13" spans="1:20" s="64" customFormat="1" ht="70" x14ac:dyDescent="0.2">
      <c r="A13" s="56" t="s">
        <v>279</v>
      </c>
      <c r="B13" s="57" t="s">
        <v>280</v>
      </c>
      <c r="C13" s="56" t="s">
        <v>288</v>
      </c>
      <c r="D13" s="58" t="s">
        <v>292</v>
      </c>
      <c r="E13" s="58" t="s">
        <v>293</v>
      </c>
      <c r="F13" s="56" t="s">
        <v>246</v>
      </c>
      <c r="G13" s="69">
        <f>+(15000000*11)</f>
        <v>165000000</v>
      </c>
      <c r="H13" s="68"/>
      <c r="I13" s="63"/>
      <c r="J13" s="63"/>
      <c r="K13" s="63"/>
      <c r="L13" s="63"/>
      <c r="M13" s="63"/>
      <c r="N13" s="63"/>
      <c r="O13" s="63"/>
      <c r="P13" s="63"/>
      <c r="Q13" s="63"/>
      <c r="R13" s="63"/>
      <c r="S13" s="63"/>
      <c r="T13" s="63"/>
    </row>
    <row r="14" spans="1:20" s="64" customFormat="1" ht="80" x14ac:dyDescent="0.2">
      <c r="A14" s="56" t="s">
        <v>279</v>
      </c>
      <c r="B14" s="57" t="s">
        <v>280</v>
      </c>
      <c r="C14" s="56" t="s">
        <v>288</v>
      </c>
      <c r="D14" s="58" t="s">
        <v>284</v>
      </c>
      <c r="E14" s="58" t="s">
        <v>297</v>
      </c>
      <c r="F14" s="56" t="s">
        <v>298</v>
      </c>
      <c r="G14" s="70">
        <f>(14644025*1.06)*6+1</f>
        <v>93136000</v>
      </c>
      <c r="H14" s="62"/>
      <c r="I14" s="63"/>
      <c r="J14" s="63"/>
      <c r="K14" s="63"/>
      <c r="L14" s="63"/>
      <c r="M14" s="63"/>
      <c r="N14" s="63"/>
      <c r="O14" s="63"/>
      <c r="P14" s="63"/>
      <c r="Q14" s="63"/>
      <c r="R14" s="63"/>
      <c r="S14" s="63"/>
      <c r="T14" s="63"/>
    </row>
    <row r="15" spans="1:20" s="64" customFormat="1" ht="90" x14ac:dyDescent="0.2">
      <c r="A15" s="56" t="s">
        <v>279</v>
      </c>
      <c r="B15" s="57" t="s">
        <v>280</v>
      </c>
      <c r="C15" s="56" t="s">
        <v>288</v>
      </c>
      <c r="D15" s="58" t="s">
        <v>282</v>
      </c>
      <c r="E15" s="58" t="s">
        <v>299</v>
      </c>
      <c r="F15" s="56" t="s">
        <v>300</v>
      </c>
      <c r="G15" s="70">
        <f>+(6000000*11)</f>
        <v>66000000</v>
      </c>
      <c r="H15" s="67"/>
      <c r="I15" s="63"/>
      <c r="J15" s="63"/>
      <c r="K15" s="63"/>
      <c r="L15" s="63"/>
      <c r="M15" s="63"/>
      <c r="N15" s="63"/>
      <c r="O15" s="63"/>
      <c r="P15" s="63"/>
      <c r="Q15" s="63"/>
      <c r="R15" s="63"/>
      <c r="S15" s="63"/>
      <c r="T15" s="63"/>
    </row>
    <row r="16" spans="1:20" s="64" customFormat="1" ht="90" x14ac:dyDescent="0.2">
      <c r="A16" s="56" t="s">
        <v>279</v>
      </c>
      <c r="B16" s="57" t="s">
        <v>280</v>
      </c>
      <c r="C16" s="56" t="s">
        <v>288</v>
      </c>
      <c r="D16" s="58" t="s">
        <v>295</v>
      </c>
      <c r="E16" s="58" t="s">
        <v>296</v>
      </c>
      <c r="F16" s="56" t="s">
        <v>225</v>
      </c>
      <c r="G16" s="71">
        <f>+(12650000*11.5)*1.06+500</f>
        <v>154204000</v>
      </c>
      <c r="H16" s="67"/>
      <c r="I16" s="63"/>
      <c r="J16" s="63"/>
      <c r="K16" s="63"/>
      <c r="L16" s="63"/>
      <c r="M16" s="63"/>
      <c r="N16" s="63"/>
      <c r="O16" s="63"/>
      <c r="P16" s="63"/>
      <c r="Q16" s="63"/>
      <c r="R16" s="63"/>
      <c r="S16" s="63"/>
      <c r="T16" s="63"/>
    </row>
    <row r="17" spans="1:20" s="64" customFormat="1" ht="60" x14ac:dyDescent="0.2">
      <c r="A17" s="56" t="s">
        <v>279</v>
      </c>
      <c r="B17" s="57" t="s">
        <v>280</v>
      </c>
      <c r="C17" s="56" t="s">
        <v>288</v>
      </c>
      <c r="D17" s="58" t="s">
        <v>295</v>
      </c>
      <c r="E17" s="58" t="s">
        <v>296</v>
      </c>
      <c r="F17" s="56" t="s">
        <v>226</v>
      </c>
      <c r="G17" s="70">
        <f>+(3200000*11.5)*1.06</f>
        <v>39008000</v>
      </c>
      <c r="H17" s="62"/>
      <c r="I17" s="63"/>
      <c r="J17" s="63"/>
      <c r="K17" s="63"/>
      <c r="L17" s="63"/>
      <c r="M17" s="63"/>
      <c r="N17" s="63"/>
      <c r="O17" s="63"/>
      <c r="P17" s="63"/>
      <c r="Q17" s="63"/>
      <c r="R17" s="63"/>
      <c r="S17" s="63"/>
      <c r="T17" s="63"/>
    </row>
    <row r="18" spans="1:20" s="64" customFormat="1" ht="70" x14ac:dyDescent="0.2">
      <c r="A18" s="56" t="s">
        <v>279</v>
      </c>
      <c r="B18" s="57" t="s">
        <v>280</v>
      </c>
      <c r="C18" s="56" t="s">
        <v>288</v>
      </c>
      <c r="D18" s="58" t="s">
        <v>284</v>
      </c>
      <c r="E18" s="58" t="s">
        <v>296</v>
      </c>
      <c r="F18" s="56" t="s">
        <v>227</v>
      </c>
      <c r="G18" s="71" t="e">
        <f>+#REF!*1.06</f>
        <v>#REF!</v>
      </c>
      <c r="H18" s="62"/>
      <c r="I18" s="63"/>
      <c r="J18" s="63"/>
      <c r="K18" s="63"/>
      <c r="L18" s="63"/>
      <c r="M18" s="63"/>
      <c r="N18" s="63"/>
      <c r="O18" s="63"/>
      <c r="P18" s="63"/>
      <c r="Q18" s="63"/>
      <c r="R18" s="63"/>
      <c r="S18" s="63"/>
      <c r="T18" s="63"/>
    </row>
    <row r="19" spans="1:20" s="64" customFormat="1" ht="100" x14ac:dyDescent="0.2">
      <c r="A19" s="56" t="s">
        <v>279</v>
      </c>
      <c r="B19" s="57" t="s">
        <v>280</v>
      </c>
      <c r="C19" s="56" t="s">
        <v>288</v>
      </c>
      <c r="D19" s="58" t="s">
        <v>282</v>
      </c>
      <c r="E19" s="58" t="s">
        <v>289</v>
      </c>
      <c r="F19" s="56" t="s">
        <v>301</v>
      </c>
      <c r="G19" s="70">
        <f>1290000000/2</f>
        <v>645000000</v>
      </c>
      <c r="H19" s="72"/>
      <c r="I19" s="63"/>
      <c r="J19" s="63"/>
      <c r="K19" s="63"/>
      <c r="L19" s="63"/>
      <c r="M19" s="63"/>
      <c r="N19" s="63"/>
      <c r="O19" s="63"/>
      <c r="P19" s="63"/>
      <c r="Q19" s="63"/>
      <c r="R19" s="63"/>
      <c r="S19" s="63"/>
      <c r="T19" s="63"/>
    </row>
    <row r="20" spans="1:20" s="64" customFormat="1" ht="70" x14ac:dyDescent="0.2">
      <c r="A20" s="56" t="s">
        <v>279</v>
      </c>
      <c r="B20" s="57" t="s">
        <v>280</v>
      </c>
      <c r="C20" s="56" t="s">
        <v>288</v>
      </c>
      <c r="D20" s="58" t="s">
        <v>284</v>
      </c>
      <c r="E20" s="58" t="s">
        <v>285</v>
      </c>
      <c r="F20" s="65" t="s">
        <v>243</v>
      </c>
      <c r="G20" s="70" t="e">
        <f>#REF!*(1+#REF!)+400</f>
        <v>#REF!</v>
      </c>
      <c r="H20" s="67"/>
      <c r="I20" s="63"/>
      <c r="J20" s="63"/>
      <c r="K20" s="63"/>
      <c r="L20" s="63"/>
      <c r="M20" s="63"/>
      <c r="N20" s="63"/>
      <c r="O20" s="63"/>
      <c r="P20" s="63"/>
      <c r="Q20" s="63"/>
      <c r="R20" s="63"/>
      <c r="S20" s="63"/>
      <c r="T20" s="63"/>
    </row>
    <row r="21" spans="1:20" s="64" customFormat="1" ht="80" x14ac:dyDescent="0.2">
      <c r="A21" s="56" t="s">
        <v>279</v>
      </c>
      <c r="B21" s="57" t="s">
        <v>280</v>
      </c>
      <c r="C21" s="56" t="s">
        <v>288</v>
      </c>
      <c r="D21" s="58" t="s">
        <v>302</v>
      </c>
      <c r="E21" s="58" t="s">
        <v>303</v>
      </c>
      <c r="F21" s="56" t="s">
        <v>239</v>
      </c>
      <c r="G21" s="70">
        <f>+(12836890*11.5)*1.06+310.9</f>
        <v>156482000</v>
      </c>
      <c r="H21" s="72"/>
      <c r="I21" s="63"/>
      <c r="J21" s="63"/>
      <c r="K21" s="63"/>
      <c r="L21" s="63"/>
      <c r="M21" s="63"/>
      <c r="N21" s="63"/>
      <c r="O21" s="63"/>
      <c r="P21" s="63"/>
      <c r="Q21" s="63"/>
      <c r="R21" s="63"/>
      <c r="S21" s="63"/>
      <c r="T21" s="63"/>
    </row>
    <row r="22" spans="1:20" s="64" customFormat="1" ht="90" x14ac:dyDescent="0.2">
      <c r="A22" s="56" t="s">
        <v>279</v>
      </c>
      <c r="B22" s="57" t="s">
        <v>280</v>
      </c>
      <c r="C22" s="56" t="s">
        <v>288</v>
      </c>
      <c r="D22" s="58" t="s">
        <v>302</v>
      </c>
      <c r="E22" s="58" t="s">
        <v>304</v>
      </c>
      <c r="F22" s="65" t="s">
        <v>240</v>
      </c>
      <c r="G22" s="70">
        <f>+(10890000*11.5)*1.06-100</f>
        <v>132749000</v>
      </c>
      <c r="H22" s="72"/>
      <c r="I22" s="63"/>
      <c r="J22" s="63"/>
      <c r="K22" s="63"/>
      <c r="L22" s="63"/>
      <c r="M22" s="63"/>
      <c r="N22" s="63"/>
      <c r="O22" s="63"/>
      <c r="P22" s="63"/>
      <c r="Q22" s="63"/>
      <c r="R22" s="63"/>
      <c r="S22" s="63"/>
      <c r="T22" s="63"/>
    </row>
    <row r="23" spans="1:20" s="64" customFormat="1" ht="80" x14ac:dyDescent="0.2">
      <c r="A23" s="56" t="s">
        <v>279</v>
      </c>
      <c r="B23" s="57" t="s">
        <v>280</v>
      </c>
      <c r="C23" s="56" t="s">
        <v>288</v>
      </c>
      <c r="D23" s="58" t="s">
        <v>302</v>
      </c>
      <c r="E23" s="58" t="s">
        <v>305</v>
      </c>
      <c r="F23" s="56" t="s">
        <v>241</v>
      </c>
      <c r="G23" s="70">
        <f>+(12837000*11.5)*1.06-30</f>
        <v>156483000</v>
      </c>
      <c r="H23" s="72"/>
      <c r="I23" s="63"/>
      <c r="J23" s="63"/>
      <c r="K23" s="63"/>
      <c r="L23" s="63"/>
      <c r="M23" s="63"/>
      <c r="N23" s="63"/>
      <c r="O23" s="63"/>
      <c r="P23" s="63"/>
      <c r="Q23" s="63"/>
      <c r="R23" s="63"/>
      <c r="S23" s="63"/>
      <c r="T23" s="63"/>
    </row>
    <row r="24" spans="1:20" s="64" customFormat="1" ht="60" x14ac:dyDescent="0.2">
      <c r="A24" s="56" t="s">
        <v>279</v>
      </c>
      <c r="B24" s="57" t="s">
        <v>280</v>
      </c>
      <c r="C24" s="56" t="s">
        <v>288</v>
      </c>
      <c r="D24" s="58" t="s">
        <v>282</v>
      </c>
      <c r="E24" s="58" t="s">
        <v>289</v>
      </c>
      <c r="F24" s="56" t="s">
        <v>218</v>
      </c>
      <c r="G24" s="70">
        <v>384250000</v>
      </c>
      <c r="H24" s="72"/>
      <c r="I24" s="63"/>
      <c r="J24" s="63"/>
      <c r="K24" s="63"/>
      <c r="L24" s="63"/>
      <c r="M24" s="63"/>
      <c r="N24" s="63"/>
      <c r="O24" s="63"/>
      <c r="P24" s="63"/>
      <c r="Q24" s="63"/>
      <c r="R24" s="63"/>
      <c r="S24" s="63"/>
      <c r="T24" s="63"/>
    </row>
    <row r="25" spans="1:20" s="64" customFormat="1" ht="60" x14ac:dyDescent="0.2">
      <c r="A25" s="56" t="s">
        <v>279</v>
      </c>
      <c r="B25" s="57" t="s">
        <v>280</v>
      </c>
      <c r="C25" s="56" t="s">
        <v>288</v>
      </c>
      <c r="D25" s="58" t="s">
        <v>282</v>
      </c>
      <c r="E25" s="58" t="s">
        <v>289</v>
      </c>
      <c r="F25" s="73" t="s">
        <v>45</v>
      </c>
      <c r="G25" s="70" t="e">
        <f>+#REF!*(1+#REF!)</f>
        <v>#REF!</v>
      </c>
      <c r="H25" s="72"/>
      <c r="I25" s="63"/>
      <c r="J25" s="63"/>
      <c r="K25" s="63"/>
      <c r="L25" s="63"/>
      <c r="M25" s="63"/>
      <c r="N25" s="63"/>
      <c r="O25" s="63"/>
      <c r="P25" s="63"/>
      <c r="Q25" s="63"/>
      <c r="R25" s="63"/>
      <c r="S25" s="63"/>
      <c r="T25" s="63"/>
    </row>
    <row r="26" spans="1:20" s="64" customFormat="1" ht="60" x14ac:dyDescent="0.2">
      <c r="A26" s="56" t="s">
        <v>279</v>
      </c>
      <c r="B26" s="57" t="s">
        <v>280</v>
      </c>
      <c r="C26" s="56" t="s">
        <v>288</v>
      </c>
      <c r="D26" s="58" t="s">
        <v>282</v>
      </c>
      <c r="E26" s="58" t="s">
        <v>289</v>
      </c>
      <c r="F26" s="73" t="s">
        <v>46</v>
      </c>
      <c r="G26" s="70">
        <f>+(743000*1.06)*300</f>
        <v>236274000</v>
      </c>
      <c r="H26" s="72"/>
      <c r="I26" s="63"/>
      <c r="J26" s="63"/>
      <c r="K26" s="63"/>
      <c r="L26" s="63"/>
      <c r="M26" s="63"/>
      <c r="N26" s="63"/>
      <c r="O26" s="63"/>
      <c r="P26" s="63"/>
      <c r="Q26" s="63"/>
      <c r="R26" s="63"/>
      <c r="S26" s="63"/>
      <c r="T26" s="63"/>
    </row>
    <row r="27" spans="1:20" s="64" customFormat="1" ht="100" x14ac:dyDescent="0.2">
      <c r="A27" s="56" t="s">
        <v>279</v>
      </c>
      <c r="B27" s="57" t="s">
        <v>280</v>
      </c>
      <c r="C27" s="56" t="s">
        <v>288</v>
      </c>
      <c r="D27" s="58" t="s">
        <v>282</v>
      </c>
      <c r="E27" s="58" t="s">
        <v>289</v>
      </c>
      <c r="F27" s="56" t="s">
        <v>301</v>
      </c>
      <c r="G27" s="70">
        <f>1290000000/2</f>
        <v>645000000</v>
      </c>
      <c r="H27" s="72"/>
      <c r="I27" s="63"/>
      <c r="J27" s="63"/>
      <c r="K27" s="63"/>
      <c r="L27" s="63"/>
      <c r="M27" s="63"/>
      <c r="N27" s="63"/>
      <c r="O27" s="63"/>
      <c r="P27" s="63"/>
      <c r="Q27" s="63"/>
      <c r="R27" s="63"/>
      <c r="S27" s="63"/>
      <c r="T27" s="63"/>
    </row>
    <row r="28" spans="1:20" s="64" customFormat="1" ht="60" x14ac:dyDescent="0.2">
      <c r="A28" s="56" t="s">
        <v>279</v>
      </c>
      <c r="B28" s="57" t="s">
        <v>280</v>
      </c>
      <c r="C28" s="56" t="s">
        <v>288</v>
      </c>
      <c r="D28" s="58" t="s">
        <v>282</v>
      </c>
      <c r="E28" s="58" t="s">
        <v>289</v>
      </c>
      <c r="F28" s="56" t="s">
        <v>242</v>
      </c>
      <c r="G28" s="71">
        <f>628000*300</f>
        <v>188400000</v>
      </c>
      <c r="H28" s="72"/>
      <c r="I28" s="63"/>
      <c r="J28" s="63"/>
      <c r="K28" s="63"/>
      <c r="L28" s="63"/>
      <c r="M28" s="63"/>
      <c r="N28" s="63"/>
      <c r="O28" s="63"/>
      <c r="P28" s="63"/>
      <c r="Q28" s="63"/>
      <c r="R28" s="63"/>
      <c r="S28" s="63"/>
      <c r="T28" s="63"/>
    </row>
    <row r="29" spans="1:20" s="64" customFormat="1" ht="100" x14ac:dyDescent="0.2">
      <c r="A29" s="56" t="s">
        <v>279</v>
      </c>
      <c r="B29" s="57" t="s">
        <v>280</v>
      </c>
      <c r="C29" s="56" t="s">
        <v>288</v>
      </c>
      <c r="D29" s="58" t="s">
        <v>295</v>
      </c>
      <c r="E29" s="58" t="s">
        <v>306</v>
      </c>
      <c r="F29" s="56" t="s">
        <v>58</v>
      </c>
      <c r="G29" s="71">
        <f>15000000*10.5</f>
        <v>157500000</v>
      </c>
      <c r="H29" s="72"/>
      <c r="I29" s="63"/>
      <c r="J29" s="63"/>
      <c r="K29" s="63"/>
      <c r="L29" s="63"/>
      <c r="M29" s="63"/>
      <c r="N29" s="63"/>
      <c r="O29" s="63"/>
      <c r="P29" s="63"/>
      <c r="Q29" s="63"/>
      <c r="R29" s="63"/>
      <c r="S29" s="63"/>
      <c r="T29" s="63"/>
    </row>
    <row r="30" spans="1:20" s="64" customFormat="1" ht="60" x14ac:dyDescent="0.2">
      <c r="A30" s="56" t="s">
        <v>307</v>
      </c>
      <c r="B30" s="57" t="s">
        <v>308</v>
      </c>
      <c r="C30" s="56" t="s">
        <v>309</v>
      </c>
      <c r="D30" s="58" t="s">
        <v>292</v>
      </c>
      <c r="E30" s="58" t="s">
        <v>293</v>
      </c>
      <c r="F30" s="65" t="s">
        <v>215</v>
      </c>
      <c r="G30" s="66">
        <f>12000000*1.06</f>
        <v>12720000</v>
      </c>
      <c r="H30" s="72"/>
      <c r="I30" s="63"/>
      <c r="J30" s="63"/>
      <c r="K30" s="63"/>
      <c r="L30" s="63"/>
      <c r="M30" s="63"/>
      <c r="N30" s="63"/>
      <c r="O30" s="63"/>
      <c r="P30" s="63"/>
      <c r="Q30" s="63"/>
      <c r="R30" s="63"/>
      <c r="S30" s="63"/>
      <c r="T30" s="63"/>
    </row>
    <row r="31" spans="1:20" s="64" customFormat="1" ht="50" x14ac:dyDescent="0.2">
      <c r="A31" s="56" t="s">
        <v>307</v>
      </c>
      <c r="B31" s="57" t="s">
        <v>308</v>
      </c>
      <c r="C31" s="56" t="s">
        <v>309</v>
      </c>
      <c r="D31" s="58" t="s">
        <v>295</v>
      </c>
      <c r="E31" s="58" t="s">
        <v>306</v>
      </c>
      <c r="F31" s="56" t="s">
        <v>204</v>
      </c>
      <c r="G31" s="66">
        <v>1000000000</v>
      </c>
      <c r="H31" s="72"/>
      <c r="I31" s="63"/>
      <c r="J31" s="63"/>
      <c r="K31" s="63"/>
      <c r="L31" s="63"/>
      <c r="M31" s="63"/>
      <c r="N31" s="63"/>
      <c r="O31" s="63"/>
      <c r="P31" s="63"/>
      <c r="Q31" s="63"/>
      <c r="R31" s="63"/>
      <c r="S31" s="63"/>
      <c r="T31" s="63"/>
    </row>
    <row r="32" spans="1:20" s="64" customFormat="1" ht="60" x14ac:dyDescent="0.2">
      <c r="A32" s="56" t="s">
        <v>307</v>
      </c>
      <c r="B32" s="57" t="s">
        <v>308</v>
      </c>
      <c r="C32" s="56" t="s">
        <v>309</v>
      </c>
      <c r="D32" s="58" t="s">
        <v>295</v>
      </c>
      <c r="E32" s="58" t="s">
        <v>296</v>
      </c>
      <c r="F32" s="74" t="s">
        <v>205</v>
      </c>
      <c r="G32" s="66">
        <f>+(4000000*11.5)*1.06</f>
        <v>48760000</v>
      </c>
      <c r="H32" s="72"/>
      <c r="I32" s="63"/>
      <c r="J32" s="63"/>
      <c r="K32" s="63"/>
      <c r="L32" s="63"/>
      <c r="M32" s="63"/>
      <c r="N32" s="63"/>
      <c r="O32" s="63"/>
      <c r="P32" s="63"/>
      <c r="Q32" s="63"/>
      <c r="R32" s="63"/>
      <c r="S32" s="63"/>
      <c r="T32" s="63"/>
    </row>
    <row r="33" spans="1:20" s="64" customFormat="1" ht="60" x14ac:dyDescent="0.2">
      <c r="A33" s="56" t="s">
        <v>307</v>
      </c>
      <c r="B33" s="57" t="s">
        <v>308</v>
      </c>
      <c r="C33" s="56" t="s">
        <v>309</v>
      </c>
      <c r="D33" s="58" t="s">
        <v>295</v>
      </c>
      <c r="E33" s="58" t="s">
        <v>296</v>
      </c>
      <c r="F33" s="56" t="s">
        <v>205</v>
      </c>
      <c r="G33" s="66">
        <f>+(4000000*11.5)*1.06</f>
        <v>48760000</v>
      </c>
      <c r="H33" s="72"/>
      <c r="I33" s="63"/>
      <c r="J33" s="63"/>
      <c r="K33" s="63"/>
      <c r="L33" s="63"/>
      <c r="M33" s="63"/>
      <c r="N33" s="63"/>
      <c r="O33" s="63"/>
      <c r="P33" s="63"/>
      <c r="Q33" s="63"/>
      <c r="R33" s="63"/>
      <c r="S33" s="63"/>
      <c r="T33" s="63"/>
    </row>
    <row r="34" spans="1:20" s="64" customFormat="1" ht="60" x14ac:dyDescent="0.2">
      <c r="A34" s="56" t="s">
        <v>307</v>
      </c>
      <c r="B34" s="57" t="s">
        <v>308</v>
      </c>
      <c r="C34" s="56" t="s">
        <v>309</v>
      </c>
      <c r="D34" s="58" t="s">
        <v>295</v>
      </c>
      <c r="E34" s="58" t="s">
        <v>296</v>
      </c>
      <c r="F34" s="56" t="s">
        <v>205</v>
      </c>
      <c r="G34" s="66">
        <f>+(4000000*11.5)*1.06</f>
        <v>48760000</v>
      </c>
      <c r="H34" s="72"/>
      <c r="I34" s="63"/>
      <c r="J34" s="63"/>
      <c r="K34" s="63"/>
      <c r="L34" s="63"/>
      <c r="M34" s="63"/>
      <c r="N34" s="63"/>
      <c r="O34" s="63"/>
      <c r="P34" s="63"/>
      <c r="Q34" s="63"/>
      <c r="R34" s="63"/>
      <c r="S34" s="63"/>
      <c r="T34" s="63"/>
    </row>
    <row r="35" spans="1:20" s="64" customFormat="1" ht="60" x14ac:dyDescent="0.2">
      <c r="A35" s="56" t="s">
        <v>307</v>
      </c>
      <c r="B35" s="57" t="s">
        <v>308</v>
      </c>
      <c r="C35" s="56" t="s">
        <v>309</v>
      </c>
      <c r="D35" s="58" t="s">
        <v>295</v>
      </c>
      <c r="E35" s="58" t="s">
        <v>296</v>
      </c>
      <c r="F35" s="56" t="s">
        <v>205</v>
      </c>
      <c r="G35" s="66">
        <f>+(3432990*11.5)*1.06-148.1</f>
        <v>41848000</v>
      </c>
      <c r="H35" s="72"/>
      <c r="I35" s="63"/>
      <c r="J35" s="63"/>
      <c r="K35" s="63"/>
      <c r="L35" s="63"/>
      <c r="M35" s="63"/>
      <c r="N35" s="63"/>
      <c r="O35" s="63"/>
      <c r="P35" s="63"/>
      <c r="Q35" s="63"/>
      <c r="R35" s="63"/>
      <c r="S35" s="63"/>
      <c r="T35" s="63"/>
    </row>
    <row r="36" spans="1:20" s="64" customFormat="1" ht="60" x14ac:dyDescent="0.2">
      <c r="A36" s="56" t="s">
        <v>307</v>
      </c>
      <c r="B36" s="57" t="s">
        <v>308</v>
      </c>
      <c r="C36" s="56" t="s">
        <v>309</v>
      </c>
      <c r="D36" s="58" t="s">
        <v>295</v>
      </c>
      <c r="E36" s="58" t="s">
        <v>296</v>
      </c>
      <c r="F36" s="56" t="s">
        <v>205</v>
      </c>
      <c r="G36" s="66">
        <f>+(3432990*11.5)*1.06-148.1</f>
        <v>41848000</v>
      </c>
      <c r="H36" s="72"/>
      <c r="I36" s="63"/>
      <c r="J36" s="63"/>
      <c r="K36" s="63"/>
      <c r="L36" s="63"/>
      <c r="M36" s="63"/>
      <c r="N36" s="63"/>
      <c r="O36" s="63"/>
      <c r="P36" s="63"/>
      <c r="Q36" s="63"/>
      <c r="R36" s="63"/>
      <c r="S36" s="63"/>
      <c r="T36" s="63"/>
    </row>
    <row r="37" spans="1:20" s="64" customFormat="1" ht="50" x14ac:dyDescent="0.2">
      <c r="A37" s="56" t="s">
        <v>307</v>
      </c>
      <c r="B37" s="57" t="s">
        <v>308</v>
      </c>
      <c r="C37" s="56" t="s">
        <v>309</v>
      </c>
      <c r="D37" s="58" t="s">
        <v>295</v>
      </c>
      <c r="E37" s="58" t="s">
        <v>306</v>
      </c>
      <c r="F37" s="56" t="s">
        <v>211</v>
      </c>
      <c r="G37" s="66">
        <v>51000000</v>
      </c>
      <c r="H37" s="72"/>
      <c r="I37" s="63"/>
      <c r="J37" s="67"/>
      <c r="K37" s="63"/>
      <c r="L37" s="63"/>
      <c r="M37" s="63"/>
      <c r="N37" s="63"/>
      <c r="O37" s="63"/>
      <c r="P37" s="63"/>
      <c r="Q37" s="63"/>
      <c r="R37" s="63"/>
      <c r="S37" s="63"/>
      <c r="T37" s="63"/>
    </row>
    <row r="38" spans="1:20" s="64" customFormat="1" ht="50" x14ac:dyDescent="0.2">
      <c r="A38" s="56" t="s">
        <v>307</v>
      </c>
      <c r="B38" s="57" t="s">
        <v>308</v>
      </c>
      <c r="C38" s="56" t="s">
        <v>309</v>
      </c>
      <c r="D38" s="58" t="s">
        <v>295</v>
      </c>
      <c r="E38" s="58" t="s">
        <v>306</v>
      </c>
      <c r="F38" s="56" t="s">
        <v>31</v>
      </c>
      <c r="G38" s="66">
        <v>10000000</v>
      </c>
      <c r="H38" s="72"/>
      <c r="I38" s="63"/>
      <c r="J38" s="63"/>
      <c r="K38" s="63"/>
      <c r="L38" s="63"/>
      <c r="M38" s="63"/>
      <c r="N38" s="63"/>
      <c r="O38" s="63"/>
      <c r="P38" s="63"/>
      <c r="Q38" s="63"/>
      <c r="R38" s="63"/>
      <c r="S38" s="63"/>
      <c r="T38" s="63"/>
    </row>
    <row r="39" spans="1:20" s="64" customFormat="1" ht="50" x14ac:dyDescent="0.2">
      <c r="A39" s="56" t="s">
        <v>307</v>
      </c>
      <c r="B39" s="57" t="s">
        <v>308</v>
      </c>
      <c r="C39" s="56" t="s">
        <v>309</v>
      </c>
      <c r="D39" s="58" t="s">
        <v>295</v>
      </c>
      <c r="E39" s="58" t="s">
        <v>306</v>
      </c>
      <c r="F39" s="56" t="s">
        <v>212</v>
      </c>
      <c r="G39" s="66">
        <f>+(3520000*11)*1.06-200</f>
        <v>41043000</v>
      </c>
      <c r="H39" s="72"/>
      <c r="I39" s="63"/>
      <c r="J39" s="63"/>
      <c r="K39" s="63"/>
      <c r="L39" s="63"/>
      <c r="M39" s="63"/>
      <c r="N39" s="63"/>
      <c r="O39" s="63"/>
      <c r="P39" s="63"/>
      <c r="Q39" s="63"/>
      <c r="R39" s="63"/>
      <c r="S39" s="63"/>
      <c r="T39" s="63"/>
    </row>
    <row r="40" spans="1:20" s="64" customFormat="1" ht="50" x14ac:dyDescent="0.2">
      <c r="A40" s="56" t="s">
        <v>307</v>
      </c>
      <c r="B40" s="57" t="s">
        <v>308</v>
      </c>
      <c r="C40" s="56" t="s">
        <v>309</v>
      </c>
      <c r="D40" s="58" t="s">
        <v>295</v>
      </c>
      <c r="E40" s="58" t="s">
        <v>306</v>
      </c>
      <c r="F40" s="56" t="s">
        <v>209</v>
      </c>
      <c r="G40" s="60">
        <f>(80000000*12)*1.125</f>
        <v>1080000000</v>
      </c>
      <c r="H40" s="72"/>
      <c r="I40" s="63"/>
      <c r="J40" s="63"/>
      <c r="K40" s="63"/>
      <c r="L40" s="63"/>
      <c r="M40" s="63"/>
      <c r="N40" s="63"/>
      <c r="O40" s="63"/>
      <c r="P40" s="63"/>
      <c r="Q40" s="63"/>
      <c r="R40" s="63"/>
      <c r="S40" s="63"/>
      <c r="T40" s="63"/>
    </row>
    <row r="41" spans="1:20" s="64" customFormat="1" ht="50" x14ac:dyDescent="0.2">
      <c r="A41" s="56" t="s">
        <v>307</v>
      </c>
      <c r="B41" s="57" t="s">
        <v>308</v>
      </c>
      <c r="C41" s="56" t="s">
        <v>310</v>
      </c>
      <c r="D41" s="58" t="s">
        <v>295</v>
      </c>
      <c r="E41" s="58" t="s">
        <v>306</v>
      </c>
      <c r="F41" s="56" t="s">
        <v>207</v>
      </c>
      <c r="G41" s="66">
        <v>50000000</v>
      </c>
      <c r="H41" s="72"/>
      <c r="I41" s="63"/>
      <c r="J41" s="63"/>
      <c r="K41" s="63"/>
      <c r="L41" s="63"/>
      <c r="M41" s="63"/>
      <c r="N41" s="63"/>
      <c r="O41" s="63"/>
      <c r="P41" s="63"/>
      <c r="Q41" s="63"/>
      <c r="R41" s="63"/>
      <c r="S41" s="63"/>
      <c r="T41" s="63"/>
    </row>
    <row r="42" spans="1:20" s="64" customFormat="1" ht="50" x14ac:dyDescent="0.2">
      <c r="A42" s="56" t="s">
        <v>307</v>
      </c>
      <c r="B42" s="57" t="s">
        <v>308</v>
      </c>
      <c r="C42" s="56" t="s">
        <v>310</v>
      </c>
      <c r="D42" s="58" t="s">
        <v>295</v>
      </c>
      <c r="E42" s="58" t="s">
        <v>306</v>
      </c>
      <c r="F42" s="56" t="s">
        <v>311</v>
      </c>
      <c r="G42" s="66">
        <v>350000000</v>
      </c>
      <c r="H42" s="72"/>
      <c r="I42" s="63"/>
      <c r="J42" s="63"/>
      <c r="K42" s="63"/>
      <c r="L42" s="63"/>
      <c r="M42" s="63"/>
      <c r="N42" s="63"/>
      <c r="O42" s="63"/>
      <c r="P42" s="63"/>
      <c r="Q42" s="63"/>
      <c r="R42" s="63"/>
      <c r="S42" s="63"/>
      <c r="T42" s="63"/>
    </row>
    <row r="43" spans="1:20" s="64" customFormat="1" ht="50" x14ac:dyDescent="0.2">
      <c r="A43" s="56" t="s">
        <v>307</v>
      </c>
      <c r="B43" s="57" t="s">
        <v>308</v>
      </c>
      <c r="C43" s="56" t="s">
        <v>310</v>
      </c>
      <c r="D43" s="58" t="s">
        <v>295</v>
      </c>
      <c r="E43" s="58" t="s">
        <v>306</v>
      </c>
      <c r="F43" s="56" t="s">
        <v>207</v>
      </c>
      <c r="G43" s="66">
        <v>300000000</v>
      </c>
      <c r="H43" s="72"/>
      <c r="I43" s="63"/>
      <c r="J43" s="63"/>
      <c r="K43" s="63"/>
      <c r="L43" s="63"/>
      <c r="M43" s="63"/>
      <c r="N43" s="63"/>
      <c r="O43" s="63"/>
      <c r="P43" s="63"/>
      <c r="Q43" s="63"/>
      <c r="R43" s="63"/>
      <c r="S43" s="63"/>
      <c r="T43" s="63"/>
    </row>
    <row r="44" spans="1:20" s="64" customFormat="1" ht="70" x14ac:dyDescent="0.2">
      <c r="A44" s="56" t="s">
        <v>307</v>
      </c>
      <c r="B44" s="57" t="s">
        <v>308</v>
      </c>
      <c r="C44" s="56" t="s">
        <v>309</v>
      </c>
      <c r="D44" s="58" t="s">
        <v>295</v>
      </c>
      <c r="E44" s="58" t="s">
        <v>306</v>
      </c>
      <c r="F44" s="65" t="s">
        <v>141</v>
      </c>
      <c r="G44" s="66">
        <f>+(11572416*11.5)*1.06+248.96</f>
        <v>141068000.00000003</v>
      </c>
      <c r="H44" s="72"/>
      <c r="I44" s="75"/>
      <c r="J44" s="63"/>
      <c r="K44" s="63"/>
      <c r="L44" s="63"/>
      <c r="M44" s="63"/>
      <c r="N44" s="63"/>
      <c r="O44" s="63"/>
      <c r="P44" s="63"/>
      <c r="Q44" s="63"/>
      <c r="R44" s="63"/>
      <c r="S44" s="63"/>
      <c r="T44" s="63"/>
    </row>
    <row r="45" spans="1:20" s="64" customFormat="1" ht="70" x14ac:dyDescent="0.2">
      <c r="A45" s="56" t="s">
        <v>307</v>
      </c>
      <c r="B45" s="57" t="s">
        <v>308</v>
      </c>
      <c r="C45" s="56" t="s">
        <v>309</v>
      </c>
      <c r="D45" s="58" t="s">
        <v>295</v>
      </c>
      <c r="E45" s="58" t="s">
        <v>306</v>
      </c>
      <c r="F45" s="65" t="s">
        <v>24</v>
      </c>
      <c r="G45" s="66">
        <f>+(8985823*11.5)*1.06-182.37</f>
        <v>109537000</v>
      </c>
      <c r="H45" s="72"/>
      <c r="I45" s="63"/>
      <c r="J45" s="63"/>
      <c r="K45" s="63"/>
      <c r="L45" s="63"/>
      <c r="M45" s="63"/>
      <c r="N45" s="63"/>
      <c r="O45" s="63"/>
      <c r="P45" s="63"/>
      <c r="Q45" s="63"/>
      <c r="R45" s="63"/>
      <c r="S45" s="63"/>
      <c r="T45" s="63"/>
    </row>
    <row r="46" spans="1:20" s="64" customFormat="1" ht="50" x14ac:dyDescent="0.2">
      <c r="A46" s="56" t="s">
        <v>307</v>
      </c>
      <c r="B46" s="57" t="s">
        <v>308</v>
      </c>
      <c r="C46" s="56" t="s">
        <v>309</v>
      </c>
      <c r="D46" s="58" t="s">
        <v>295</v>
      </c>
      <c r="E46" s="58" t="s">
        <v>306</v>
      </c>
      <c r="F46" s="56" t="s">
        <v>208</v>
      </c>
      <c r="G46" s="66">
        <f>+(10577661*11.5)*1.06+312.41</f>
        <v>128942000</v>
      </c>
      <c r="H46" s="72"/>
      <c r="I46" s="63"/>
      <c r="J46" s="63"/>
      <c r="K46" s="63"/>
      <c r="L46" s="63"/>
      <c r="M46" s="63"/>
      <c r="N46" s="63"/>
      <c r="O46" s="63"/>
      <c r="P46" s="63"/>
      <c r="Q46" s="63"/>
      <c r="R46" s="63"/>
      <c r="S46" s="63"/>
      <c r="T46" s="63"/>
    </row>
    <row r="47" spans="1:20" s="64" customFormat="1" ht="50" x14ac:dyDescent="0.2">
      <c r="A47" s="56" t="s">
        <v>307</v>
      </c>
      <c r="B47" s="57" t="s">
        <v>308</v>
      </c>
      <c r="C47" s="56" t="s">
        <v>309</v>
      </c>
      <c r="D47" s="58" t="s">
        <v>295</v>
      </c>
      <c r="E47" s="58" t="s">
        <v>306</v>
      </c>
      <c r="F47" s="56" t="s">
        <v>26</v>
      </c>
      <c r="G47" s="66">
        <f>+(10219660*11.5)*1.06+344.6</f>
        <v>124578000</v>
      </c>
      <c r="H47" s="72"/>
      <c r="I47" s="63"/>
      <c r="J47" s="63"/>
      <c r="K47" s="63"/>
      <c r="L47" s="63"/>
      <c r="M47" s="63"/>
      <c r="N47" s="63"/>
      <c r="O47" s="63"/>
      <c r="P47" s="63"/>
      <c r="Q47" s="63"/>
      <c r="R47" s="63"/>
      <c r="S47" s="63"/>
      <c r="T47" s="63"/>
    </row>
    <row r="48" spans="1:20" s="64" customFormat="1" ht="10" x14ac:dyDescent="0.2">
      <c r="A48" s="56"/>
      <c r="B48" s="57"/>
      <c r="C48" s="56"/>
      <c r="D48" s="58"/>
      <c r="E48" s="58"/>
      <c r="F48" s="74" t="s">
        <v>312</v>
      </c>
      <c r="G48" s="66">
        <v>2000000</v>
      </c>
      <c r="H48" s="72"/>
      <c r="I48" s="63"/>
      <c r="J48" s="63"/>
      <c r="K48" s="63"/>
      <c r="L48" s="63"/>
      <c r="M48" s="63"/>
      <c r="N48" s="63"/>
      <c r="O48" s="63"/>
      <c r="P48" s="63"/>
      <c r="Q48" s="63"/>
      <c r="R48" s="63"/>
      <c r="S48" s="63"/>
      <c r="T48" s="63"/>
    </row>
    <row r="49" spans="1:192" s="64" customFormat="1" ht="50" x14ac:dyDescent="0.2">
      <c r="A49" s="76" t="s">
        <v>307</v>
      </c>
      <c r="B49" s="77" t="s">
        <v>308</v>
      </c>
      <c r="C49" s="78" t="s">
        <v>281</v>
      </c>
      <c r="D49" s="79" t="s">
        <v>295</v>
      </c>
      <c r="E49" s="58" t="s">
        <v>306</v>
      </c>
      <c r="F49" s="56" t="s">
        <v>313</v>
      </c>
      <c r="G49" s="60">
        <v>800000000</v>
      </c>
      <c r="H49" s="72"/>
      <c r="I49" s="63"/>
      <c r="J49" s="63"/>
      <c r="K49" s="63"/>
      <c r="L49" s="63"/>
      <c r="M49" s="63"/>
      <c r="N49" s="63"/>
      <c r="O49" s="63"/>
      <c r="P49" s="63"/>
      <c r="Q49" s="63"/>
      <c r="R49" s="63"/>
      <c r="S49" s="63"/>
      <c r="T49" s="63"/>
    </row>
    <row r="50" spans="1:192" ht="60" x14ac:dyDescent="0.25">
      <c r="A50" s="56" t="s">
        <v>279</v>
      </c>
      <c r="B50" s="57" t="s">
        <v>280</v>
      </c>
      <c r="C50" s="56" t="s">
        <v>288</v>
      </c>
      <c r="D50" s="58" t="s">
        <v>282</v>
      </c>
      <c r="E50" s="58" t="s">
        <v>289</v>
      </c>
      <c r="F50" s="56" t="s">
        <v>314</v>
      </c>
      <c r="G50" s="71">
        <v>200000000</v>
      </c>
      <c r="H50" s="72"/>
    </row>
    <row r="51" spans="1:192" s="64" customFormat="1" ht="60" x14ac:dyDescent="0.2">
      <c r="A51" s="56" t="s">
        <v>279</v>
      </c>
      <c r="B51" s="57" t="s">
        <v>280</v>
      </c>
      <c r="C51" s="56" t="s">
        <v>288</v>
      </c>
      <c r="D51" s="58" t="s">
        <v>302</v>
      </c>
      <c r="E51" s="58" t="s">
        <v>305</v>
      </c>
      <c r="F51" s="56" t="s">
        <v>315</v>
      </c>
      <c r="G51" s="70">
        <v>550000000</v>
      </c>
      <c r="H51" s="72"/>
      <c r="I51" s="63"/>
      <c r="J51" s="63"/>
      <c r="K51" s="63"/>
      <c r="L51" s="63"/>
      <c r="M51" s="63"/>
      <c r="N51" s="63"/>
      <c r="O51" s="63"/>
      <c r="P51" s="63"/>
      <c r="Q51" s="63"/>
      <c r="R51" s="63"/>
      <c r="S51" s="63"/>
      <c r="T51" s="63"/>
    </row>
    <row r="52" spans="1:192" s="64" customFormat="1" ht="70" x14ac:dyDescent="0.2">
      <c r="A52" s="56" t="s">
        <v>279</v>
      </c>
      <c r="B52" s="57" t="s">
        <v>280</v>
      </c>
      <c r="C52" s="56" t="s">
        <v>288</v>
      </c>
      <c r="D52" s="58" t="s">
        <v>302</v>
      </c>
      <c r="E52" s="58" t="s">
        <v>305</v>
      </c>
      <c r="F52" s="56" t="s">
        <v>316</v>
      </c>
      <c r="G52" s="70">
        <v>318000000</v>
      </c>
      <c r="H52" s="72"/>
      <c r="I52" s="63"/>
      <c r="J52" s="63"/>
      <c r="K52" s="63"/>
      <c r="L52" s="63"/>
      <c r="M52" s="63"/>
      <c r="N52" s="63"/>
      <c r="O52" s="63"/>
      <c r="P52" s="63"/>
      <c r="Q52" s="63"/>
      <c r="R52" s="63"/>
      <c r="S52" s="63"/>
      <c r="T52" s="63"/>
    </row>
    <row r="53" spans="1:192" customFormat="1" ht="50" x14ac:dyDescent="0.35">
      <c r="A53" s="56" t="s">
        <v>317</v>
      </c>
      <c r="B53" s="56" t="s">
        <v>318</v>
      </c>
      <c r="C53" s="56" t="s">
        <v>259</v>
      </c>
      <c r="D53" s="61" t="s">
        <v>292</v>
      </c>
      <c r="E53" s="61" t="s">
        <v>319</v>
      </c>
      <c r="F53" s="56" t="s">
        <v>320</v>
      </c>
      <c r="G53" s="81">
        <f>1680000000*1.06</f>
        <v>1780800000</v>
      </c>
    </row>
    <row r="54" spans="1:192" customFormat="1" ht="50" x14ac:dyDescent="0.35">
      <c r="A54" s="56" t="s">
        <v>317</v>
      </c>
      <c r="B54" s="56" t="s">
        <v>318</v>
      </c>
      <c r="C54" s="56" t="s">
        <v>259</v>
      </c>
      <c r="D54" s="61" t="s">
        <v>292</v>
      </c>
      <c r="E54" s="61" t="s">
        <v>319</v>
      </c>
      <c r="F54" s="56" t="s">
        <v>111</v>
      </c>
      <c r="G54" s="82" t="e">
        <f>+#REF!*1.06</f>
        <v>#REF!</v>
      </c>
    </row>
    <row r="55" spans="1:192" customFormat="1" ht="50" x14ac:dyDescent="0.35">
      <c r="A55" s="56" t="s">
        <v>317</v>
      </c>
      <c r="B55" s="56" t="s">
        <v>318</v>
      </c>
      <c r="C55" s="56" t="s">
        <v>257</v>
      </c>
      <c r="D55" s="61" t="s">
        <v>292</v>
      </c>
      <c r="E55" s="61" t="s">
        <v>283</v>
      </c>
      <c r="F55" s="56" t="s">
        <v>106</v>
      </c>
      <c r="G55" s="82">
        <f>7240000*1.06-400</f>
        <v>7674000</v>
      </c>
    </row>
    <row r="56" spans="1:192" customFormat="1" ht="50" x14ac:dyDescent="0.35">
      <c r="A56" s="56" t="s">
        <v>317</v>
      </c>
      <c r="B56" s="56" t="s">
        <v>318</v>
      </c>
      <c r="C56" s="56" t="s">
        <v>259</v>
      </c>
      <c r="D56" s="61" t="s">
        <v>292</v>
      </c>
      <c r="E56" s="61" t="s">
        <v>283</v>
      </c>
      <c r="F56" s="56" t="s">
        <v>112</v>
      </c>
      <c r="G56" s="82">
        <v>18000000</v>
      </c>
      <c r="J56" s="83"/>
    </row>
    <row r="57" spans="1:192" s="85" customFormat="1" ht="50" x14ac:dyDescent="0.35">
      <c r="A57" s="56" t="s">
        <v>317</v>
      </c>
      <c r="B57" s="56" t="s">
        <v>318</v>
      </c>
      <c r="C57" s="56" t="s">
        <v>259</v>
      </c>
      <c r="D57" s="61" t="s">
        <v>292</v>
      </c>
      <c r="E57" s="61" t="s">
        <v>283</v>
      </c>
      <c r="F57" s="56" t="s">
        <v>113</v>
      </c>
      <c r="G57" s="82">
        <v>5000000</v>
      </c>
      <c r="H57"/>
      <c r="I57" s="84"/>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row>
    <row r="58" spans="1:192" s="85" customFormat="1" ht="50" x14ac:dyDescent="0.35">
      <c r="A58" s="56" t="s">
        <v>317</v>
      </c>
      <c r="B58" s="56" t="s">
        <v>318</v>
      </c>
      <c r="C58" s="56" t="s">
        <v>267</v>
      </c>
      <c r="D58" s="61" t="s">
        <v>292</v>
      </c>
      <c r="E58" s="61" t="s">
        <v>283</v>
      </c>
      <c r="F58" s="56" t="s">
        <v>321</v>
      </c>
      <c r="G58" s="82">
        <v>44231000</v>
      </c>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row>
    <row r="59" spans="1:192" customFormat="1" ht="50" x14ac:dyDescent="0.35">
      <c r="A59" s="56" t="s">
        <v>317</v>
      </c>
      <c r="B59" s="56" t="s">
        <v>318</v>
      </c>
      <c r="C59" s="56" t="s">
        <v>267</v>
      </c>
      <c r="D59" s="61" t="s">
        <v>292</v>
      </c>
      <c r="E59" s="61" t="s">
        <v>283</v>
      </c>
      <c r="F59" s="56" t="s">
        <v>322</v>
      </c>
      <c r="G59" s="82">
        <f>64072000*1.06-320</f>
        <v>67916000</v>
      </c>
      <c r="I59" s="84"/>
    </row>
    <row r="60" spans="1:192" customFormat="1" ht="50" x14ac:dyDescent="0.35">
      <c r="A60" s="56" t="s">
        <v>317</v>
      </c>
      <c r="B60" s="56" t="s">
        <v>318</v>
      </c>
      <c r="C60" s="56" t="s">
        <v>257</v>
      </c>
      <c r="D60" s="61" t="s">
        <v>292</v>
      </c>
      <c r="E60" s="61" t="s">
        <v>319</v>
      </c>
      <c r="F60" s="56" t="s">
        <v>323</v>
      </c>
      <c r="G60" s="81">
        <v>160500000</v>
      </c>
    </row>
    <row r="61" spans="1:192" customFormat="1" ht="50" x14ac:dyDescent="0.35">
      <c r="A61" s="56" t="s">
        <v>317</v>
      </c>
      <c r="B61" s="56" t="s">
        <v>318</v>
      </c>
      <c r="C61" s="56" t="s">
        <v>261</v>
      </c>
      <c r="D61" s="61" t="s">
        <v>292</v>
      </c>
      <c r="E61" s="61" t="s">
        <v>283</v>
      </c>
      <c r="F61" s="56" t="s">
        <v>324</v>
      </c>
      <c r="G61" s="82">
        <v>2500000</v>
      </c>
    </row>
    <row r="62" spans="1:192" s="85" customFormat="1" ht="50" x14ac:dyDescent="0.35">
      <c r="A62" s="56" t="s">
        <v>317</v>
      </c>
      <c r="B62" s="56" t="s">
        <v>318</v>
      </c>
      <c r="C62" s="56" t="s">
        <v>261</v>
      </c>
      <c r="D62" s="61" t="s">
        <v>292</v>
      </c>
      <c r="E62" s="61" t="s">
        <v>283</v>
      </c>
      <c r="F62" s="56" t="s">
        <v>133</v>
      </c>
      <c r="G62" s="82">
        <v>14000000</v>
      </c>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row>
    <row r="63" spans="1:192" customFormat="1" ht="50" x14ac:dyDescent="0.35">
      <c r="A63" s="56" t="s">
        <v>317</v>
      </c>
      <c r="B63" s="56" t="s">
        <v>318</v>
      </c>
      <c r="C63" s="56" t="s">
        <v>257</v>
      </c>
      <c r="D63" s="61" t="s">
        <v>292</v>
      </c>
      <c r="E63" s="61" t="s">
        <v>319</v>
      </c>
      <c r="F63" s="56" t="s">
        <v>325</v>
      </c>
      <c r="G63" s="81" t="e">
        <f>+#REF!*1.06+420</f>
        <v>#REF!</v>
      </c>
    </row>
    <row r="64" spans="1:192" s="85" customFormat="1" ht="50" x14ac:dyDescent="0.35">
      <c r="A64" s="56" t="s">
        <v>317</v>
      </c>
      <c r="B64" s="56" t="s">
        <v>318</v>
      </c>
      <c r="C64" s="56" t="s">
        <v>259</v>
      </c>
      <c r="D64" s="61" t="s">
        <v>292</v>
      </c>
      <c r="E64" s="61" t="s">
        <v>319</v>
      </c>
      <c r="F64" s="56" t="s">
        <v>326</v>
      </c>
      <c r="G64" s="82">
        <f>(66748000+4756000+8405000)*1.06+460</f>
        <v>84704000</v>
      </c>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row>
    <row r="65" spans="1:10" customFormat="1" ht="50" x14ac:dyDescent="0.35">
      <c r="A65" s="56" t="s">
        <v>317</v>
      </c>
      <c r="B65" s="56" t="s">
        <v>318</v>
      </c>
      <c r="C65" s="56" t="s">
        <v>267</v>
      </c>
      <c r="D65" s="61" t="s">
        <v>292</v>
      </c>
      <c r="E65" s="61" t="s">
        <v>319</v>
      </c>
      <c r="F65" s="56" t="s">
        <v>110</v>
      </c>
      <c r="G65" s="82">
        <f>+(12510142*11.5)*1.06+369.02</f>
        <v>152499000.00000003</v>
      </c>
    </row>
    <row r="66" spans="1:10" customFormat="1" ht="50" x14ac:dyDescent="0.35">
      <c r="A66" s="56" t="s">
        <v>317</v>
      </c>
      <c r="B66" s="56" t="s">
        <v>318</v>
      </c>
      <c r="C66" s="56" t="s">
        <v>267</v>
      </c>
      <c r="D66" s="61" t="s">
        <v>292</v>
      </c>
      <c r="E66" s="61" t="s">
        <v>319</v>
      </c>
      <c r="F66" s="56" t="s">
        <v>121</v>
      </c>
      <c r="G66" s="82">
        <f>+(12510142*11.5)*1.06+369.02</f>
        <v>152499000.00000003</v>
      </c>
    </row>
    <row r="67" spans="1:10" customFormat="1" ht="50" x14ac:dyDescent="0.35">
      <c r="A67" s="56" t="s">
        <v>317</v>
      </c>
      <c r="B67" s="56" t="s">
        <v>318</v>
      </c>
      <c r="C67" s="56" t="s">
        <v>267</v>
      </c>
      <c r="D67" s="61" t="s">
        <v>292</v>
      </c>
      <c r="E67" s="61" t="s">
        <v>319</v>
      </c>
      <c r="F67" s="56" t="s">
        <v>121</v>
      </c>
      <c r="G67" s="82">
        <f>+(12510142*11.5)*1.06+369.02</f>
        <v>152499000.00000003</v>
      </c>
    </row>
    <row r="68" spans="1:10" customFormat="1" ht="50" x14ac:dyDescent="0.35">
      <c r="A68" s="56" t="s">
        <v>317</v>
      </c>
      <c r="B68" s="56" t="s">
        <v>318</v>
      </c>
      <c r="C68" s="56" t="s">
        <v>267</v>
      </c>
      <c r="D68" s="61" t="s">
        <v>292</v>
      </c>
      <c r="E68" s="61" t="s">
        <v>319</v>
      </c>
      <c r="F68" s="56" t="s">
        <v>121</v>
      </c>
      <c r="G68" s="82">
        <f>+(12510142*11.5)*1.06+369.02</f>
        <v>152499000.00000003</v>
      </c>
    </row>
    <row r="69" spans="1:10" customFormat="1" ht="50" x14ac:dyDescent="0.35">
      <c r="A69" s="56" t="s">
        <v>317</v>
      </c>
      <c r="B69" s="56" t="s">
        <v>318</v>
      </c>
      <c r="C69" s="56" t="s">
        <v>261</v>
      </c>
      <c r="D69" s="61" t="s">
        <v>292</v>
      </c>
      <c r="E69" s="61" t="s">
        <v>319</v>
      </c>
      <c r="F69" s="56" t="s">
        <v>128</v>
      </c>
      <c r="G69" s="81">
        <f>12000000*11.5</f>
        <v>138000000</v>
      </c>
    </row>
    <row r="70" spans="1:10" customFormat="1" ht="50" x14ac:dyDescent="0.35">
      <c r="A70" s="56" t="s">
        <v>317</v>
      </c>
      <c r="B70" s="56" t="s">
        <v>327</v>
      </c>
      <c r="C70" s="56" t="s">
        <v>257</v>
      </c>
      <c r="D70" s="61" t="s">
        <v>292</v>
      </c>
      <c r="E70" s="61" t="s">
        <v>319</v>
      </c>
      <c r="F70" s="56" t="s">
        <v>258</v>
      </c>
      <c r="G70" s="86" t="e">
        <f>+#REF!*1.06+471.06559997797</f>
        <v>#REF!</v>
      </c>
      <c r="I70" s="87"/>
    </row>
    <row r="71" spans="1:10" customFormat="1" ht="50" x14ac:dyDescent="0.35">
      <c r="A71" s="56" t="s">
        <v>317</v>
      </c>
      <c r="B71" s="56" t="s">
        <v>327</v>
      </c>
      <c r="C71" s="56" t="s">
        <v>257</v>
      </c>
      <c r="D71" s="61" t="s">
        <v>292</v>
      </c>
      <c r="E71" s="61" t="s">
        <v>319</v>
      </c>
      <c r="F71" s="56" t="s">
        <v>116</v>
      </c>
      <c r="G71" s="82" t="e">
        <f>+#REF!*1.06-300</f>
        <v>#REF!</v>
      </c>
    </row>
    <row r="72" spans="1:10" customFormat="1" ht="50" x14ac:dyDescent="0.35">
      <c r="A72" s="56" t="s">
        <v>317</v>
      </c>
      <c r="B72" s="56" t="s">
        <v>327</v>
      </c>
      <c r="C72" s="56" t="s">
        <v>257</v>
      </c>
      <c r="D72" s="61" t="s">
        <v>292</v>
      </c>
      <c r="E72" s="61" t="s">
        <v>283</v>
      </c>
      <c r="F72" s="56" t="s">
        <v>104</v>
      </c>
      <c r="G72" s="82" t="e">
        <f>+#REF!*1.06-12.76</f>
        <v>#REF!</v>
      </c>
      <c r="I72" s="88"/>
    </row>
    <row r="73" spans="1:10" customFormat="1" ht="50" x14ac:dyDescent="0.35">
      <c r="A73" s="56" t="s">
        <v>317</v>
      </c>
      <c r="B73" s="56" t="s">
        <v>327</v>
      </c>
      <c r="C73" s="56" t="s">
        <v>259</v>
      </c>
      <c r="D73" s="61" t="s">
        <v>292</v>
      </c>
      <c r="E73" s="61" t="s">
        <v>319</v>
      </c>
      <c r="F73" s="56" t="s">
        <v>328</v>
      </c>
      <c r="G73" s="82" t="e">
        <f>+#REF!*1.15</f>
        <v>#REF!</v>
      </c>
    </row>
    <row r="74" spans="1:10" customFormat="1" ht="50" x14ac:dyDescent="0.35">
      <c r="A74" s="56" t="s">
        <v>317</v>
      </c>
      <c r="B74" s="56" t="s">
        <v>327</v>
      </c>
      <c r="C74" s="56" t="s">
        <v>259</v>
      </c>
      <c r="D74" s="61" t="s">
        <v>292</v>
      </c>
      <c r="E74" s="61" t="s">
        <v>319</v>
      </c>
      <c r="F74" s="56" t="s">
        <v>329</v>
      </c>
      <c r="G74" s="82">
        <f>2000000*12</f>
        <v>24000000</v>
      </c>
    </row>
    <row r="75" spans="1:10" customFormat="1" ht="50" x14ac:dyDescent="0.35">
      <c r="A75" s="56" t="s">
        <v>317</v>
      </c>
      <c r="B75" s="56" t="s">
        <v>327</v>
      </c>
      <c r="C75" s="56" t="s">
        <v>257</v>
      </c>
      <c r="D75" s="61" t="s">
        <v>292</v>
      </c>
      <c r="E75" s="61" t="s">
        <v>283</v>
      </c>
      <c r="F75" s="56" t="s">
        <v>105</v>
      </c>
      <c r="G75" s="82" t="e">
        <f>+#REF!*1.06</f>
        <v>#REF!</v>
      </c>
    </row>
    <row r="76" spans="1:10" customFormat="1" ht="50" x14ac:dyDescent="0.35">
      <c r="A76" s="56" t="s">
        <v>317</v>
      </c>
      <c r="B76" s="56" t="s">
        <v>327</v>
      </c>
      <c r="C76" s="56" t="s">
        <v>257</v>
      </c>
      <c r="D76" s="61" t="s">
        <v>292</v>
      </c>
      <c r="E76" s="61" t="s">
        <v>319</v>
      </c>
      <c r="F76" s="56" t="s">
        <v>265</v>
      </c>
      <c r="G76" s="81" t="e">
        <f>+#REF!*1.06</f>
        <v>#REF!</v>
      </c>
    </row>
    <row r="77" spans="1:10" customFormat="1" ht="50" x14ac:dyDescent="0.35">
      <c r="A77" s="56" t="s">
        <v>317</v>
      </c>
      <c r="B77" s="56" t="s">
        <v>327</v>
      </c>
      <c r="C77" s="56" t="s">
        <v>261</v>
      </c>
      <c r="D77" s="61" t="s">
        <v>292</v>
      </c>
      <c r="E77" s="61" t="s">
        <v>319</v>
      </c>
      <c r="F77" s="56" t="s">
        <v>330</v>
      </c>
      <c r="G77" s="82" t="e">
        <f>+#REF!*1.06-100</f>
        <v>#REF!</v>
      </c>
      <c r="J77" s="83"/>
    </row>
    <row r="78" spans="1:10" customFormat="1" ht="50" x14ac:dyDescent="0.35">
      <c r="A78" s="56" t="s">
        <v>317</v>
      </c>
      <c r="B78" s="56" t="s">
        <v>327</v>
      </c>
      <c r="C78" s="56" t="s">
        <v>261</v>
      </c>
      <c r="D78" s="61" t="s">
        <v>292</v>
      </c>
      <c r="E78" s="61" t="s">
        <v>319</v>
      </c>
      <c r="F78" s="56" t="s">
        <v>331</v>
      </c>
      <c r="G78" s="81" t="e">
        <f>+#REF!*1.06</f>
        <v>#REF!</v>
      </c>
    </row>
    <row r="79" spans="1:10" customFormat="1" ht="50" x14ac:dyDescent="0.35">
      <c r="A79" s="56" t="s">
        <v>317</v>
      </c>
      <c r="B79" s="56" t="s">
        <v>327</v>
      </c>
      <c r="C79" s="56" t="s">
        <v>261</v>
      </c>
      <c r="D79" s="61" t="s">
        <v>292</v>
      </c>
      <c r="E79" s="61" t="s">
        <v>319</v>
      </c>
      <c r="F79" s="56" t="s">
        <v>270</v>
      </c>
      <c r="G79" s="82">
        <v>100000000</v>
      </c>
      <c r="I79" s="89"/>
    </row>
    <row r="80" spans="1:10" customFormat="1" ht="50" x14ac:dyDescent="0.35">
      <c r="A80" s="56" t="s">
        <v>317</v>
      </c>
      <c r="B80" s="56" t="s">
        <v>327</v>
      </c>
      <c r="C80" s="56" t="s">
        <v>261</v>
      </c>
      <c r="D80" s="61" t="s">
        <v>292</v>
      </c>
      <c r="E80" s="61" t="s">
        <v>319</v>
      </c>
      <c r="F80" s="56" t="s">
        <v>114</v>
      </c>
      <c r="G80" s="82">
        <f>816210763.2+236.8</f>
        <v>816211000</v>
      </c>
    </row>
    <row r="81" spans="1:10" customFormat="1" ht="50" x14ac:dyDescent="0.35">
      <c r="A81" s="56" t="s">
        <v>317</v>
      </c>
      <c r="B81" s="56" t="s">
        <v>332</v>
      </c>
      <c r="C81" s="56" t="s">
        <v>333</v>
      </c>
      <c r="D81" s="61" t="s">
        <v>292</v>
      </c>
      <c r="E81" s="61" t="s">
        <v>283</v>
      </c>
      <c r="F81" s="56" t="s">
        <v>120</v>
      </c>
      <c r="G81" s="82" t="e">
        <f>+#REF!*1.06</f>
        <v>#REF!</v>
      </c>
    </row>
    <row r="82" spans="1:10" customFormat="1" ht="50" x14ac:dyDescent="0.35">
      <c r="A82" s="56" t="s">
        <v>334</v>
      </c>
      <c r="B82" s="56" t="s">
        <v>335</v>
      </c>
      <c r="C82" s="56" t="s">
        <v>257</v>
      </c>
      <c r="D82" s="61" t="s">
        <v>292</v>
      </c>
      <c r="E82" s="61" t="s">
        <v>283</v>
      </c>
      <c r="F82" s="56" t="s">
        <v>117</v>
      </c>
      <c r="G82" s="82" t="e">
        <f>+(#REF!*1.06)+5000000-475.6</f>
        <v>#REF!</v>
      </c>
    </row>
    <row r="83" spans="1:10" customFormat="1" ht="50" x14ac:dyDescent="0.35">
      <c r="A83" s="56" t="s">
        <v>334</v>
      </c>
      <c r="B83" s="56" t="s">
        <v>335</v>
      </c>
      <c r="C83" s="56" t="s">
        <v>336</v>
      </c>
      <c r="D83" s="61" t="s">
        <v>292</v>
      </c>
      <c r="E83" s="61" t="s">
        <v>283</v>
      </c>
      <c r="F83" s="56" t="s">
        <v>40</v>
      </c>
      <c r="G83" s="90" t="e">
        <f>+#REF!*1.06</f>
        <v>#REF!</v>
      </c>
    </row>
    <row r="84" spans="1:10" customFormat="1" ht="50" x14ac:dyDescent="0.35">
      <c r="A84" s="56" t="s">
        <v>334</v>
      </c>
      <c r="B84" s="56" t="s">
        <v>335</v>
      </c>
      <c r="C84" s="56" t="s">
        <v>336</v>
      </c>
      <c r="D84" s="61" t="s">
        <v>292</v>
      </c>
      <c r="E84" s="61" t="s">
        <v>283</v>
      </c>
      <c r="F84" s="56" t="s">
        <v>255</v>
      </c>
      <c r="G84" s="90" t="e">
        <f>+#REF!*1.06</f>
        <v>#REF!</v>
      </c>
    </row>
    <row r="85" spans="1:10" customFormat="1" ht="80" x14ac:dyDescent="0.35">
      <c r="A85" s="56" t="s">
        <v>334</v>
      </c>
      <c r="B85" s="56" t="s">
        <v>335</v>
      </c>
      <c r="C85" s="56" t="s">
        <v>337</v>
      </c>
      <c r="D85" s="61" t="s">
        <v>292</v>
      </c>
      <c r="E85" s="61" t="s">
        <v>293</v>
      </c>
      <c r="F85" s="56" t="s">
        <v>249</v>
      </c>
      <c r="G85" s="90" t="e">
        <f>+#REF!*1.06</f>
        <v>#REF!</v>
      </c>
      <c r="J85" s="83"/>
    </row>
    <row r="86" spans="1:10" customFormat="1" ht="60" x14ac:dyDescent="0.35">
      <c r="A86" s="56" t="s">
        <v>334</v>
      </c>
      <c r="B86" s="56" t="s">
        <v>335</v>
      </c>
      <c r="C86" s="56" t="s">
        <v>337</v>
      </c>
      <c r="D86" s="61" t="s">
        <v>292</v>
      </c>
      <c r="E86" s="61" t="s">
        <v>293</v>
      </c>
      <c r="F86" s="56" t="s">
        <v>89</v>
      </c>
      <c r="G86" s="90" t="e">
        <f>+#REF!*1.06</f>
        <v>#REF!</v>
      </c>
    </row>
    <row r="87" spans="1:10" customFormat="1" ht="60" x14ac:dyDescent="0.35">
      <c r="A87" s="56" t="s">
        <v>334</v>
      </c>
      <c r="B87" s="56" t="s">
        <v>335</v>
      </c>
      <c r="C87" s="56" t="s">
        <v>337</v>
      </c>
      <c r="D87" s="61" t="s">
        <v>292</v>
      </c>
      <c r="E87" s="61" t="s">
        <v>293</v>
      </c>
      <c r="F87" s="56" t="s">
        <v>91</v>
      </c>
      <c r="G87" s="90" t="e">
        <f>+#REF!+280</f>
        <v>#REF!</v>
      </c>
    </row>
    <row r="88" spans="1:10" customFormat="1" ht="60" x14ac:dyDescent="0.35">
      <c r="A88" s="56" t="s">
        <v>338</v>
      </c>
      <c r="B88" s="56" t="s">
        <v>339</v>
      </c>
      <c r="C88" s="56" t="s">
        <v>340</v>
      </c>
      <c r="D88" s="61" t="s">
        <v>302</v>
      </c>
      <c r="E88" s="61" t="s">
        <v>304</v>
      </c>
      <c r="F88" s="56" t="s">
        <v>341</v>
      </c>
      <c r="G88" s="90">
        <f>+(12463000*11)*1.06+420</f>
        <v>145319000</v>
      </c>
    </row>
  </sheetData>
  <autoFilter ref="A1:GO88" xr:uid="{6D900CCF-A872-401C-A5EA-49C7012EF10B}"/>
  <mergeCells count="7">
    <mergeCell ref="G1:G2"/>
    <mergeCell ref="A1:A2"/>
    <mergeCell ref="B1:B2"/>
    <mergeCell ref="C1:C2"/>
    <mergeCell ref="D1:D2"/>
    <mergeCell ref="E1:E2"/>
    <mergeCell ref="F1: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2957-1821-4E6E-A539-430F26EB219B}">
  <dimension ref="A3:O31"/>
  <sheetViews>
    <sheetView workbookViewId="0">
      <selection activeCell="G10" sqref="G10"/>
    </sheetView>
  </sheetViews>
  <sheetFormatPr baseColWidth="10" defaultColWidth="11.453125" defaultRowHeight="14.5" x14ac:dyDescent="0.35"/>
  <cols>
    <col min="1" max="1" width="28.81640625" style="15" customWidth="1"/>
    <col min="2" max="2" width="25.453125" customWidth="1"/>
  </cols>
  <sheetData>
    <row r="3" spans="1:15" ht="21" x14ac:dyDescent="0.5">
      <c r="B3" s="22" t="s">
        <v>181</v>
      </c>
    </row>
    <row r="4" spans="1:15" s="21" customFormat="1" ht="15.75" customHeight="1" x14ac:dyDescent="0.35">
      <c r="A4" s="20"/>
      <c r="B4" s="21" t="s">
        <v>182</v>
      </c>
      <c r="C4" s="21" t="s">
        <v>183</v>
      </c>
      <c r="D4" s="21" t="s">
        <v>184</v>
      </c>
      <c r="E4" s="21" t="s">
        <v>185</v>
      </c>
      <c r="F4" s="21" t="s">
        <v>186</v>
      </c>
      <c r="G4" s="21" t="s">
        <v>187</v>
      </c>
      <c r="H4" s="21" t="s">
        <v>188</v>
      </c>
      <c r="I4" s="21" t="s">
        <v>189</v>
      </c>
      <c r="J4" s="21" t="s">
        <v>190</v>
      </c>
      <c r="K4" s="21" t="s">
        <v>191</v>
      </c>
      <c r="L4" s="21" t="s">
        <v>192</v>
      </c>
      <c r="M4" s="21" t="s">
        <v>193</v>
      </c>
      <c r="N4" s="21" t="s">
        <v>180</v>
      </c>
      <c r="O4" s="21" t="s">
        <v>135</v>
      </c>
    </row>
    <row r="5" spans="1:15" s="16" customFormat="1" x14ac:dyDescent="0.35">
      <c r="A5" s="46" t="s">
        <v>134</v>
      </c>
      <c r="B5" s="16" t="s">
        <v>194</v>
      </c>
      <c r="O5" s="16">
        <f>+SUM(C5:N5)</f>
        <v>0</v>
      </c>
    </row>
    <row r="6" spans="1:15" s="16" customFormat="1" x14ac:dyDescent="0.35">
      <c r="A6" s="46"/>
      <c r="B6" s="16" t="s">
        <v>195</v>
      </c>
      <c r="O6" s="16">
        <f>+SUM(C6:N6)</f>
        <v>0</v>
      </c>
    </row>
    <row r="7" spans="1:15" s="16" customFormat="1" x14ac:dyDescent="0.35">
      <c r="A7" s="46"/>
      <c r="B7" s="16" t="s">
        <v>196</v>
      </c>
      <c r="C7" s="16" t="e">
        <f>+C6/C5</f>
        <v>#DIV/0!</v>
      </c>
      <c r="D7" s="16" t="e">
        <f t="shared" ref="D7:O7" si="0">+D6/D5</f>
        <v>#DIV/0!</v>
      </c>
      <c r="E7" s="16" t="e">
        <f t="shared" si="0"/>
        <v>#DIV/0!</v>
      </c>
      <c r="F7" s="16" t="e">
        <f t="shared" si="0"/>
        <v>#DIV/0!</v>
      </c>
      <c r="G7" s="16" t="e">
        <f t="shared" si="0"/>
        <v>#DIV/0!</v>
      </c>
      <c r="H7" s="16" t="e">
        <f t="shared" si="0"/>
        <v>#DIV/0!</v>
      </c>
      <c r="I7" s="16" t="e">
        <f t="shared" si="0"/>
        <v>#DIV/0!</v>
      </c>
      <c r="J7" s="16" t="e">
        <f t="shared" si="0"/>
        <v>#DIV/0!</v>
      </c>
      <c r="K7" s="16" t="e">
        <f t="shared" si="0"/>
        <v>#DIV/0!</v>
      </c>
      <c r="L7" s="16" t="e">
        <f t="shared" si="0"/>
        <v>#DIV/0!</v>
      </c>
      <c r="M7" s="16" t="e">
        <f t="shared" si="0"/>
        <v>#DIV/0!</v>
      </c>
      <c r="N7" s="16" t="e">
        <f t="shared" si="0"/>
        <v>#DIV/0!</v>
      </c>
      <c r="O7" s="16" t="e">
        <f t="shared" si="0"/>
        <v>#DIV/0!</v>
      </c>
    </row>
    <row r="8" spans="1:15" s="17" customFormat="1" x14ac:dyDescent="0.35">
      <c r="A8" s="47" t="s">
        <v>197</v>
      </c>
      <c r="B8" s="17" t="s">
        <v>194</v>
      </c>
      <c r="O8" s="17">
        <f>+SUM(C8:N8)</f>
        <v>0</v>
      </c>
    </row>
    <row r="9" spans="1:15" s="17" customFormat="1" x14ac:dyDescent="0.35">
      <c r="A9" s="47"/>
      <c r="B9" s="17" t="s">
        <v>195</v>
      </c>
      <c r="O9" s="17">
        <f>+SUM(C9:N9)</f>
        <v>0</v>
      </c>
    </row>
    <row r="10" spans="1:15" s="17" customFormat="1" x14ac:dyDescent="0.35">
      <c r="A10" s="47"/>
      <c r="B10" s="17" t="s">
        <v>196</v>
      </c>
      <c r="C10" s="17" t="e">
        <f>+C9/C8</f>
        <v>#DIV/0!</v>
      </c>
      <c r="D10" s="17" t="e">
        <f t="shared" ref="D10:O10" si="1">+D9/D8</f>
        <v>#DIV/0!</v>
      </c>
      <c r="E10" s="17" t="e">
        <f t="shared" si="1"/>
        <v>#DIV/0!</v>
      </c>
      <c r="F10" s="17" t="e">
        <f t="shared" si="1"/>
        <v>#DIV/0!</v>
      </c>
      <c r="G10" s="17" t="e">
        <f t="shared" si="1"/>
        <v>#DIV/0!</v>
      </c>
      <c r="H10" s="17" t="e">
        <f t="shared" si="1"/>
        <v>#DIV/0!</v>
      </c>
      <c r="I10" s="17" t="e">
        <f t="shared" si="1"/>
        <v>#DIV/0!</v>
      </c>
      <c r="J10" s="17" t="e">
        <f t="shared" si="1"/>
        <v>#DIV/0!</v>
      </c>
      <c r="K10" s="17" t="e">
        <f t="shared" si="1"/>
        <v>#DIV/0!</v>
      </c>
      <c r="L10" s="17" t="e">
        <f t="shared" si="1"/>
        <v>#DIV/0!</v>
      </c>
      <c r="M10" s="17" t="e">
        <f t="shared" si="1"/>
        <v>#DIV/0!</v>
      </c>
      <c r="N10" s="17" t="e">
        <f t="shared" si="1"/>
        <v>#DIV/0!</v>
      </c>
      <c r="O10" s="17" t="e">
        <f t="shared" si="1"/>
        <v>#DIV/0!</v>
      </c>
    </row>
    <row r="11" spans="1:15" s="18" customFormat="1" x14ac:dyDescent="0.35">
      <c r="A11" s="44" t="s">
        <v>198</v>
      </c>
      <c r="B11" s="18" t="s">
        <v>194</v>
      </c>
      <c r="O11" s="18">
        <f>+SUM(C11:N11)</f>
        <v>0</v>
      </c>
    </row>
    <row r="12" spans="1:15" s="18" customFormat="1" x14ac:dyDescent="0.35">
      <c r="A12" s="44"/>
      <c r="B12" s="18" t="s">
        <v>195</v>
      </c>
      <c r="O12" s="18">
        <f>+SUM(C12:N12)</f>
        <v>0</v>
      </c>
    </row>
    <row r="13" spans="1:15" s="18" customFormat="1" x14ac:dyDescent="0.35">
      <c r="A13" s="44"/>
      <c r="B13" s="18" t="s">
        <v>196</v>
      </c>
      <c r="C13" s="18" t="e">
        <f>+C12/C11</f>
        <v>#DIV/0!</v>
      </c>
      <c r="D13" s="18" t="e">
        <f t="shared" ref="D13:O13" si="2">+D12/D11</f>
        <v>#DIV/0!</v>
      </c>
      <c r="E13" s="18" t="e">
        <f t="shared" si="2"/>
        <v>#DIV/0!</v>
      </c>
      <c r="F13" s="18" t="e">
        <f t="shared" si="2"/>
        <v>#DIV/0!</v>
      </c>
      <c r="G13" s="18" t="e">
        <f t="shared" si="2"/>
        <v>#DIV/0!</v>
      </c>
      <c r="H13" s="18" t="e">
        <f t="shared" si="2"/>
        <v>#DIV/0!</v>
      </c>
      <c r="I13" s="18" t="e">
        <f t="shared" si="2"/>
        <v>#DIV/0!</v>
      </c>
      <c r="J13" s="18" t="e">
        <f t="shared" si="2"/>
        <v>#DIV/0!</v>
      </c>
      <c r="K13" s="18" t="e">
        <f t="shared" si="2"/>
        <v>#DIV/0!</v>
      </c>
      <c r="L13" s="18" t="e">
        <f t="shared" si="2"/>
        <v>#DIV/0!</v>
      </c>
      <c r="M13" s="18" t="e">
        <f t="shared" si="2"/>
        <v>#DIV/0!</v>
      </c>
      <c r="N13" s="18" t="e">
        <f t="shared" si="2"/>
        <v>#DIV/0!</v>
      </c>
      <c r="O13" s="18" t="e">
        <f t="shared" si="2"/>
        <v>#DIV/0!</v>
      </c>
    </row>
    <row r="14" spans="1:15" s="19" customFormat="1" x14ac:dyDescent="0.35">
      <c r="A14" s="45" t="s">
        <v>135</v>
      </c>
      <c r="B14" s="19" t="s">
        <v>194</v>
      </c>
      <c r="O14" s="19">
        <f>+SUM(C14:N14)</f>
        <v>0</v>
      </c>
    </row>
    <row r="15" spans="1:15" s="19" customFormat="1" x14ac:dyDescent="0.35">
      <c r="A15" s="45"/>
      <c r="B15" s="19" t="s">
        <v>195</v>
      </c>
      <c r="O15" s="19">
        <f>+SUM(C15:N15)</f>
        <v>0</v>
      </c>
    </row>
    <row r="16" spans="1:15" s="19" customFormat="1" x14ac:dyDescent="0.35">
      <c r="A16" s="45"/>
      <c r="B16" s="19" t="s">
        <v>196</v>
      </c>
      <c r="C16" s="19" t="e">
        <f>+C15/C14</f>
        <v>#DIV/0!</v>
      </c>
      <c r="D16" s="19" t="e">
        <f t="shared" ref="D16:O16" si="3">+D15/D14</f>
        <v>#DIV/0!</v>
      </c>
      <c r="E16" s="19" t="e">
        <f t="shared" si="3"/>
        <v>#DIV/0!</v>
      </c>
      <c r="F16" s="19" t="e">
        <f t="shared" si="3"/>
        <v>#DIV/0!</v>
      </c>
      <c r="G16" s="19" t="e">
        <f t="shared" si="3"/>
        <v>#DIV/0!</v>
      </c>
      <c r="H16" s="19" t="e">
        <f t="shared" si="3"/>
        <v>#DIV/0!</v>
      </c>
      <c r="I16" s="19" t="e">
        <f t="shared" si="3"/>
        <v>#DIV/0!</v>
      </c>
      <c r="J16" s="19" t="e">
        <f t="shared" si="3"/>
        <v>#DIV/0!</v>
      </c>
      <c r="K16" s="19" t="e">
        <f t="shared" si="3"/>
        <v>#DIV/0!</v>
      </c>
      <c r="L16" s="19" t="e">
        <f t="shared" si="3"/>
        <v>#DIV/0!</v>
      </c>
      <c r="M16" s="19" t="e">
        <f t="shared" si="3"/>
        <v>#DIV/0!</v>
      </c>
      <c r="N16" s="19" t="e">
        <f t="shared" si="3"/>
        <v>#DIV/0!</v>
      </c>
      <c r="O16" s="19" t="e">
        <f t="shared" si="3"/>
        <v>#DIV/0!</v>
      </c>
    </row>
    <row r="18" spans="1:15" ht="21" x14ac:dyDescent="0.5">
      <c r="B18" s="22" t="s">
        <v>199</v>
      </c>
    </row>
    <row r="19" spans="1:15" s="21" customFormat="1" ht="15.75" customHeight="1" x14ac:dyDescent="0.35">
      <c r="A19" s="20"/>
      <c r="B19" s="21" t="s">
        <v>182</v>
      </c>
      <c r="C19" s="21" t="s">
        <v>183</v>
      </c>
      <c r="D19" s="21" t="s">
        <v>184</v>
      </c>
      <c r="E19" s="21" t="s">
        <v>185</v>
      </c>
      <c r="F19" s="21" t="s">
        <v>186</v>
      </c>
      <c r="G19" s="21" t="s">
        <v>187</v>
      </c>
      <c r="H19" s="21" t="s">
        <v>188</v>
      </c>
      <c r="I19" s="21" t="s">
        <v>189</v>
      </c>
      <c r="J19" s="21" t="s">
        <v>190</v>
      </c>
      <c r="K19" s="21" t="s">
        <v>191</v>
      </c>
      <c r="L19" s="21" t="s">
        <v>192</v>
      </c>
      <c r="M19" s="21" t="s">
        <v>193</v>
      </c>
      <c r="N19" s="21" t="s">
        <v>180</v>
      </c>
      <c r="O19" s="21" t="s">
        <v>135</v>
      </c>
    </row>
    <row r="20" spans="1:15" s="16" customFormat="1" x14ac:dyDescent="0.35">
      <c r="A20" s="46" t="s">
        <v>134</v>
      </c>
      <c r="B20" s="16" t="s">
        <v>194</v>
      </c>
      <c r="O20" s="16">
        <f>+SUM(C20:N20)</f>
        <v>0</v>
      </c>
    </row>
    <row r="21" spans="1:15" s="16" customFormat="1" x14ac:dyDescent="0.35">
      <c r="A21" s="46"/>
      <c r="B21" s="16" t="s">
        <v>195</v>
      </c>
      <c r="O21" s="16">
        <f>+SUM(C21:N21)</f>
        <v>0</v>
      </c>
    </row>
    <row r="22" spans="1:15" s="16" customFormat="1" x14ac:dyDescent="0.35">
      <c r="A22" s="46"/>
      <c r="B22" s="16" t="s">
        <v>196</v>
      </c>
      <c r="C22" s="16" t="e">
        <f>+C21/C20</f>
        <v>#DIV/0!</v>
      </c>
      <c r="D22" s="16" t="e">
        <f t="shared" ref="D22:O22" si="4">+D21/D20</f>
        <v>#DIV/0!</v>
      </c>
      <c r="E22" s="16" t="e">
        <f t="shared" si="4"/>
        <v>#DIV/0!</v>
      </c>
      <c r="F22" s="16" t="e">
        <f t="shared" si="4"/>
        <v>#DIV/0!</v>
      </c>
      <c r="G22" s="16" t="e">
        <f t="shared" si="4"/>
        <v>#DIV/0!</v>
      </c>
      <c r="H22" s="16" t="e">
        <f t="shared" si="4"/>
        <v>#DIV/0!</v>
      </c>
      <c r="I22" s="16" t="e">
        <f t="shared" si="4"/>
        <v>#DIV/0!</v>
      </c>
      <c r="J22" s="16" t="e">
        <f t="shared" si="4"/>
        <v>#DIV/0!</v>
      </c>
      <c r="K22" s="16" t="e">
        <f t="shared" si="4"/>
        <v>#DIV/0!</v>
      </c>
      <c r="L22" s="16" t="e">
        <f t="shared" si="4"/>
        <v>#DIV/0!</v>
      </c>
      <c r="M22" s="16" t="e">
        <f t="shared" si="4"/>
        <v>#DIV/0!</v>
      </c>
      <c r="N22" s="16" t="e">
        <f t="shared" si="4"/>
        <v>#DIV/0!</v>
      </c>
      <c r="O22" s="16" t="e">
        <f t="shared" si="4"/>
        <v>#DIV/0!</v>
      </c>
    </row>
    <row r="23" spans="1:15" s="17" customFormat="1" x14ac:dyDescent="0.35">
      <c r="A23" s="47" t="s">
        <v>197</v>
      </c>
      <c r="B23" s="17" t="s">
        <v>194</v>
      </c>
      <c r="O23" s="17">
        <f>+SUM(C23:N23)</f>
        <v>0</v>
      </c>
    </row>
    <row r="24" spans="1:15" s="17" customFormat="1" x14ac:dyDescent="0.35">
      <c r="A24" s="47"/>
      <c r="B24" s="17" t="s">
        <v>195</v>
      </c>
      <c r="O24" s="17">
        <f>+SUM(C24:N24)</f>
        <v>0</v>
      </c>
    </row>
    <row r="25" spans="1:15" s="17" customFormat="1" x14ac:dyDescent="0.35">
      <c r="A25" s="47"/>
      <c r="B25" s="17" t="s">
        <v>196</v>
      </c>
      <c r="C25" s="17" t="e">
        <f>+C24/C23</f>
        <v>#DIV/0!</v>
      </c>
      <c r="D25" s="17" t="e">
        <f t="shared" ref="D25:O25" si="5">+D24/D23</f>
        <v>#DIV/0!</v>
      </c>
      <c r="E25" s="17" t="e">
        <f t="shared" si="5"/>
        <v>#DIV/0!</v>
      </c>
      <c r="F25" s="17" t="e">
        <f t="shared" si="5"/>
        <v>#DIV/0!</v>
      </c>
      <c r="G25" s="17" t="e">
        <f t="shared" si="5"/>
        <v>#DIV/0!</v>
      </c>
      <c r="H25" s="17" t="e">
        <f t="shared" si="5"/>
        <v>#DIV/0!</v>
      </c>
      <c r="I25" s="17" t="e">
        <f t="shared" si="5"/>
        <v>#DIV/0!</v>
      </c>
      <c r="J25" s="17" t="e">
        <f t="shared" si="5"/>
        <v>#DIV/0!</v>
      </c>
      <c r="K25" s="17" t="e">
        <f t="shared" si="5"/>
        <v>#DIV/0!</v>
      </c>
      <c r="L25" s="17" t="e">
        <f t="shared" si="5"/>
        <v>#DIV/0!</v>
      </c>
      <c r="M25" s="17" t="e">
        <f t="shared" si="5"/>
        <v>#DIV/0!</v>
      </c>
      <c r="N25" s="17" t="e">
        <f t="shared" si="5"/>
        <v>#DIV/0!</v>
      </c>
      <c r="O25" s="17" t="e">
        <f t="shared" si="5"/>
        <v>#DIV/0!</v>
      </c>
    </row>
    <row r="26" spans="1:15" s="18" customFormat="1" x14ac:dyDescent="0.35">
      <c r="A26" s="44" t="s">
        <v>198</v>
      </c>
      <c r="B26" s="18" t="s">
        <v>194</v>
      </c>
      <c r="O26" s="18">
        <f>+SUM(C26:N26)</f>
        <v>0</v>
      </c>
    </row>
    <row r="27" spans="1:15" s="18" customFormat="1" x14ac:dyDescent="0.35">
      <c r="A27" s="44"/>
      <c r="B27" s="18" t="s">
        <v>195</v>
      </c>
      <c r="O27" s="18">
        <f>+SUM(C27:N27)</f>
        <v>0</v>
      </c>
    </row>
    <row r="28" spans="1:15" s="18" customFormat="1" x14ac:dyDescent="0.35">
      <c r="A28" s="44"/>
      <c r="B28" s="18" t="s">
        <v>196</v>
      </c>
      <c r="C28" s="18" t="e">
        <f>+C27/C26</f>
        <v>#DIV/0!</v>
      </c>
      <c r="D28" s="18" t="e">
        <f t="shared" ref="D28:O28" si="6">+D27/D26</f>
        <v>#DIV/0!</v>
      </c>
      <c r="E28" s="18" t="e">
        <f t="shared" si="6"/>
        <v>#DIV/0!</v>
      </c>
      <c r="F28" s="18" t="e">
        <f t="shared" si="6"/>
        <v>#DIV/0!</v>
      </c>
      <c r="G28" s="18" t="e">
        <f t="shared" si="6"/>
        <v>#DIV/0!</v>
      </c>
      <c r="H28" s="18" t="e">
        <f t="shared" si="6"/>
        <v>#DIV/0!</v>
      </c>
      <c r="I28" s="18" t="e">
        <f t="shared" si="6"/>
        <v>#DIV/0!</v>
      </c>
      <c r="J28" s="18" t="e">
        <f t="shared" si="6"/>
        <v>#DIV/0!</v>
      </c>
      <c r="K28" s="18" t="e">
        <f t="shared" si="6"/>
        <v>#DIV/0!</v>
      </c>
      <c r="L28" s="18" t="e">
        <f t="shared" si="6"/>
        <v>#DIV/0!</v>
      </c>
      <c r="M28" s="18" t="e">
        <f t="shared" si="6"/>
        <v>#DIV/0!</v>
      </c>
      <c r="N28" s="18" t="e">
        <f t="shared" si="6"/>
        <v>#DIV/0!</v>
      </c>
      <c r="O28" s="18" t="e">
        <f t="shared" si="6"/>
        <v>#DIV/0!</v>
      </c>
    </row>
    <row r="29" spans="1:15" s="19" customFormat="1" x14ac:dyDescent="0.35">
      <c r="A29" s="45" t="s">
        <v>135</v>
      </c>
      <c r="B29" s="19" t="s">
        <v>194</v>
      </c>
      <c r="O29" s="19">
        <f>+SUM(C29:N29)</f>
        <v>0</v>
      </c>
    </row>
    <row r="30" spans="1:15" s="19" customFormat="1" x14ac:dyDescent="0.35">
      <c r="A30" s="45"/>
      <c r="B30" s="19" t="s">
        <v>195</v>
      </c>
      <c r="O30" s="19">
        <f>+SUM(C30:N30)</f>
        <v>0</v>
      </c>
    </row>
    <row r="31" spans="1:15" s="19" customFormat="1" x14ac:dyDescent="0.35">
      <c r="A31" s="45"/>
      <c r="B31" s="19" t="s">
        <v>196</v>
      </c>
      <c r="C31" s="19" t="e">
        <f>+C30/C29</f>
        <v>#DIV/0!</v>
      </c>
      <c r="D31" s="19" t="e">
        <f t="shared" ref="D31:O31" si="7">+D30/D29</f>
        <v>#DIV/0!</v>
      </c>
      <c r="E31" s="19" t="e">
        <f t="shared" si="7"/>
        <v>#DIV/0!</v>
      </c>
      <c r="F31" s="19" t="e">
        <f t="shared" si="7"/>
        <v>#DIV/0!</v>
      </c>
      <c r="G31" s="19" t="e">
        <f t="shared" si="7"/>
        <v>#DIV/0!</v>
      </c>
      <c r="H31" s="19" t="e">
        <f t="shared" si="7"/>
        <v>#DIV/0!</v>
      </c>
      <c r="I31" s="19" t="e">
        <f t="shared" si="7"/>
        <v>#DIV/0!</v>
      </c>
      <c r="J31" s="19" t="e">
        <f t="shared" si="7"/>
        <v>#DIV/0!</v>
      </c>
      <c r="K31" s="19" t="e">
        <f t="shared" si="7"/>
        <v>#DIV/0!</v>
      </c>
      <c r="L31" s="19" t="e">
        <f t="shared" si="7"/>
        <v>#DIV/0!</v>
      </c>
      <c r="M31" s="19" t="e">
        <f t="shared" si="7"/>
        <v>#DIV/0!</v>
      </c>
      <c r="N31" s="19" t="e">
        <f t="shared" si="7"/>
        <v>#DIV/0!</v>
      </c>
      <c r="O31" s="19" t="e">
        <f t="shared" si="7"/>
        <v>#DIV/0!</v>
      </c>
    </row>
  </sheetData>
  <mergeCells count="8">
    <mergeCell ref="A26:A28"/>
    <mergeCell ref="A29:A31"/>
    <mergeCell ref="A5:A7"/>
    <mergeCell ref="A8:A10"/>
    <mergeCell ref="A11:A13"/>
    <mergeCell ref="A14:A16"/>
    <mergeCell ref="A20:A22"/>
    <mergeCell ref="A23:A25"/>
  </mergeCells>
  <pageMargins left="0.7" right="0.7" top="0.75" bottom="0.75" header="0.3" footer="0.3"/>
  <pageSetup paperSize="9"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C89CEB828C59F40835AC310F9ECA4F9" ma:contentTypeVersion="14" ma:contentTypeDescription="Crear nuevo documento." ma:contentTypeScope="" ma:versionID="834bb870f17eb856c2287c272c6396fe">
  <xsd:schema xmlns:xsd="http://www.w3.org/2001/XMLSchema" xmlns:xs="http://www.w3.org/2001/XMLSchema" xmlns:p="http://schemas.microsoft.com/office/2006/metadata/properties" xmlns:ns2="d609d08c-447d-45f0-8666-5019aa99bdde" xmlns:ns3="4c4871df-9d24-416f-a0bb-96d24519eaff" targetNamespace="http://schemas.microsoft.com/office/2006/metadata/properties" ma:root="true" ma:fieldsID="e397d2cb7769884739db525204e8eda9" ns2:_="" ns3:_="">
    <xsd:import namespace="d609d08c-447d-45f0-8666-5019aa99bdde"/>
    <xsd:import namespace="4c4871df-9d24-416f-a0bb-96d24519ea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ObjectDetectorVersions" minOccurs="0"/>
                <xsd:element ref="ns2:Riesgo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09d08c-447d-45f0-8666-5019aa99b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9140fb9-92a6-4db3-9538-baf718f7e9c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Riesgos" ma:index="21" nillable="true" ma:displayName="Riesgos" ma:format="Dropdown" ma:internalName="Riesgo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4871df-9d24-416f-a0bb-96d24519eaf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f5965556-5c4a-4aec-867b-5151b57fca86}" ma:internalName="TaxCatchAll" ma:showField="CatchAllData" ma:web="4c4871df-9d24-416f-a0bb-96d24519ea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c4871df-9d24-416f-a0bb-96d24519eaff">
      <UserInfo>
        <DisplayName>César Augusto Guerrero Garzón</DisplayName>
        <AccountId>41</AccountId>
        <AccountType/>
      </UserInfo>
      <UserInfo>
        <DisplayName>Ibeth Rocio Duarte Leguizamon</DisplayName>
        <AccountId>847</AccountId>
        <AccountType/>
      </UserInfo>
    </SharedWithUsers>
    <TaxCatchAll xmlns="4c4871df-9d24-416f-a0bb-96d24519eaff" xsi:nil="true"/>
    <lcf76f155ced4ddcb4097134ff3c332f xmlns="d609d08c-447d-45f0-8666-5019aa99bdde">
      <Terms xmlns="http://schemas.microsoft.com/office/infopath/2007/PartnerControls"/>
    </lcf76f155ced4ddcb4097134ff3c332f>
    <Riesgos xmlns="d609d08c-447d-45f0-8666-5019aa99bdde" xsi:nil="true"/>
  </documentManagement>
</p:properties>
</file>

<file path=customXml/itemProps1.xml><?xml version="1.0" encoding="utf-8"?>
<ds:datastoreItem xmlns:ds="http://schemas.openxmlformats.org/officeDocument/2006/customXml" ds:itemID="{22D6E736-E0A2-4DB7-B956-7ABDD7909ECC}">
  <ds:schemaRefs>
    <ds:schemaRef ds:uri="http://schemas.microsoft.com/sharepoint/v3/contenttype/forms"/>
  </ds:schemaRefs>
</ds:datastoreItem>
</file>

<file path=customXml/itemProps2.xml><?xml version="1.0" encoding="utf-8"?>
<ds:datastoreItem xmlns:ds="http://schemas.openxmlformats.org/officeDocument/2006/customXml" ds:itemID="{A27216FF-AA79-42BD-B96B-20FF692DCF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09d08c-447d-45f0-8666-5019aa99bdde"/>
    <ds:schemaRef ds:uri="4c4871df-9d24-416f-a0bb-96d24519ea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D092D3-0ADD-425D-81A6-E448C49A2629}">
  <ds:schemaRefs>
    <ds:schemaRef ds:uri="4c4871df-9d24-416f-a0bb-96d24519eaff"/>
    <ds:schemaRef ds:uri="http://schemas.microsoft.com/office/2006/documentManagement/types"/>
    <ds:schemaRef ds:uri="http://purl.org/dc/terms/"/>
    <ds:schemaRef ds:uri="http://schemas.microsoft.com/office/2006/metadata/properties"/>
    <ds:schemaRef ds:uri="http://www.w3.org/XML/1998/namespace"/>
    <ds:schemaRef ds:uri="http://purl.org/dc/elements/1.1/"/>
    <ds:schemaRef ds:uri="d609d08c-447d-45f0-8666-5019aa99bdd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Hoja3</vt:lpstr>
      <vt:lpstr>Presupuesto Inversión 2023</vt:lpstr>
      <vt:lpstr>Presupuesto Inversión 2024</vt:lpstr>
      <vt:lpstr>Anteproyecto 2025</vt:lpstr>
      <vt:lpstr>Parámetro de Control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Felipe</dc:creator>
  <cp:keywords/>
  <dc:description/>
  <cp:lastModifiedBy>Sandra Patricia Villabona Duque</cp:lastModifiedBy>
  <cp:revision/>
  <dcterms:created xsi:type="dcterms:W3CDTF">2015-06-05T18:19:34Z</dcterms:created>
  <dcterms:modified xsi:type="dcterms:W3CDTF">2024-04-23T23:20:23Z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0x0101003C89CEB828C59F40835AC310F9ECA4F9</vt:lpwstr>
  </property>
  <property fmtid="{D5CDD505-2E9C-101B-9397-08002B2CF9AE}" pid="3" name="MediaServiceImageTags">
    <vt:lpwstr/>
  </property>
</Properties>
</file>