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JANETH\CUATRENIO 2022-2026\LEGISLATURA 2023-2024\PROPOSICIONES 2023-2024\PROPOSICION No. 10 DEL 06 DE SEPTIEMBRE DE 2023\"/>
    </mc:Choice>
  </mc:AlternateContent>
  <xr:revisionPtr revIDLastSave="0" documentId="13_ncr:1_{D9E133DB-50B3-4649-9E65-044BE80DC094}" xr6:coauthVersionLast="47" xr6:coauthVersionMax="47" xr10:uidLastSave="{00000000-0000-0000-0000-000000000000}"/>
  <bookViews>
    <workbookView xWindow="-120" yWindow="-120" windowWidth="29040" windowHeight="15840" xr2:uid="{00000000-000D-0000-FFFF-FFFF00000000}"/>
  </bookViews>
  <sheets>
    <sheet name="Orinoquía" sheetId="1" r:id="rId1"/>
    <sheet name="RutaLibertadora" sheetId="3" r:id="rId2"/>
  </sheets>
  <definedNames>
    <definedName name="_xlnm._FilterDatabase" localSheetId="0" hidden="1">Orinoquía!$A$1:$M$24</definedName>
    <definedName name="_xlnm._FilterDatabase" localSheetId="1" hidden="1">RutaLibertadora!$A$1:$M$31</definedName>
    <definedName name="compe">#REF!</definedName>
    <definedName name="infra">#REF!</definedName>
    <definedName name="prom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3" l="1"/>
  <c r="J31" i="3"/>
  <c r="I31" i="3"/>
  <c r="L30" i="3"/>
  <c r="K30" i="3"/>
  <c r="J30" i="3"/>
  <c r="I30" i="3"/>
  <c r="J29" i="3"/>
  <c r="M29" i="3" s="1"/>
  <c r="L28" i="3"/>
  <c r="K28" i="3"/>
  <c r="J28" i="3"/>
  <c r="J27" i="3"/>
  <c r="M27" i="3" s="1"/>
  <c r="J26" i="3"/>
  <c r="M26" i="3" s="1"/>
  <c r="J25" i="3"/>
  <c r="M25" i="3" s="1"/>
  <c r="J24" i="3"/>
  <c r="M24" i="3" s="1"/>
  <c r="L23" i="3"/>
  <c r="M23" i="3" s="1"/>
  <c r="L22" i="3"/>
  <c r="M22" i="3" s="1"/>
  <c r="L21" i="3"/>
  <c r="J21" i="3"/>
  <c r="L20" i="3"/>
  <c r="I20" i="3"/>
  <c r="M20" i="3" s="1"/>
  <c r="L19" i="3"/>
  <c r="M19" i="3" s="1"/>
  <c r="L18" i="3"/>
  <c r="K18" i="3"/>
  <c r="J18" i="3"/>
  <c r="I18" i="3"/>
  <c r="J17" i="3"/>
  <c r="M17" i="3" s="1"/>
  <c r="J16" i="3"/>
  <c r="M16" i="3" s="1"/>
  <c r="J15" i="3"/>
  <c r="M15" i="3" s="1"/>
  <c r="J14" i="3"/>
  <c r="M14" i="3" s="1"/>
  <c r="J13" i="3"/>
  <c r="M13" i="3" s="1"/>
  <c r="J12" i="3"/>
  <c r="M12" i="3" s="1"/>
  <c r="K11" i="3"/>
  <c r="I11" i="3"/>
  <c r="L10" i="3"/>
  <c r="K10" i="3"/>
  <c r="J10" i="3"/>
  <c r="I10" i="3"/>
  <c r="K9" i="3"/>
  <c r="M9" i="3" s="1"/>
  <c r="K8" i="3"/>
  <c r="J8" i="3"/>
  <c r="K7" i="3"/>
  <c r="M7" i="3" s="1"/>
  <c r="K6" i="3"/>
  <c r="M6" i="3" s="1"/>
  <c r="L5" i="3"/>
  <c r="M5" i="3" s="1"/>
  <c r="L4" i="3"/>
  <c r="M4" i="3" s="1"/>
  <c r="K3" i="3"/>
  <c r="M3" i="3" s="1"/>
  <c r="L2" i="3"/>
  <c r="M2" i="3" s="1"/>
  <c r="L24" i="1"/>
  <c r="K24" i="1"/>
  <c r="I24" i="1"/>
  <c r="K23" i="1"/>
  <c r="L22" i="1"/>
  <c r="M22" i="1" s="1"/>
  <c r="J21" i="1"/>
  <c r="I21" i="1"/>
  <c r="K20" i="1"/>
  <c r="M20" i="1" s="1"/>
  <c r="L19" i="1"/>
  <c r="K19" i="1"/>
  <c r="J19" i="1"/>
  <c r="L18" i="1"/>
  <c r="M18" i="1" s="1"/>
  <c r="K17" i="1"/>
  <c r="M17" i="1" s="1"/>
  <c r="K16" i="1"/>
  <c r="M16" i="1" s="1"/>
  <c r="L15" i="1"/>
  <c r="K15" i="1"/>
  <c r="I15" i="1"/>
  <c r="J14" i="1"/>
  <c r="I14" i="1"/>
  <c r="K13" i="1"/>
  <c r="M13" i="1" s="1"/>
  <c r="L12" i="1"/>
  <c r="K12" i="1"/>
  <c r="J12" i="1"/>
  <c r="I12" i="1"/>
  <c r="L11" i="1"/>
  <c r="M11" i="1" s="1"/>
  <c r="K10" i="1"/>
  <c r="J10" i="1"/>
  <c r="I10" i="1"/>
  <c r="K9" i="1"/>
  <c r="M9" i="1" s="1"/>
  <c r="J8" i="1"/>
  <c r="K7" i="1"/>
  <c r="J7" i="1"/>
  <c r="J6" i="1"/>
  <c r="M6" i="1" s="1"/>
  <c r="K5" i="1"/>
  <c r="M5" i="1" s="1"/>
  <c r="J4" i="1"/>
  <c r="M4" i="1" s="1"/>
  <c r="K3" i="1"/>
  <c r="J2" i="1"/>
  <c r="M10" i="3" l="1"/>
  <c r="M18" i="3"/>
  <c r="M8" i="3"/>
  <c r="M11" i="3"/>
  <c r="M28" i="3"/>
  <c r="M21" i="3"/>
  <c r="M30" i="3"/>
  <c r="M31" i="3"/>
  <c r="M7" i="1"/>
  <c r="M10" i="1"/>
  <c r="M21" i="1"/>
  <c r="M14" i="1"/>
  <c r="M8" i="1"/>
  <c r="M19" i="1"/>
  <c r="M24" i="1"/>
  <c r="M3" i="1"/>
  <c r="M12" i="1"/>
  <c r="M2" i="1"/>
  <c r="M23" i="1"/>
  <c r="M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Duarte Trujillo</author>
  </authors>
  <commentList>
    <comment ref="F3" authorId="0" shapeId="0" xr:uid="{00000000-0006-0000-0000-000001000000}">
      <text>
        <r>
          <rPr>
            <b/>
            <sz val="9"/>
            <color indexed="81"/>
            <rFont val="Tahoma"/>
            <family val="2"/>
          </rPr>
          <t>Estaba $695.052.411</t>
        </r>
      </text>
    </comment>
    <comment ref="G10" authorId="0" shapeId="0" xr:uid="{00000000-0006-0000-0000-000002000000}">
      <text>
        <r>
          <rPr>
            <sz val="9"/>
            <color indexed="81"/>
            <rFont val="Tahoma"/>
            <family val="2"/>
          </rPr>
          <t>Municipios sumados a departamentos menos Bogotá</t>
        </r>
        <r>
          <rPr>
            <b/>
            <sz val="9"/>
            <color indexed="81"/>
            <rFont val="Tahoma"/>
            <family val="2"/>
          </rPr>
          <t xml:space="preserve">
Departamento / Municipio Metraje
</t>
        </r>
        <r>
          <rPr>
            <sz val="9"/>
            <color indexed="81"/>
            <rFont val="Tahoma"/>
            <family val="2"/>
          </rPr>
          <t xml:space="preserve">Antioquia   127,50 
Arauca     33,00 
Atlántico     60,00 
   Barranquilla     84,00 
Bogotá   135,00 
Bolívar     33,75 
   Cartagena   128,25 
Boyacá   108,00 
Caldas     82,50 
Casanare     81,00 
Cauca     60,00 
Cesar     81,00 
Córdoba     81,00 
Cundinamarca   108,00 
Huila     82,50 
La Guajira     60,50 
   Riohacha     57,75 
Magdalena     33,75 
   Santa Marta   128,25 
Meta   105,00 
Nariño     81,00 
Norte de Santander     82,50 
Quindío   106,40 
Risaralda     82,50 
Santander   105,00 
Sucre     81,00 
Tolima   108,00 
Valle del Cauca     82,50 
   Cali   105,00 </t>
        </r>
      </text>
    </comment>
    <comment ref="G11" authorId="0" shapeId="0" xr:uid="{00000000-0006-0000-0000-000003000000}">
      <text>
        <r>
          <rPr>
            <b/>
            <sz val="9"/>
            <color indexed="81"/>
            <rFont val="Tahoma"/>
            <family val="2"/>
          </rPr>
          <t xml:space="preserve">Departamento / Municipio Metraje
</t>
        </r>
        <r>
          <rPr>
            <sz val="9"/>
            <color indexed="81"/>
            <rFont val="Tahoma"/>
            <family val="2"/>
          </rPr>
          <t>Amazonas  54,00 
Archipiélago de San Andrés, Providencia y Santa Catalina  270,00 
Caquetá  33,00 
Chocó  60,00 
Guainía  33,00 
Guaviare  33,00 
Putumayo  54,00 
   (Valle del Cauca) Buenaventura  33,00 
Vaupés  33,00 
Vichada  33,00 
Total  636,00</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Adriana Duarte Trujillo</author>
  </authors>
  <commentList>
    <comment ref="G10" authorId="0" shapeId="0" xr:uid="{00000000-0006-0000-0100-000001000000}">
      <text>
        <r>
          <rPr>
            <sz val="9"/>
            <color indexed="81"/>
            <rFont val="Tahoma"/>
            <family val="2"/>
          </rPr>
          <t>Municipios sumados a departamentos menos Bogotá</t>
        </r>
        <r>
          <rPr>
            <b/>
            <sz val="9"/>
            <color indexed="81"/>
            <rFont val="Tahoma"/>
            <family val="2"/>
          </rPr>
          <t xml:space="preserve">
Departamento / Municipio Metraje
</t>
        </r>
        <r>
          <rPr>
            <sz val="9"/>
            <color indexed="81"/>
            <rFont val="Tahoma"/>
            <family val="2"/>
          </rPr>
          <t xml:space="preserve">Antioquia   127,50 
Arauca     33,00 
Atlántico     60,00 
   Barranquilla     84,00 
Bogotá   135,00 
Bolívar     33,75 
   Cartagena   128,25 
Boyacá   108,00 
Caldas     82,50 
Casanare     81,00 
Cauca     60,00 
Cesar     81,00 
Córdoba     81,00 
Cundinamarca   108,00 
Huila     82,50 
La Guajira     60,50 
   Riohacha     57,75 
Magdalena     33,75 
   Santa Marta   128,25 
Meta   105,00 
Nariño     81,00 
Norte de Santander     82,50 
Quindío   106,40 
Risaralda     82,50 
Santander   105,00 
Sucre     81,00 
Tolima   108,00 
Valle del Cauca     82,50 
   Cali   105,00 </t>
        </r>
      </text>
    </comment>
  </commentList>
</comments>
</file>

<file path=xl/sharedStrings.xml><?xml version="1.0" encoding="utf-8"?>
<sst xmlns="http://schemas.openxmlformats.org/spreadsheetml/2006/main" count="238" uniqueCount="152">
  <si>
    <t>Boyacá</t>
  </si>
  <si>
    <t>Casanare</t>
  </si>
  <si>
    <t>Cundinamarca</t>
  </si>
  <si>
    <t>Meta</t>
  </si>
  <si>
    <t>Código del Proyecto</t>
  </si>
  <si>
    <t>Vigencia</t>
  </si>
  <si>
    <t>Nombre del Proyecto</t>
  </si>
  <si>
    <t>Valor Total del Proyecto</t>
  </si>
  <si>
    <t>Valor de contrapartida por el proponente</t>
  </si>
  <si>
    <t>Valor Aprobado Comité Directivo</t>
  </si>
  <si>
    <t>Departamento de impacto del proyecto</t>
  </si>
  <si>
    <t>Municipios que impacta el proyecto</t>
  </si>
  <si>
    <t xml:space="preserve">  Arauca </t>
  </si>
  <si>
    <t xml:space="preserve">  Boyacá </t>
  </si>
  <si>
    <t xml:space="preserve">  Casanare </t>
  </si>
  <si>
    <t xml:space="preserve">  Cundinamarca </t>
  </si>
  <si>
    <t xml:space="preserve">  Meta </t>
  </si>
  <si>
    <t xml:space="preserve">  Vichada </t>
  </si>
  <si>
    <t xml:space="preserve"> Región Orinoquia </t>
  </si>
  <si>
    <t>[Cundinamarca] Todos los municipios</t>
  </si>
  <si>
    <t>Construcción del Parque Interactivo Floralia, en el municipio de Fusagasugá, departamento de Cundinamarca</t>
  </si>
  <si>
    <t>[Meta] Granada</t>
  </si>
  <si>
    <t>Arauca; Casanare; Guainía; Guaviare; Meta; Vaupés; Vichada</t>
  </si>
  <si>
    <t>Arauca; Boyacá; Casanare; Cundinamarca; Santander</t>
  </si>
  <si>
    <t>FNTP-071-2022</t>
  </si>
  <si>
    <t xml:space="preserve">Promoción turística del municipio de Villa de San Diego de Ubaté, a través de estrategias digitales para el fortalecimiento del sector turismo 2022 </t>
  </si>
  <si>
    <t>[Cundinamarca] Villa de San Diego de Ubaté</t>
  </si>
  <si>
    <t>FNTP-063-2022</t>
  </si>
  <si>
    <t>Promoción turística nacional de Monterrey - Casanare como destino turístico cultural 2022</t>
  </si>
  <si>
    <t>[Casanare] Monterrey</t>
  </si>
  <si>
    <t>FNTP-087-2022</t>
  </si>
  <si>
    <t>Promoción turística y cultural, Vamos Pá Choachí 2022</t>
  </si>
  <si>
    <t>[Cundinamarca] Choachí</t>
  </si>
  <si>
    <t>FNTP-091-2022</t>
  </si>
  <si>
    <t>Agenda académica Showroom Hotelero y Gastronómico: Turismo, Gastronomía y Desarrollo: Hoteles y Restaurantes de cara a los ODS</t>
  </si>
  <si>
    <t>FNTP-196-2022</t>
  </si>
  <si>
    <t>Promoción turística nacional del municipio de La Macarena, Meta como destino de naturaleza de clase mundial 2022</t>
  </si>
  <si>
    <t>[Meta] La Macarena</t>
  </si>
  <si>
    <t>FNTP-064-2022</t>
  </si>
  <si>
    <t>Implementación de la NTS-TS-001-1 en el marco del Pacto Bicentenario en los municipios de Nunchía, Pore y Támara - Casanare</t>
  </si>
  <si>
    <t>[Casanare] Nunchía; Pore; Támara</t>
  </si>
  <si>
    <t>FNTP-148-2022</t>
  </si>
  <si>
    <t>Diseño de producto turístico del municipio de Granada, Meta</t>
  </si>
  <si>
    <t>FNTP-133-2022</t>
  </si>
  <si>
    <t>Fortalecimiento de la ruta turística Territorio Vorágine, a través de talleres formativos en el municipio de Orocué</t>
  </si>
  <si>
    <t>[Casanare] Orocué</t>
  </si>
  <si>
    <t>FNTP-140-2022</t>
  </si>
  <si>
    <t>Elaboración y/o actualización de los inventarios turísticos de municipios que hacen parte de la estrategia Gestión Integral de Destinos</t>
  </si>
  <si>
    <t>Antioquia; Atlántico; Bolívar; Boyacá; Caldas; Caquetá; Casanare; Cauca; Chocó; Córdoba; Huila; Meta; Nariño; Norte de Santander; Putumayo; Quindío; Risaralda; Santander; Sucre; Tolima; Valle del Cauca</t>
  </si>
  <si>
    <t>[Antioquia] Barbosa; Belmira; Caucasia; Ciudad Bolívar; Concepción; Donmatías; Entrerríos; Frontino; Gómez Plata; Ituango; La Pintada; La Unión; Puerto Berrío; San José de la Montaña; San Juan de Urabá; Santa Rosa de Osos; Urrao; [Atlántico] Piojó; Suan; [Bolívar] Arjona; Magangué; María la Baja; [Boyacá] Arcabuco; Boavita; Gachantivá; Guacamayas; Güicán de la Sierra; La Uvita; Moniquirá; Pesca; Puerto Boyacá; Sáchica; Santa Sofía; [Caldas] La dorada; Norcasia; Samaná; Victoria; [Caquetá] Albania; Cartagena del Chairá; El Doncello; El Paujíl; Milán; Puerto Rico; San Vicente del Caguán; Solano; Valparaíso; [Casanare] Chámeza; Recetor; [Cauca] Caloto; La Sierra; La Vega; Rosas; Sotara; Toribío; Totoró; [Chocó] Cértegui; Condoto; Istmina; San José del Palmar; Sipí; Tadó; Unión Panamericana; [Córdoba] Cereté; Montelíbano; Puerto Libertador; San José de Uré; Tierralta; Valencia; [Huila] Altamira; Gigante; La Plata; Timaná; [Meta] Cabuyaro; Castilla la Nueva; Cumaral; El Calvario; El Castillo; El Dorado; Fuente de Oro; Granada; Mapiripán; Puerto Concordia; Puerto Lleras; Puerto Rico; San Carlos de Guaroa; San Juanito; Uribe; [Nariño] Barbacoas; Consacá; Cumbitara; El Rosario; El Tambo; Guachucal; Guaitarilla; Ricaurte; Yacuanquer; [Norte de Santander] Ábrego; Arboledas; Bochalema; Durania; [Putumayo] Puerto Asís; Puerto Leguízamo; [Quindío] Circasia; Córdoba; Génova; La Tebaida; [Risaralda] Apía; Balboa; Belén de Umbría; Guática; La Celia; La Virginia; Mistrató; Quinchía; [Santander] Guadalupe; Málaga; Pinchote; [Sucre] Galeras; Los Palmitos; Ovejas; San Juan de Betulia; San Luis de Sincé; Sucre; [Tolima] Alvarado; Anzoátegui; Armero; Cajamarca; Chaparral; Cunday; Espinal; Falan; Guamo; Icononzo; Planadas; San Luis; Valle de San Juan; Venadillo; [Valle del Cauca] Argelia; Bolívar; Caicedonia; Dagua; El Águila; La Victoria; Palmira; Pradera; Riofrío; San Pedro; Trujillo; Ulloa; Zarzal</t>
  </si>
  <si>
    <t>FNTP-218-2022</t>
  </si>
  <si>
    <t>III Encuentro Nacional de Turismo Receptivo 2022</t>
  </si>
  <si>
    <t>[Casanare] Yopal</t>
  </si>
  <si>
    <t>FNTP-241-2022</t>
  </si>
  <si>
    <t>Promoción turística nacional de Villavicencio - Meta como puerta del llano y destino turístico 2022</t>
  </si>
  <si>
    <t>[Meta] Villavicencio</t>
  </si>
  <si>
    <t>FNTP-260-2022</t>
  </si>
  <si>
    <t>Participación en la Versión 42 de la Vitrina Turística de Anato 2023 para los departamentos de Antioquia, Atlántico, Arauca, Bolívar, Boyacá, Caldas, Casanare, Cesar, Cauca, Córdoba, Cundinamarca, Huila, La Guajira, Magdalena, Meta, Nariño, Norte de Santander, Quindío, Risaralda, Santander, Sucre, Tolima y Valle del Cauca y los Distritos Especiales de Turismo de Bogotá, Santa Marta, Cali, Riohacha, Cartagena y Barranquilla.</t>
  </si>
  <si>
    <t>Antioquia; Arauca; Atlántico; Bogotá, D.C.; Bolívar; Boyacá; Caldas; Casanare; Cauca; Cesar; Córdoba; Cundinamarca; Huila; La Guajira; Magdalena; Meta, Nariño; Norte de Santander; Quindío; Risaralda; Santander; Sucre; Tolima; Valle del Cauca</t>
  </si>
  <si>
    <t>[Antioquia] Todos los municipios; [Arauca] Todos los municipios; [Atlántico] Todos los municipios; Barranquilla; [Bogotá, D.C.] Todos los municipios; [Bolívar] Todos los municipios; Cartagena; [Boyacá] Todos los municipios; [Caldas] Todos los municipios; [Casanare] Todos los municipios; [Cauca] Todos los municipios; [Cesar] Todos los municipios; [Córdoba] Todos los municipios; [Cundinamarca] Todos los municipios; [Huila] Todos los municipios; [La Guajira] Todos los municipios; Riohacha; [Magdalena] Todos los municipios; Santa Marta; [Meta] Todos los municipios; [Nariño] Todos los municipios; [Norte de Santander] Todos los municipios; [Quindío] Todos los municipios; [Risaralda] Todos los municipios; [Santander] Todos los municipios; [Sucre] Todos los municipios; [Tolima] Todos los municipios; [Valle del Cauca] Todos los municipios; Cali</t>
  </si>
  <si>
    <t>FNTP-261-2022</t>
  </si>
  <si>
    <t>Participación en la Versión 42 de la Vitrina Turística de Anato 2023 para los departamentos de Amazonas, Caquetá, Chocó, Guainía, Guaviare, San Andrés, Putumayo, Vaupés, Vichada y el distrito de Buenaventura</t>
  </si>
  <si>
    <t>Amazonas; Archipiélago de San Andrés, Providencia y Santa Catalina; Caquetá; Chocó; Guainía; Guaviare; Putumayo; Valle del Cauca; Vaupés; Vichada</t>
  </si>
  <si>
    <t>[Amazonas] Todos los municipios; [Archipiélago de San Andrés, Providencia y Santa Catalina] Todos los municipios; [Caquetá] Todos los municipios; [Chocó] Todos los municipios; [Guainía] Todos los municipios; [Guaviare] Todos los municipios; [Putumayo] Todos los municipios; [Valle del Cauca] Buenaventura; [Vaupés] Todos los municipios; [Vichada] Todos los municipios</t>
  </si>
  <si>
    <t>FNTP-066-2022</t>
  </si>
  <si>
    <t>Rutas de Aviturismo de los Llanos y la Orinoquía</t>
  </si>
  <si>
    <t>[Arauca] Todos los departamentos; [Casanare] Todos los departamentos; [Guainía] Todos los departamentos; [Guaviare] Todos los departamentos; [Meta] Todos los departamentos; [Vaupés] Todos los departamentos; [Vichada] Todos los departamentos</t>
  </si>
  <si>
    <t>FNTP-171-2022</t>
  </si>
  <si>
    <t>Promoción turística del municipio de Paipa a través de la marca regional “Marca Paipa: estar aquí te hace bien"</t>
  </si>
  <si>
    <t>[Boyacá] Paipa</t>
  </si>
  <si>
    <t>FNTP-144-2022</t>
  </si>
  <si>
    <t>Certificación y mantenimiento de la NTS-TS-001-1 en el marco de la estrategia de calidad turística</t>
  </si>
  <si>
    <t>Amazonas; Atlántico; Boyacá; Guaviare; Nariño</t>
  </si>
  <si>
    <t>[Amazonas] Puerto Nariño; [Atlántico] Usiacurí; [Boyacá] Aquitania; Cuítiva; Tota; [Guaviare] San José del Guaviare; [Nariño] Sandoná</t>
  </si>
  <si>
    <t>FNTP-247-2022</t>
  </si>
  <si>
    <t>Fortalecimiento competitivo del astroturismo en Villa de Leyva en el marco del XXVI Festival de Astronomía de Villa de Leyva, Boyacá</t>
  </si>
  <si>
    <t>[Boyacá] Villa de Leyva</t>
  </si>
  <si>
    <t>FNTP-250-2022</t>
  </si>
  <si>
    <t>Implementación y certificación de Villa de Leyva como Pueblo Starlight</t>
  </si>
  <si>
    <t>FNTP-023-2023</t>
  </si>
  <si>
    <t xml:space="preserve">Promoción nacional del municipio de Sáchica a través de la celebración de la Semana Santa en Vivo 2023 en su Versión No. 64 </t>
  </si>
  <si>
    <t>[Boyacá] Sáchica</t>
  </si>
  <si>
    <t>FNTP-024-2023</t>
  </si>
  <si>
    <t>Diseño de Planes de Ordenamiento Ecoturístico (POE)  para el aprovechamiento socio-económico de 3 áreas naturales protegidas de Parques Nacionales Naturales ubicadas en Chocó, Santander, Boyacá y Nariño</t>
  </si>
  <si>
    <t>Boyacá; Chocó; Nariño; Santander</t>
  </si>
  <si>
    <t>[Boyacá] Duitama; [Chocó] Acandí; [Nariño] San Andrés de Tumaco; [Santander] Charalá; Encino; Gámbita</t>
  </si>
  <si>
    <t>FNTP-026-2023</t>
  </si>
  <si>
    <t>Actualización de Planes de Ordenamiento Ecoturístico (POE) para el aprovechamiento socio-económico de 7 áreas naturales protegidas de Parques Nacionales Naturales en Bolívar y Sucre, Archipiélago de San Andrés y Providencia, Magdalena, Risaralda, Tolima, Caldas, Huila y Caquetá, Guaviare, Meta.</t>
  </si>
  <si>
    <t>Archipiélago de San Andrés, Providencia y Santa Catalina; Bolívar; Caldas; Caquetá; Cauca; Guaviare; Huila; Magdalena; Meta; Risaralda; Tolima; Valle del Cauca</t>
  </si>
  <si>
    <t>[Archipiélago de San Andrés, Providencia y Santa Catalina] Providencia; [Bolívar] Cartagena de Indias; [Caldas] Villamaría; [Caquetá] San José del Fragua; [Cauca] Guapí; [Guaviare] San José del Guaviare; [Huila] Acevedo; [Magdalena] Santa Marta; [Meta] La Macarena; Puerto Rico; Vistahermosa; [Risaralda] Pereira; [Tolima] Santa Isabel; [Valle del Cauca] Buenaventura</t>
  </si>
  <si>
    <t>FNTP-040-2023</t>
  </si>
  <si>
    <t>Implementación de señalización turística digital en los Municipios de la Ruta Libertadora - Fase I</t>
  </si>
  <si>
    <t>[Arauca] Todos los municipios; [Boyacá] Todos los municipios; [Casanare] Todos los municipios; [Cundinamarca] Todos los municipios; [Santander] Todos los municipios</t>
  </si>
  <si>
    <t>AD1-FNTP-101-2019</t>
  </si>
  <si>
    <t>[Cundinamarca] Fusagasugá</t>
  </si>
  <si>
    <t>FNTP-057-2023</t>
  </si>
  <si>
    <t>Fortalecimiento del Turismo en Territorios Turísticos de Paz</t>
  </si>
  <si>
    <t>Antioquia; Arauca; Bolívar; Caquetá; Cauca; Cesar; Chocó; Cundinamarca; Guaviare; La Guajira; Magdalena; Meta; Nariño; Putumayo; Santander; Sucre; Valle del Cauca; Vichada</t>
  </si>
  <si>
    <t>[Antioquia] Dabeiba; Mutatá; Necoclí; San Pedro de Urabá; Turbo; [Arauca] Arauquita; Saravena; Tame; [Bolívar] Córdoba; El Carmen de Bolívar; El Guamo; María la Baja; San Jacinto; San Juan Nepomuceno; Zambrano; [Caquetá] Belén de los Andaquíes; Cartagena del Chairá; El Doncello; El Paujíl; Florencia; La Montañita; Milán; Morelia; Puerto Rico; San José del Fragua; San Vicente del Caguán; [Cauca] Miranda; Puracé; Santander de Quilichao; Silvia; Suárez; [Cesar] Agustín Codazzi; Becerril; La Jagua de Ibirico; La Paz; Manaure Balcón del Cesar; Pueblo Bello; San Diego; Valledupar; [Chocó] Acandí; Nuquí; Riosucio; Unguía; [Cundinamarca] Todos los municipios; [Guaviare] San José del Guaviare; [La Guajira] Dibulla; Fonseca; San Juan del Cesar; [Magdalena] Aracataca; Ciénaga; Fundación; Santa Marta; [Meta] La Macarena; Lejanías; Mesetas; Puerto Rico; San Juan de Arama; Uribe; Vistahermosa; [Nariño] Barbacoas; Francisco Pizarro; Magüí; Roberto Payán; San Andrés de Tumaco; [Putumayo] Mocoa; Orito; Puerto Asís; Puerto Caicedo; Puerto Guzmán; Puerto Leguízamo; San Miguel; Valle del Guamuez; Villagarzón; [Santander] Todos los municipios; [Sucre] Chalán; Colosó; Morroa; Ovejas; Palmito; San Onofre; Tolú Viejo; [Valle del Cauca] Buenaventura; Todos los municipios; [Vichada] Cumaribo; Puerto Carreño</t>
  </si>
  <si>
    <t>FNTP-055-2023</t>
  </si>
  <si>
    <t>AdventureNEXT Latin America 2023</t>
  </si>
  <si>
    <t>Bogotá, D.C.; Boyacá; Cundinamarca; Huila; Meta; Tolima</t>
  </si>
  <si>
    <t>[Bogotá, D.C.] Bogotá, D.C.; [Boyacá] Ráquira; Villa de Leyva; [Cundinamarca] Cáqueza; Guasca; La Calera; Sesquilé; Zipaquirá; [Huila] Pitalito; Rivera; San Agustín; Villavieja; [Meta] Guamal; Mesetas; Villavicencio; [Tolima] Espinal; Guamo; Ibagué</t>
  </si>
  <si>
    <t>FNTP-021-2023</t>
  </si>
  <si>
    <t>Diseño de la "Ruta Turística del Dulce" (La Ruta Dulce) de los departamentos de Caldas, Cauca, Cundinamarca, Huila, Magdalena, Nariño y Valle del Cauca</t>
  </si>
  <si>
    <t>Caldas; Cauca; Cundinamarca; Huila; Magdalena; Nariño; Valle del Cauca</t>
  </si>
  <si>
    <t>[Caldas] Manizales; [Cauca]Santander de Quilichao; [Cundinamarca] Albán; La Peña; La Vega; Nimaima; Nocaima; Quebradanegra; San Francisco; Sasaima; Supatá; Útica; Vergara; Villeta; [Huila] Isnos; [Magdalena] Santa Marta; [Nariño] Ricaurte; [Valle del Cauca] Buenaventura</t>
  </si>
  <si>
    <t>FNTP-048-2023</t>
  </si>
  <si>
    <t>Desarrollo de la agenda académica en el marco del evento Showroom Hotelero y Gastronómico, en Bogotá - Cundinamarca</t>
  </si>
  <si>
    <t>FNTP-077-2023</t>
  </si>
  <si>
    <t>Ejecución de un diplomado en diseño de experiencias creativas y turismo cultural en los municipios de Santa Cruz de Mompox (Bolívar), San Martín (Meta), Barichara (Santander), Calima (Valle del Cauca), Mocoa (Putumayo), Valledupar (Cesar), San José del Guaviare (Guaviare) y San Andrés de Tumaco (Nariño)</t>
  </si>
  <si>
    <t>Bolívar; Cesar; Guaviare; Meta; Nariño; Putumayo; Santander; Valle del Cauca</t>
  </si>
  <si>
    <t>[Bolívar] Santa Cruz de Mompós; [Cesar] Valledupar; [Guaviare] San José del Guaviare; [Meta] San Martín; [Nariño] San Andrés de Tumaco; [Putumayo] Mocoa; [Santander] Barichara; [Valle del Cauca] Calima</t>
  </si>
  <si>
    <t>FNTP-122-2023</t>
  </si>
  <si>
    <t>Definición de las potencialidades para el fortalecimiento de las capacidades turísticas de la Provincia del Alto Ricaurte en el departamento de Boyacá</t>
  </si>
  <si>
    <t>[Boyacá] Gachantivá; Ráquira; Sáchica; Santa Sofía; Sutamarchán; Tinjacá; Villa de Leyva</t>
  </si>
  <si>
    <t>FNTP-139-2023</t>
  </si>
  <si>
    <t>Fortalecimiento de la red de información turística mediante señalética digital turística en 10 aeropuertos de Colombia</t>
  </si>
  <si>
    <t>Amazonas; Archipiélago de San Andrés, Providencia y Santa Catalina; Chocó; Guainía; Guaviare; Huila; Nariño; Vichada</t>
  </si>
  <si>
    <t>[Amazonas] Leticia; [Archipiélago de San Andrés, Providencia y Santa Catalina] Providencia; San Andrés; [Chocó] Bahía Solano; Nuquí; [Guainía] Inírida; [Guaviare] San José del Guaviare; [Huila] Pitalito; [Nariño] Ipiales; [Vichada] Puerto Carreño</t>
  </si>
  <si>
    <t>FNTP-119-2023</t>
  </si>
  <si>
    <t>Embellecimiento de la infraestructura turística de los centros fundacionales en los municipios de Santa Sofia, Sáchica y Buenavista</t>
  </si>
  <si>
    <t xml:space="preserve">[Boyacá] Buenavista; Sáchica; Santa Sofía	</t>
  </si>
  <si>
    <t>FNTP-121-2023</t>
  </si>
  <si>
    <t>Estudios y diseños para construcción del Parque Lineal "Pasos de Libertad" de Santa Rosa de Viterbo, Boyacá</t>
  </si>
  <si>
    <t>[Boyacá] Santa Rosa de Viterbo</t>
  </si>
  <si>
    <t>FNTP-123-2023</t>
  </si>
  <si>
    <t>Estudios y diseños para la construcción de un Centro de Interpretación Turístico para albergar el Fósil Pliosaurio en Sáchica - Boyacá</t>
  </si>
  <si>
    <t>FNTP-064-2023</t>
  </si>
  <si>
    <t>Feria especializada de turismo, Sexta Versión Colombia Travel Expo 2023</t>
  </si>
  <si>
    <t>Amazonas; Antioquia; Archipiélago de San Andrés, Providencia y Santa Catalina; Atlántico; Bogotá, D.C.; Bolívar; Boyacá; Caldas; Caquetá; Casanare; Chocó; Córdoba; Cundinamarca; Guainía; Guaviare; Huila; La Guajira; Magdalena; Meta; Nariño; Norte de Santander; Putumayo; Quindío; Risaralda; Santander; Sucre; Valle del Cauca; Vaupés; Vichada</t>
  </si>
  <si>
    <t>[Amazonas] Todos los municipios; [Antioquia] Amagá; Apartadó; Bello; Caldas; Guarne; Guatapé; Jardín; Jericó; Peñol; Rionegro; Sabaneta; San Carlos; San Rafael; Sonsón; Támesis; Titiribí; [Archipiélago de San Andrés, Providencia y Santa Catalina] San Andrés; [Atlántico] Barranquilla; Usiacurí; [Bogotá, D.C.] Bogotá, D.C.; [Bolívar] Cartagena de Indias; [Boyacá] Todos los municipios; [Caldas] Todos los municipios; [Caquetá] Todos los municipios; [Casanare] Todos los municipios; [Chocó] Todos los municipios; [Córdoba] Montería; [Cundinamarca] Todos los municipios; [Guainía] Todos los municipios; [Guaviare] El Retorno; San José del Guaviare; [Huila] Todos los municipios; [La Guajira] Todos los municipios; [Magdalena] Santa Marta; [Meta] Granada; Villavicencio; Todos los municipios; [Nariño] Pasto; [Norte de Santander] Todos los municipios; [Putumayo] Todos los municipios; [Quindío] Todos los municipios; [Risaralda] Pereira; Santa Rosa de Cabal; [Santander] Barichara; Todos los municipios; [Sucre] Santiago de Tolú; [Valle del Cauca] Cali; Calima; Cartago; Ginebra; Guadalajara de Buga; La Unión; Yotoco; [Vaupés] Todos los municipios; [Vichada] Todos los municipios</t>
  </si>
  <si>
    <t>FNTP-073-2023</t>
  </si>
  <si>
    <t>Promoción turística del municipio de Granada a través del fortalecimiento del Festival de La Cosecha Llanera</t>
  </si>
  <si>
    <t>FNTP-109-2023</t>
  </si>
  <si>
    <t>Apoyo para la promoción del concurso los Pueblos Más Lindos de Boyacá</t>
  </si>
  <si>
    <t>[Boyacá] Arcabuco; Belén; Berbeo; Chinavita; Chíquiza; El Cocuy; Floresta; Guacamayas; Iza; Jenesano; Paipa; Pesca; Pisba; Ráquira; Saboyá; Santa Sofía; Tibasosa; Tuta; Ventaquemada; Villa de Leyva</t>
  </si>
  <si>
    <t>FNTP-133-2023</t>
  </si>
  <si>
    <t>Estructuración y puesta en marcha de la Ruta Turística asociada a los hechos de la independencia y la Campaña Libertadora en 40 municipios de los departamentos de Cundinamarca, Boyacá, Casanare, Arauca, Santander y Norte de Santander</t>
  </si>
  <si>
    <t>Arauca; Bogotá, D.C.; Boyacá; Casanare; Cundinamarca; Norte de Santander; Santander</t>
  </si>
  <si>
    <t>[Arauca] Arauca; Tame; [Bogotá, D.C.] Bogotá, D.C.; [Boyacá] Belén; Betéitiva; Cerinza; Chivatá; Corrales; Duitama; Gámeza; Paipa; Paya; Pisba; Santa Rosa de Viterbo; Socha; Tasco; Toca; Tunja; Tuta; Tutazá; Ventaquemada; [Casanare] Hato Corozal; Nunchía; Paz de Ariporo; Pore; Támara; [Cundinamarca] Cajicá; Chía; Chocontá; Nemocón; Suesca; Villapinzón; Zipaquirá; [Norte de Santander] Ocaña; Pamplona; San José de Cúcuta; Villa del Rosario; [Santander] Charalá; El Socorro; Pinchote</t>
  </si>
  <si>
    <t>FNTP-141-2023</t>
  </si>
  <si>
    <t>Realización de viajes de familiarización y ruedas de negocios regionales para agencias de viajes y el sector turismo en los departamentos de Antioquia, Córdoba, Vichada, Vaupés, Guaviare, Caquetá, Guainía, Chocó, y San Andrés y Providencia</t>
  </si>
  <si>
    <t>Antioquia; Archipiélago de San Andrés, Providencia y Santa Catalina; Caquetá; Chocó; Córdoba; Guainía; Guaviare; Vaupés; Vichada</t>
  </si>
  <si>
    <t>[Antioquia] Todos los municipios; [Archipiélago de San Andrés, Providencia y Santa Catalina] Todos los municipios; [Caquetá] Todos los municipios; [Chocó] Todos los municipios; [Córdoba] Todos los municipios; [Guainía] Todos los municipios; [Guaviare] Todos los municipios; [Vaupés] Todos los municipios; [Vichada] Todos los municipios</t>
  </si>
  <si>
    <t>FNTP-176-2023</t>
  </si>
  <si>
    <t>Promoción turística nacional del departamento del Meta, en el marco 55 Torneo Internacional del Joropo 2023</t>
  </si>
  <si>
    <t>FNTP-196-2023</t>
  </si>
  <si>
    <t>Construcción de embarcaderos para fortalecer el turismo regional y la conectividad fluvial en Colombia</t>
  </si>
  <si>
    <t>Antioquia; Arauca; Atlántico; Bolívar; Boyacá; Caldas; Caquetá; Cauca; Cesar; Chocó; Córdoba; Cundinamarca; Guainía; Guaviare; Huila; La Guajira; Magdalena; Meta; Nariño; Putumayo; Santander; Sucre; Tolima; Valle del Cauca; Vaupés; Vichada</t>
  </si>
  <si>
    <t>[Antioquia] Cocorná; Puerto Berrío; Puerto Triunfo; San Juan de Urabá; Vigía del Fuerte; Zaragoza; [Arauca] Arauca; Arauquita; Cravo Norte; Puerto Rondón; [Atlántico] Campo de la Cruz; Repelón; Suan; [Bolívar] Arenal; Barranco de Loba; Calamar; Cantagallo; Cicuco; El Guamo; Hatillo de Loba; Magangué; Margarita; María la Baja; Morales; Pinillos; Regidor; Río Viejo; San Fernando; San Martín de Loba; Santa Cruz de Mompós; Talaigua Nuevo; Zambrano; [Boyacá] Aquitania; Puerto Boyacá; [Caldas] Norcasia; [Caquetá] Cartagena del Chairá; [Cauca] Guapí; Suárez; Timbiquí; [Cesar] Gamarra; La Gloria; Tamalameque; [Chocó] Istmina; Quibdó; Riosucio; [Córdoba] Ayapel; Santa Cruz de Lorica; [Cundinamarca] Puerto Salgar; [Guainía] Barrancominas; Inírida; [Guaviare] San José del Guaviare; [Huila] Yaguará; [La Guajira] Dibulla; [Magdalena] Cerro de San Antonio; Plato; Puebloviejo; Salamina; San Sebastián de Buenavista; Santa Bárbara de Pinto; Sitionuevo; [Meta] Puerto Gaitán; [Nariño] Pasto; [Putumayo] Mocoa; Puerto Asís; Puerto Leguízamo; [Santander] Barrancabermeja; Betulia; Puerto Parra; Puerto Wilches; [Sucre] Caimito; San Benito Abad; [Tolima] Ambalema; Coyaima; Flandes; Natagaima; Prado; Suárez; [Valle del Cauca] Calima; [Vaupés] Mitú; [Vichada] Puerto Carreño</t>
  </si>
  <si>
    <t>Ruta Libertadora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</si>
</sst>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164" formatCode="_-&quot;$&quot;* #,##0_-;\-&quot;$&quot;* #,##0_-;_-&quot;$&quot;* &quot;-&quot;_-;_-@_-"/>
    <numFmt numFmtId="165" formatCode="_(&quot;$&quot;\ * #,##0.00_);_(&quot;$&quot;\ * \(#,##0.00\);_(&quot;$&quot;\ * &quot;-&quot;??_);_(@_)"/>
    <numFmt numFmtId="166" formatCode="_(&quot;$&quot;\ * #,##0_);_(&quot;$&quot;\ * \(#,##0\);_(&quot;$&quot;\ * &quot;-&quot;??_);_(@_)"/>
    <numFmt numFmtId="167" formatCode="_-&quot;$&quot;* #,##0.00_-;\-&quot;$&quot;* #,##0.00_-;_-&quot;$&quot;* &quot;-&quot;??_-;_-@_-"/>
    <numFmt numFmtId="168" formatCode="_-&quot;$&quot;\ * #,##0_-;\-&quot;$&quot;\ * #,##0_-;_-&quot;$&quot;\ * &quot;-&quot;??_-;_-@_-"/>
  </numFmts>
  <fonts count="11" x14ac:knownFonts="1">
    <font>
      <sz val="11"/>
      <color theme="1"/>
      <name val="Calibri"/>
      <family val="2"/>
      <scheme val="minor"/>
    </font>
    <font>
      <sz val="11"/>
      <color theme="1"/>
      <name val="Calibri"/>
      <family val="2"/>
      <scheme val="minor"/>
    </font>
    <font>
      <sz val="11"/>
      <color rgb="FF9C5700"/>
      <name val="Calibri"/>
      <family val="2"/>
      <scheme val="minor"/>
    </font>
    <font>
      <sz val="9"/>
      <name val="Calibri"/>
      <family val="2"/>
    </font>
    <font>
      <sz val="9"/>
      <color theme="1"/>
      <name val="Calibri"/>
      <family val="2"/>
    </font>
    <font>
      <b/>
      <sz val="9"/>
      <color rgb="FFA21984"/>
      <name val="Calibri"/>
      <family val="2"/>
    </font>
    <font>
      <b/>
      <sz val="9"/>
      <name val="Calibri"/>
      <family val="2"/>
    </font>
    <font>
      <sz val="10"/>
      <name val="Arial"/>
      <family val="2"/>
    </font>
    <font>
      <sz val="11"/>
      <color indexed="8"/>
      <name val="Calibri"/>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rgb="FFCCCCFF"/>
        <bgColor indexed="64"/>
      </patternFill>
    </fill>
    <fill>
      <patternFill patternType="solid">
        <fgColor rgb="FFCCCC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165" fontId="1" fillId="0" borderId="0" applyFon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167" fontId="1" fillId="0" borderId="0" applyFont="0" applyFill="0" applyBorder="0" applyAlignment="0" applyProtection="0"/>
    <xf numFmtId="0" fontId="7" fillId="0" borderId="0"/>
    <xf numFmtId="44" fontId="1" fillId="0" borderId="0" applyFont="0" applyFill="0" applyBorder="0" applyAlignment="0" applyProtection="0"/>
    <xf numFmtId="165" fontId="1" fillId="0" borderId="0" applyFont="0" applyFill="0" applyBorder="0" applyAlignment="0" applyProtection="0"/>
  </cellStyleXfs>
  <cellXfs count="33">
    <xf numFmtId="0" fontId="0" fillId="0" borderId="0" xfId="0"/>
    <xf numFmtId="164" fontId="3" fillId="0" borderId="0" xfId="2" applyFont="1" applyBorder="1" applyAlignment="1">
      <alignment horizontal="left" vertical="center"/>
    </xf>
    <xf numFmtId="0" fontId="3" fillId="0" borderId="0" xfId="0" applyFont="1" applyAlignment="1">
      <alignment horizontal="left" vertical="center"/>
    </xf>
    <xf numFmtId="165" fontId="3" fillId="0" borderId="0" xfId="1" applyFont="1" applyBorder="1" applyAlignment="1">
      <alignment horizontal="left" vertical="center"/>
    </xf>
    <xf numFmtId="165" fontId="3" fillId="0" borderId="0" xfId="1" applyFont="1" applyFill="1" applyBorder="1" applyAlignment="1">
      <alignment horizontal="left" vertical="center"/>
    </xf>
    <xf numFmtId="2" fontId="3" fillId="0" borderId="0" xfId="0" applyNumberFormat="1" applyFont="1" applyAlignment="1">
      <alignment horizontal="left" vertical="center"/>
    </xf>
    <xf numFmtId="164" fontId="6" fillId="0" borderId="0" xfId="2" applyFont="1" applyBorder="1" applyAlignment="1">
      <alignment horizontal="left" vertical="center" wrapText="1"/>
    </xf>
    <xf numFmtId="166" fontId="3" fillId="0" borderId="0" xfId="1" applyNumberFormat="1" applyFont="1" applyBorder="1" applyAlignment="1">
      <alignment horizontal="left" vertical="center"/>
    </xf>
    <xf numFmtId="49" fontId="3" fillId="0" borderId="0" xfId="1" applyNumberFormat="1" applyFont="1" applyBorder="1" applyAlignment="1">
      <alignment horizontal="left" vertical="center"/>
    </xf>
    <xf numFmtId="2" fontId="5"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165" fontId="5" fillId="3" borderId="1" xfId="1" applyFont="1" applyFill="1" applyBorder="1" applyAlignment="1">
      <alignment horizontal="left" vertical="center" wrapText="1"/>
    </xf>
    <xf numFmtId="49" fontId="5" fillId="0" borderId="1" xfId="5" applyNumberFormat="1" applyFont="1" applyFill="1" applyBorder="1" applyAlignment="1">
      <alignment horizontal="left" vertical="center" wrapText="1"/>
    </xf>
    <xf numFmtId="44" fontId="5" fillId="0" borderId="1" xfId="5" applyFont="1" applyFill="1" applyBorder="1" applyAlignment="1">
      <alignment horizontal="left" vertical="center" wrapText="1"/>
    </xf>
    <xf numFmtId="44" fontId="6" fillId="5" borderId="1" xfId="5" applyFont="1" applyFill="1" applyBorder="1" applyAlignment="1">
      <alignment horizontal="left" vertical="center" wrapText="1"/>
    </xf>
    <xf numFmtId="166" fontId="6" fillId="5" borderId="1" xfId="5" applyNumberFormat="1" applyFont="1" applyFill="1" applyBorder="1" applyAlignment="1">
      <alignment horizontal="left" vertical="center" wrapText="1"/>
    </xf>
    <xf numFmtId="2" fontId="3" fillId="0" borderId="1" xfId="8" applyNumberFormat="1" applyFont="1" applyBorder="1" applyAlignment="1">
      <alignment horizontal="left" vertical="center"/>
    </xf>
    <xf numFmtId="0" fontId="3" fillId="0" borderId="1" xfId="0" applyFont="1" applyBorder="1" applyAlignment="1">
      <alignment horizontal="left" vertical="center"/>
    </xf>
    <xf numFmtId="14" fontId="3" fillId="0" borderId="1" xfId="8" applyNumberFormat="1" applyFont="1" applyBorder="1" applyAlignment="1">
      <alignment horizontal="left" vertical="center"/>
    </xf>
    <xf numFmtId="165" fontId="3" fillId="0" borderId="1" xfId="1" applyFont="1" applyFill="1" applyBorder="1" applyAlignment="1">
      <alignment horizontal="left" vertical="center"/>
    </xf>
    <xf numFmtId="49" fontId="3" fillId="0" borderId="1" xfId="0" applyNumberFormat="1" applyFont="1" applyBorder="1" applyAlignment="1">
      <alignment horizontal="left" vertical="center"/>
    </xf>
    <xf numFmtId="166" fontId="3" fillId="0" borderId="1" xfId="1" applyNumberFormat="1" applyFont="1" applyFill="1" applyBorder="1" applyAlignment="1">
      <alignment horizontal="left" vertical="center"/>
    </xf>
    <xf numFmtId="2" fontId="3" fillId="0" borderId="1" xfId="0" applyNumberFormat="1" applyFont="1" applyBorder="1" applyAlignment="1">
      <alignment horizontal="left" vertical="center"/>
    </xf>
    <xf numFmtId="165" fontId="3" fillId="0" borderId="1" xfId="1" applyFont="1" applyBorder="1" applyAlignment="1">
      <alignment horizontal="left" vertical="center"/>
    </xf>
    <xf numFmtId="44" fontId="4" fillId="0" borderId="1" xfId="5" applyFont="1" applyBorder="1" applyAlignment="1">
      <alignment horizontal="left" vertical="center"/>
    </xf>
    <xf numFmtId="0" fontId="4" fillId="0" borderId="1" xfId="0" applyFont="1" applyBorder="1" applyAlignment="1">
      <alignment horizontal="left" vertical="center"/>
    </xf>
    <xf numFmtId="164" fontId="6" fillId="0" borderId="1" xfId="2" applyFont="1" applyBorder="1" applyAlignment="1">
      <alignment horizontal="left" vertical="center" wrapText="1"/>
    </xf>
    <xf numFmtId="164" fontId="3" fillId="0" borderId="1" xfId="2" applyFont="1" applyBorder="1" applyAlignment="1">
      <alignment horizontal="left" vertical="center"/>
    </xf>
    <xf numFmtId="168" fontId="6" fillId="4" borderId="1" xfId="5" applyNumberFormat="1" applyFont="1" applyFill="1" applyBorder="1" applyAlignment="1">
      <alignment horizontal="left" vertical="center" wrapText="1"/>
    </xf>
    <xf numFmtId="168" fontId="3" fillId="0" borderId="1" xfId="1" applyNumberFormat="1" applyFont="1" applyFill="1" applyBorder="1" applyAlignment="1">
      <alignment horizontal="left" vertical="center"/>
    </xf>
    <xf numFmtId="168" fontId="4" fillId="0" borderId="1" xfId="5" applyNumberFormat="1" applyFont="1" applyBorder="1" applyAlignment="1">
      <alignment horizontal="left" vertical="center"/>
    </xf>
    <xf numFmtId="168" fontId="3" fillId="0" borderId="0" xfId="1" applyNumberFormat="1" applyFont="1" applyFill="1" applyBorder="1" applyAlignment="1">
      <alignment horizontal="left" vertical="center"/>
    </xf>
    <xf numFmtId="168" fontId="6" fillId="5" borderId="1" xfId="5" applyNumberFormat="1" applyFont="1" applyFill="1" applyBorder="1" applyAlignment="1">
      <alignment horizontal="left" vertical="center" wrapText="1"/>
    </xf>
  </cellXfs>
  <cellStyles count="17">
    <cellStyle name="Moneda" xfId="1" builtinId="4"/>
    <cellStyle name="Moneda [0]" xfId="2" builtinId="7"/>
    <cellStyle name="Moneda [0] 2" xfId="3" xr:uid="{00000000-0005-0000-0000-000002000000}"/>
    <cellStyle name="Moneda 11" xfId="16" xr:uid="{00000000-0005-0000-0000-000003000000}"/>
    <cellStyle name="Moneda 4" xfId="13" xr:uid="{00000000-0005-0000-0000-000004000000}"/>
    <cellStyle name="Moneda 4 2 2" xfId="5" xr:uid="{00000000-0005-0000-0000-000005000000}"/>
    <cellStyle name="Moneda 7" xfId="15" xr:uid="{00000000-0005-0000-0000-000006000000}"/>
    <cellStyle name="Neutral 2" xfId="4" xr:uid="{00000000-0005-0000-0000-000007000000}"/>
    <cellStyle name="Normal" xfId="0" builtinId="0"/>
    <cellStyle name="Normal 10" xfId="12" xr:uid="{00000000-0005-0000-0000-000009000000}"/>
    <cellStyle name="Normal 11" xfId="10" xr:uid="{00000000-0005-0000-0000-00000A000000}"/>
    <cellStyle name="Normal 2" xfId="6" xr:uid="{00000000-0005-0000-0000-00000B000000}"/>
    <cellStyle name="Normal 2 10 2" xfId="8" xr:uid="{00000000-0005-0000-0000-00000C000000}"/>
    <cellStyle name="Normal 2 2" xfId="9" xr:uid="{00000000-0005-0000-0000-00000D000000}"/>
    <cellStyle name="Normal 2 2 2" xfId="14" xr:uid="{00000000-0005-0000-0000-00000E000000}"/>
    <cellStyle name="Normal 3" xfId="7" xr:uid="{00000000-0005-0000-0000-00000F000000}"/>
    <cellStyle name="Normal 7" xfId="11"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zoomScale="80" zoomScaleNormal="80" zoomScaleSheetLayoutView="80" workbookViewId="0">
      <pane ySplit="1" topLeftCell="A2" activePane="bottomLeft" state="frozen"/>
      <selection activeCell="E1" sqref="E1"/>
      <selection pane="bottomLeft" activeCell="F28" sqref="F28"/>
    </sheetView>
  </sheetViews>
  <sheetFormatPr baseColWidth="10" defaultColWidth="10.42578125" defaultRowHeight="12" x14ac:dyDescent="0.25"/>
  <cols>
    <col min="1" max="1" width="11.5703125" style="5" customWidth="1"/>
    <col min="2" max="2" width="6.140625" style="2" customWidth="1"/>
    <col min="3" max="3" width="55.5703125" style="2" customWidth="1"/>
    <col min="4" max="4" width="19.7109375" style="3" customWidth="1"/>
    <col min="5" max="5" width="22.140625" style="3" customWidth="1"/>
    <col min="6" max="6" width="20.85546875" style="4" customWidth="1"/>
    <col min="7" max="7" width="15.85546875" style="8" customWidth="1"/>
    <col min="8" max="8" width="15.85546875" style="3" customWidth="1"/>
    <col min="9" max="9" width="18.85546875" style="4" bestFit="1" customWidth="1"/>
    <col min="10" max="10" width="17.140625" style="4" bestFit="1" customWidth="1"/>
    <col min="11" max="11" width="17.85546875" style="4" bestFit="1" customWidth="1"/>
    <col min="12" max="12" width="16.7109375" style="4" bestFit="1" customWidth="1"/>
    <col min="13" max="13" width="15.7109375" style="7" bestFit="1" customWidth="1"/>
    <col min="14" max="16384" width="10.42578125" style="1"/>
  </cols>
  <sheetData>
    <row r="1" spans="1:13" s="6" customFormat="1" ht="24" x14ac:dyDescent="0.25">
      <c r="A1" s="9" t="s">
        <v>4</v>
      </c>
      <c r="B1" s="10" t="s">
        <v>5</v>
      </c>
      <c r="C1" s="10" t="s">
        <v>6</v>
      </c>
      <c r="D1" s="11" t="s">
        <v>7</v>
      </c>
      <c r="E1" s="11" t="s">
        <v>8</v>
      </c>
      <c r="F1" s="11" t="s">
        <v>9</v>
      </c>
      <c r="G1" s="12" t="s">
        <v>10</v>
      </c>
      <c r="H1" s="13" t="s">
        <v>11</v>
      </c>
      <c r="I1" s="14" t="s">
        <v>12</v>
      </c>
      <c r="J1" s="14" t="s">
        <v>14</v>
      </c>
      <c r="K1" s="14" t="s">
        <v>16</v>
      </c>
      <c r="L1" s="14" t="s">
        <v>17</v>
      </c>
      <c r="M1" s="15" t="s">
        <v>18</v>
      </c>
    </row>
    <row r="2" spans="1:13" x14ac:dyDescent="0.25">
      <c r="A2" s="16" t="s">
        <v>27</v>
      </c>
      <c r="B2" s="17">
        <v>2022</v>
      </c>
      <c r="C2" s="18" t="s">
        <v>28</v>
      </c>
      <c r="D2" s="19">
        <v>1092986792</v>
      </c>
      <c r="E2" s="19">
        <v>330000000</v>
      </c>
      <c r="F2" s="19">
        <v>762986792</v>
      </c>
      <c r="G2" s="20" t="s">
        <v>1</v>
      </c>
      <c r="H2" s="20" t="s">
        <v>29</v>
      </c>
      <c r="I2" s="19"/>
      <c r="J2" s="19">
        <f>F2</f>
        <v>762986792</v>
      </c>
      <c r="K2" s="19"/>
      <c r="L2" s="19"/>
      <c r="M2" s="21">
        <f t="shared" ref="M2:M24" si="0">I2+J2+K2+L2</f>
        <v>762986792</v>
      </c>
    </row>
    <row r="3" spans="1:13" x14ac:dyDescent="0.25">
      <c r="A3" s="16" t="s">
        <v>35</v>
      </c>
      <c r="B3" s="17">
        <v>2022</v>
      </c>
      <c r="C3" s="18" t="s">
        <v>36</v>
      </c>
      <c r="D3" s="19">
        <v>752539738</v>
      </c>
      <c r="E3" s="19">
        <v>200000000</v>
      </c>
      <c r="F3" s="19">
        <v>552539738</v>
      </c>
      <c r="G3" s="20" t="s">
        <v>3</v>
      </c>
      <c r="H3" s="20" t="s">
        <v>37</v>
      </c>
      <c r="I3" s="19"/>
      <c r="J3" s="19"/>
      <c r="K3" s="19">
        <f>F3</f>
        <v>552539738</v>
      </c>
      <c r="L3" s="19"/>
      <c r="M3" s="21">
        <f t="shared" si="0"/>
        <v>552539738</v>
      </c>
    </row>
    <row r="4" spans="1:13" x14ac:dyDescent="0.25">
      <c r="A4" s="16" t="s">
        <v>38</v>
      </c>
      <c r="B4" s="17">
        <v>2022</v>
      </c>
      <c r="C4" s="18" t="s">
        <v>39</v>
      </c>
      <c r="D4" s="19">
        <v>611919333</v>
      </c>
      <c r="E4" s="19">
        <v>0</v>
      </c>
      <c r="F4" s="19">
        <v>611919333</v>
      </c>
      <c r="G4" s="20" t="s">
        <v>1</v>
      </c>
      <c r="H4" s="20" t="s">
        <v>40</v>
      </c>
      <c r="I4" s="19"/>
      <c r="J4" s="19">
        <f>F4</f>
        <v>611919333</v>
      </c>
      <c r="K4" s="19"/>
      <c r="L4" s="19"/>
      <c r="M4" s="21">
        <f t="shared" si="0"/>
        <v>611919333</v>
      </c>
    </row>
    <row r="5" spans="1:13" x14ac:dyDescent="0.25">
      <c r="A5" s="16" t="s">
        <v>41</v>
      </c>
      <c r="B5" s="17">
        <v>2022</v>
      </c>
      <c r="C5" s="18" t="s">
        <v>42</v>
      </c>
      <c r="D5" s="19">
        <v>144449167</v>
      </c>
      <c r="E5" s="19">
        <v>29134167</v>
      </c>
      <c r="F5" s="19">
        <v>115315000</v>
      </c>
      <c r="G5" s="20" t="s">
        <v>3</v>
      </c>
      <c r="H5" s="20" t="s">
        <v>21</v>
      </c>
      <c r="I5" s="19"/>
      <c r="J5" s="19"/>
      <c r="K5" s="19">
        <f>F5</f>
        <v>115315000</v>
      </c>
      <c r="L5" s="19"/>
      <c r="M5" s="21">
        <f t="shared" si="0"/>
        <v>115315000</v>
      </c>
    </row>
    <row r="6" spans="1:13" x14ac:dyDescent="0.25">
      <c r="A6" s="18" t="s">
        <v>43</v>
      </c>
      <c r="B6" s="17">
        <v>2022</v>
      </c>
      <c r="C6" s="17" t="s">
        <v>44</v>
      </c>
      <c r="D6" s="19">
        <v>110521586</v>
      </c>
      <c r="E6" s="19">
        <v>24188253</v>
      </c>
      <c r="F6" s="19">
        <v>86333333</v>
      </c>
      <c r="G6" s="20" t="s">
        <v>1</v>
      </c>
      <c r="H6" s="20" t="s">
        <v>45</v>
      </c>
      <c r="I6" s="19"/>
      <c r="J6" s="19">
        <f>F6</f>
        <v>86333333</v>
      </c>
      <c r="K6" s="19"/>
      <c r="L6" s="19"/>
      <c r="M6" s="21">
        <f t="shared" si="0"/>
        <v>86333333</v>
      </c>
    </row>
    <row r="7" spans="1:13" x14ac:dyDescent="0.25">
      <c r="A7" s="18" t="s">
        <v>46</v>
      </c>
      <c r="B7" s="17">
        <v>2022</v>
      </c>
      <c r="C7" s="17" t="s">
        <v>47</v>
      </c>
      <c r="D7" s="19">
        <v>1897749950</v>
      </c>
      <c r="E7" s="19">
        <v>0</v>
      </c>
      <c r="F7" s="19">
        <v>1897749950</v>
      </c>
      <c r="G7" s="20" t="s">
        <v>48</v>
      </c>
      <c r="H7" s="20" t="s">
        <v>49</v>
      </c>
      <c r="I7" s="19"/>
      <c r="J7" s="19">
        <f>($F7/150)*2</f>
        <v>25303332.666666668</v>
      </c>
      <c r="K7" s="19">
        <f>($F7/150)*15</f>
        <v>189774995</v>
      </c>
      <c r="L7" s="19"/>
      <c r="M7" s="21">
        <f t="shared" si="0"/>
        <v>215078327.66666666</v>
      </c>
    </row>
    <row r="8" spans="1:13" x14ac:dyDescent="0.25">
      <c r="A8" s="18" t="s">
        <v>50</v>
      </c>
      <c r="B8" s="17">
        <v>2022</v>
      </c>
      <c r="C8" s="17" t="s">
        <v>51</v>
      </c>
      <c r="D8" s="19">
        <v>314114766</v>
      </c>
      <c r="E8" s="19">
        <v>62953411</v>
      </c>
      <c r="F8" s="19">
        <v>251161355</v>
      </c>
      <c r="G8" s="20" t="s">
        <v>1</v>
      </c>
      <c r="H8" s="20" t="s">
        <v>52</v>
      </c>
      <c r="I8" s="19"/>
      <c r="J8" s="19">
        <f>F8</f>
        <v>251161355</v>
      </c>
      <c r="K8" s="19"/>
      <c r="L8" s="19"/>
      <c r="M8" s="21">
        <f t="shared" si="0"/>
        <v>251161355</v>
      </c>
    </row>
    <row r="9" spans="1:13" x14ac:dyDescent="0.25">
      <c r="A9" s="22" t="s">
        <v>53</v>
      </c>
      <c r="B9" s="17">
        <v>2022</v>
      </c>
      <c r="C9" s="17" t="s">
        <v>54</v>
      </c>
      <c r="D9" s="19">
        <v>373831687</v>
      </c>
      <c r="E9" s="19">
        <v>254504800</v>
      </c>
      <c r="F9" s="23">
        <v>119326887</v>
      </c>
      <c r="G9" s="20" t="s">
        <v>3</v>
      </c>
      <c r="H9" s="20" t="s">
        <v>55</v>
      </c>
      <c r="I9" s="19"/>
      <c r="J9" s="19"/>
      <c r="K9" s="19">
        <f>F9</f>
        <v>119326887</v>
      </c>
      <c r="L9" s="19"/>
      <c r="M9" s="21">
        <f t="shared" si="0"/>
        <v>119326887</v>
      </c>
    </row>
    <row r="10" spans="1:13" x14ac:dyDescent="0.25">
      <c r="A10" s="22" t="s">
        <v>56</v>
      </c>
      <c r="B10" s="17">
        <v>2022</v>
      </c>
      <c r="C10" s="17" t="s">
        <v>57</v>
      </c>
      <c r="D10" s="19">
        <v>3728647408</v>
      </c>
      <c r="E10" s="19">
        <v>1864323704</v>
      </c>
      <c r="F10" s="23">
        <v>1864323704</v>
      </c>
      <c r="G10" s="20" t="s">
        <v>58</v>
      </c>
      <c r="H10" s="20" t="s">
        <v>59</v>
      </c>
      <c r="I10" s="19">
        <f>($F$10/2504.65)*33</f>
        <v>24563384.996706124</v>
      </c>
      <c r="J10" s="19">
        <f>($F$10/2504.65)*81</f>
        <v>60291944.991915032</v>
      </c>
      <c r="K10" s="19">
        <f>($F$10/2504.65)*105</f>
        <v>78156224.989519492</v>
      </c>
      <c r="L10" s="19"/>
      <c r="M10" s="21">
        <f t="shared" si="0"/>
        <v>163011554.97814065</v>
      </c>
    </row>
    <row r="11" spans="1:13" x14ac:dyDescent="0.25">
      <c r="A11" s="22" t="s">
        <v>60</v>
      </c>
      <c r="B11" s="17">
        <v>2022</v>
      </c>
      <c r="C11" s="17" t="s">
        <v>61</v>
      </c>
      <c r="D11" s="19">
        <v>1363803420</v>
      </c>
      <c r="E11" s="19">
        <v>0</v>
      </c>
      <c r="F11" s="23">
        <v>1363803420</v>
      </c>
      <c r="G11" s="20" t="s">
        <v>62</v>
      </c>
      <c r="H11" s="20" t="s">
        <v>63</v>
      </c>
      <c r="I11" s="19"/>
      <c r="J11" s="19"/>
      <c r="K11" s="19"/>
      <c r="L11" s="19">
        <f>($F$11/636)*33</f>
        <v>70763385</v>
      </c>
      <c r="M11" s="21">
        <f t="shared" si="0"/>
        <v>70763385</v>
      </c>
    </row>
    <row r="12" spans="1:13" x14ac:dyDescent="0.25">
      <c r="A12" s="22" t="s">
        <v>64</v>
      </c>
      <c r="B12" s="17">
        <v>2022</v>
      </c>
      <c r="C12" s="17" t="s">
        <v>65</v>
      </c>
      <c r="D12" s="19">
        <v>1473761665</v>
      </c>
      <c r="E12" s="19">
        <v>0</v>
      </c>
      <c r="F12" s="23">
        <v>1473761665</v>
      </c>
      <c r="G12" s="20" t="s">
        <v>22</v>
      </c>
      <c r="H12" s="20" t="s">
        <v>66</v>
      </c>
      <c r="I12" s="19">
        <f>$F$12/7</f>
        <v>210537380.7142857</v>
      </c>
      <c r="J12" s="19">
        <f>$F$12/7</f>
        <v>210537380.7142857</v>
      </c>
      <c r="K12" s="19">
        <f>$F$12/7</f>
        <v>210537380.7142857</v>
      </c>
      <c r="L12" s="19">
        <f>$F$12/7</f>
        <v>210537380.7142857</v>
      </c>
      <c r="M12" s="21">
        <f t="shared" si="0"/>
        <v>842149522.85714281</v>
      </c>
    </row>
    <row r="13" spans="1:13" x14ac:dyDescent="0.25">
      <c r="A13" s="18" t="s">
        <v>86</v>
      </c>
      <c r="B13" s="17">
        <v>2023</v>
      </c>
      <c r="C13" s="17" t="s">
        <v>87</v>
      </c>
      <c r="D13" s="19">
        <v>7150321238</v>
      </c>
      <c r="E13" s="19">
        <v>0</v>
      </c>
      <c r="F13" s="19">
        <v>7150321238</v>
      </c>
      <c r="G13" s="20" t="s">
        <v>88</v>
      </c>
      <c r="H13" s="20" t="s">
        <v>89</v>
      </c>
      <c r="I13" s="19"/>
      <c r="J13" s="19"/>
      <c r="K13" s="19">
        <f>($F$13/14)*3</f>
        <v>1532211693.8571429</v>
      </c>
      <c r="L13" s="19"/>
      <c r="M13" s="21">
        <f t="shared" si="0"/>
        <v>1532211693.8571429</v>
      </c>
    </row>
    <row r="14" spans="1:13" x14ac:dyDescent="0.25">
      <c r="A14" s="18" t="s">
        <v>90</v>
      </c>
      <c r="B14" s="17">
        <v>2023</v>
      </c>
      <c r="C14" s="17" t="s">
        <v>91</v>
      </c>
      <c r="D14" s="19">
        <v>4007523333</v>
      </c>
      <c r="E14" s="19">
        <v>0</v>
      </c>
      <c r="F14" s="19">
        <v>4007523333</v>
      </c>
      <c r="G14" s="20" t="s">
        <v>23</v>
      </c>
      <c r="H14" s="20" t="s">
        <v>92</v>
      </c>
      <c r="I14" s="19">
        <f>$F$14/5</f>
        <v>801504666.60000002</v>
      </c>
      <c r="J14" s="19">
        <f>$F$14/5</f>
        <v>801504666.60000002</v>
      </c>
      <c r="K14" s="19"/>
      <c r="L14" s="19"/>
      <c r="M14" s="21">
        <f t="shared" si="0"/>
        <v>1603009333.2</v>
      </c>
    </row>
    <row r="15" spans="1:13" x14ac:dyDescent="0.25">
      <c r="A15" s="18" t="s">
        <v>95</v>
      </c>
      <c r="B15" s="17">
        <v>2023</v>
      </c>
      <c r="C15" s="17" t="s">
        <v>96</v>
      </c>
      <c r="D15" s="19">
        <v>8201515642</v>
      </c>
      <c r="E15" s="19">
        <v>0</v>
      </c>
      <c r="F15" s="19">
        <v>8201515642</v>
      </c>
      <c r="G15" s="20" t="s">
        <v>97</v>
      </c>
      <c r="H15" s="20" t="s">
        <v>98</v>
      </c>
      <c r="I15" s="24">
        <f>(($F$15-501030625)/85)*3</f>
        <v>271781824.12941182</v>
      </c>
      <c r="J15" s="19"/>
      <c r="K15" s="24">
        <f>(($F$15-501030625)/85)*7</f>
        <v>634157589.6352942</v>
      </c>
      <c r="L15" s="24">
        <f>(($F$15-501030625)/85)*2</f>
        <v>181187882.75294119</v>
      </c>
      <c r="M15" s="21">
        <f t="shared" si="0"/>
        <v>1087127296.5176473</v>
      </c>
    </row>
    <row r="16" spans="1:13" x14ac:dyDescent="0.25">
      <c r="A16" s="22" t="s">
        <v>99</v>
      </c>
      <c r="B16" s="17">
        <v>2023</v>
      </c>
      <c r="C16" s="18" t="s">
        <v>100</v>
      </c>
      <c r="D16" s="19">
        <v>483096677</v>
      </c>
      <c r="E16" s="19">
        <v>0</v>
      </c>
      <c r="F16" s="19">
        <v>483096677</v>
      </c>
      <c r="G16" s="20" t="s">
        <v>101</v>
      </c>
      <c r="H16" s="20" t="s">
        <v>102</v>
      </c>
      <c r="I16" s="19"/>
      <c r="J16" s="19"/>
      <c r="K16" s="19">
        <f>$F$16/5</f>
        <v>96619335.400000006</v>
      </c>
      <c r="L16" s="19"/>
      <c r="M16" s="21">
        <f t="shared" si="0"/>
        <v>96619335.400000006</v>
      </c>
    </row>
    <row r="17" spans="1:13" x14ac:dyDescent="0.25">
      <c r="A17" s="22" t="s">
        <v>109</v>
      </c>
      <c r="B17" s="17">
        <v>2023</v>
      </c>
      <c r="C17" s="25" t="s">
        <v>110</v>
      </c>
      <c r="D17" s="19">
        <v>1620047791</v>
      </c>
      <c r="E17" s="19">
        <v>680761155</v>
      </c>
      <c r="F17" s="19">
        <v>939286636</v>
      </c>
      <c r="G17" s="20" t="s">
        <v>111</v>
      </c>
      <c r="H17" s="20" t="s">
        <v>112</v>
      </c>
      <c r="I17" s="19"/>
      <c r="J17" s="19"/>
      <c r="K17" s="19">
        <f>$F$17/8</f>
        <v>117410829.5</v>
      </c>
      <c r="L17" s="19"/>
      <c r="M17" s="21">
        <f t="shared" si="0"/>
        <v>117410829.5</v>
      </c>
    </row>
    <row r="18" spans="1:13" x14ac:dyDescent="0.25">
      <c r="A18" s="22" t="s">
        <v>116</v>
      </c>
      <c r="B18" s="17">
        <v>2023</v>
      </c>
      <c r="C18" s="25" t="s">
        <v>117</v>
      </c>
      <c r="D18" s="19">
        <v>1852433330</v>
      </c>
      <c r="E18" s="19">
        <v>0</v>
      </c>
      <c r="F18" s="19">
        <v>1852433330</v>
      </c>
      <c r="G18" s="20" t="s">
        <v>118</v>
      </c>
      <c r="H18" s="20" t="s">
        <v>119</v>
      </c>
      <c r="I18" s="19"/>
      <c r="J18" s="19"/>
      <c r="K18" s="19"/>
      <c r="L18" s="19">
        <f>($F$18/10)*1</f>
        <v>185243333</v>
      </c>
      <c r="M18" s="21">
        <f t="shared" si="0"/>
        <v>185243333</v>
      </c>
    </row>
    <row r="19" spans="1:13" x14ac:dyDescent="0.25">
      <c r="A19" s="22" t="s">
        <v>128</v>
      </c>
      <c r="B19" s="17">
        <v>2023</v>
      </c>
      <c r="C19" s="17" t="s">
        <v>129</v>
      </c>
      <c r="D19" s="19">
        <v>1413954750</v>
      </c>
      <c r="E19" s="19">
        <v>283856438</v>
      </c>
      <c r="F19" s="19">
        <v>1130098312</v>
      </c>
      <c r="G19" s="20" t="s">
        <v>130</v>
      </c>
      <c r="H19" s="20" t="s">
        <v>131</v>
      </c>
      <c r="I19" s="19"/>
      <c r="J19" s="19">
        <f>($F$19/55)*1</f>
        <v>20547242.036363635</v>
      </c>
      <c r="K19" s="19">
        <f>($F$19/55)*2</f>
        <v>41094484.07272727</v>
      </c>
      <c r="L19" s="19">
        <f>($F$19/55)*1</f>
        <v>20547242.036363635</v>
      </c>
      <c r="M19" s="21">
        <f t="shared" si="0"/>
        <v>82188968.145454541</v>
      </c>
    </row>
    <row r="20" spans="1:13" x14ac:dyDescent="0.25">
      <c r="A20" s="22" t="s">
        <v>132</v>
      </c>
      <c r="B20" s="17">
        <v>2023</v>
      </c>
      <c r="C20" s="17" t="s">
        <v>133</v>
      </c>
      <c r="D20" s="19">
        <v>396758400</v>
      </c>
      <c r="E20" s="19">
        <v>150000000</v>
      </c>
      <c r="F20" s="19">
        <v>246758400</v>
      </c>
      <c r="G20" s="20" t="s">
        <v>3</v>
      </c>
      <c r="H20" s="20" t="s">
        <v>21</v>
      </c>
      <c r="I20" s="19"/>
      <c r="J20" s="19"/>
      <c r="K20" s="19">
        <f>F20</f>
        <v>246758400</v>
      </c>
      <c r="L20" s="19"/>
      <c r="M20" s="21">
        <f t="shared" si="0"/>
        <v>246758400</v>
      </c>
    </row>
    <row r="21" spans="1:13" ht="13.5" customHeight="1" x14ac:dyDescent="0.25">
      <c r="A21" s="22" t="s">
        <v>137</v>
      </c>
      <c r="B21" s="17">
        <v>2023</v>
      </c>
      <c r="C21" s="17" t="s">
        <v>138</v>
      </c>
      <c r="D21" s="19">
        <v>3401600625</v>
      </c>
      <c r="E21" s="19">
        <v>0</v>
      </c>
      <c r="F21" s="19">
        <v>3401600625</v>
      </c>
      <c r="G21" s="20" t="s">
        <v>139</v>
      </c>
      <c r="H21" s="20" t="s">
        <v>140</v>
      </c>
      <c r="I21" s="19">
        <f>($F$21/40)*2</f>
        <v>170080031.25</v>
      </c>
      <c r="J21" s="19">
        <f>($F$21/40)*5</f>
        <v>425200078.125</v>
      </c>
      <c r="K21" s="19"/>
      <c r="L21" s="19"/>
      <c r="M21" s="21">
        <f t="shared" si="0"/>
        <v>595280109.375</v>
      </c>
    </row>
    <row r="22" spans="1:13" x14ac:dyDescent="0.25">
      <c r="A22" s="18" t="s">
        <v>141</v>
      </c>
      <c r="B22" s="17">
        <v>2023</v>
      </c>
      <c r="C22" s="17" t="s">
        <v>142</v>
      </c>
      <c r="D22" s="19">
        <v>1378593436</v>
      </c>
      <c r="E22" s="19">
        <v>279891485</v>
      </c>
      <c r="F22" s="19">
        <v>1098701951</v>
      </c>
      <c r="G22" s="20" t="s">
        <v>143</v>
      </c>
      <c r="H22" s="20" t="s">
        <v>144</v>
      </c>
      <c r="I22" s="19"/>
      <c r="J22" s="19"/>
      <c r="K22" s="19"/>
      <c r="L22" s="19">
        <f>$F$22/9</f>
        <v>122077994.55555555</v>
      </c>
      <c r="M22" s="21">
        <f t="shared" si="0"/>
        <v>122077994.55555555</v>
      </c>
    </row>
    <row r="23" spans="1:13" x14ac:dyDescent="0.25">
      <c r="A23" s="18" t="s">
        <v>145</v>
      </c>
      <c r="B23" s="17">
        <v>2023</v>
      </c>
      <c r="C23" s="17" t="s">
        <v>146</v>
      </c>
      <c r="D23" s="19">
        <v>1513618185</v>
      </c>
      <c r="E23" s="19">
        <v>1061067125</v>
      </c>
      <c r="F23" s="23">
        <v>452551060</v>
      </c>
      <c r="G23" s="20" t="s">
        <v>3</v>
      </c>
      <c r="H23" s="20" t="s">
        <v>55</v>
      </c>
      <c r="I23" s="19"/>
      <c r="J23" s="19"/>
      <c r="K23" s="19">
        <f>F23</f>
        <v>452551060</v>
      </c>
      <c r="L23" s="19"/>
      <c r="M23" s="21">
        <f t="shared" si="0"/>
        <v>452551060</v>
      </c>
    </row>
    <row r="24" spans="1:13" x14ac:dyDescent="0.25">
      <c r="A24" s="18" t="s">
        <v>147</v>
      </c>
      <c r="B24" s="17">
        <v>2023</v>
      </c>
      <c r="C24" s="18" t="s">
        <v>148</v>
      </c>
      <c r="D24" s="19">
        <v>66052699505</v>
      </c>
      <c r="E24" s="19">
        <v>0</v>
      </c>
      <c r="F24" s="19">
        <v>66052699505</v>
      </c>
      <c r="G24" s="20" t="s">
        <v>149</v>
      </c>
      <c r="H24" s="20" t="s">
        <v>150</v>
      </c>
      <c r="I24" s="19">
        <f>($F$24/88)*4</f>
        <v>3002395432.0454545</v>
      </c>
      <c r="J24" s="19"/>
      <c r="K24" s="19">
        <f>($F$24/88)*1</f>
        <v>750598858.01136363</v>
      </c>
      <c r="L24" s="19">
        <f>($F$24/88)*1</f>
        <v>750598858.01136363</v>
      </c>
      <c r="M24" s="21">
        <f t="shared" si="0"/>
        <v>4503593148.068182</v>
      </c>
    </row>
  </sheetData>
  <autoFilter ref="A1:M24" xr:uid="{00000000-0009-0000-0000-000000000000}"/>
  <dataConsolidate/>
  <pageMargins left="0.70866141732283472" right="0.70866141732283472" top="0.74803149606299213" bottom="0.74803149606299213" header="0.31496062992125984" footer="0.31496062992125984"/>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topLeftCell="C1" zoomScale="80" zoomScaleNormal="80" zoomScaleSheetLayoutView="80" workbookViewId="0">
      <pane ySplit="1" topLeftCell="A2" activePane="bottomLeft" state="frozen"/>
      <selection activeCell="E1" sqref="E1"/>
      <selection pane="bottomLeft" activeCell="O5" sqref="O5"/>
    </sheetView>
  </sheetViews>
  <sheetFormatPr baseColWidth="10" defaultColWidth="10.42578125" defaultRowHeight="12" x14ac:dyDescent="0.25"/>
  <cols>
    <col min="1" max="1" width="14.5703125" style="5" customWidth="1"/>
    <col min="2" max="2" width="6.140625" style="2" customWidth="1"/>
    <col min="3" max="3" width="55.5703125" style="2" customWidth="1"/>
    <col min="4" max="4" width="20.140625" style="3" customWidth="1"/>
    <col min="5" max="5" width="24.28515625" style="3" customWidth="1"/>
    <col min="6" max="6" width="21" style="4" customWidth="1"/>
    <col min="7" max="7" width="15.85546875" style="8" customWidth="1"/>
    <col min="8" max="8" width="19.85546875" style="3" customWidth="1"/>
    <col min="9" max="9" width="12.7109375" style="31" customWidth="1"/>
    <col min="10" max="10" width="12.85546875" style="31" customWidth="1"/>
    <col min="11" max="11" width="14.5703125" style="31" customWidth="1"/>
    <col min="12" max="12" width="15.140625" style="31" customWidth="1"/>
    <col min="13" max="13" width="20.7109375" style="1" customWidth="1"/>
    <col min="14" max="16384" width="10.42578125" style="1"/>
  </cols>
  <sheetData>
    <row r="1" spans="1:13" s="6" customFormat="1" ht="24" x14ac:dyDescent="0.25">
      <c r="A1" s="9" t="s">
        <v>4</v>
      </c>
      <c r="B1" s="10" t="s">
        <v>5</v>
      </c>
      <c r="C1" s="10" t="s">
        <v>6</v>
      </c>
      <c r="D1" s="11" t="s">
        <v>7</v>
      </c>
      <c r="E1" s="11" t="s">
        <v>8</v>
      </c>
      <c r="F1" s="11" t="s">
        <v>9</v>
      </c>
      <c r="G1" s="12" t="s">
        <v>10</v>
      </c>
      <c r="H1" s="13" t="s">
        <v>11</v>
      </c>
      <c r="I1" s="32" t="s">
        <v>12</v>
      </c>
      <c r="J1" s="28" t="s">
        <v>13</v>
      </c>
      <c r="K1" s="32" t="s">
        <v>14</v>
      </c>
      <c r="L1" s="28" t="s">
        <v>15</v>
      </c>
      <c r="M1" s="26" t="s">
        <v>151</v>
      </c>
    </row>
    <row r="2" spans="1:13" x14ac:dyDescent="0.25">
      <c r="A2" s="16" t="s">
        <v>24</v>
      </c>
      <c r="B2" s="17">
        <v>2022</v>
      </c>
      <c r="C2" s="17" t="s">
        <v>25</v>
      </c>
      <c r="D2" s="19">
        <v>75000000</v>
      </c>
      <c r="E2" s="19">
        <v>15000000</v>
      </c>
      <c r="F2" s="19">
        <v>60000000</v>
      </c>
      <c r="G2" s="20" t="s">
        <v>2</v>
      </c>
      <c r="H2" s="20" t="s">
        <v>26</v>
      </c>
      <c r="I2" s="29"/>
      <c r="J2" s="29"/>
      <c r="K2" s="29"/>
      <c r="L2" s="29">
        <f>F2</f>
        <v>60000000</v>
      </c>
      <c r="M2" s="27">
        <f t="shared" ref="M2:M14" si="0">SUM(I2:L2)</f>
        <v>60000000</v>
      </c>
    </row>
    <row r="3" spans="1:13" x14ac:dyDescent="0.25">
      <c r="A3" s="16" t="s">
        <v>27</v>
      </c>
      <c r="B3" s="17">
        <v>2022</v>
      </c>
      <c r="C3" s="18" t="s">
        <v>28</v>
      </c>
      <c r="D3" s="19">
        <v>1092986792</v>
      </c>
      <c r="E3" s="19">
        <v>330000000</v>
      </c>
      <c r="F3" s="19">
        <v>762986792</v>
      </c>
      <c r="G3" s="20" t="s">
        <v>1</v>
      </c>
      <c r="H3" s="20" t="s">
        <v>29</v>
      </c>
      <c r="I3" s="29"/>
      <c r="J3" s="29"/>
      <c r="K3" s="29">
        <f>F3</f>
        <v>762986792</v>
      </c>
      <c r="L3" s="29"/>
      <c r="M3" s="27">
        <f t="shared" si="0"/>
        <v>762986792</v>
      </c>
    </row>
    <row r="4" spans="1:13" x14ac:dyDescent="0.25">
      <c r="A4" s="16" t="s">
        <v>30</v>
      </c>
      <c r="B4" s="17">
        <v>2022</v>
      </c>
      <c r="C4" s="18" t="s">
        <v>31</v>
      </c>
      <c r="D4" s="19">
        <v>493880775</v>
      </c>
      <c r="E4" s="19">
        <v>100000000</v>
      </c>
      <c r="F4" s="19">
        <v>393880775</v>
      </c>
      <c r="G4" s="20" t="s">
        <v>2</v>
      </c>
      <c r="H4" s="20" t="s">
        <v>32</v>
      </c>
      <c r="I4" s="29"/>
      <c r="J4" s="29"/>
      <c r="K4" s="29"/>
      <c r="L4" s="29">
        <f>F4</f>
        <v>393880775</v>
      </c>
      <c r="M4" s="27">
        <f t="shared" si="0"/>
        <v>393880775</v>
      </c>
    </row>
    <row r="5" spans="1:13" x14ac:dyDescent="0.25">
      <c r="A5" s="16" t="s">
        <v>33</v>
      </c>
      <c r="B5" s="17">
        <v>2022</v>
      </c>
      <c r="C5" s="18" t="s">
        <v>34</v>
      </c>
      <c r="D5" s="19">
        <v>114748411</v>
      </c>
      <c r="E5" s="19">
        <v>23049276</v>
      </c>
      <c r="F5" s="19">
        <v>91699135</v>
      </c>
      <c r="G5" s="20" t="s">
        <v>2</v>
      </c>
      <c r="H5" s="20" t="s">
        <v>19</v>
      </c>
      <c r="I5" s="29"/>
      <c r="J5" s="29"/>
      <c r="K5" s="29"/>
      <c r="L5" s="29">
        <f>F5</f>
        <v>91699135</v>
      </c>
      <c r="M5" s="27">
        <f t="shared" si="0"/>
        <v>91699135</v>
      </c>
    </row>
    <row r="6" spans="1:13" x14ac:dyDescent="0.25">
      <c r="A6" s="16" t="s">
        <v>38</v>
      </c>
      <c r="B6" s="17">
        <v>2022</v>
      </c>
      <c r="C6" s="18" t="s">
        <v>39</v>
      </c>
      <c r="D6" s="19">
        <v>611919333</v>
      </c>
      <c r="E6" s="19">
        <v>0</v>
      </c>
      <c r="F6" s="19">
        <v>611919333</v>
      </c>
      <c r="G6" s="20" t="s">
        <v>1</v>
      </c>
      <c r="H6" s="20" t="s">
        <v>40</v>
      </c>
      <c r="I6" s="29"/>
      <c r="J6" s="29"/>
      <c r="K6" s="29">
        <f>F6</f>
        <v>611919333</v>
      </c>
      <c r="L6" s="29"/>
      <c r="M6" s="27">
        <f t="shared" si="0"/>
        <v>611919333</v>
      </c>
    </row>
    <row r="7" spans="1:13" x14ac:dyDescent="0.25">
      <c r="A7" s="18" t="s">
        <v>43</v>
      </c>
      <c r="B7" s="17">
        <v>2022</v>
      </c>
      <c r="C7" s="17" t="s">
        <v>44</v>
      </c>
      <c r="D7" s="19">
        <v>110521586</v>
      </c>
      <c r="E7" s="19">
        <v>24188253</v>
      </c>
      <c r="F7" s="19">
        <v>86333333</v>
      </c>
      <c r="G7" s="20" t="s">
        <v>1</v>
      </c>
      <c r="H7" s="20" t="s">
        <v>45</v>
      </c>
      <c r="I7" s="29"/>
      <c r="J7" s="29"/>
      <c r="K7" s="29">
        <f>F7</f>
        <v>86333333</v>
      </c>
      <c r="L7" s="29"/>
      <c r="M7" s="27">
        <f t="shared" si="0"/>
        <v>86333333</v>
      </c>
    </row>
    <row r="8" spans="1:13" x14ac:dyDescent="0.25">
      <c r="A8" s="18" t="s">
        <v>46</v>
      </c>
      <c r="B8" s="17">
        <v>2022</v>
      </c>
      <c r="C8" s="17" t="s">
        <v>47</v>
      </c>
      <c r="D8" s="19">
        <v>1897749950</v>
      </c>
      <c r="E8" s="19">
        <v>0</v>
      </c>
      <c r="F8" s="19">
        <v>1897749950</v>
      </c>
      <c r="G8" s="20" t="s">
        <v>48</v>
      </c>
      <c r="H8" s="20" t="s">
        <v>49</v>
      </c>
      <c r="I8" s="29"/>
      <c r="J8" s="29">
        <f>($F8/150)*11</f>
        <v>139168329.66666669</v>
      </c>
      <c r="K8" s="29">
        <f>($F8/150)*2</f>
        <v>25303332.666666668</v>
      </c>
      <c r="L8" s="29"/>
      <c r="M8" s="27">
        <f t="shared" si="0"/>
        <v>164471662.33333334</v>
      </c>
    </row>
    <row r="9" spans="1:13" x14ac:dyDescent="0.25">
      <c r="A9" s="18" t="s">
        <v>50</v>
      </c>
      <c r="B9" s="17">
        <v>2022</v>
      </c>
      <c r="C9" s="17" t="s">
        <v>51</v>
      </c>
      <c r="D9" s="19">
        <v>314114766</v>
      </c>
      <c r="E9" s="19">
        <v>62953411</v>
      </c>
      <c r="F9" s="19">
        <v>251161355</v>
      </c>
      <c r="G9" s="20" t="s">
        <v>1</v>
      </c>
      <c r="H9" s="20" t="s">
        <v>52</v>
      </c>
      <c r="I9" s="29"/>
      <c r="J9" s="29"/>
      <c r="K9" s="29">
        <f>F9</f>
        <v>251161355</v>
      </c>
      <c r="L9" s="29"/>
      <c r="M9" s="27">
        <f t="shared" si="0"/>
        <v>251161355</v>
      </c>
    </row>
    <row r="10" spans="1:13" x14ac:dyDescent="0.25">
      <c r="A10" s="22" t="s">
        <v>56</v>
      </c>
      <c r="B10" s="17">
        <v>2022</v>
      </c>
      <c r="C10" s="17" t="s">
        <v>57</v>
      </c>
      <c r="D10" s="19">
        <v>3728647408</v>
      </c>
      <c r="E10" s="19">
        <v>1864323704</v>
      </c>
      <c r="F10" s="23">
        <v>1864323704</v>
      </c>
      <c r="G10" s="20" t="s">
        <v>58</v>
      </c>
      <c r="H10" s="20" t="s">
        <v>59</v>
      </c>
      <c r="I10" s="29">
        <f>($F$10/2504.65)*33</f>
        <v>24563384.996706124</v>
      </c>
      <c r="J10" s="29">
        <f>($F$10/2504.65)*108</f>
        <v>80389259.989220053</v>
      </c>
      <c r="K10" s="29">
        <f>($F$10/2504.65)*81</f>
        <v>60291944.991915032</v>
      </c>
      <c r="L10" s="29">
        <f>($F$10/2504.65)*108</f>
        <v>80389259.989220053</v>
      </c>
      <c r="M10" s="27">
        <f t="shared" si="0"/>
        <v>245633849.96706125</v>
      </c>
    </row>
    <row r="11" spans="1:13" x14ac:dyDescent="0.25">
      <c r="A11" s="22" t="s">
        <v>64</v>
      </c>
      <c r="B11" s="17">
        <v>2022</v>
      </c>
      <c r="C11" s="17" t="s">
        <v>65</v>
      </c>
      <c r="D11" s="19">
        <v>1473761665</v>
      </c>
      <c r="E11" s="19">
        <v>0</v>
      </c>
      <c r="F11" s="23">
        <v>1473761665</v>
      </c>
      <c r="G11" s="20" t="s">
        <v>22</v>
      </c>
      <c r="H11" s="20" t="s">
        <v>66</v>
      </c>
      <c r="I11" s="29">
        <f>$F$11/7</f>
        <v>210537380.7142857</v>
      </c>
      <c r="J11" s="29"/>
      <c r="K11" s="29">
        <f>$F$11/7</f>
        <v>210537380.7142857</v>
      </c>
      <c r="L11" s="29"/>
      <c r="M11" s="27">
        <f t="shared" si="0"/>
        <v>421074761.4285714</v>
      </c>
    </row>
    <row r="12" spans="1:13" x14ac:dyDescent="0.25">
      <c r="A12" s="18" t="s">
        <v>67</v>
      </c>
      <c r="B12" s="17">
        <v>2022</v>
      </c>
      <c r="C12" s="17" t="s">
        <v>68</v>
      </c>
      <c r="D12" s="19">
        <v>179402906</v>
      </c>
      <c r="E12" s="19">
        <v>44114000</v>
      </c>
      <c r="F12" s="19">
        <v>135288906</v>
      </c>
      <c r="G12" s="20" t="s">
        <v>0</v>
      </c>
      <c r="H12" s="20" t="s">
        <v>69</v>
      </c>
      <c r="I12" s="29"/>
      <c r="J12" s="29">
        <f>F12</f>
        <v>135288906</v>
      </c>
      <c r="K12" s="29"/>
      <c r="L12" s="29"/>
      <c r="M12" s="27">
        <f t="shared" si="0"/>
        <v>135288906</v>
      </c>
    </row>
    <row r="13" spans="1:13" x14ac:dyDescent="0.25">
      <c r="A13" s="18" t="s">
        <v>70</v>
      </c>
      <c r="B13" s="17">
        <v>2022</v>
      </c>
      <c r="C13" s="17" t="s">
        <v>71</v>
      </c>
      <c r="D13" s="19">
        <v>288499154</v>
      </c>
      <c r="E13" s="19">
        <v>0</v>
      </c>
      <c r="F13" s="19">
        <v>288499154</v>
      </c>
      <c r="G13" s="20" t="s">
        <v>72</v>
      </c>
      <c r="H13" s="20" t="s">
        <v>73</v>
      </c>
      <c r="I13" s="29"/>
      <c r="J13" s="29">
        <f>($F$13/7)*3</f>
        <v>123642494.57142857</v>
      </c>
      <c r="K13" s="29"/>
      <c r="L13" s="29"/>
      <c r="M13" s="27">
        <f t="shared" si="0"/>
        <v>123642494.57142857</v>
      </c>
    </row>
    <row r="14" spans="1:13" x14ac:dyDescent="0.25">
      <c r="A14" s="18" t="s">
        <v>74</v>
      </c>
      <c r="B14" s="17">
        <v>2022</v>
      </c>
      <c r="C14" s="17" t="s">
        <v>75</v>
      </c>
      <c r="D14" s="19">
        <v>489086500</v>
      </c>
      <c r="E14" s="19">
        <v>102205200</v>
      </c>
      <c r="F14" s="19">
        <v>386881300</v>
      </c>
      <c r="G14" s="20" t="s">
        <v>0</v>
      </c>
      <c r="H14" s="20" t="s">
        <v>76</v>
      </c>
      <c r="I14" s="29"/>
      <c r="J14" s="29">
        <f>F14</f>
        <v>386881300</v>
      </c>
      <c r="K14" s="29"/>
      <c r="L14" s="29"/>
      <c r="M14" s="27">
        <f t="shared" si="0"/>
        <v>386881300</v>
      </c>
    </row>
    <row r="15" spans="1:13" ht="12.75" customHeight="1" x14ac:dyDescent="0.25">
      <c r="A15" s="18" t="s">
        <v>77</v>
      </c>
      <c r="B15" s="17">
        <v>2023</v>
      </c>
      <c r="C15" s="17" t="s">
        <v>78</v>
      </c>
      <c r="D15" s="19">
        <v>116276000</v>
      </c>
      <c r="E15" s="19">
        <v>23255200</v>
      </c>
      <c r="F15" s="19">
        <v>93020800</v>
      </c>
      <c r="G15" s="20" t="s">
        <v>0</v>
      </c>
      <c r="H15" s="20" t="s">
        <v>76</v>
      </c>
      <c r="I15" s="29"/>
      <c r="J15" s="29">
        <f>F15</f>
        <v>93020800</v>
      </c>
      <c r="K15" s="29"/>
      <c r="L15" s="29"/>
      <c r="M15" s="27">
        <f t="shared" ref="M15:M21" si="1">SUM(I15:L15)</f>
        <v>93020800</v>
      </c>
    </row>
    <row r="16" spans="1:13" x14ac:dyDescent="0.25">
      <c r="A16" s="18" t="s">
        <v>79</v>
      </c>
      <c r="B16" s="17">
        <v>2023</v>
      </c>
      <c r="C16" s="17" t="s">
        <v>80</v>
      </c>
      <c r="D16" s="19">
        <v>220000000</v>
      </c>
      <c r="E16" s="19">
        <v>44000000</v>
      </c>
      <c r="F16" s="19">
        <v>176000000</v>
      </c>
      <c r="G16" s="20" t="s">
        <v>0</v>
      </c>
      <c r="H16" s="20" t="s">
        <v>81</v>
      </c>
      <c r="I16" s="29"/>
      <c r="J16" s="29">
        <f>F16</f>
        <v>176000000</v>
      </c>
      <c r="K16" s="29"/>
      <c r="L16" s="29"/>
      <c r="M16" s="27">
        <f t="shared" si="1"/>
        <v>176000000</v>
      </c>
    </row>
    <row r="17" spans="1:13" x14ac:dyDescent="0.25">
      <c r="A17" s="18" t="s">
        <v>82</v>
      </c>
      <c r="B17" s="17">
        <v>2023</v>
      </c>
      <c r="C17" s="17" t="s">
        <v>83</v>
      </c>
      <c r="D17" s="19">
        <v>2187264000</v>
      </c>
      <c r="E17" s="19">
        <v>0</v>
      </c>
      <c r="F17" s="19">
        <v>2187264000</v>
      </c>
      <c r="G17" s="20" t="s">
        <v>84</v>
      </c>
      <c r="H17" s="20" t="s">
        <v>85</v>
      </c>
      <c r="I17" s="29"/>
      <c r="J17" s="29">
        <f>($F$17/6)*1</f>
        <v>364544000</v>
      </c>
      <c r="K17" s="29"/>
      <c r="L17" s="29"/>
      <c r="M17" s="27">
        <f t="shared" si="1"/>
        <v>364544000</v>
      </c>
    </row>
    <row r="18" spans="1:13" x14ac:dyDescent="0.25">
      <c r="A18" s="18" t="s">
        <v>90</v>
      </c>
      <c r="B18" s="17">
        <v>2023</v>
      </c>
      <c r="C18" s="17" t="s">
        <v>91</v>
      </c>
      <c r="D18" s="19">
        <v>4007523333</v>
      </c>
      <c r="E18" s="19">
        <v>0</v>
      </c>
      <c r="F18" s="19">
        <v>4007523333</v>
      </c>
      <c r="G18" s="20" t="s">
        <v>23</v>
      </c>
      <c r="H18" s="20" t="s">
        <v>92</v>
      </c>
      <c r="I18" s="29">
        <f>$F$18/5</f>
        <v>801504666.60000002</v>
      </c>
      <c r="J18" s="29">
        <f>$F$18/5</f>
        <v>801504666.60000002</v>
      </c>
      <c r="K18" s="29">
        <f>$F$18/5</f>
        <v>801504666.60000002</v>
      </c>
      <c r="L18" s="29">
        <f>$F$18/5</f>
        <v>801504666.60000002</v>
      </c>
      <c r="M18" s="27">
        <f t="shared" si="1"/>
        <v>3206018666.4000001</v>
      </c>
    </row>
    <row r="19" spans="1:13" x14ac:dyDescent="0.25">
      <c r="A19" s="18" t="s">
        <v>93</v>
      </c>
      <c r="B19" s="17">
        <v>2023</v>
      </c>
      <c r="C19" s="17" t="s">
        <v>20</v>
      </c>
      <c r="D19" s="19">
        <v>3970409808</v>
      </c>
      <c r="E19" s="19">
        <v>558295998</v>
      </c>
      <c r="F19" s="19">
        <v>3412113810</v>
      </c>
      <c r="G19" s="20" t="s">
        <v>2</v>
      </c>
      <c r="H19" s="20" t="s">
        <v>94</v>
      </c>
      <c r="I19" s="29"/>
      <c r="J19" s="29"/>
      <c r="K19" s="29"/>
      <c r="L19" s="29">
        <f>F19</f>
        <v>3412113810</v>
      </c>
      <c r="M19" s="27">
        <f t="shared" si="1"/>
        <v>3412113810</v>
      </c>
    </row>
    <row r="20" spans="1:13" x14ac:dyDescent="0.25">
      <c r="A20" s="18" t="s">
        <v>95</v>
      </c>
      <c r="B20" s="17">
        <v>2023</v>
      </c>
      <c r="C20" s="17" t="s">
        <v>96</v>
      </c>
      <c r="D20" s="19">
        <v>8201515642</v>
      </c>
      <c r="E20" s="19">
        <v>0</v>
      </c>
      <c r="F20" s="19">
        <v>8201515642</v>
      </c>
      <c r="G20" s="20" t="s">
        <v>97</v>
      </c>
      <c r="H20" s="20" t="s">
        <v>98</v>
      </c>
      <c r="I20" s="30">
        <f>(($F$20-501030625)/85)*3</f>
        <v>271781824.12941182</v>
      </c>
      <c r="J20" s="29"/>
      <c r="K20" s="29"/>
      <c r="L20" s="30">
        <f>((501030625/4)*2)</f>
        <v>250515312.5</v>
      </c>
      <c r="M20" s="27">
        <f t="shared" si="1"/>
        <v>522297136.62941182</v>
      </c>
    </row>
    <row r="21" spans="1:13" x14ac:dyDescent="0.25">
      <c r="A21" s="22" t="s">
        <v>99</v>
      </c>
      <c r="B21" s="17">
        <v>2023</v>
      </c>
      <c r="C21" s="18" t="s">
        <v>100</v>
      </c>
      <c r="D21" s="19">
        <v>483096677</v>
      </c>
      <c r="E21" s="19">
        <v>0</v>
      </c>
      <c r="F21" s="19">
        <v>483096677</v>
      </c>
      <c r="G21" s="20" t="s">
        <v>101</v>
      </c>
      <c r="H21" s="20" t="s">
        <v>102</v>
      </c>
      <c r="I21" s="29"/>
      <c r="J21" s="29">
        <f>$F$21/5</f>
        <v>96619335.400000006</v>
      </c>
      <c r="K21" s="29"/>
      <c r="L21" s="29">
        <f>(($F$21/5)/6)*5</f>
        <v>80516112.833333343</v>
      </c>
      <c r="M21" s="27">
        <f t="shared" si="1"/>
        <v>177135448.23333335</v>
      </c>
    </row>
    <row r="22" spans="1:13" x14ac:dyDescent="0.25">
      <c r="A22" s="22" t="s">
        <v>103</v>
      </c>
      <c r="B22" s="17">
        <v>2023</v>
      </c>
      <c r="C22" s="25" t="s">
        <v>104</v>
      </c>
      <c r="D22" s="19">
        <v>683436459</v>
      </c>
      <c r="E22" s="19">
        <v>0</v>
      </c>
      <c r="F22" s="19">
        <v>683436459</v>
      </c>
      <c r="G22" s="20" t="s">
        <v>105</v>
      </c>
      <c r="H22" s="20" t="s">
        <v>106</v>
      </c>
      <c r="I22" s="29"/>
      <c r="J22" s="29"/>
      <c r="K22" s="29"/>
      <c r="L22" s="29">
        <f>($F$22/18)*12</f>
        <v>455624306</v>
      </c>
      <c r="M22" s="27">
        <f t="shared" ref="M22:M30" si="2">SUM(I22:L22)</f>
        <v>455624306</v>
      </c>
    </row>
    <row r="23" spans="1:13" x14ac:dyDescent="0.25">
      <c r="A23" s="22" t="s">
        <v>107</v>
      </c>
      <c r="B23" s="17">
        <v>2023</v>
      </c>
      <c r="C23" s="25" t="s">
        <v>108</v>
      </c>
      <c r="D23" s="19">
        <v>79297249</v>
      </c>
      <c r="E23" s="19">
        <v>21872149</v>
      </c>
      <c r="F23" s="19">
        <v>57425100</v>
      </c>
      <c r="G23" s="20" t="s">
        <v>2</v>
      </c>
      <c r="H23" s="20" t="s">
        <v>19</v>
      </c>
      <c r="I23" s="29"/>
      <c r="J23" s="29"/>
      <c r="K23" s="29"/>
      <c r="L23" s="29">
        <f>F23</f>
        <v>57425100</v>
      </c>
      <c r="M23" s="27">
        <f t="shared" si="2"/>
        <v>57425100</v>
      </c>
    </row>
    <row r="24" spans="1:13" x14ac:dyDescent="0.25">
      <c r="A24" s="22" t="s">
        <v>113</v>
      </c>
      <c r="B24" s="17">
        <v>2023</v>
      </c>
      <c r="C24" s="25" t="s">
        <v>114</v>
      </c>
      <c r="D24" s="19">
        <v>695601962</v>
      </c>
      <c r="E24" s="19">
        <v>0</v>
      </c>
      <c r="F24" s="19">
        <v>695601962</v>
      </c>
      <c r="G24" s="20" t="s">
        <v>0</v>
      </c>
      <c r="H24" s="20" t="s">
        <v>115</v>
      </c>
      <c r="I24" s="29"/>
      <c r="J24" s="29">
        <f>F24</f>
        <v>695601962</v>
      </c>
      <c r="K24" s="29"/>
      <c r="L24" s="29"/>
      <c r="M24" s="27">
        <f t="shared" si="2"/>
        <v>695601962</v>
      </c>
    </row>
    <row r="25" spans="1:13" x14ac:dyDescent="0.25">
      <c r="A25" s="22" t="s">
        <v>120</v>
      </c>
      <c r="B25" s="17">
        <v>2023</v>
      </c>
      <c r="C25" s="25" t="s">
        <v>121</v>
      </c>
      <c r="D25" s="19">
        <v>396499906</v>
      </c>
      <c r="E25" s="19">
        <v>0</v>
      </c>
      <c r="F25" s="19">
        <v>396499906</v>
      </c>
      <c r="G25" s="20" t="s">
        <v>0</v>
      </c>
      <c r="H25" s="20" t="s">
        <v>122</v>
      </c>
      <c r="I25" s="29"/>
      <c r="J25" s="29">
        <f>F25</f>
        <v>396499906</v>
      </c>
      <c r="K25" s="29"/>
      <c r="L25" s="29"/>
      <c r="M25" s="27">
        <f t="shared" si="2"/>
        <v>396499906</v>
      </c>
    </row>
    <row r="26" spans="1:13" x14ac:dyDescent="0.25">
      <c r="A26" s="22" t="s">
        <v>123</v>
      </c>
      <c r="B26" s="17">
        <v>2023</v>
      </c>
      <c r="C26" s="25" t="s">
        <v>124</v>
      </c>
      <c r="D26" s="19">
        <v>270963000</v>
      </c>
      <c r="E26" s="19">
        <v>0</v>
      </c>
      <c r="F26" s="19">
        <v>270963000</v>
      </c>
      <c r="G26" s="20" t="s">
        <v>0</v>
      </c>
      <c r="H26" s="20" t="s">
        <v>125</v>
      </c>
      <c r="I26" s="29"/>
      <c r="J26" s="29">
        <f>F26</f>
        <v>270963000</v>
      </c>
      <c r="K26" s="29"/>
      <c r="L26" s="29"/>
      <c r="M26" s="27">
        <f t="shared" si="2"/>
        <v>270963000</v>
      </c>
    </row>
    <row r="27" spans="1:13" x14ac:dyDescent="0.25">
      <c r="A27" s="22" t="s">
        <v>126</v>
      </c>
      <c r="B27" s="17">
        <v>2023</v>
      </c>
      <c r="C27" s="25" t="s">
        <v>127</v>
      </c>
      <c r="D27" s="19">
        <v>518426898</v>
      </c>
      <c r="E27" s="19">
        <v>0</v>
      </c>
      <c r="F27" s="19">
        <v>518426898</v>
      </c>
      <c r="G27" s="20" t="s">
        <v>0</v>
      </c>
      <c r="H27" s="20" t="s">
        <v>81</v>
      </c>
      <c r="I27" s="29"/>
      <c r="J27" s="29">
        <f>F27</f>
        <v>518426898</v>
      </c>
      <c r="K27" s="29"/>
      <c r="L27" s="29"/>
      <c r="M27" s="27">
        <f t="shared" si="2"/>
        <v>518426898</v>
      </c>
    </row>
    <row r="28" spans="1:13" x14ac:dyDescent="0.25">
      <c r="A28" s="22" t="s">
        <v>128</v>
      </c>
      <c r="B28" s="17">
        <v>2023</v>
      </c>
      <c r="C28" s="17" t="s">
        <v>129</v>
      </c>
      <c r="D28" s="19">
        <v>1413954750</v>
      </c>
      <c r="E28" s="19">
        <v>283856438</v>
      </c>
      <c r="F28" s="19">
        <v>1130098312</v>
      </c>
      <c r="G28" s="20" t="s">
        <v>130</v>
      </c>
      <c r="H28" s="20" t="s">
        <v>131</v>
      </c>
      <c r="I28" s="29"/>
      <c r="J28" s="29">
        <f>($F$28/55)*1</f>
        <v>20547242.036363635</v>
      </c>
      <c r="K28" s="29">
        <f>($F$28/55)*1</f>
        <v>20547242.036363635</v>
      </c>
      <c r="L28" s="29">
        <f>($F$28/55)*1</f>
        <v>20547242.036363635</v>
      </c>
      <c r="M28" s="27">
        <f t="shared" si="2"/>
        <v>61641726.109090909</v>
      </c>
    </row>
    <row r="29" spans="1:13" x14ac:dyDescent="0.25">
      <c r="A29" s="22" t="s">
        <v>134</v>
      </c>
      <c r="B29" s="17">
        <v>2023</v>
      </c>
      <c r="C29" s="17" t="s">
        <v>135</v>
      </c>
      <c r="D29" s="19">
        <v>1000000000</v>
      </c>
      <c r="E29" s="19">
        <v>500000000</v>
      </c>
      <c r="F29" s="19">
        <v>500000000</v>
      </c>
      <c r="G29" s="20" t="s">
        <v>0</v>
      </c>
      <c r="H29" s="20" t="s">
        <v>136</v>
      </c>
      <c r="I29" s="29"/>
      <c r="J29" s="29">
        <f>F29</f>
        <v>500000000</v>
      </c>
      <c r="K29" s="29"/>
      <c r="L29" s="29"/>
      <c r="M29" s="27">
        <f t="shared" si="2"/>
        <v>500000000</v>
      </c>
    </row>
    <row r="30" spans="1:13" ht="13.5" customHeight="1" x14ac:dyDescent="0.25">
      <c r="A30" s="22" t="s">
        <v>137</v>
      </c>
      <c r="B30" s="17">
        <v>2023</v>
      </c>
      <c r="C30" s="17" t="s">
        <v>138</v>
      </c>
      <c r="D30" s="19">
        <v>3401600625</v>
      </c>
      <c r="E30" s="19">
        <v>0</v>
      </c>
      <c r="F30" s="19">
        <v>3401600625</v>
      </c>
      <c r="G30" s="20" t="s">
        <v>139</v>
      </c>
      <c r="H30" s="20" t="s">
        <v>140</v>
      </c>
      <c r="I30" s="29">
        <f>($F$30/40)*2</f>
        <v>170080031.25</v>
      </c>
      <c r="J30" s="29">
        <f>($F$30/40)*18</f>
        <v>1530720281.25</v>
      </c>
      <c r="K30" s="29">
        <f>($F$30/40)*5</f>
        <v>425200078.125</v>
      </c>
      <c r="L30" s="29">
        <f>($F$30/40)*7</f>
        <v>595280109.375</v>
      </c>
      <c r="M30" s="27">
        <f t="shared" si="2"/>
        <v>2721280500</v>
      </c>
    </row>
    <row r="31" spans="1:13" x14ac:dyDescent="0.25">
      <c r="A31" s="18" t="s">
        <v>147</v>
      </c>
      <c r="B31" s="17">
        <v>2023</v>
      </c>
      <c r="C31" s="18" t="s">
        <v>148</v>
      </c>
      <c r="D31" s="19">
        <v>66052699505</v>
      </c>
      <c r="E31" s="19">
        <v>0</v>
      </c>
      <c r="F31" s="19">
        <v>66052699505</v>
      </c>
      <c r="G31" s="20" t="s">
        <v>149</v>
      </c>
      <c r="H31" s="20" t="s">
        <v>150</v>
      </c>
      <c r="I31" s="29">
        <f>($F$31/88)*4</f>
        <v>3002395432.0454545</v>
      </c>
      <c r="J31" s="29">
        <f>($F$31/88)*2</f>
        <v>1501197716.0227273</v>
      </c>
      <c r="K31" s="29"/>
      <c r="L31" s="29">
        <f>($F$31/88)*1</f>
        <v>750598858.01136363</v>
      </c>
      <c r="M31" s="27">
        <f t="shared" ref="M31" si="3">SUM(I31:L31)</f>
        <v>5254192006.079546</v>
      </c>
    </row>
  </sheetData>
  <autoFilter ref="A1:M31" xr:uid="{00000000-0009-0000-0000-000001000000}"/>
  <dataConsolidate/>
  <pageMargins left="0.70866141732283472" right="0.70866141732283472" top="0.74803149606299213" bottom="0.74803149606299213" header="0.31496062992125984" footer="0.31496062992125984"/>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Orinoquía</vt:lpstr>
      <vt:lpstr>RutaLibertadora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Duarte Trujillo</dc:creator>
  <cp:lastModifiedBy>Janeth Rocío Castañeda Micán</cp:lastModifiedBy>
  <dcterms:created xsi:type="dcterms:W3CDTF">2023-09-25T16:17:39Z</dcterms:created>
  <dcterms:modified xsi:type="dcterms:W3CDTF">2023-09-27T18:03:00Z</dcterms:modified>
</cp:coreProperties>
</file>