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20" windowHeight="11020" firstSheet="5" activeTab="9"/>
  </bookViews>
  <sheets>
    <sheet name="INGRESOS 2018" sheetId="5" r:id="rId1"/>
    <sheet name="GASTOS 2018 " sheetId="1" r:id="rId2"/>
    <sheet name="INGRESOS 2019 " sheetId="6" r:id="rId3"/>
    <sheet name="GASTOS 2019" sheetId="2" r:id="rId4"/>
    <sheet name="INGRESOS 2020 " sheetId="7" r:id="rId5"/>
    <sheet name="GASTOS 2020 " sheetId="3" r:id="rId6"/>
    <sheet name="INGRESOS 2021" sheetId="8" r:id="rId7"/>
    <sheet name="GASTOS 2021 " sheetId="4" r:id="rId8"/>
    <sheet name="INGRESOS 2022 (OCT)" sheetId="10" r:id="rId9"/>
    <sheet name="GASTOS 2022 (OCT)" sheetId="9" r:id="rId10"/>
  </sheets>
  <definedNames>
    <definedName name="_xlnm._FilterDatabase" localSheetId="5" hidden="1">'GASTOS 2020 '!$B$8:$T$159</definedName>
    <definedName name="_xlnm._FilterDatabase" localSheetId="9" hidden="1">'GASTOS 2022 (OCT)'!$A$5:$U$151</definedName>
    <definedName name="_xlnm._FilterDatabase" localSheetId="4" hidden="1">'INGRESOS 2020 '!$A$10:$P$42</definedName>
    <definedName name="_xlnm._FilterDatabase" localSheetId="8" hidden="1">'INGRESOS 2022 (OCT)'!$A$5:$P$34</definedName>
    <definedName name="_xlnm.Print_Area" localSheetId="7">'GASTOS 2021 '!$A$1:$S$165</definedName>
    <definedName name="_xlnm.Print_Area" localSheetId="9">'GASTOS 2022 (OCT)'!$A$2:$N$7</definedName>
    <definedName name="_xlnm.Print_Area" localSheetId="6">'INGRESOS 2021'!$B$1:$M$60</definedName>
    <definedName name="_xlnm.Print_Area" localSheetId="8">'INGRESOS 2022 (OCT)'!$A$2:$N$19</definedName>
    <definedName name="_xlnm.Print_Titles" localSheetId="1">'GASTOS 2018 '!$4:$7</definedName>
    <definedName name="_xlnm.Print_Titles" localSheetId="3">'GASTOS 2019'!$4:$7</definedName>
    <definedName name="_xlnm.Print_Titles" localSheetId="5">'GASTOS 2020 '!$4:$7</definedName>
    <definedName name="_xlnm.Print_Titles" localSheetId="7">'GASTOS 2021 '!$4:$7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9" l="1"/>
  <c r="G52" i="8" l="1"/>
  <c r="M52" i="8" s="1"/>
  <c r="M51" i="8"/>
  <c r="L51" i="8"/>
  <c r="L50" i="8" s="1"/>
  <c r="K51" i="8"/>
  <c r="J51" i="8"/>
  <c r="I51" i="8"/>
  <c r="I50" i="8" s="1"/>
  <c r="H51" i="8"/>
  <c r="H50" i="8" s="1"/>
  <c r="G51" i="8"/>
  <c r="F51" i="8"/>
  <c r="E51" i="8"/>
  <c r="E50" i="8" s="1"/>
  <c r="D51" i="8"/>
  <c r="D50" i="8" s="1"/>
  <c r="K50" i="8"/>
  <c r="M50" i="8" s="1"/>
  <c r="J50" i="8"/>
  <c r="G50" i="8"/>
  <c r="F50" i="8"/>
  <c r="G49" i="8"/>
  <c r="M49" i="8" s="1"/>
  <c r="G48" i="8"/>
  <c r="M48" i="8" s="1"/>
  <c r="L47" i="8"/>
  <c r="L46" i="8" s="1"/>
  <c r="L33" i="8" s="1"/>
  <c r="K47" i="8"/>
  <c r="J47" i="8"/>
  <c r="I47" i="8"/>
  <c r="I46" i="8" s="1"/>
  <c r="H47" i="8"/>
  <c r="H46" i="8" s="1"/>
  <c r="H33" i="8" s="1"/>
  <c r="F47" i="8"/>
  <c r="E47" i="8"/>
  <c r="E46" i="8" s="1"/>
  <c r="D47" i="8"/>
  <c r="G47" i="8" s="1"/>
  <c r="M47" i="8" s="1"/>
  <c r="K46" i="8"/>
  <c r="J46" i="8"/>
  <c r="F46" i="8"/>
  <c r="G45" i="8"/>
  <c r="E44" i="8"/>
  <c r="G44" i="8" s="1"/>
  <c r="M44" i="8" s="1"/>
  <c r="G43" i="8"/>
  <c r="M43" i="8" s="1"/>
  <c r="G42" i="8"/>
  <c r="M42" i="8" s="1"/>
  <c r="G41" i="8"/>
  <c r="M41" i="8" s="1"/>
  <c r="L40" i="8"/>
  <c r="K40" i="8"/>
  <c r="J40" i="8"/>
  <c r="I40" i="8"/>
  <c r="H40" i="8"/>
  <c r="E40" i="8"/>
  <c r="D40" i="8"/>
  <c r="G39" i="8"/>
  <c r="M39" i="8" s="1"/>
  <c r="M38" i="8"/>
  <c r="G38" i="8"/>
  <c r="G37" i="8"/>
  <c r="M37" i="8" s="1"/>
  <c r="L36" i="8"/>
  <c r="K36" i="8"/>
  <c r="J36" i="8"/>
  <c r="I36" i="8"/>
  <c r="I35" i="8" s="1"/>
  <c r="I34" i="8" s="1"/>
  <c r="I33" i="8" s="1"/>
  <c r="H36" i="8"/>
  <c r="E36" i="8"/>
  <c r="D36" i="8"/>
  <c r="D35" i="8" s="1"/>
  <c r="D34" i="8" s="1"/>
  <c r="D33" i="8" s="1"/>
  <c r="L35" i="8"/>
  <c r="K35" i="8"/>
  <c r="J35" i="8"/>
  <c r="J34" i="8" s="1"/>
  <c r="J33" i="8" s="1"/>
  <c r="H35" i="8"/>
  <c r="E35" i="8"/>
  <c r="E34" i="8" s="1"/>
  <c r="E33" i="8" s="1"/>
  <c r="L34" i="8"/>
  <c r="K34" i="8"/>
  <c r="K33" i="8" s="1"/>
  <c r="H34" i="8"/>
  <c r="G32" i="8"/>
  <c r="G31" i="8"/>
  <c r="L30" i="8"/>
  <c r="K30" i="8"/>
  <c r="J30" i="8"/>
  <c r="J29" i="8" s="1"/>
  <c r="J15" i="8" s="1"/>
  <c r="J14" i="8" s="1"/>
  <c r="J13" i="8" s="1"/>
  <c r="J12" i="8" s="1"/>
  <c r="J11" i="8" s="1"/>
  <c r="J10" i="8" s="1"/>
  <c r="I30" i="8"/>
  <c r="H30" i="8"/>
  <c r="G30" i="8"/>
  <c r="F30" i="8"/>
  <c r="F29" i="8" s="1"/>
  <c r="E30" i="8"/>
  <c r="D30" i="8"/>
  <c r="L29" i="8"/>
  <c r="K29" i="8"/>
  <c r="K15" i="8" s="1"/>
  <c r="I29" i="8"/>
  <c r="H29" i="8"/>
  <c r="G29" i="8"/>
  <c r="E29" i="8"/>
  <c r="D29" i="8"/>
  <c r="M28" i="8"/>
  <c r="G28" i="8"/>
  <c r="E27" i="8"/>
  <c r="E22" i="8" s="1"/>
  <c r="E15" i="8" s="1"/>
  <c r="E14" i="8" s="1"/>
  <c r="E13" i="8" s="1"/>
  <c r="E12" i="8" s="1"/>
  <c r="E11" i="8" s="1"/>
  <c r="E10" i="8" s="1"/>
  <c r="M26" i="8"/>
  <c r="G26" i="8"/>
  <c r="G25" i="8"/>
  <c r="M25" i="8" s="1"/>
  <c r="E25" i="8"/>
  <c r="G24" i="8"/>
  <c r="G22" i="8" s="1"/>
  <c r="M22" i="8" s="1"/>
  <c r="M23" i="8"/>
  <c r="G23" i="8"/>
  <c r="E23" i="8"/>
  <c r="L22" i="8"/>
  <c r="K22" i="8"/>
  <c r="J22" i="8"/>
  <c r="I22" i="8"/>
  <c r="H22" i="8"/>
  <c r="D22" i="8"/>
  <c r="M21" i="8"/>
  <c r="G21" i="8"/>
  <c r="G20" i="8"/>
  <c r="M20" i="8" s="1"/>
  <c r="M19" i="8"/>
  <c r="G19" i="8"/>
  <c r="G18" i="8"/>
  <c r="G16" i="8" s="1"/>
  <c r="M16" i="8" s="1"/>
  <c r="M17" i="8"/>
  <c r="G17" i="8"/>
  <c r="E17" i="8"/>
  <c r="L16" i="8"/>
  <c r="L15" i="8" s="1"/>
  <c r="L14" i="8" s="1"/>
  <c r="L13" i="8" s="1"/>
  <c r="L12" i="8" s="1"/>
  <c r="L11" i="8" s="1"/>
  <c r="L10" i="8" s="1"/>
  <c r="K16" i="8"/>
  <c r="J16" i="8"/>
  <c r="I16" i="8"/>
  <c r="I15" i="8" s="1"/>
  <c r="I14" i="8" s="1"/>
  <c r="I13" i="8" s="1"/>
  <c r="I12" i="8" s="1"/>
  <c r="I11" i="8" s="1"/>
  <c r="H16" i="8"/>
  <c r="H15" i="8" s="1"/>
  <c r="H14" i="8" s="1"/>
  <c r="H13" i="8" s="1"/>
  <c r="H12" i="8" s="1"/>
  <c r="H11" i="8" s="1"/>
  <c r="H10" i="8" s="1"/>
  <c r="F16" i="8"/>
  <c r="E16" i="8"/>
  <c r="D16" i="8"/>
  <c r="D15" i="8" s="1"/>
  <c r="F13" i="8"/>
  <c r="F12" i="8"/>
  <c r="F11" i="8" s="1"/>
  <c r="F10" i="8" s="1"/>
  <c r="D14" i="8" l="1"/>
  <c r="G15" i="8"/>
  <c r="M15" i="8" s="1"/>
  <c r="K14" i="8"/>
  <c r="I10" i="8"/>
  <c r="G27" i="8"/>
  <c r="M27" i="8" s="1"/>
  <c r="M18" i="8"/>
  <c r="M24" i="8"/>
  <c r="G36" i="8"/>
  <c r="D46" i="8"/>
  <c r="G46" i="8" s="1"/>
  <c r="M46" i="8" s="1"/>
  <c r="G40" i="8"/>
  <c r="M40" i="8" s="1"/>
  <c r="G35" i="8" l="1"/>
  <c r="M36" i="8"/>
  <c r="K13" i="8"/>
  <c r="M14" i="8"/>
  <c r="G14" i="8"/>
  <c r="D13" i="8"/>
  <c r="G13" i="8" l="1"/>
  <c r="D12" i="8"/>
  <c r="M13" i="8"/>
  <c r="K12" i="8"/>
  <c r="G34" i="8"/>
  <c r="M35" i="8"/>
  <c r="K11" i="8" l="1"/>
  <c r="G12" i="8"/>
  <c r="G11" i="8" s="1"/>
  <c r="G10" i="8" s="1"/>
  <c r="D11" i="8"/>
  <c r="D10" i="8" s="1"/>
  <c r="G33" i="8"/>
  <c r="M33" i="8" s="1"/>
  <c r="M34" i="8"/>
  <c r="M11" i="8" l="1"/>
  <c r="K10" i="8"/>
  <c r="M10" i="8" s="1"/>
  <c r="M12" i="8"/>
  <c r="D42" i="7" l="1"/>
  <c r="H42" i="7" s="1"/>
  <c r="P42" i="7" s="1"/>
  <c r="D41" i="7"/>
  <c r="H41" i="7" s="1"/>
  <c r="P41" i="7" s="1"/>
  <c r="H40" i="7"/>
  <c r="P40" i="7" s="1"/>
  <c r="H39" i="7"/>
  <c r="P39" i="7" s="1"/>
  <c r="H38" i="7"/>
  <c r="P38" i="7" s="1"/>
  <c r="H37" i="7"/>
  <c r="P37" i="7" s="1"/>
  <c r="H36" i="7"/>
  <c r="P36" i="7" s="1"/>
  <c r="H35" i="7"/>
  <c r="P35" i="7" s="1"/>
  <c r="O34" i="7"/>
  <c r="N34" i="7"/>
  <c r="M34" i="7"/>
  <c r="L34" i="7"/>
  <c r="K34" i="7"/>
  <c r="C34" i="7"/>
  <c r="P33" i="7"/>
  <c r="H33" i="7"/>
  <c r="H32" i="7"/>
  <c r="P32" i="7" s="1"/>
  <c r="P31" i="7"/>
  <c r="H31" i="7"/>
  <c r="N30" i="7"/>
  <c r="M30" i="7"/>
  <c r="L30" i="7"/>
  <c r="K30" i="7"/>
  <c r="H30" i="7"/>
  <c r="H29" i="7" s="1"/>
  <c r="D30" i="7"/>
  <c r="C30" i="7"/>
  <c r="O29" i="7"/>
  <c r="N29" i="7"/>
  <c r="M29" i="7"/>
  <c r="L29" i="7"/>
  <c r="K29" i="7"/>
  <c r="D29" i="7"/>
  <c r="C29" i="7"/>
  <c r="N28" i="7"/>
  <c r="M28" i="7"/>
  <c r="L28" i="7"/>
  <c r="L27" i="7" s="1"/>
  <c r="C28" i="7"/>
  <c r="C27" i="7" s="1"/>
  <c r="N27" i="7"/>
  <c r="M27" i="7"/>
  <c r="H26" i="7"/>
  <c r="P26" i="7" s="1"/>
  <c r="P25" i="7"/>
  <c r="H25" i="7"/>
  <c r="D24" i="7"/>
  <c r="H23" i="7"/>
  <c r="P23" i="7" s="1"/>
  <c r="H22" i="7"/>
  <c r="P22" i="7" s="1"/>
  <c r="D22" i="7"/>
  <c r="O21" i="7"/>
  <c r="N21" i="7"/>
  <c r="M21" i="7"/>
  <c r="L21" i="7"/>
  <c r="K21" i="7"/>
  <c r="C21" i="7"/>
  <c r="H20" i="7"/>
  <c r="P20" i="7" s="1"/>
  <c r="D20" i="7"/>
  <c r="D19" i="7"/>
  <c r="H18" i="7"/>
  <c r="P18" i="7" s="1"/>
  <c r="N17" i="7"/>
  <c r="L17" i="7"/>
  <c r="D17" i="7"/>
  <c r="H17" i="7" s="1"/>
  <c r="O16" i="7"/>
  <c r="M16" i="7"/>
  <c r="M15" i="7" s="1"/>
  <c r="M14" i="7" s="1"/>
  <c r="M13" i="7" s="1"/>
  <c r="M12" i="7" s="1"/>
  <c r="M11" i="7" s="1"/>
  <c r="M10" i="7" s="1"/>
  <c r="L16" i="7"/>
  <c r="L15" i="7" s="1"/>
  <c r="L14" i="7" s="1"/>
  <c r="K16" i="7"/>
  <c r="C16" i="7"/>
  <c r="O15" i="7"/>
  <c r="K15" i="7"/>
  <c r="O14" i="7"/>
  <c r="O13" i="7" s="1"/>
  <c r="O12" i="7" s="1"/>
  <c r="O11" i="7" s="1"/>
  <c r="K14" i="7"/>
  <c r="K13" i="7" s="1"/>
  <c r="K12" i="7" s="1"/>
  <c r="K11" i="7" s="1"/>
  <c r="L13" i="7"/>
  <c r="G13" i="7"/>
  <c r="F13" i="7"/>
  <c r="E13" i="7"/>
  <c r="L12" i="7"/>
  <c r="L11" i="7" s="1"/>
  <c r="L10" i="7" s="1"/>
  <c r="G12" i="7"/>
  <c r="F12" i="7"/>
  <c r="E12" i="7"/>
  <c r="G11" i="7"/>
  <c r="F11" i="7"/>
  <c r="E11" i="7"/>
  <c r="G10" i="7"/>
  <c r="F10" i="7"/>
  <c r="E10" i="7"/>
  <c r="D21" i="7" l="1"/>
  <c r="H24" i="7"/>
  <c r="P24" i="7" s="1"/>
  <c r="C15" i="7"/>
  <c r="N16" i="7"/>
  <c r="P17" i="7"/>
  <c r="P29" i="7"/>
  <c r="P30" i="7"/>
  <c r="K28" i="7"/>
  <c r="K27" i="7" s="1"/>
  <c r="K10" i="7" s="1"/>
  <c r="O28" i="7"/>
  <c r="O27" i="7" s="1"/>
  <c r="O10" i="7" s="1"/>
  <c r="O30" i="7"/>
  <c r="H19" i="7"/>
  <c r="P19" i="7" s="1"/>
  <c r="D16" i="7"/>
  <c r="D15" i="7" s="1"/>
  <c r="D14" i="7" s="1"/>
  <c r="D13" i="7" s="1"/>
  <c r="D12" i="7" s="1"/>
  <c r="D11" i="7" s="1"/>
  <c r="D10" i="7" s="1"/>
  <c r="D34" i="7"/>
  <c r="D28" i="7" s="1"/>
  <c r="D27" i="7" s="1"/>
  <c r="H34" i="7"/>
  <c r="P34" i="7" s="1"/>
  <c r="C14" i="7" l="1"/>
  <c r="H15" i="7"/>
  <c r="H28" i="7"/>
  <c r="H16" i="7"/>
  <c r="P16" i="7" s="1"/>
  <c r="H21" i="7"/>
  <c r="P21" i="7" s="1"/>
  <c r="N15" i="7"/>
  <c r="H14" i="7" l="1"/>
  <c r="C13" i="7"/>
  <c r="H27" i="7"/>
  <c r="P27" i="7" s="1"/>
  <c r="P28" i="7"/>
  <c r="Q15" i="7"/>
  <c r="N14" i="7"/>
  <c r="P15" i="7"/>
  <c r="N13" i="7" l="1"/>
  <c r="P14" i="7"/>
  <c r="H13" i="7"/>
  <c r="C12" i="7"/>
  <c r="N12" i="7" l="1"/>
  <c r="P13" i="7"/>
  <c r="H12" i="7"/>
  <c r="H11" i="7" s="1"/>
  <c r="H10" i="7" s="1"/>
  <c r="C11" i="7"/>
  <c r="C10" i="7" s="1"/>
  <c r="N11" i="7" l="1"/>
  <c r="P12" i="7"/>
  <c r="N10" i="7" l="1"/>
  <c r="P10" i="7" s="1"/>
  <c r="P11" i="7"/>
  <c r="E40" i="6" l="1"/>
  <c r="E33" i="6" s="1"/>
  <c r="E39" i="6"/>
  <c r="I39" i="6" s="1"/>
  <c r="I38" i="6"/>
  <c r="Q38" i="6" s="1"/>
  <c r="I37" i="6"/>
  <c r="Q37" i="6" s="1"/>
  <c r="I36" i="6"/>
  <c r="Q36" i="6" s="1"/>
  <c r="E36" i="6"/>
  <c r="I35" i="6"/>
  <c r="Q35" i="6" s="1"/>
  <c r="Q34" i="6"/>
  <c r="I34" i="6"/>
  <c r="P33" i="6"/>
  <c r="O33" i="6"/>
  <c r="N33" i="6"/>
  <c r="M33" i="6"/>
  <c r="L33" i="6"/>
  <c r="D33" i="6"/>
  <c r="I32" i="6"/>
  <c r="Q32" i="6" s="1"/>
  <c r="E32" i="6"/>
  <c r="E31" i="6"/>
  <c r="I31" i="6" s="1"/>
  <c r="Q31" i="6" s="1"/>
  <c r="E30" i="6"/>
  <c r="I30" i="6" s="1"/>
  <c r="O29" i="6"/>
  <c r="N29" i="6"/>
  <c r="M29" i="6"/>
  <c r="M28" i="6" s="1"/>
  <c r="M27" i="6" s="1"/>
  <c r="M26" i="6" s="1"/>
  <c r="L29" i="6"/>
  <c r="D29" i="6"/>
  <c r="D28" i="6" s="1"/>
  <c r="D27" i="6" s="1"/>
  <c r="D26" i="6" s="1"/>
  <c r="P28" i="6"/>
  <c r="P29" i="6" s="1"/>
  <c r="O28" i="6"/>
  <c r="N28" i="6"/>
  <c r="N27" i="6" s="1"/>
  <c r="N26" i="6" s="1"/>
  <c r="L28" i="6"/>
  <c r="P27" i="6"/>
  <c r="O27" i="6"/>
  <c r="O26" i="6" s="1"/>
  <c r="L27" i="6"/>
  <c r="P26" i="6"/>
  <c r="L26" i="6"/>
  <c r="Q25" i="6"/>
  <c r="I25" i="6"/>
  <c r="E24" i="6"/>
  <c r="E21" i="6" s="1"/>
  <c r="Q23" i="6"/>
  <c r="I23" i="6"/>
  <c r="I22" i="6"/>
  <c r="Q22" i="6" s="1"/>
  <c r="E22" i="6"/>
  <c r="P21" i="6"/>
  <c r="O21" i="6"/>
  <c r="N21" i="6"/>
  <c r="M21" i="6"/>
  <c r="L21" i="6"/>
  <c r="E20" i="6"/>
  <c r="I20" i="6" s="1"/>
  <c r="Q20" i="6" s="1"/>
  <c r="Q19" i="6"/>
  <c r="I19" i="6"/>
  <c r="I18" i="6"/>
  <c r="Q18" i="6" s="1"/>
  <c r="E17" i="6"/>
  <c r="I17" i="6" s="1"/>
  <c r="Q17" i="6" s="1"/>
  <c r="P16" i="6"/>
  <c r="P15" i="6" s="1"/>
  <c r="P14" i="6" s="1"/>
  <c r="P13" i="6" s="1"/>
  <c r="P12" i="6" s="1"/>
  <c r="P11" i="6" s="1"/>
  <c r="P10" i="6" s="1"/>
  <c r="O16" i="6"/>
  <c r="N16" i="6"/>
  <c r="M16" i="6"/>
  <c r="M15" i="6" s="1"/>
  <c r="M14" i="6" s="1"/>
  <c r="M13" i="6" s="1"/>
  <c r="M12" i="6" s="1"/>
  <c r="M11" i="6" s="1"/>
  <c r="M10" i="6" s="1"/>
  <c r="L16" i="6"/>
  <c r="L15" i="6" s="1"/>
  <c r="L14" i="6" s="1"/>
  <c r="L13" i="6" s="1"/>
  <c r="L12" i="6" s="1"/>
  <c r="L11" i="6" s="1"/>
  <c r="L10" i="6" s="1"/>
  <c r="D16" i="6"/>
  <c r="D15" i="6" s="1"/>
  <c r="N15" i="6"/>
  <c r="N14" i="6" s="1"/>
  <c r="N13" i="6" s="1"/>
  <c r="N12" i="6" s="1"/>
  <c r="N11" i="6" s="1"/>
  <c r="H13" i="6"/>
  <c r="G13" i="6"/>
  <c r="F13" i="6"/>
  <c r="F12" i="6" s="1"/>
  <c r="F11" i="6" s="1"/>
  <c r="F10" i="6" s="1"/>
  <c r="H12" i="6"/>
  <c r="G12" i="6"/>
  <c r="H11" i="6"/>
  <c r="G11" i="6"/>
  <c r="H10" i="6"/>
  <c r="G10" i="6"/>
  <c r="D14" i="6" l="1"/>
  <c r="Q30" i="6"/>
  <c r="I29" i="6"/>
  <c r="I33" i="6"/>
  <c r="Q33" i="6" s="1"/>
  <c r="Q39" i="6"/>
  <c r="N10" i="6"/>
  <c r="O15" i="6"/>
  <c r="E16" i="6"/>
  <c r="E15" i="6" s="1"/>
  <c r="E14" i="6" s="1"/>
  <c r="E13" i="6" s="1"/>
  <c r="E12" i="6" s="1"/>
  <c r="E11" i="6" s="1"/>
  <c r="E10" i="6" s="1"/>
  <c r="I24" i="6"/>
  <c r="E29" i="6"/>
  <c r="E28" i="6" s="1"/>
  <c r="E27" i="6" s="1"/>
  <c r="E26" i="6" s="1"/>
  <c r="I16" i="6"/>
  <c r="Q16" i="6" s="1"/>
  <c r="I40" i="6"/>
  <c r="Q40" i="6" s="1"/>
  <c r="O14" i="6" l="1"/>
  <c r="I28" i="6"/>
  <c r="Q29" i="6"/>
  <c r="Q24" i="6"/>
  <c r="I21" i="6"/>
  <c r="Q21" i="6" s="1"/>
  <c r="I14" i="6"/>
  <c r="D13" i="6"/>
  <c r="I15" i="6"/>
  <c r="Q15" i="6" s="1"/>
  <c r="I13" i="6" l="1"/>
  <c r="D12" i="6"/>
  <c r="I27" i="6"/>
  <c r="Q28" i="6"/>
  <c r="O13" i="6"/>
  <c r="Q14" i="6"/>
  <c r="O12" i="6" l="1"/>
  <c r="Q13" i="6"/>
  <c r="I26" i="6"/>
  <c r="Q26" i="6" s="1"/>
  <c r="Q27" i="6"/>
  <c r="I12" i="6"/>
  <c r="I11" i="6" s="1"/>
  <c r="I10" i="6" s="1"/>
  <c r="D11" i="6"/>
  <c r="D10" i="6" s="1"/>
  <c r="O11" i="6" l="1"/>
  <c r="Q12" i="6"/>
  <c r="O10" i="6" l="1"/>
  <c r="Q10" i="6" s="1"/>
  <c r="Q11" i="6"/>
  <c r="I35" i="5" l="1"/>
  <c r="Q35" i="5" s="1"/>
  <c r="E35" i="5"/>
  <c r="I34" i="5"/>
  <c r="Q34" i="5" s="1"/>
  <c r="Q33" i="5"/>
  <c r="I33" i="5"/>
  <c r="I32" i="5"/>
  <c r="Q32" i="5" s="1"/>
  <c r="Q31" i="5"/>
  <c r="I31" i="5"/>
  <c r="I30" i="5"/>
  <c r="Q30" i="5" s="1"/>
  <c r="R29" i="5"/>
  <c r="I29" i="5"/>
  <c r="Q29" i="5" s="1"/>
  <c r="P28" i="5"/>
  <c r="P27" i="5" s="1"/>
  <c r="P26" i="5" s="1"/>
  <c r="P10" i="5" s="1"/>
  <c r="O28" i="5"/>
  <c r="N28" i="5"/>
  <c r="M28" i="5"/>
  <c r="L28" i="5"/>
  <c r="L27" i="5" s="1"/>
  <c r="L26" i="5" s="1"/>
  <c r="L10" i="5" s="1"/>
  <c r="E28" i="5"/>
  <c r="D28" i="5"/>
  <c r="O27" i="5"/>
  <c r="N27" i="5"/>
  <c r="M27" i="5"/>
  <c r="M26" i="5" s="1"/>
  <c r="M10" i="5" s="1"/>
  <c r="E27" i="5"/>
  <c r="D27" i="5"/>
  <c r="D26" i="5" s="1"/>
  <c r="O26" i="5"/>
  <c r="N26" i="5"/>
  <c r="N10" i="5" s="1"/>
  <c r="E26" i="5"/>
  <c r="I25" i="5"/>
  <c r="Q25" i="5" s="1"/>
  <c r="Q24" i="5"/>
  <c r="I24" i="5"/>
  <c r="I23" i="5"/>
  <c r="Q23" i="5" s="1"/>
  <c r="E22" i="5"/>
  <c r="I22" i="5" s="1"/>
  <c r="P21" i="5"/>
  <c r="O21" i="5"/>
  <c r="N21" i="5"/>
  <c r="M21" i="5"/>
  <c r="L21" i="5"/>
  <c r="E21" i="5"/>
  <c r="E13" i="5" s="1"/>
  <c r="D21" i="5"/>
  <c r="D13" i="5" s="1"/>
  <c r="I20" i="5"/>
  <c r="I19" i="5"/>
  <c r="Q19" i="5" s="1"/>
  <c r="I18" i="5"/>
  <c r="Q18" i="5" s="1"/>
  <c r="H18" i="5"/>
  <c r="G18" i="5"/>
  <c r="F18" i="5"/>
  <c r="H17" i="5"/>
  <c r="G17" i="5"/>
  <c r="F17" i="5"/>
  <c r="I17" i="5" s="1"/>
  <c r="I16" i="5"/>
  <c r="Q16" i="5" s="1"/>
  <c r="I15" i="5"/>
  <c r="Q15" i="5" s="1"/>
  <c r="E15" i="5"/>
  <c r="P14" i="5"/>
  <c r="O14" i="5"/>
  <c r="O13" i="5" s="1"/>
  <c r="N14" i="5"/>
  <c r="M14" i="5"/>
  <c r="L14" i="5"/>
  <c r="E14" i="5"/>
  <c r="D14" i="5"/>
  <c r="P13" i="5"/>
  <c r="N13" i="5"/>
  <c r="M13" i="5"/>
  <c r="L13" i="5"/>
  <c r="H13" i="5"/>
  <c r="G13" i="5"/>
  <c r="F13" i="5"/>
  <c r="P12" i="5"/>
  <c r="N12" i="5"/>
  <c r="M12" i="5"/>
  <c r="L12" i="5"/>
  <c r="H12" i="5"/>
  <c r="G12" i="5"/>
  <c r="F12" i="5"/>
  <c r="P11" i="5"/>
  <c r="N11" i="5"/>
  <c r="M11" i="5"/>
  <c r="L11" i="5"/>
  <c r="H11" i="5"/>
  <c r="G11" i="5"/>
  <c r="F11" i="5"/>
  <c r="H10" i="5"/>
  <c r="G10" i="5"/>
  <c r="F10" i="5"/>
  <c r="H154" i="4"/>
  <c r="G153" i="4"/>
  <c r="G152" i="4" s="1"/>
  <c r="F153" i="4"/>
  <c r="H153" i="4" s="1"/>
  <c r="H152" i="4" s="1"/>
  <c r="D153" i="4"/>
  <c r="S152" i="4"/>
  <c r="R152" i="4"/>
  <c r="Q152" i="4"/>
  <c r="Q123" i="4" s="1"/>
  <c r="P152" i="4"/>
  <c r="O152" i="4"/>
  <c r="N152" i="4"/>
  <c r="M152" i="4"/>
  <c r="M123" i="4" s="1"/>
  <c r="L152" i="4"/>
  <c r="K152" i="4"/>
  <c r="J152" i="4"/>
  <c r="I152" i="4"/>
  <c r="I123" i="4" s="1"/>
  <c r="F152" i="4"/>
  <c r="E152" i="4"/>
  <c r="D152" i="4"/>
  <c r="C152" i="4"/>
  <c r="G151" i="4"/>
  <c r="G137" i="4" s="1"/>
  <c r="G123" i="4" s="1"/>
  <c r="G150" i="4"/>
  <c r="H150" i="4" s="1"/>
  <c r="H149" i="4"/>
  <c r="H148" i="4"/>
  <c r="F148" i="4"/>
  <c r="D148" i="4"/>
  <c r="G147" i="4"/>
  <c r="H147" i="4" s="1"/>
  <c r="F147" i="4"/>
  <c r="D147" i="4"/>
  <c r="G146" i="4"/>
  <c r="H146" i="4" s="1"/>
  <c r="G145" i="4"/>
  <c r="D145" i="4"/>
  <c r="H145" i="4" s="1"/>
  <c r="H144" i="4"/>
  <c r="G144" i="4"/>
  <c r="G143" i="4"/>
  <c r="F143" i="4"/>
  <c r="D143" i="4"/>
  <c r="G142" i="4"/>
  <c r="D142" i="4"/>
  <c r="H142" i="4" s="1"/>
  <c r="G141" i="4"/>
  <c r="F141" i="4"/>
  <c r="D141" i="4"/>
  <c r="H141" i="4" s="1"/>
  <c r="G140" i="4"/>
  <c r="F140" i="4"/>
  <c r="D140" i="4"/>
  <c r="H140" i="4" s="1"/>
  <c r="G139" i="4"/>
  <c r="F139" i="4"/>
  <c r="F137" i="4" s="1"/>
  <c r="D139" i="4"/>
  <c r="G138" i="4"/>
  <c r="D138" i="4"/>
  <c r="S137" i="4"/>
  <c r="R137" i="4"/>
  <c r="Q137" i="4"/>
  <c r="P137" i="4"/>
  <c r="O137" i="4"/>
  <c r="N137" i="4"/>
  <c r="M137" i="4"/>
  <c r="L137" i="4"/>
  <c r="L123" i="4" s="1"/>
  <c r="K137" i="4"/>
  <c r="J137" i="4"/>
  <c r="I137" i="4"/>
  <c r="E137" i="4"/>
  <c r="C137" i="4"/>
  <c r="C123" i="4" s="1"/>
  <c r="C122" i="4" s="1"/>
  <c r="C121" i="4" s="1"/>
  <c r="G136" i="4"/>
  <c r="F136" i="4"/>
  <c r="D136" i="4"/>
  <c r="H136" i="4" s="1"/>
  <c r="G135" i="4"/>
  <c r="H135" i="4" s="1"/>
  <c r="H134" i="4"/>
  <c r="D134" i="4"/>
  <c r="F133" i="4"/>
  <c r="D133" i="4"/>
  <c r="H132" i="4"/>
  <c r="G132" i="4"/>
  <c r="D132" i="4"/>
  <c r="H131" i="4"/>
  <c r="G131" i="4"/>
  <c r="F131" i="4"/>
  <c r="D131" i="4"/>
  <c r="H130" i="4"/>
  <c r="G130" i="4"/>
  <c r="F130" i="4"/>
  <c r="D130" i="4"/>
  <c r="H129" i="4"/>
  <c r="G129" i="4"/>
  <c r="F129" i="4"/>
  <c r="D129" i="4"/>
  <c r="H128" i="4"/>
  <c r="G128" i="4"/>
  <c r="F128" i="4"/>
  <c r="D128" i="4"/>
  <c r="H127" i="4"/>
  <c r="G127" i="4"/>
  <c r="F127" i="4"/>
  <c r="D127" i="4"/>
  <c r="H126" i="4"/>
  <c r="G126" i="4"/>
  <c r="F126" i="4"/>
  <c r="D126" i="4"/>
  <c r="H125" i="4"/>
  <c r="G125" i="4"/>
  <c r="G124" i="4" s="1"/>
  <c r="F125" i="4"/>
  <c r="D125" i="4"/>
  <c r="S124" i="4"/>
  <c r="S123" i="4" s="1"/>
  <c r="S122" i="4" s="1"/>
  <c r="S121" i="4" s="1"/>
  <c r="R124" i="4"/>
  <c r="R123" i="4" s="1"/>
  <c r="R122" i="4" s="1"/>
  <c r="Q124" i="4"/>
  <c r="P124" i="4"/>
  <c r="O124" i="4"/>
  <c r="O123" i="4" s="1"/>
  <c r="O122" i="4" s="1"/>
  <c r="O121" i="4" s="1"/>
  <c r="N124" i="4"/>
  <c r="N123" i="4" s="1"/>
  <c r="N122" i="4" s="1"/>
  <c r="N121" i="4" s="1"/>
  <c r="M124" i="4"/>
  <c r="L124" i="4"/>
  <c r="K124" i="4"/>
  <c r="K123" i="4" s="1"/>
  <c r="K122" i="4" s="1"/>
  <c r="K121" i="4" s="1"/>
  <c r="J124" i="4"/>
  <c r="J123" i="4" s="1"/>
  <c r="J122" i="4" s="1"/>
  <c r="J121" i="4" s="1"/>
  <c r="I124" i="4"/>
  <c r="F124" i="4"/>
  <c r="F123" i="4" s="1"/>
  <c r="F122" i="4" s="1"/>
  <c r="E124" i="4"/>
  <c r="C124" i="4"/>
  <c r="P123" i="4"/>
  <c r="P122" i="4" s="1"/>
  <c r="P121" i="4" s="1"/>
  <c r="E123" i="4"/>
  <c r="Q122" i="4"/>
  <c r="Q121" i="4" s="1"/>
  <c r="M122" i="4"/>
  <c r="L122" i="4"/>
  <c r="L121" i="4" s="1"/>
  <c r="I122" i="4"/>
  <c r="R121" i="4"/>
  <c r="M121" i="4"/>
  <c r="I121" i="4"/>
  <c r="F121" i="4"/>
  <c r="E121" i="4"/>
  <c r="H120" i="4"/>
  <c r="H119" i="4"/>
  <c r="H117" i="4" s="1"/>
  <c r="H118" i="4"/>
  <c r="S117" i="4"/>
  <c r="R117" i="4"/>
  <c r="Q117" i="4"/>
  <c r="P117" i="4"/>
  <c r="O117" i="4"/>
  <c r="N117" i="4"/>
  <c r="N95" i="4" s="1"/>
  <c r="N68" i="4" s="1"/>
  <c r="M117" i="4"/>
  <c r="L117" i="4"/>
  <c r="K117" i="4"/>
  <c r="J117" i="4"/>
  <c r="I117" i="4"/>
  <c r="G117" i="4"/>
  <c r="F117" i="4"/>
  <c r="E117" i="4"/>
  <c r="D117" i="4"/>
  <c r="C117" i="4"/>
  <c r="H116" i="4"/>
  <c r="H115" i="4"/>
  <c r="H114" i="4"/>
  <c r="H113" i="4"/>
  <c r="G112" i="4"/>
  <c r="H112" i="4" s="1"/>
  <c r="H111" i="4"/>
  <c r="H110" i="4"/>
  <c r="G109" i="4"/>
  <c r="H109" i="4" s="1"/>
  <c r="H108" i="4"/>
  <c r="F108" i="4"/>
  <c r="F107" i="4"/>
  <c r="F103" i="4" s="1"/>
  <c r="H106" i="4"/>
  <c r="G105" i="4"/>
  <c r="H105" i="4" s="1"/>
  <c r="G104" i="4"/>
  <c r="G103" i="4" s="1"/>
  <c r="F104" i="4"/>
  <c r="S103" i="4"/>
  <c r="R103" i="4"/>
  <c r="Q103" i="4"/>
  <c r="P103" i="4"/>
  <c r="O103" i="4"/>
  <c r="N103" i="4"/>
  <c r="M103" i="4"/>
  <c r="L103" i="4"/>
  <c r="K103" i="4"/>
  <c r="J103" i="4"/>
  <c r="I103" i="4"/>
  <c r="E103" i="4"/>
  <c r="D103" i="4"/>
  <c r="C103" i="4"/>
  <c r="G102" i="4"/>
  <c r="H102" i="4" s="1"/>
  <c r="G101" i="4"/>
  <c r="H101" i="4" s="1"/>
  <c r="F100" i="4"/>
  <c r="H100" i="4" s="1"/>
  <c r="H99" i="4"/>
  <c r="H98" i="4"/>
  <c r="G98" i="4"/>
  <c r="H97" i="4"/>
  <c r="G97" i="4"/>
  <c r="S96" i="4"/>
  <c r="R96" i="4"/>
  <c r="Q96" i="4"/>
  <c r="P96" i="4"/>
  <c r="O96" i="4"/>
  <c r="N96" i="4"/>
  <c r="M96" i="4"/>
  <c r="L96" i="4"/>
  <c r="K96" i="4"/>
  <c r="K95" i="4" s="1"/>
  <c r="J96" i="4"/>
  <c r="I96" i="4"/>
  <c r="F96" i="4"/>
  <c r="F95" i="4" s="1"/>
  <c r="E96" i="4"/>
  <c r="D96" i="4"/>
  <c r="C96" i="4"/>
  <c r="S95" i="4"/>
  <c r="P95" i="4"/>
  <c r="O95" i="4"/>
  <c r="L95" i="4"/>
  <c r="J95" i="4"/>
  <c r="J68" i="4" s="1"/>
  <c r="D95" i="4"/>
  <c r="C95" i="4"/>
  <c r="H94" i="4"/>
  <c r="H93" i="4"/>
  <c r="H92" i="4"/>
  <c r="S91" i="4"/>
  <c r="R91" i="4"/>
  <c r="Q91" i="4"/>
  <c r="P91" i="4"/>
  <c r="O91" i="4"/>
  <c r="N91" i="4"/>
  <c r="M91" i="4"/>
  <c r="L91" i="4"/>
  <c r="K91" i="4"/>
  <c r="J91" i="4"/>
  <c r="I91" i="4"/>
  <c r="H91" i="4"/>
  <c r="G91" i="4"/>
  <c r="F91" i="4"/>
  <c r="E91" i="4"/>
  <c r="D91" i="4"/>
  <c r="C91" i="4"/>
  <c r="H90" i="4"/>
  <c r="H89" i="4"/>
  <c r="H88" i="4"/>
  <c r="H87" i="4"/>
  <c r="H86" i="4"/>
  <c r="H85" i="4"/>
  <c r="H84" i="4"/>
  <c r="H83" i="4"/>
  <c r="H82" i="4"/>
  <c r="H81" i="4"/>
  <c r="H80" i="4"/>
  <c r="H79" i="4"/>
  <c r="H77" i="4" s="1"/>
  <c r="H78" i="4"/>
  <c r="S77" i="4"/>
  <c r="R77" i="4"/>
  <c r="R69" i="4" s="1"/>
  <c r="Q77" i="4"/>
  <c r="P77" i="4"/>
  <c r="O77" i="4"/>
  <c r="N77" i="4"/>
  <c r="N69" i="4" s="1"/>
  <c r="M77" i="4"/>
  <c r="L77" i="4"/>
  <c r="K77" i="4"/>
  <c r="J77" i="4"/>
  <c r="I77" i="4"/>
  <c r="G77" i="4"/>
  <c r="F77" i="4"/>
  <c r="F69" i="4" s="1"/>
  <c r="F68" i="4" s="1"/>
  <c r="E77" i="4"/>
  <c r="D77" i="4"/>
  <c r="C77" i="4"/>
  <c r="H76" i="4"/>
  <c r="H75" i="4"/>
  <c r="H74" i="4"/>
  <c r="H73" i="4"/>
  <c r="H72" i="4"/>
  <c r="H70" i="4" s="1"/>
  <c r="H69" i="4" s="1"/>
  <c r="H71" i="4"/>
  <c r="S70" i="4"/>
  <c r="R70" i="4"/>
  <c r="Q70" i="4"/>
  <c r="Q69" i="4" s="1"/>
  <c r="P70" i="4"/>
  <c r="O70" i="4"/>
  <c r="N70" i="4"/>
  <c r="M70" i="4"/>
  <c r="M69" i="4" s="1"/>
  <c r="L70" i="4"/>
  <c r="K70" i="4"/>
  <c r="J70" i="4"/>
  <c r="I70" i="4"/>
  <c r="I69" i="4" s="1"/>
  <c r="G70" i="4"/>
  <c r="F70" i="4"/>
  <c r="E70" i="4"/>
  <c r="D70" i="4"/>
  <c r="D69" i="4" s="1"/>
  <c r="C70" i="4"/>
  <c r="P69" i="4"/>
  <c r="L69" i="4"/>
  <c r="J69" i="4"/>
  <c r="E69" i="4"/>
  <c r="H67" i="4"/>
  <c r="H66" i="4"/>
  <c r="H63" i="4" s="1"/>
  <c r="H54" i="4" s="1"/>
  <c r="H65" i="4"/>
  <c r="H64" i="4"/>
  <c r="S63" i="4"/>
  <c r="R63" i="4"/>
  <c r="Q63" i="4"/>
  <c r="P63" i="4"/>
  <c r="O63" i="4"/>
  <c r="N63" i="4"/>
  <c r="M63" i="4"/>
  <c r="L63" i="4"/>
  <c r="K63" i="4"/>
  <c r="J63" i="4"/>
  <c r="I63" i="4"/>
  <c r="G63" i="4"/>
  <c r="F63" i="4"/>
  <c r="E63" i="4"/>
  <c r="D63" i="4"/>
  <c r="C63" i="4"/>
  <c r="H62" i="4"/>
  <c r="H59" i="4" s="1"/>
  <c r="H61" i="4"/>
  <c r="H60" i="4"/>
  <c r="S59" i="4"/>
  <c r="S54" i="4" s="1"/>
  <c r="S40" i="4" s="1"/>
  <c r="R59" i="4"/>
  <c r="Q59" i="4"/>
  <c r="P59" i="4"/>
  <c r="O59" i="4"/>
  <c r="N59" i="4"/>
  <c r="M59" i="4"/>
  <c r="L59" i="4"/>
  <c r="K59" i="4"/>
  <c r="J59" i="4"/>
  <c r="I59" i="4"/>
  <c r="G59" i="4"/>
  <c r="F59" i="4"/>
  <c r="D59" i="4"/>
  <c r="C59" i="4"/>
  <c r="H58" i="4"/>
  <c r="H57" i="4"/>
  <c r="H55" i="4" s="1"/>
  <c r="G57" i="4"/>
  <c r="H56" i="4"/>
  <c r="S55" i="4"/>
  <c r="R55" i="4"/>
  <c r="Q55" i="4"/>
  <c r="P55" i="4"/>
  <c r="O55" i="4"/>
  <c r="N55" i="4"/>
  <c r="M55" i="4"/>
  <c r="L55" i="4"/>
  <c r="L54" i="4" s="1"/>
  <c r="K55" i="4"/>
  <c r="J55" i="4"/>
  <c r="I55" i="4"/>
  <c r="G55" i="4"/>
  <c r="G54" i="4" s="1"/>
  <c r="G40" i="4" s="1"/>
  <c r="F55" i="4"/>
  <c r="E55" i="4"/>
  <c r="D55" i="4"/>
  <c r="C55" i="4"/>
  <c r="C54" i="4" s="1"/>
  <c r="C40" i="4" s="1"/>
  <c r="C10" i="4" s="1"/>
  <c r="Q54" i="4"/>
  <c r="P54" i="4"/>
  <c r="O54" i="4"/>
  <c r="M54" i="4"/>
  <c r="I54" i="4"/>
  <c r="D54" i="4"/>
  <c r="G53" i="4"/>
  <c r="F53" i="4"/>
  <c r="H53" i="4" s="1"/>
  <c r="D53" i="4"/>
  <c r="G52" i="4"/>
  <c r="F52" i="4"/>
  <c r="H52" i="4" s="1"/>
  <c r="D52" i="4"/>
  <c r="H51" i="4"/>
  <c r="S50" i="4"/>
  <c r="R50" i="4"/>
  <c r="Q50" i="4"/>
  <c r="P50" i="4"/>
  <c r="O50" i="4"/>
  <c r="N50" i="4"/>
  <c r="M50" i="4"/>
  <c r="L50" i="4"/>
  <c r="K50" i="4"/>
  <c r="J50" i="4"/>
  <c r="I50" i="4"/>
  <c r="G50" i="4"/>
  <c r="F50" i="4"/>
  <c r="E50" i="4"/>
  <c r="D50" i="4"/>
  <c r="C50" i="4"/>
  <c r="H49" i="4"/>
  <c r="H48" i="4"/>
  <c r="H47" i="4"/>
  <c r="H46" i="4"/>
  <c r="H45" i="4"/>
  <c r="H44" i="4"/>
  <c r="H43" i="4"/>
  <c r="H42" i="4"/>
  <c r="S41" i="4"/>
  <c r="R41" i="4"/>
  <c r="Q41" i="4"/>
  <c r="Q40" i="4" s="1"/>
  <c r="P41" i="4"/>
  <c r="O41" i="4"/>
  <c r="O40" i="4" s="1"/>
  <c r="N41" i="4"/>
  <c r="M41" i="4"/>
  <c r="M40" i="4" s="1"/>
  <c r="L41" i="4"/>
  <c r="K41" i="4"/>
  <c r="J41" i="4"/>
  <c r="I41" i="4"/>
  <c r="I40" i="4" s="1"/>
  <c r="G41" i="4"/>
  <c r="F41" i="4"/>
  <c r="E41" i="4"/>
  <c r="D41" i="4"/>
  <c r="C41" i="4"/>
  <c r="P40" i="4"/>
  <c r="L40" i="4"/>
  <c r="L10" i="4" s="1"/>
  <c r="H39" i="4"/>
  <c r="H38" i="4"/>
  <c r="H37" i="4"/>
  <c r="H36" i="4"/>
  <c r="S35" i="4"/>
  <c r="R35" i="4"/>
  <c r="Q35" i="4"/>
  <c r="P35" i="4"/>
  <c r="O35" i="4"/>
  <c r="N35" i="4"/>
  <c r="M35" i="4"/>
  <c r="L35" i="4"/>
  <c r="K35" i="4"/>
  <c r="J35" i="4"/>
  <c r="G35" i="4"/>
  <c r="G26" i="4" s="1"/>
  <c r="F35" i="4"/>
  <c r="D35" i="4"/>
  <c r="C35" i="4"/>
  <c r="H34" i="4"/>
  <c r="H31" i="4" s="1"/>
  <c r="H33" i="4"/>
  <c r="H32" i="4"/>
  <c r="S31" i="4"/>
  <c r="R31" i="4"/>
  <c r="Q31" i="4"/>
  <c r="P31" i="4"/>
  <c r="O31" i="4"/>
  <c r="N31" i="4"/>
  <c r="M31" i="4"/>
  <c r="L31" i="4"/>
  <c r="K31" i="4"/>
  <c r="J31" i="4"/>
  <c r="I31" i="4"/>
  <c r="G31" i="4"/>
  <c r="F31" i="4"/>
  <c r="E31" i="4"/>
  <c r="D31" i="4"/>
  <c r="C31" i="4"/>
  <c r="H30" i="4"/>
  <c r="H27" i="4" s="1"/>
  <c r="H29" i="4"/>
  <c r="H28" i="4"/>
  <c r="S27" i="4"/>
  <c r="R27" i="4"/>
  <c r="R26" i="4" s="1"/>
  <c r="Q27" i="4"/>
  <c r="P27" i="4"/>
  <c r="P26" i="4" s="1"/>
  <c r="O27" i="4"/>
  <c r="N27" i="4"/>
  <c r="N26" i="4" s="1"/>
  <c r="N11" i="4" s="1"/>
  <c r="M27" i="4"/>
  <c r="L27" i="4"/>
  <c r="L26" i="4" s="1"/>
  <c r="K27" i="4"/>
  <c r="J27" i="4"/>
  <c r="J26" i="4" s="1"/>
  <c r="I27" i="4"/>
  <c r="G27" i="4"/>
  <c r="F27" i="4"/>
  <c r="E27" i="4"/>
  <c r="D27" i="4"/>
  <c r="D26" i="4" s="1"/>
  <c r="C27" i="4"/>
  <c r="S26" i="4"/>
  <c r="Q26" i="4"/>
  <c r="O26" i="4"/>
  <c r="M26" i="4"/>
  <c r="K26" i="4"/>
  <c r="K11" i="4" s="1"/>
  <c r="I26" i="4"/>
  <c r="F26" i="4"/>
  <c r="E26" i="4"/>
  <c r="C26" i="4"/>
  <c r="G25" i="4"/>
  <c r="F25" i="4"/>
  <c r="D25" i="4"/>
  <c r="H25" i="4" s="1"/>
  <c r="G24" i="4"/>
  <c r="F24" i="4"/>
  <c r="D24" i="4"/>
  <c r="H23" i="4"/>
  <c r="S22" i="4"/>
  <c r="R22" i="4"/>
  <c r="Q22" i="4"/>
  <c r="P22" i="4"/>
  <c r="O22" i="4"/>
  <c r="N22" i="4"/>
  <c r="M22" i="4"/>
  <c r="L22" i="4"/>
  <c r="K22" i="4"/>
  <c r="J22" i="4"/>
  <c r="I22" i="4"/>
  <c r="G22" i="4"/>
  <c r="F22" i="4"/>
  <c r="E22" i="4"/>
  <c r="E20" i="4" s="1"/>
  <c r="H20" i="4" s="1"/>
  <c r="C22" i="4"/>
  <c r="C11" i="4" s="1"/>
  <c r="E21" i="4"/>
  <c r="H21" i="4" s="1"/>
  <c r="H19" i="4"/>
  <c r="H18" i="4"/>
  <c r="H17" i="4"/>
  <c r="H16" i="4"/>
  <c r="F15" i="4"/>
  <c r="H15" i="4" s="1"/>
  <c r="G14" i="4"/>
  <c r="G12" i="4" s="1"/>
  <c r="H13" i="4"/>
  <c r="S12" i="4"/>
  <c r="S11" i="4" s="1"/>
  <c r="S10" i="4" s="1"/>
  <c r="R12" i="4"/>
  <c r="R11" i="4" s="1"/>
  <c r="Q12" i="4"/>
  <c r="Q11" i="4" s="1"/>
  <c r="Q10" i="4" s="1"/>
  <c r="P12" i="4"/>
  <c r="O12" i="4"/>
  <c r="O11" i="4" s="1"/>
  <c r="N12" i="4"/>
  <c r="M12" i="4"/>
  <c r="M11" i="4" s="1"/>
  <c r="M10" i="4" s="1"/>
  <c r="L12" i="4"/>
  <c r="K12" i="4"/>
  <c r="J12" i="4"/>
  <c r="I12" i="4"/>
  <c r="I11" i="4" s="1"/>
  <c r="I10" i="4" s="1"/>
  <c r="D12" i="4"/>
  <c r="C12" i="4"/>
  <c r="P11" i="4"/>
  <c r="L11" i="4"/>
  <c r="G11" i="4"/>
  <c r="P10" i="4"/>
  <c r="O12" i="5" l="1"/>
  <c r="Q17" i="5"/>
  <c r="I14" i="5"/>
  <c r="I21" i="5"/>
  <c r="Q21" i="5" s="1"/>
  <c r="Q22" i="5"/>
  <c r="I13" i="5"/>
  <c r="I12" i="5" s="1"/>
  <c r="I11" i="5" s="1"/>
  <c r="D12" i="5"/>
  <c r="D11" i="5" s="1"/>
  <c r="D10" i="5" s="1"/>
  <c r="E12" i="5"/>
  <c r="E11" i="5" s="1"/>
  <c r="E10" i="5"/>
  <c r="Q14" i="5"/>
  <c r="I28" i="5"/>
  <c r="R10" i="4"/>
  <c r="R9" i="4" s="1"/>
  <c r="R8" i="4" s="1"/>
  <c r="N40" i="4"/>
  <c r="R40" i="4"/>
  <c r="H50" i="4"/>
  <c r="G122" i="4"/>
  <c r="G121" i="4"/>
  <c r="G10" i="4"/>
  <c r="N10" i="4"/>
  <c r="N9" i="4" s="1"/>
  <c r="N8" i="4" s="1"/>
  <c r="O68" i="4"/>
  <c r="H124" i="4"/>
  <c r="H133" i="4"/>
  <c r="D124" i="4"/>
  <c r="J11" i="4"/>
  <c r="H14" i="4"/>
  <c r="H24" i="4"/>
  <c r="H22" i="4" s="1"/>
  <c r="D22" i="4"/>
  <c r="H151" i="4"/>
  <c r="E12" i="4"/>
  <c r="E10" i="4" s="1"/>
  <c r="E9" i="4" s="1"/>
  <c r="E8" i="4" s="1"/>
  <c r="O10" i="4"/>
  <c r="H41" i="4"/>
  <c r="D40" i="4"/>
  <c r="J54" i="4"/>
  <c r="J40" i="4" s="1"/>
  <c r="N54" i="4"/>
  <c r="R54" i="4"/>
  <c r="S68" i="4"/>
  <c r="S9" i="4" s="1"/>
  <c r="S8" i="4" s="1"/>
  <c r="F12" i="4"/>
  <c r="F11" i="4" s="1"/>
  <c r="F54" i="4"/>
  <c r="F40" i="4" s="1"/>
  <c r="K54" i="4"/>
  <c r="K40" i="4" s="1"/>
  <c r="K10" i="4" s="1"/>
  <c r="K9" i="4" s="1"/>
  <c r="K8" i="4" s="1"/>
  <c r="D68" i="4"/>
  <c r="G96" i="4"/>
  <c r="G95" i="4" s="1"/>
  <c r="R95" i="4"/>
  <c r="R68" i="4" s="1"/>
  <c r="H104" i="4"/>
  <c r="H103" i="4" s="1"/>
  <c r="H107" i="4"/>
  <c r="H138" i="4"/>
  <c r="D137" i="4"/>
  <c r="P68" i="4"/>
  <c r="P9" i="4" s="1"/>
  <c r="P8" i="4" s="1"/>
  <c r="I95" i="4"/>
  <c r="I68" i="4" s="1"/>
  <c r="I9" i="4" s="1"/>
  <c r="I8" i="4" s="1"/>
  <c r="M95" i="4"/>
  <c r="M68" i="4" s="1"/>
  <c r="M9" i="4" s="1"/>
  <c r="M8" i="4" s="1"/>
  <c r="Q95" i="4"/>
  <c r="Q68" i="4" s="1"/>
  <c r="Q9" i="4" s="1"/>
  <c r="Q8" i="4" s="1"/>
  <c r="H96" i="4"/>
  <c r="H95" i="4" s="1"/>
  <c r="H68" i="4" s="1"/>
  <c r="H35" i="4"/>
  <c r="H26" i="4" s="1"/>
  <c r="C69" i="4"/>
  <c r="C68" i="4" s="1"/>
  <c r="C9" i="4" s="1"/>
  <c r="G69" i="4"/>
  <c r="K69" i="4"/>
  <c r="K68" i="4" s="1"/>
  <c r="O69" i="4"/>
  <c r="S69" i="4"/>
  <c r="L68" i="4"/>
  <c r="L9" i="4" s="1"/>
  <c r="L8" i="4" s="1"/>
  <c r="E95" i="4"/>
  <c r="E68" i="4" s="1"/>
  <c r="H139" i="4"/>
  <c r="H143" i="4"/>
  <c r="Q13" i="5" l="1"/>
  <c r="I27" i="5"/>
  <c r="Q28" i="5"/>
  <c r="O11" i="5"/>
  <c r="Q12" i="5"/>
  <c r="C8" i="4"/>
  <c r="H123" i="4"/>
  <c r="H122" i="4" s="1"/>
  <c r="H121" i="4" s="1"/>
  <c r="J10" i="4"/>
  <c r="J9" i="4" s="1"/>
  <c r="J8" i="4" s="1"/>
  <c r="G9" i="4"/>
  <c r="G8" i="4" s="1"/>
  <c r="H137" i="4"/>
  <c r="G68" i="4"/>
  <c r="H40" i="4"/>
  <c r="D11" i="4"/>
  <c r="D123" i="4"/>
  <c r="D122" i="4" s="1"/>
  <c r="D121" i="4" s="1"/>
  <c r="H12" i="4"/>
  <c r="F10" i="4"/>
  <c r="F9" i="4" s="1"/>
  <c r="F8" i="4" s="1"/>
  <c r="O9" i="4"/>
  <c r="O8" i="4" s="1"/>
  <c r="O10" i="5" l="1"/>
  <c r="Q11" i="5"/>
  <c r="I26" i="5"/>
  <c r="Q27" i="5"/>
  <c r="D10" i="4"/>
  <c r="H11" i="4"/>
  <c r="Q10" i="5" l="1"/>
  <c r="Q26" i="5"/>
  <c r="I10" i="5"/>
  <c r="D9" i="4"/>
  <c r="H10" i="4"/>
  <c r="D8" i="4" l="1"/>
  <c r="H8" i="4" s="1"/>
  <c r="H9" i="4"/>
  <c r="E159" i="3" l="1"/>
  <c r="I159" i="3" s="1"/>
  <c r="I158" i="3"/>
  <c r="I162" i="3" s="1"/>
  <c r="H158" i="3"/>
  <c r="G158" i="3"/>
  <c r="G157" i="3" s="1"/>
  <c r="E158" i="3"/>
  <c r="E157" i="3" s="1"/>
  <c r="T157" i="3"/>
  <c r="S157" i="3"/>
  <c r="R157" i="3"/>
  <c r="Q157" i="3"/>
  <c r="P157" i="3"/>
  <c r="O157" i="3"/>
  <c r="N157" i="3"/>
  <c r="M157" i="3"/>
  <c r="L157" i="3"/>
  <c r="K157" i="3"/>
  <c r="J157" i="3"/>
  <c r="H157" i="3"/>
  <c r="F157" i="3"/>
  <c r="D157" i="3"/>
  <c r="I156" i="3"/>
  <c r="E155" i="3"/>
  <c r="I155" i="3" s="1"/>
  <c r="I154" i="3"/>
  <c r="I153" i="3"/>
  <c r="G152" i="3"/>
  <c r="G141" i="3" s="1"/>
  <c r="E152" i="3"/>
  <c r="I152" i="3" s="1"/>
  <c r="E151" i="3"/>
  <c r="I151" i="3" s="1"/>
  <c r="I150" i="3"/>
  <c r="I149" i="3"/>
  <c r="H149" i="3"/>
  <c r="G149" i="3"/>
  <c r="E149" i="3"/>
  <c r="I148" i="3"/>
  <c r="H148" i="3"/>
  <c r="G148" i="3"/>
  <c r="E148" i="3"/>
  <c r="I147" i="3"/>
  <c r="H147" i="3"/>
  <c r="G147" i="3"/>
  <c r="E147" i="3"/>
  <c r="I146" i="3"/>
  <c r="H146" i="3"/>
  <c r="G146" i="3"/>
  <c r="E146" i="3"/>
  <c r="I145" i="3"/>
  <c r="H145" i="3"/>
  <c r="G145" i="3"/>
  <c r="E145" i="3"/>
  <c r="I144" i="3"/>
  <c r="H144" i="3"/>
  <c r="G144" i="3"/>
  <c r="H143" i="3"/>
  <c r="I143" i="3" s="1"/>
  <c r="G143" i="3"/>
  <c r="E143" i="3"/>
  <c r="H142" i="3"/>
  <c r="I142" i="3" s="1"/>
  <c r="G142" i="3"/>
  <c r="E142" i="3"/>
  <c r="T141" i="3"/>
  <c r="S141" i="3"/>
  <c r="R141" i="3"/>
  <c r="Q141" i="3"/>
  <c r="P141" i="3"/>
  <c r="O141" i="3"/>
  <c r="N141" i="3"/>
  <c r="M141" i="3"/>
  <c r="L141" i="3"/>
  <c r="K141" i="3"/>
  <c r="J141" i="3"/>
  <c r="D141" i="3"/>
  <c r="I140" i="3"/>
  <c r="E140" i="3"/>
  <c r="H139" i="3"/>
  <c r="E139" i="3"/>
  <c r="T138" i="3"/>
  <c r="T126" i="3" s="1"/>
  <c r="T125" i="3" s="1"/>
  <c r="T124" i="3" s="1"/>
  <c r="T123" i="3" s="1"/>
  <c r="S138" i="3"/>
  <c r="R138" i="3"/>
  <c r="Q138" i="3"/>
  <c r="Q126" i="3" s="1"/>
  <c r="Q125" i="3" s="1"/>
  <c r="Q124" i="3" s="1"/>
  <c r="Q123" i="3" s="1"/>
  <c r="P138" i="3"/>
  <c r="P126" i="3" s="1"/>
  <c r="P125" i="3" s="1"/>
  <c r="P124" i="3" s="1"/>
  <c r="P123" i="3" s="1"/>
  <c r="O138" i="3"/>
  <c r="N138" i="3"/>
  <c r="M138" i="3"/>
  <c r="M126" i="3" s="1"/>
  <c r="M125" i="3" s="1"/>
  <c r="M124" i="3" s="1"/>
  <c r="M123" i="3" s="1"/>
  <c r="L138" i="3"/>
  <c r="L126" i="3" s="1"/>
  <c r="L125" i="3" s="1"/>
  <c r="L124" i="3" s="1"/>
  <c r="L123" i="3" s="1"/>
  <c r="K138" i="3"/>
  <c r="J138" i="3"/>
  <c r="H138" i="3"/>
  <c r="G138" i="3"/>
  <c r="D138" i="3"/>
  <c r="I137" i="3"/>
  <c r="H137" i="3"/>
  <c r="H136" i="3"/>
  <c r="G136" i="3"/>
  <c r="I136" i="3" s="1"/>
  <c r="E136" i="3"/>
  <c r="G135" i="3"/>
  <c r="E135" i="3"/>
  <c r="H134" i="3"/>
  <c r="G134" i="3"/>
  <c r="E134" i="3"/>
  <c r="I134" i="3" s="1"/>
  <c r="H133" i="3"/>
  <c r="G133" i="3"/>
  <c r="E133" i="3"/>
  <c r="I133" i="3" s="1"/>
  <c r="H132" i="3"/>
  <c r="G132" i="3"/>
  <c r="E132" i="3"/>
  <c r="H131" i="3"/>
  <c r="E131" i="3"/>
  <c r="I131" i="3" s="1"/>
  <c r="H130" i="3"/>
  <c r="G130" i="3"/>
  <c r="E130" i="3"/>
  <c r="I130" i="3" s="1"/>
  <c r="H129" i="3"/>
  <c r="G129" i="3"/>
  <c r="G126" i="3" s="1"/>
  <c r="G125" i="3" s="1"/>
  <c r="E129" i="3"/>
  <c r="I129" i="3" s="1"/>
  <c r="S128" i="3"/>
  <c r="Q128" i="3"/>
  <c r="H128" i="3"/>
  <c r="I128" i="3" s="1"/>
  <c r="G128" i="3"/>
  <c r="E128" i="3"/>
  <c r="H127" i="3"/>
  <c r="I127" i="3" s="1"/>
  <c r="G127" i="3"/>
  <c r="E127" i="3"/>
  <c r="S126" i="3"/>
  <c r="S125" i="3" s="1"/>
  <c r="S124" i="3" s="1"/>
  <c r="S123" i="3" s="1"/>
  <c r="R126" i="3"/>
  <c r="R125" i="3" s="1"/>
  <c r="O126" i="3"/>
  <c r="N126" i="3"/>
  <c r="N125" i="3" s="1"/>
  <c r="N124" i="3" s="1"/>
  <c r="N123" i="3" s="1"/>
  <c r="K126" i="3"/>
  <c r="J126" i="3"/>
  <c r="J125" i="3" s="1"/>
  <c r="H126" i="3"/>
  <c r="F126" i="3"/>
  <c r="F125" i="3" s="1"/>
  <c r="D126" i="3"/>
  <c r="O125" i="3"/>
  <c r="O124" i="3" s="1"/>
  <c r="O123" i="3" s="1"/>
  <c r="K125" i="3"/>
  <c r="K124" i="3" s="1"/>
  <c r="K123" i="3" s="1"/>
  <c r="D125" i="3"/>
  <c r="R124" i="3"/>
  <c r="J124" i="3"/>
  <c r="D124" i="3"/>
  <c r="D123" i="3" s="1"/>
  <c r="R123" i="3"/>
  <c r="J123" i="3"/>
  <c r="F123" i="3"/>
  <c r="E122" i="3"/>
  <c r="I122" i="3" s="1"/>
  <c r="H121" i="3"/>
  <c r="I121" i="3" s="1"/>
  <c r="I118" i="3" s="1"/>
  <c r="I120" i="3"/>
  <c r="I119" i="3"/>
  <c r="T118" i="3"/>
  <c r="T96" i="3" s="1"/>
  <c r="T69" i="3" s="1"/>
  <c r="S118" i="3"/>
  <c r="S96" i="3" s="1"/>
  <c r="S69" i="3" s="1"/>
  <c r="R118" i="3"/>
  <c r="Q118" i="3"/>
  <c r="P118" i="3"/>
  <c r="O118" i="3"/>
  <c r="N118" i="3"/>
  <c r="M118" i="3"/>
  <c r="L118" i="3"/>
  <c r="K118" i="3"/>
  <c r="J118" i="3"/>
  <c r="G118" i="3"/>
  <c r="G96" i="3" s="1"/>
  <c r="F118" i="3"/>
  <c r="E118" i="3"/>
  <c r="D118" i="3"/>
  <c r="D96" i="3" s="1"/>
  <c r="D69" i="3" s="1"/>
  <c r="I117" i="3"/>
  <c r="I116" i="3"/>
  <c r="I115" i="3"/>
  <c r="I114" i="3"/>
  <c r="I113" i="3"/>
  <c r="I112" i="3"/>
  <c r="I111" i="3"/>
  <c r="I110" i="3"/>
  <c r="I109" i="3"/>
  <c r="I108" i="3"/>
  <c r="I107" i="3"/>
  <c r="I106" i="3"/>
  <c r="I105" i="3"/>
  <c r="I104" i="3" s="1"/>
  <c r="T104" i="3"/>
  <c r="S104" i="3"/>
  <c r="R104" i="3"/>
  <c r="Q104" i="3"/>
  <c r="P104" i="3"/>
  <c r="O104" i="3"/>
  <c r="N104" i="3"/>
  <c r="M104" i="3"/>
  <c r="L104" i="3"/>
  <c r="K104" i="3"/>
  <c r="J104" i="3"/>
  <c r="H104" i="3"/>
  <c r="G104" i="3"/>
  <c r="F104" i="3"/>
  <c r="E104" i="3"/>
  <c r="D104" i="3"/>
  <c r="I103" i="3"/>
  <c r="I102" i="3"/>
  <c r="I101" i="3"/>
  <c r="I100" i="3"/>
  <c r="H99" i="3"/>
  <c r="H97" i="3" s="1"/>
  <c r="I98" i="3"/>
  <c r="T97" i="3"/>
  <c r="S97" i="3"/>
  <c r="R97" i="3"/>
  <c r="Q97" i="3"/>
  <c r="Q96" i="3" s="1"/>
  <c r="P97" i="3"/>
  <c r="O97" i="3"/>
  <c r="O96" i="3" s="1"/>
  <c r="O69" i="3" s="1"/>
  <c r="N97" i="3"/>
  <c r="N96" i="3" s="1"/>
  <c r="M97" i="3"/>
  <c r="M96" i="3" s="1"/>
  <c r="L97" i="3"/>
  <c r="K97" i="3"/>
  <c r="J97" i="3"/>
  <c r="J96" i="3" s="1"/>
  <c r="G97" i="3"/>
  <c r="F97" i="3"/>
  <c r="E97" i="3"/>
  <c r="D97" i="3"/>
  <c r="R96" i="3"/>
  <c r="P96" i="3"/>
  <c r="L96" i="3"/>
  <c r="K96" i="3"/>
  <c r="K69" i="3" s="1"/>
  <c r="F96" i="3"/>
  <c r="F69" i="3" s="1"/>
  <c r="I95" i="3"/>
  <c r="I94" i="3"/>
  <c r="I92" i="3" s="1"/>
  <c r="I93" i="3"/>
  <c r="T92" i="3"/>
  <c r="S92" i="3"/>
  <c r="R92" i="3"/>
  <c r="Q92" i="3"/>
  <c r="P92" i="3"/>
  <c r="O92" i="3"/>
  <c r="N92" i="3"/>
  <c r="M92" i="3"/>
  <c r="L92" i="3"/>
  <c r="K92" i="3"/>
  <c r="J92" i="3"/>
  <c r="H92" i="3"/>
  <c r="H70" i="3" s="1"/>
  <c r="G92" i="3"/>
  <c r="F92" i="3"/>
  <c r="E92" i="3"/>
  <c r="D92" i="3"/>
  <c r="D70" i="3" s="1"/>
  <c r="I91" i="3"/>
  <c r="I90" i="3"/>
  <c r="I89" i="3"/>
  <c r="I88" i="3"/>
  <c r="I87" i="3"/>
  <c r="I86" i="3"/>
  <c r="I85" i="3"/>
  <c r="I84" i="3"/>
  <c r="I83" i="3"/>
  <c r="I82" i="3"/>
  <c r="I81" i="3"/>
  <c r="I80" i="3"/>
  <c r="I78" i="3" s="1"/>
  <c r="I79" i="3"/>
  <c r="T78" i="3"/>
  <c r="S78" i="3"/>
  <c r="R78" i="3"/>
  <c r="R70" i="3" s="1"/>
  <c r="Q78" i="3"/>
  <c r="P78" i="3"/>
  <c r="P70" i="3" s="1"/>
  <c r="O78" i="3"/>
  <c r="N78" i="3"/>
  <c r="N70" i="3" s="1"/>
  <c r="M78" i="3"/>
  <c r="L78" i="3"/>
  <c r="K78" i="3"/>
  <c r="J78" i="3"/>
  <c r="J70" i="3" s="1"/>
  <c r="H78" i="3"/>
  <c r="G78" i="3"/>
  <c r="F78" i="3"/>
  <c r="E78" i="3"/>
  <c r="D78" i="3"/>
  <c r="I77" i="3"/>
  <c r="I76" i="3"/>
  <c r="I75" i="3"/>
  <c r="I74" i="3"/>
  <c r="I73" i="3"/>
  <c r="I72" i="3"/>
  <c r="T71" i="3"/>
  <c r="S71" i="3"/>
  <c r="S70" i="3" s="1"/>
  <c r="R71" i="3"/>
  <c r="Q71" i="3"/>
  <c r="P71" i="3"/>
  <c r="O71" i="3"/>
  <c r="O70" i="3" s="1"/>
  <c r="N71" i="3"/>
  <c r="M71" i="3"/>
  <c r="M70" i="3" s="1"/>
  <c r="L71" i="3"/>
  <c r="K71" i="3"/>
  <c r="K70" i="3" s="1"/>
  <c r="J71" i="3"/>
  <c r="I71" i="3"/>
  <c r="H71" i="3"/>
  <c r="G71" i="3"/>
  <c r="G70" i="3" s="1"/>
  <c r="F71" i="3"/>
  <c r="E71" i="3"/>
  <c r="E70" i="3" s="1"/>
  <c r="D71" i="3"/>
  <c r="T70" i="3"/>
  <c r="Q70" i="3"/>
  <c r="L70" i="3"/>
  <c r="F70" i="3"/>
  <c r="R69" i="3"/>
  <c r="M69" i="3"/>
  <c r="G69" i="3"/>
  <c r="I68" i="3"/>
  <c r="I67" i="3"/>
  <c r="I66" i="3"/>
  <c r="I65" i="3"/>
  <c r="T64" i="3"/>
  <c r="S64" i="3"/>
  <c r="R64" i="3"/>
  <c r="Q64" i="3"/>
  <c r="P64" i="3"/>
  <c r="O64" i="3"/>
  <c r="O55" i="3" s="1"/>
  <c r="O41" i="3" s="1"/>
  <c r="N64" i="3"/>
  <c r="M64" i="3"/>
  <c r="L64" i="3"/>
  <c r="K64" i="3"/>
  <c r="J64" i="3"/>
  <c r="H64" i="3"/>
  <c r="G64" i="3"/>
  <c r="F64" i="3"/>
  <c r="E64" i="3"/>
  <c r="D64" i="3"/>
  <c r="I63" i="3"/>
  <c r="I62" i="3"/>
  <c r="I60" i="3" s="1"/>
  <c r="I61" i="3"/>
  <c r="T60" i="3"/>
  <c r="S60" i="3"/>
  <c r="R60" i="3"/>
  <c r="R55" i="3" s="1"/>
  <c r="R41" i="3" s="1"/>
  <c r="Q60" i="3"/>
  <c r="P60" i="3"/>
  <c r="O60" i="3"/>
  <c r="N60" i="3"/>
  <c r="N55" i="3" s="1"/>
  <c r="N41" i="3" s="1"/>
  <c r="M60" i="3"/>
  <c r="L60" i="3"/>
  <c r="K60" i="3"/>
  <c r="J60" i="3"/>
  <c r="J55" i="3" s="1"/>
  <c r="J41" i="3" s="1"/>
  <c r="H60" i="3"/>
  <c r="G60" i="3"/>
  <c r="G55" i="3" s="1"/>
  <c r="D60" i="3"/>
  <c r="I59" i="3"/>
  <c r="I58" i="3"/>
  <c r="I57" i="3"/>
  <c r="T56" i="3"/>
  <c r="T55" i="3" s="1"/>
  <c r="S56" i="3"/>
  <c r="R56" i="3"/>
  <c r="Q56" i="3"/>
  <c r="P56" i="3"/>
  <c r="P55" i="3" s="1"/>
  <c r="O56" i="3"/>
  <c r="N56" i="3"/>
  <c r="M56" i="3"/>
  <c r="M55" i="3" s="1"/>
  <c r="L56" i="3"/>
  <c r="L55" i="3" s="1"/>
  <c r="K56" i="3"/>
  <c r="J56" i="3"/>
  <c r="I56" i="3"/>
  <c r="H56" i="3"/>
  <c r="H55" i="3" s="1"/>
  <c r="G56" i="3"/>
  <c r="F56" i="3"/>
  <c r="E56" i="3"/>
  <c r="D56" i="3"/>
  <c r="D55" i="3" s="1"/>
  <c r="D41" i="3" s="1"/>
  <c r="S55" i="3"/>
  <c r="S41" i="3" s="1"/>
  <c r="Q55" i="3"/>
  <c r="I54" i="3"/>
  <c r="I51" i="3" s="1"/>
  <c r="I53" i="3"/>
  <c r="I52" i="3"/>
  <c r="T51" i="3"/>
  <c r="S51" i="3"/>
  <c r="R51" i="3"/>
  <c r="Q51" i="3"/>
  <c r="P51" i="3"/>
  <c r="O51" i="3"/>
  <c r="N51" i="3"/>
  <c r="M51" i="3"/>
  <c r="L51" i="3"/>
  <c r="K51" i="3"/>
  <c r="J51" i="3"/>
  <c r="H51" i="3"/>
  <c r="G51" i="3"/>
  <c r="G41" i="3" s="1"/>
  <c r="F51" i="3"/>
  <c r="E51" i="3"/>
  <c r="D51" i="3"/>
  <c r="I50" i="3"/>
  <c r="I49" i="3"/>
  <c r="I48" i="3"/>
  <c r="I47" i="3"/>
  <c r="I46" i="3"/>
  <c r="I42" i="3" s="1"/>
  <c r="I45" i="3"/>
  <c r="I44" i="3"/>
  <c r="I43" i="3"/>
  <c r="T42" i="3"/>
  <c r="T41" i="3" s="1"/>
  <c r="S42" i="3"/>
  <c r="R42" i="3"/>
  <c r="Q42" i="3"/>
  <c r="P42" i="3"/>
  <c r="P41" i="3" s="1"/>
  <c r="O42" i="3"/>
  <c r="N42" i="3"/>
  <c r="M42" i="3"/>
  <c r="M41" i="3" s="1"/>
  <c r="M10" i="3" s="1"/>
  <c r="L42" i="3"/>
  <c r="L41" i="3" s="1"/>
  <c r="K42" i="3"/>
  <c r="J42" i="3"/>
  <c r="H42" i="3"/>
  <c r="H41" i="3" s="1"/>
  <c r="G42" i="3"/>
  <c r="F42" i="3"/>
  <c r="E42" i="3"/>
  <c r="D42" i="3"/>
  <c r="Q41" i="3"/>
  <c r="E41" i="3"/>
  <c r="I40" i="3"/>
  <c r="I39" i="3"/>
  <c r="I38" i="3"/>
  <c r="I37" i="3"/>
  <c r="T36" i="3"/>
  <c r="S36" i="3"/>
  <c r="R36" i="3"/>
  <c r="Q36" i="3"/>
  <c r="P36" i="3"/>
  <c r="O36" i="3"/>
  <c r="N36" i="3"/>
  <c r="M36" i="3"/>
  <c r="L36" i="3"/>
  <c r="K36" i="3"/>
  <c r="J36" i="3"/>
  <c r="I36" i="3"/>
  <c r="H36" i="3"/>
  <c r="D36" i="3"/>
  <c r="I35" i="3"/>
  <c r="I34" i="3"/>
  <c r="I32" i="3" s="1"/>
  <c r="I33" i="3"/>
  <c r="T32" i="3"/>
  <c r="S32" i="3"/>
  <c r="S27" i="3" s="1"/>
  <c r="R32" i="3"/>
  <c r="Q32" i="3"/>
  <c r="P32" i="3"/>
  <c r="O32" i="3"/>
  <c r="N32" i="3"/>
  <c r="M32" i="3"/>
  <c r="L32" i="3"/>
  <c r="K32" i="3"/>
  <c r="J32" i="3"/>
  <c r="H32" i="3"/>
  <c r="G32" i="3"/>
  <c r="F32" i="3"/>
  <c r="E32" i="3"/>
  <c r="D32" i="3"/>
  <c r="D27" i="3" s="1"/>
  <c r="D11" i="3" s="1"/>
  <c r="I31" i="3"/>
  <c r="I30" i="3"/>
  <c r="I28" i="3" s="1"/>
  <c r="I29" i="3"/>
  <c r="T28" i="3"/>
  <c r="S28" i="3"/>
  <c r="R28" i="3"/>
  <c r="Q28" i="3"/>
  <c r="P28" i="3"/>
  <c r="P27" i="3" s="1"/>
  <c r="O28" i="3"/>
  <c r="N28" i="3"/>
  <c r="M28" i="3"/>
  <c r="L28" i="3"/>
  <c r="L27" i="3" s="1"/>
  <c r="K28" i="3"/>
  <c r="J28" i="3"/>
  <c r="H28" i="3"/>
  <c r="G28" i="3"/>
  <c r="G27" i="3" s="1"/>
  <c r="F28" i="3"/>
  <c r="E28" i="3"/>
  <c r="D28" i="3"/>
  <c r="T27" i="3"/>
  <c r="Q27" i="3"/>
  <c r="O27" i="3"/>
  <c r="M27" i="3"/>
  <c r="K27" i="3"/>
  <c r="I27" i="3"/>
  <c r="E27" i="3"/>
  <c r="I26" i="3"/>
  <c r="I25" i="3"/>
  <c r="G24" i="3"/>
  <c r="E24" i="3"/>
  <c r="E22" i="3" s="1"/>
  <c r="I23" i="3"/>
  <c r="T22" i="3"/>
  <c r="S22" i="3"/>
  <c r="S11" i="3" s="1"/>
  <c r="R22" i="3"/>
  <c r="Q22" i="3"/>
  <c r="P22" i="3"/>
  <c r="O22" i="3"/>
  <c r="N22" i="3"/>
  <c r="M22" i="3"/>
  <c r="L22" i="3"/>
  <c r="K22" i="3"/>
  <c r="K11" i="3" s="1"/>
  <c r="J22" i="3"/>
  <c r="H22" i="3"/>
  <c r="F22" i="3"/>
  <c r="F20" i="3" s="1"/>
  <c r="D22" i="3"/>
  <c r="F21" i="3"/>
  <c r="I21" i="3" s="1"/>
  <c r="I19" i="3"/>
  <c r="I18" i="3"/>
  <c r="I17" i="3"/>
  <c r="I16" i="3"/>
  <c r="I15" i="3"/>
  <c r="I14" i="3"/>
  <c r="I13" i="3"/>
  <c r="T12" i="3"/>
  <c r="T11" i="3" s="1"/>
  <c r="T10" i="3" s="1"/>
  <c r="T9" i="3" s="1"/>
  <c r="T8" i="3" s="1"/>
  <c r="S12" i="3"/>
  <c r="R12" i="3"/>
  <c r="Q12" i="3"/>
  <c r="P12" i="3"/>
  <c r="P11" i="3" s="1"/>
  <c r="O12" i="3"/>
  <c r="N12" i="3"/>
  <c r="M12" i="3"/>
  <c r="L12" i="3"/>
  <c r="L11" i="3" s="1"/>
  <c r="L10" i="3" s="1"/>
  <c r="K12" i="3"/>
  <c r="J12" i="3"/>
  <c r="H12" i="3"/>
  <c r="H11" i="3" s="1"/>
  <c r="G12" i="3"/>
  <c r="E12" i="3"/>
  <c r="D12" i="3"/>
  <c r="Q11" i="3"/>
  <c r="O11" i="3"/>
  <c r="O10" i="3" s="1"/>
  <c r="O9" i="3" s="1"/>
  <c r="O8" i="3" s="1"/>
  <c r="M11" i="3"/>
  <c r="G11" i="3"/>
  <c r="E11" i="3"/>
  <c r="Q10" i="3"/>
  <c r="P10" i="3"/>
  <c r="E10" i="3"/>
  <c r="I20" i="3" l="1"/>
  <c r="F12" i="3"/>
  <c r="D10" i="3"/>
  <c r="I141" i="3"/>
  <c r="K55" i="3"/>
  <c r="N69" i="3"/>
  <c r="H96" i="3"/>
  <c r="H69" i="3" s="1"/>
  <c r="S10" i="3"/>
  <c r="S9" i="3" s="1"/>
  <c r="S8" i="3" s="1"/>
  <c r="I24" i="3"/>
  <c r="I22" i="3" s="1"/>
  <c r="G22" i="3"/>
  <c r="M9" i="3"/>
  <c r="M8" i="3" s="1"/>
  <c r="I70" i="3"/>
  <c r="P69" i="3"/>
  <c r="P9" i="3"/>
  <c r="P8" i="3" s="1"/>
  <c r="K41" i="3"/>
  <c r="K10" i="3" s="1"/>
  <c r="K9" i="3" s="1"/>
  <c r="K8" i="3" s="1"/>
  <c r="Q69" i="3"/>
  <c r="Q9" i="3" s="1"/>
  <c r="Q8" i="3" s="1"/>
  <c r="H27" i="3"/>
  <c r="H10" i="3" s="1"/>
  <c r="H9" i="3" s="1"/>
  <c r="J69" i="3"/>
  <c r="G124" i="3"/>
  <c r="G123" i="3"/>
  <c r="I12" i="3"/>
  <c r="E96" i="3"/>
  <c r="E69" i="3" s="1"/>
  <c r="E9" i="3" s="1"/>
  <c r="E8" i="3" s="1"/>
  <c r="N11" i="3"/>
  <c r="N10" i="3" s="1"/>
  <c r="N9" i="3" s="1"/>
  <c r="N8" i="3" s="1"/>
  <c r="J27" i="3"/>
  <c r="R27" i="3"/>
  <c r="F27" i="3"/>
  <c r="I64" i="3"/>
  <c r="I55" i="3" s="1"/>
  <c r="I41" i="3" s="1"/>
  <c r="I135" i="3"/>
  <c r="H141" i="3"/>
  <c r="H125" i="3" s="1"/>
  <c r="E141" i="3"/>
  <c r="L69" i="3"/>
  <c r="L9" i="3" s="1"/>
  <c r="L8" i="3" s="1"/>
  <c r="H118" i="3"/>
  <c r="I139" i="3"/>
  <c r="I138" i="3" s="1"/>
  <c r="I126" i="3" s="1"/>
  <c r="E138" i="3"/>
  <c r="E126" i="3" s="1"/>
  <c r="E125" i="3" s="1"/>
  <c r="E124" i="3" s="1"/>
  <c r="E123" i="3" s="1"/>
  <c r="G10" i="3"/>
  <c r="G9" i="3" s="1"/>
  <c r="G8" i="3" s="1"/>
  <c r="J11" i="3"/>
  <c r="J10" i="3" s="1"/>
  <c r="R11" i="3"/>
  <c r="R10" i="3" s="1"/>
  <c r="R9" i="3" s="1"/>
  <c r="R8" i="3" s="1"/>
  <c r="N27" i="3"/>
  <c r="I99" i="3"/>
  <c r="I97" i="3" s="1"/>
  <c r="I96" i="3" s="1"/>
  <c r="I69" i="3" s="1"/>
  <c r="I132" i="3"/>
  <c r="I157" i="3"/>
  <c r="H124" i="3" l="1"/>
  <c r="H123" i="3"/>
  <c r="H8" i="3"/>
  <c r="J9" i="3"/>
  <c r="J8" i="3" s="1"/>
  <c r="F11" i="3"/>
  <c r="I125" i="3"/>
  <c r="I124" i="3" s="1"/>
  <c r="I123" i="3" s="1"/>
  <c r="D9" i="3"/>
  <c r="D8" i="3" l="1"/>
  <c r="F10" i="3"/>
  <c r="I11" i="3"/>
  <c r="F9" i="3" l="1"/>
  <c r="I10" i="3"/>
  <c r="F8" i="3" l="1"/>
  <c r="I8" i="3" s="1"/>
  <c r="I9" i="3"/>
  <c r="E154" i="2" l="1"/>
  <c r="G153" i="2"/>
  <c r="G152" i="2" s="1"/>
  <c r="E153" i="2"/>
  <c r="T152" i="2"/>
  <c r="S152" i="2"/>
  <c r="R152" i="2"/>
  <c r="Q152" i="2"/>
  <c r="P152" i="2"/>
  <c r="O152" i="2"/>
  <c r="O125" i="2" s="1"/>
  <c r="O124" i="2" s="1"/>
  <c r="O123" i="2" s="1"/>
  <c r="N152" i="2"/>
  <c r="N125" i="2" s="1"/>
  <c r="N124" i="2" s="1"/>
  <c r="N123" i="2" s="1"/>
  <c r="M152" i="2"/>
  <c r="L152" i="2"/>
  <c r="K152" i="2"/>
  <c r="J152" i="2"/>
  <c r="H152" i="2"/>
  <c r="F152" i="2"/>
  <c r="D152" i="2"/>
  <c r="I151" i="2"/>
  <c r="H150" i="2"/>
  <c r="G150" i="2"/>
  <c r="E150" i="2"/>
  <c r="I150" i="2" s="1"/>
  <c r="H149" i="2"/>
  <c r="E149" i="2"/>
  <c r="I149" i="2" s="1"/>
  <c r="I148" i="2"/>
  <c r="M147" i="2"/>
  <c r="L147" i="2"/>
  <c r="H147" i="2"/>
  <c r="I147" i="2" s="1"/>
  <c r="G147" i="2"/>
  <c r="H146" i="2"/>
  <c r="I146" i="2" s="1"/>
  <c r="H145" i="2"/>
  <c r="I145" i="2" s="1"/>
  <c r="E145" i="2"/>
  <c r="G144" i="2"/>
  <c r="E144" i="2"/>
  <c r="I144" i="2" s="1"/>
  <c r="H143" i="2"/>
  <c r="I143" i="2" s="1"/>
  <c r="H142" i="2"/>
  <c r="G142" i="2"/>
  <c r="E142" i="2"/>
  <c r="G141" i="2"/>
  <c r="I141" i="2" s="1"/>
  <c r="E141" i="2"/>
  <c r="G140" i="2"/>
  <c r="E140" i="2"/>
  <c r="I140" i="2" s="1"/>
  <c r="T139" i="2"/>
  <c r="S139" i="2"/>
  <c r="R139" i="2"/>
  <c r="Q139" i="2"/>
  <c r="P139" i="2"/>
  <c r="O139" i="2"/>
  <c r="N139" i="2"/>
  <c r="M139" i="2"/>
  <c r="L139" i="2"/>
  <c r="K139" i="2"/>
  <c r="J139" i="2"/>
  <c r="G139" i="2"/>
  <c r="D139" i="2"/>
  <c r="H138" i="2"/>
  <c r="I138" i="2" s="1"/>
  <c r="T137" i="2"/>
  <c r="T126" i="2" s="1"/>
  <c r="T125" i="2" s="1"/>
  <c r="T124" i="2" s="1"/>
  <c r="T123" i="2" s="1"/>
  <c r="S137" i="2"/>
  <c r="R137" i="2"/>
  <c r="Q137" i="2"/>
  <c r="P137" i="2"/>
  <c r="P126" i="2" s="1"/>
  <c r="P125" i="2" s="1"/>
  <c r="P124" i="2" s="1"/>
  <c r="P123" i="2" s="1"/>
  <c r="O137" i="2"/>
  <c r="O126" i="2" s="1"/>
  <c r="N137" i="2"/>
  <c r="M137" i="2"/>
  <c r="M126" i="2" s="1"/>
  <c r="M125" i="2" s="1"/>
  <c r="M124" i="2" s="1"/>
  <c r="M123" i="2" s="1"/>
  <c r="L137" i="2"/>
  <c r="L126" i="2" s="1"/>
  <c r="L125" i="2" s="1"/>
  <c r="L124" i="2" s="1"/>
  <c r="L123" i="2" s="1"/>
  <c r="K137" i="2"/>
  <c r="K126" i="2" s="1"/>
  <c r="J137" i="2"/>
  <c r="I137" i="2"/>
  <c r="H137" i="2"/>
  <c r="G137" i="2"/>
  <c r="E137" i="2"/>
  <c r="D137" i="2"/>
  <c r="D126" i="2" s="1"/>
  <c r="D125" i="2" s="1"/>
  <c r="D124" i="2" s="1"/>
  <c r="D123" i="2" s="1"/>
  <c r="I136" i="2"/>
  <c r="E136" i="2"/>
  <c r="G135" i="2"/>
  <c r="E135" i="2"/>
  <c r="I135" i="2" s="1"/>
  <c r="I134" i="2"/>
  <c r="H134" i="2"/>
  <c r="E134" i="2"/>
  <c r="G133" i="2"/>
  <c r="I133" i="2" s="1"/>
  <c r="E133" i="2"/>
  <c r="S132" i="2"/>
  <c r="H132" i="2"/>
  <c r="I132" i="2" s="1"/>
  <c r="G132" i="2"/>
  <c r="E132" i="2"/>
  <c r="H131" i="2"/>
  <c r="I131" i="2" s="1"/>
  <c r="E131" i="2"/>
  <c r="H130" i="2"/>
  <c r="E130" i="2"/>
  <c r="I130" i="2" s="1"/>
  <c r="H129" i="2"/>
  <c r="G129" i="2"/>
  <c r="E129" i="2"/>
  <c r="I129" i="2" s="1"/>
  <c r="H128" i="2"/>
  <c r="G128" i="2"/>
  <c r="E128" i="2"/>
  <c r="G127" i="2"/>
  <c r="E127" i="2"/>
  <c r="I127" i="2" s="1"/>
  <c r="R126" i="2"/>
  <c r="Q126" i="2"/>
  <c r="N126" i="2"/>
  <c r="J126" i="2"/>
  <c r="J125" i="2" s="1"/>
  <c r="J124" i="2" s="1"/>
  <c r="J123" i="2" s="1"/>
  <c r="F126" i="2"/>
  <c r="R125" i="2"/>
  <c r="Q125" i="2"/>
  <c r="Q124" i="2" s="1"/>
  <c r="Q123" i="2" s="1"/>
  <c r="K125" i="2"/>
  <c r="K124" i="2" s="1"/>
  <c r="K123" i="2" s="1"/>
  <c r="F125" i="2"/>
  <c r="F123" i="2" s="1"/>
  <c r="R124" i="2"/>
  <c r="R123" i="2" s="1"/>
  <c r="E122" i="2"/>
  <c r="H121" i="2"/>
  <c r="I121" i="2" s="1"/>
  <c r="I120" i="2"/>
  <c r="I119" i="2"/>
  <c r="H119" i="2"/>
  <c r="H118" i="2"/>
  <c r="I118" i="2" s="1"/>
  <c r="T117" i="2"/>
  <c r="T95" i="2" s="1"/>
  <c r="S117" i="2"/>
  <c r="R117" i="2"/>
  <c r="Q117" i="2"/>
  <c r="P117" i="2"/>
  <c r="P95" i="2" s="1"/>
  <c r="O117" i="2"/>
  <c r="N117" i="2"/>
  <c r="M117" i="2"/>
  <c r="L117" i="2"/>
  <c r="K117" i="2"/>
  <c r="J117" i="2"/>
  <c r="H117" i="2"/>
  <c r="G117" i="2"/>
  <c r="F117" i="2"/>
  <c r="D117" i="2"/>
  <c r="H116" i="2"/>
  <c r="I116" i="2" s="1"/>
  <c r="H115" i="2"/>
  <c r="I115" i="2" s="1"/>
  <c r="H114" i="2"/>
  <c r="I114" i="2" s="1"/>
  <c r="I113" i="2"/>
  <c r="H113" i="2"/>
  <c r="I112" i="2"/>
  <c r="I111" i="2"/>
  <c r="I110" i="2"/>
  <c r="G110" i="2"/>
  <c r="I109" i="2"/>
  <c r="G108" i="2"/>
  <c r="I107" i="2"/>
  <c r="H107" i="2"/>
  <c r="H106" i="2"/>
  <c r="I106" i="2" s="1"/>
  <c r="I105" i="2"/>
  <c r="H105" i="2"/>
  <c r="H104" i="2"/>
  <c r="T103" i="2"/>
  <c r="S103" i="2"/>
  <c r="R103" i="2"/>
  <c r="Q103" i="2"/>
  <c r="P103" i="2"/>
  <c r="O103" i="2"/>
  <c r="N103" i="2"/>
  <c r="M103" i="2"/>
  <c r="L103" i="2"/>
  <c r="K103" i="2"/>
  <c r="J103" i="2"/>
  <c r="F103" i="2"/>
  <c r="E103" i="2"/>
  <c r="D103" i="2"/>
  <c r="D95" i="2" s="1"/>
  <c r="H102" i="2"/>
  <c r="I102" i="2" s="1"/>
  <c r="H101" i="2"/>
  <c r="I101" i="2" s="1"/>
  <c r="H100" i="2"/>
  <c r="I100" i="2" s="1"/>
  <c r="H99" i="2"/>
  <c r="I99" i="2" s="1"/>
  <c r="H98" i="2"/>
  <c r="I98" i="2" s="1"/>
  <c r="I97" i="2"/>
  <c r="I96" i="2" s="1"/>
  <c r="H97" i="2"/>
  <c r="T96" i="2"/>
  <c r="S96" i="2"/>
  <c r="R96" i="2"/>
  <c r="R95" i="2" s="1"/>
  <c r="R68" i="2" s="1"/>
  <c r="Q96" i="2"/>
  <c r="P96" i="2"/>
  <c r="O96" i="2"/>
  <c r="O95" i="2" s="1"/>
  <c r="N96" i="2"/>
  <c r="N95" i="2" s="1"/>
  <c r="N68" i="2" s="1"/>
  <c r="M96" i="2"/>
  <c r="L96" i="2"/>
  <c r="K96" i="2"/>
  <c r="K95" i="2" s="1"/>
  <c r="J96" i="2"/>
  <c r="J95" i="2" s="1"/>
  <c r="G96" i="2"/>
  <c r="F96" i="2"/>
  <c r="F95" i="2" s="1"/>
  <c r="E96" i="2"/>
  <c r="D96" i="2"/>
  <c r="S95" i="2"/>
  <c r="L95" i="2"/>
  <c r="I94" i="2"/>
  <c r="I93" i="2"/>
  <c r="I91" i="2" s="1"/>
  <c r="I92" i="2"/>
  <c r="T91" i="2"/>
  <c r="S91" i="2"/>
  <c r="R91" i="2"/>
  <c r="R69" i="2" s="1"/>
  <c r="Q91" i="2"/>
  <c r="P91" i="2"/>
  <c r="O91" i="2"/>
  <c r="N91" i="2"/>
  <c r="N69" i="2" s="1"/>
  <c r="M91" i="2"/>
  <c r="L91" i="2"/>
  <c r="K91" i="2"/>
  <c r="J91" i="2"/>
  <c r="J69" i="2" s="1"/>
  <c r="H91" i="2"/>
  <c r="G91" i="2"/>
  <c r="F91" i="2"/>
  <c r="E91" i="2"/>
  <c r="D91" i="2"/>
  <c r="H90" i="2"/>
  <c r="I90" i="2" s="1"/>
  <c r="H89" i="2"/>
  <c r="I88" i="2"/>
  <c r="I87" i="2"/>
  <c r="I86" i="2"/>
  <c r="I85" i="2"/>
  <c r="I84" i="2"/>
  <c r="I83" i="2"/>
  <c r="I82" i="2"/>
  <c r="I81" i="2"/>
  <c r="H81" i="2"/>
  <c r="I80" i="2"/>
  <c r="I79" i="2"/>
  <c r="I78" i="2"/>
  <c r="T77" i="2"/>
  <c r="S77" i="2"/>
  <c r="R77" i="2"/>
  <c r="Q77" i="2"/>
  <c r="Q69" i="2" s="1"/>
  <c r="P77" i="2"/>
  <c r="O77" i="2"/>
  <c r="N77" i="2"/>
  <c r="M77" i="2"/>
  <c r="L77" i="2"/>
  <c r="K77" i="2"/>
  <c r="J77" i="2"/>
  <c r="G77" i="2"/>
  <c r="F77" i="2"/>
  <c r="E77" i="2"/>
  <c r="E69" i="2" s="1"/>
  <c r="D77" i="2"/>
  <c r="I76" i="2"/>
  <c r="H76" i="2"/>
  <c r="I75" i="2"/>
  <c r="H75" i="2"/>
  <c r="I74" i="2"/>
  <c r="H74" i="2"/>
  <c r="I73" i="2"/>
  <c r="I70" i="2" s="1"/>
  <c r="H73" i="2"/>
  <c r="I72" i="2"/>
  <c r="H71" i="2"/>
  <c r="I71" i="2" s="1"/>
  <c r="T70" i="2"/>
  <c r="T69" i="2" s="1"/>
  <c r="S70" i="2"/>
  <c r="R70" i="2"/>
  <c r="Q70" i="2"/>
  <c r="P70" i="2"/>
  <c r="O70" i="2"/>
  <c r="N70" i="2"/>
  <c r="M70" i="2"/>
  <c r="M69" i="2" s="1"/>
  <c r="L70" i="2"/>
  <c r="L69" i="2" s="1"/>
  <c r="K70" i="2"/>
  <c r="J70" i="2"/>
  <c r="H70" i="2"/>
  <c r="G70" i="2"/>
  <c r="F70" i="2"/>
  <c r="E70" i="2"/>
  <c r="D70" i="2"/>
  <c r="D69" i="2" s="1"/>
  <c r="P69" i="2"/>
  <c r="F69" i="2"/>
  <c r="F68" i="2"/>
  <c r="I67" i="2"/>
  <c r="I66" i="2"/>
  <c r="I65" i="2"/>
  <c r="I63" i="2" s="1"/>
  <c r="I64" i="2"/>
  <c r="T63" i="2"/>
  <c r="S63" i="2"/>
  <c r="R63" i="2"/>
  <c r="R54" i="2" s="1"/>
  <c r="Q63" i="2"/>
  <c r="P63" i="2"/>
  <c r="O63" i="2"/>
  <c r="N63" i="2"/>
  <c r="N54" i="2" s="1"/>
  <c r="M63" i="2"/>
  <c r="L63" i="2"/>
  <c r="K63" i="2"/>
  <c r="J63" i="2"/>
  <c r="H63" i="2"/>
  <c r="G63" i="2"/>
  <c r="F63" i="2"/>
  <c r="E63" i="2"/>
  <c r="D63" i="2"/>
  <c r="G62" i="2"/>
  <c r="I62" i="2" s="1"/>
  <c r="H61" i="2"/>
  <c r="G60" i="2"/>
  <c r="I60" i="2" s="1"/>
  <c r="T59" i="2"/>
  <c r="S59" i="2"/>
  <c r="R59" i="2"/>
  <c r="Q59" i="2"/>
  <c r="P59" i="2"/>
  <c r="O59" i="2"/>
  <c r="N59" i="2"/>
  <c r="M59" i="2"/>
  <c r="L59" i="2"/>
  <c r="K59" i="2"/>
  <c r="J59" i="2"/>
  <c r="G59" i="2"/>
  <c r="D59" i="2"/>
  <c r="I58" i="2"/>
  <c r="I57" i="2"/>
  <c r="I56" i="2"/>
  <c r="T55" i="2"/>
  <c r="T54" i="2" s="1"/>
  <c r="T40" i="2" s="1"/>
  <c r="S55" i="2"/>
  <c r="R55" i="2"/>
  <c r="Q55" i="2"/>
  <c r="P55" i="2"/>
  <c r="O55" i="2"/>
  <c r="N55" i="2"/>
  <c r="M55" i="2"/>
  <c r="M54" i="2" s="1"/>
  <c r="L55" i="2"/>
  <c r="L54" i="2" s="1"/>
  <c r="K55" i="2"/>
  <c r="J55" i="2"/>
  <c r="I55" i="2"/>
  <c r="H55" i="2"/>
  <c r="G55" i="2"/>
  <c r="F55" i="2"/>
  <c r="E55" i="2"/>
  <c r="D55" i="2"/>
  <c r="D54" i="2" s="1"/>
  <c r="Q54" i="2"/>
  <c r="P54" i="2"/>
  <c r="J54" i="2"/>
  <c r="I53" i="2"/>
  <c r="H53" i="2"/>
  <c r="G53" i="2"/>
  <c r="I52" i="2"/>
  <c r="I51" i="2"/>
  <c r="T50" i="2"/>
  <c r="S50" i="2"/>
  <c r="R50" i="2"/>
  <c r="Q50" i="2"/>
  <c r="Q40" i="2" s="1"/>
  <c r="P50" i="2"/>
  <c r="O50" i="2"/>
  <c r="N50" i="2"/>
  <c r="M50" i="2"/>
  <c r="L50" i="2"/>
  <c r="K50" i="2"/>
  <c r="J50" i="2"/>
  <c r="I50" i="2"/>
  <c r="H50" i="2"/>
  <c r="G50" i="2"/>
  <c r="F50" i="2"/>
  <c r="E50" i="2"/>
  <c r="D50" i="2"/>
  <c r="I49" i="2"/>
  <c r="I48" i="2"/>
  <c r="I47" i="2"/>
  <c r="I46" i="2"/>
  <c r="I45" i="2"/>
  <c r="I44" i="2"/>
  <c r="I43" i="2"/>
  <c r="I42" i="2"/>
  <c r="H42" i="2"/>
  <c r="T41" i="2"/>
  <c r="S41" i="2"/>
  <c r="R41" i="2"/>
  <c r="Q41" i="2"/>
  <c r="P41" i="2"/>
  <c r="O41" i="2"/>
  <c r="N41" i="2"/>
  <c r="M41" i="2"/>
  <c r="L41" i="2"/>
  <c r="K41" i="2"/>
  <c r="J41" i="2"/>
  <c r="H41" i="2"/>
  <c r="G41" i="2"/>
  <c r="F41" i="2"/>
  <c r="E41" i="2"/>
  <c r="D41" i="2"/>
  <c r="D40" i="2" s="1"/>
  <c r="M40" i="2"/>
  <c r="I39" i="2"/>
  <c r="I38" i="2"/>
  <c r="I37" i="2"/>
  <c r="I35" i="2" s="1"/>
  <c r="I36" i="2"/>
  <c r="T35" i="2"/>
  <c r="S35" i="2"/>
  <c r="R35" i="2"/>
  <c r="Q35" i="2"/>
  <c r="P35" i="2"/>
  <c r="O35" i="2"/>
  <c r="N35" i="2"/>
  <c r="M35" i="2"/>
  <c r="L35" i="2"/>
  <c r="K35" i="2"/>
  <c r="J35" i="2"/>
  <c r="H35" i="2"/>
  <c r="D35" i="2"/>
  <c r="I34" i="2"/>
  <c r="I31" i="2" s="1"/>
  <c r="I33" i="2"/>
  <c r="H32" i="2"/>
  <c r="I32" i="2" s="1"/>
  <c r="T31" i="2"/>
  <c r="T26" i="2" s="1"/>
  <c r="T11" i="2" s="1"/>
  <c r="T10" i="2" s="1"/>
  <c r="S31" i="2"/>
  <c r="S26" i="2" s="1"/>
  <c r="R31" i="2"/>
  <c r="Q31" i="2"/>
  <c r="P31" i="2"/>
  <c r="P26" i="2" s="1"/>
  <c r="O31" i="2"/>
  <c r="N31" i="2"/>
  <c r="M31" i="2"/>
  <c r="L31" i="2"/>
  <c r="L26" i="2" s="1"/>
  <c r="K31" i="2"/>
  <c r="J31" i="2"/>
  <c r="H31" i="2"/>
  <c r="G31" i="2"/>
  <c r="F31" i="2"/>
  <c r="E31" i="2"/>
  <c r="D31" i="2"/>
  <c r="D26" i="2" s="1"/>
  <c r="D11" i="2" s="1"/>
  <c r="I30" i="2"/>
  <c r="H29" i="2"/>
  <c r="I29" i="2" s="1"/>
  <c r="H28" i="2"/>
  <c r="T27" i="2"/>
  <c r="S27" i="2"/>
  <c r="R27" i="2"/>
  <c r="Q27" i="2"/>
  <c r="Q26" i="2" s="1"/>
  <c r="Q11" i="2" s="1"/>
  <c r="Q10" i="2" s="1"/>
  <c r="P27" i="2"/>
  <c r="O27" i="2"/>
  <c r="N27" i="2"/>
  <c r="N26" i="2" s="1"/>
  <c r="M27" i="2"/>
  <c r="M26" i="2" s="1"/>
  <c r="L27" i="2"/>
  <c r="K27" i="2"/>
  <c r="J27" i="2"/>
  <c r="G27" i="2"/>
  <c r="F27" i="2"/>
  <c r="E27" i="2"/>
  <c r="E26" i="2" s="1"/>
  <c r="D27" i="2"/>
  <c r="R26" i="2"/>
  <c r="O26" i="2"/>
  <c r="K26" i="2"/>
  <c r="J26" i="2"/>
  <c r="F26" i="2"/>
  <c r="G25" i="2"/>
  <c r="I25" i="2" s="1"/>
  <c r="G24" i="2"/>
  <c r="G22" i="2" s="1"/>
  <c r="E24" i="2"/>
  <c r="I23" i="2"/>
  <c r="T22" i="2"/>
  <c r="S22" i="2"/>
  <c r="R22" i="2"/>
  <c r="Q22" i="2"/>
  <c r="P22" i="2"/>
  <c r="O22" i="2"/>
  <c r="O11" i="2" s="1"/>
  <c r="N22" i="2"/>
  <c r="M22" i="2"/>
  <c r="L22" i="2"/>
  <c r="K22" i="2"/>
  <c r="J22" i="2"/>
  <c r="H22" i="2"/>
  <c r="F22" i="2"/>
  <c r="F20" i="2" s="1"/>
  <c r="D22" i="2"/>
  <c r="F21" i="2"/>
  <c r="I21" i="2" s="1"/>
  <c r="H20" i="2"/>
  <c r="I19" i="2"/>
  <c r="I18" i="2"/>
  <c r="H18" i="2"/>
  <c r="I17" i="2"/>
  <c r="I16" i="2"/>
  <c r="H16" i="2"/>
  <c r="I15" i="2"/>
  <c r="H14" i="2"/>
  <c r="H12" i="2" s="1"/>
  <c r="H11" i="2" s="1"/>
  <c r="I13" i="2"/>
  <c r="H13" i="2"/>
  <c r="T12" i="2"/>
  <c r="S12" i="2"/>
  <c r="S11" i="2" s="1"/>
  <c r="R12" i="2"/>
  <c r="Q12" i="2"/>
  <c r="P12" i="2"/>
  <c r="O12" i="2"/>
  <c r="N12" i="2"/>
  <c r="M12" i="2"/>
  <c r="L12" i="2"/>
  <c r="K12" i="2"/>
  <c r="J12" i="2"/>
  <c r="G12" i="2"/>
  <c r="E12" i="2"/>
  <c r="D12" i="2"/>
  <c r="M11" i="2"/>
  <c r="M10" i="2" s="1"/>
  <c r="G11" i="2"/>
  <c r="E11" i="2"/>
  <c r="T9" i="2" l="1"/>
  <c r="T8" i="2" s="1"/>
  <c r="S40" i="2"/>
  <c r="S10" i="2" s="1"/>
  <c r="S9" i="2" s="1"/>
  <c r="S8" i="2" s="1"/>
  <c r="I20" i="2"/>
  <c r="F12" i="2"/>
  <c r="F10" i="2" s="1"/>
  <c r="F9" i="2" s="1"/>
  <c r="F8" i="2" s="1"/>
  <c r="D10" i="2"/>
  <c r="I11" i="2"/>
  <c r="I61" i="2"/>
  <c r="H59" i="2"/>
  <c r="I69" i="2"/>
  <c r="J68" i="2"/>
  <c r="P68" i="2"/>
  <c r="T68" i="2"/>
  <c r="H126" i="2"/>
  <c r="M9" i="2"/>
  <c r="M8" i="2" s="1"/>
  <c r="G26" i="2"/>
  <c r="L68" i="2"/>
  <c r="E95" i="2"/>
  <c r="E68" i="2" s="1"/>
  <c r="H103" i="2"/>
  <c r="I104" i="2"/>
  <c r="I103" i="2" s="1"/>
  <c r="I117" i="2"/>
  <c r="I95" i="2" s="1"/>
  <c r="I68" i="2" s="1"/>
  <c r="E126" i="2"/>
  <c r="I126" i="2"/>
  <c r="K11" i="2"/>
  <c r="H27" i="2"/>
  <c r="H26" i="2" s="1"/>
  <c r="H10" i="2" s="1"/>
  <c r="I28" i="2"/>
  <c r="I27" i="2" s="1"/>
  <c r="I26" i="2" s="1"/>
  <c r="O40" i="2"/>
  <c r="O10" i="2" s="1"/>
  <c r="H54" i="2"/>
  <c r="H40" i="2" s="1"/>
  <c r="D68" i="2"/>
  <c r="E117" i="2"/>
  <c r="I122" i="2"/>
  <c r="L11" i="2"/>
  <c r="L10" i="2" s="1"/>
  <c r="L9" i="2" s="1"/>
  <c r="L8" i="2" s="1"/>
  <c r="P11" i="2"/>
  <c r="I14" i="2"/>
  <c r="I24" i="2"/>
  <c r="I22" i="2" s="1"/>
  <c r="E22" i="2"/>
  <c r="E10" i="2" s="1"/>
  <c r="E9" i="2" s="1"/>
  <c r="L40" i="2"/>
  <c r="P40" i="2"/>
  <c r="I59" i="2"/>
  <c r="I54" i="2" s="1"/>
  <c r="I89" i="2"/>
  <c r="I77" i="2" s="1"/>
  <c r="H77" i="2"/>
  <c r="H69" i="2" s="1"/>
  <c r="S68" i="2"/>
  <c r="G103" i="2"/>
  <c r="G95" i="2" s="1"/>
  <c r="G68" i="2" s="1"/>
  <c r="I108" i="2"/>
  <c r="H139" i="2"/>
  <c r="I12" i="2"/>
  <c r="I128" i="2"/>
  <c r="I142" i="2"/>
  <c r="I139" i="2" s="1"/>
  <c r="I153" i="2"/>
  <c r="I152" i="2" s="1"/>
  <c r="J11" i="2"/>
  <c r="J10" i="2" s="1"/>
  <c r="J9" i="2" s="1"/>
  <c r="J8" i="2" s="1"/>
  <c r="N11" i="2"/>
  <c r="R11" i="2"/>
  <c r="R10" i="2" s="1"/>
  <c r="R9" i="2" s="1"/>
  <c r="R8" i="2" s="1"/>
  <c r="J40" i="2"/>
  <c r="N40" i="2"/>
  <c r="R40" i="2"/>
  <c r="I41" i="2"/>
  <c r="G54" i="2"/>
  <c r="G10" i="2" s="1"/>
  <c r="G9" i="2" s="1"/>
  <c r="K54" i="2"/>
  <c r="K40" i="2" s="1"/>
  <c r="O54" i="2"/>
  <c r="S54" i="2"/>
  <c r="G69" i="2"/>
  <c r="K69" i="2"/>
  <c r="K68" i="2" s="1"/>
  <c r="O69" i="2"/>
  <c r="O68" i="2" s="1"/>
  <c r="S69" i="2"/>
  <c r="M95" i="2"/>
  <c r="M68" i="2" s="1"/>
  <c r="Q95" i="2"/>
  <c r="Q68" i="2" s="1"/>
  <c r="Q9" i="2" s="1"/>
  <c r="Q8" i="2" s="1"/>
  <c r="H96" i="2"/>
  <c r="G126" i="2"/>
  <c r="G125" i="2" s="1"/>
  <c r="S126" i="2"/>
  <c r="S125" i="2" s="1"/>
  <c r="S124" i="2" s="1"/>
  <c r="S123" i="2" s="1"/>
  <c r="E139" i="2"/>
  <c r="I154" i="2"/>
  <c r="E152" i="2"/>
  <c r="H9" i="2" l="1"/>
  <c r="O9" i="2"/>
  <c r="O8" i="2" s="1"/>
  <c r="D9" i="2"/>
  <c r="I10" i="2"/>
  <c r="K10" i="2"/>
  <c r="K9" i="2" s="1"/>
  <c r="K8" i="2" s="1"/>
  <c r="H125" i="2"/>
  <c r="G123" i="2"/>
  <c r="G8" i="2" s="1"/>
  <c r="G124" i="2"/>
  <c r="I40" i="2"/>
  <c r="I125" i="2"/>
  <c r="I124" i="2" s="1"/>
  <c r="I123" i="2" s="1"/>
  <c r="H95" i="2"/>
  <c r="H68" i="2" s="1"/>
  <c r="N10" i="2"/>
  <c r="N9" i="2" s="1"/>
  <c r="N8" i="2" s="1"/>
  <c r="P10" i="2"/>
  <c r="P9" i="2" s="1"/>
  <c r="P8" i="2" s="1"/>
  <c r="E125" i="2"/>
  <c r="E124" i="2" s="1"/>
  <c r="E123" i="2" s="1"/>
  <c r="E8" i="2" s="1"/>
  <c r="H124" i="2" l="1"/>
  <c r="H123" i="2"/>
  <c r="H8" i="2"/>
  <c r="I9" i="2"/>
  <c r="D8" i="2"/>
  <c r="I8" i="2" l="1"/>
  <c r="H96" i="1" l="1"/>
  <c r="I96" i="1" s="1"/>
  <c r="H95" i="1"/>
  <c r="I95" i="1" s="1"/>
  <c r="G94" i="1"/>
  <c r="E94" i="1"/>
  <c r="I94" i="1" s="1"/>
  <c r="I93" i="1"/>
  <c r="G93" i="1"/>
  <c r="E93" i="1"/>
  <c r="H92" i="1"/>
  <c r="I92" i="1" s="1"/>
  <c r="H91" i="1"/>
  <c r="E91" i="1"/>
  <c r="I91" i="1" s="1"/>
  <c r="I90" i="1"/>
  <c r="H90" i="1"/>
  <c r="E90" i="1"/>
  <c r="H89" i="1"/>
  <c r="I89" i="1" s="1"/>
  <c r="E89" i="1"/>
  <c r="H88" i="1"/>
  <c r="E88" i="1"/>
  <c r="H87" i="1"/>
  <c r="E87" i="1"/>
  <c r="I87" i="1" s="1"/>
  <c r="I86" i="1"/>
  <c r="H86" i="1"/>
  <c r="E86" i="1"/>
  <c r="H85" i="1"/>
  <c r="I85" i="1" s="1"/>
  <c r="G85" i="1"/>
  <c r="E85" i="1"/>
  <c r="H84" i="1"/>
  <c r="H83" i="1" s="1"/>
  <c r="E84" i="1"/>
  <c r="T83" i="1"/>
  <c r="S83" i="1"/>
  <c r="R83" i="1"/>
  <c r="Q83" i="1"/>
  <c r="P83" i="1"/>
  <c r="O83" i="1"/>
  <c r="N83" i="1"/>
  <c r="M83" i="1"/>
  <c r="L83" i="1"/>
  <c r="K83" i="1"/>
  <c r="J83" i="1"/>
  <c r="G83" i="1"/>
  <c r="D83" i="1"/>
  <c r="H82" i="1"/>
  <c r="I82" i="1" s="1"/>
  <c r="I81" i="1" s="1"/>
  <c r="T81" i="1"/>
  <c r="S81" i="1"/>
  <c r="R81" i="1"/>
  <c r="Q81" i="1"/>
  <c r="P81" i="1"/>
  <c r="O81" i="1"/>
  <c r="N81" i="1"/>
  <c r="M81" i="1"/>
  <c r="L81" i="1"/>
  <c r="K81" i="1"/>
  <c r="J81" i="1"/>
  <c r="J67" i="1" s="1"/>
  <c r="D81" i="1"/>
  <c r="E80" i="1"/>
  <c r="T79" i="1"/>
  <c r="S79" i="1"/>
  <c r="R79" i="1"/>
  <c r="R67" i="1" s="1"/>
  <c r="Q79" i="1"/>
  <c r="P79" i="1"/>
  <c r="P67" i="1" s="1"/>
  <c r="P66" i="1" s="1"/>
  <c r="P65" i="1" s="1"/>
  <c r="P64" i="1" s="1"/>
  <c r="O79" i="1"/>
  <c r="N79" i="1"/>
  <c r="N67" i="1" s="1"/>
  <c r="M79" i="1"/>
  <c r="L79" i="1"/>
  <c r="L67" i="1" s="1"/>
  <c r="L66" i="1" s="1"/>
  <c r="L65" i="1" s="1"/>
  <c r="L64" i="1" s="1"/>
  <c r="K79" i="1"/>
  <c r="J79" i="1"/>
  <c r="H79" i="1"/>
  <c r="G79" i="1"/>
  <c r="D79" i="1"/>
  <c r="I78" i="1"/>
  <c r="H78" i="1"/>
  <c r="E77" i="1"/>
  <c r="I77" i="1" s="1"/>
  <c r="I76" i="1"/>
  <c r="E75" i="1"/>
  <c r="I75" i="1" s="1"/>
  <c r="I74" i="1"/>
  <c r="G74" i="1"/>
  <c r="E74" i="1"/>
  <c r="H73" i="1"/>
  <c r="G73" i="1"/>
  <c r="I73" i="1" s="1"/>
  <c r="E73" i="1"/>
  <c r="H72" i="1"/>
  <c r="E72" i="1"/>
  <c r="I72" i="1" s="1"/>
  <c r="H71" i="1"/>
  <c r="E71" i="1"/>
  <c r="I71" i="1" s="1"/>
  <c r="T70" i="1"/>
  <c r="T67" i="1" s="1"/>
  <c r="T66" i="1" s="1"/>
  <c r="T65" i="1" s="1"/>
  <c r="T64" i="1" s="1"/>
  <c r="S70" i="1"/>
  <c r="Q70" i="1"/>
  <c r="O70" i="1"/>
  <c r="I70" i="1"/>
  <c r="H70" i="1"/>
  <c r="G70" i="1"/>
  <c r="E70" i="1"/>
  <c r="I69" i="1"/>
  <c r="H69" i="1"/>
  <c r="G69" i="1"/>
  <c r="E69" i="1"/>
  <c r="I68" i="1"/>
  <c r="H68" i="1"/>
  <c r="E68" i="1"/>
  <c r="S67" i="1"/>
  <c r="O67" i="1"/>
  <c r="O66" i="1" s="1"/>
  <c r="O65" i="1" s="1"/>
  <c r="O64" i="1" s="1"/>
  <c r="K67" i="1"/>
  <c r="G67" i="1"/>
  <c r="G66" i="1" s="1"/>
  <c r="F67" i="1"/>
  <c r="D67" i="1"/>
  <c r="F66" i="1"/>
  <c r="D66" i="1"/>
  <c r="D65" i="1"/>
  <c r="D64" i="1" s="1"/>
  <c r="F64" i="1"/>
  <c r="I63" i="1"/>
  <c r="I62" i="1"/>
  <c r="I61" i="1"/>
  <c r="I60" i="1" s="1"/>
  <c r="T60" i="1"/>
  <c r="S60" i="1"/>
  <c r="R60" i="1"/>
  <c r="R37" i="1" s="1"/>
  <c r="Q60" i="1"/>
  <c r="Q37" i="1" s="1"/>
  <c r="P60" i="1"/>
  <c r="O60" i="1"/>
  <c r="N60" i="1"/>
  <c r="M60" i="1"/>
  <c r="L60" i="1"/>
  <c r="K60" i="1"/>
  <c r="J60" i="1"/>
  <c r="J37" i="1" s="1"/>
  <c r="H60" i="1"/>
  <c r="G60" i="1"/>
  <c r="F60" i="1"/>
  <c r="E60" i="1"/>
  <c r="D60" i="1"/>
  <c r="I59" i="1"/>
  <c r="H58" i="1"/>
  <c r="I58" i="1" s="1"/>
  <c r="I57" i="1"/>
  <c r="H56" i="1"/>
  <c r="I56" i="1" s="1"/>
  <c r="I55" i="1"/>
  <c r="I54" i="1"/>
  <c r="I53" i="1"/>
  <c r="I52" i="1"/>
  <c r="I51" i="1"/>
  <c r="I50" i="1"/>
  <c r="I49" i="1"/>
  <c r="I48" i="1"/>
  <c r="I47" i="1"/>
  <c r="H46" i="1"/>
  <c r="I46" i="1" s="1"/>
  <c r="T45" i="1"/>
  <c r="S45" i="1"/>
  <c r="S37" i="1" s="1"/>
  <c r="R45" i="1"/>
  <c r="Q45" i="1"/>
  <c r="P45" i="1"/>
  <c r="O45" i="1"/>
  <c r="O37" i="1" s="1"/>
  <c r="N45" i="1"/>
  <c r="M45" i="1"/>
  <c r="L45" i="1"/>
  <c r="K45" i="1"/>
  <c r="K37" i="1" s="1"/>
  <c r="J45" i="1"/>
  <c r="H45" i="1"/>
  <c r="G45" i="1"/>
  <c r="E45" i="1"/>
  <c r="D45" i="1"/>
  <c r="F44" i="1"/>
  <c r="I44" i="1" s="1"/>
  <c r="H43" i="1"/>
  <c r="F43" i="1"/>
  <c r="I42" i="1"/>
  <c r="H42" i="1"/>
  <c r="F42" i="1"/>
  <c r="I41" i="1"/>
  <c r="I40" i="1"/>
  <c r="G40" i="1"/>
  <c r="G39" i="1"/>
  <c r="T38" i="1"/>
  <c r="S38" i="1"/>
  <c r="R38" i="1"/>
  <c r="Q38" i="1"/>
  <c r="P38" i="1"/>
  <c r="O38" i="1"/>
  <c r="N38" i="1"/>
  <c r="M38" i="1"/>
  <c r="L38" i="1"/>
  <c r="K38" i="1"/>
  <c r="J38" i="1"/>
  <c r="H38" i="1"/>
  <c r="E38" i="1"/>
  <c r="D38" i="1"/>
  <c r="D37" i="1" s="1"/>
  <c r="N37" i="1"/>
  <c r="M37" i="1"/>
  <c r="E37" i="1"/>
  <c r="I35" i="1"/>
  <c r="I34" i="1"/>
  <c r="I33" i="1"/>
  <c r="I32" i="1"/>
  <c r="I31" i="1"/>
  <c r="H30" i="1"/>
  <c r="I30" i="1" s="1"/>
  <c r="I29" i="1" s="1"/>
  <c r="T29" i="1"/>
  <c r="T24" i="1" s="1"/>
  <c r="T10" i="1" s="1"/>
  <c r="S29" i="1"/>
  <c r="R29" i="1"/>
  <c r="Q29" i="1"/>
  <c r="P29" i="1"/>
  <c r="P24" i="1" s="1"/>
  <c r="P10" i="1" s="1"/>
  <c r="O29" i="1"/>
  <c r="N29" i="1"/>
  <c r="M29" i="1"/>
  <c r="L29" i="1"/>
  <c r="K29" i="1"/>
  <c r="J29" i="1"/>
  <c r="H29" i="1"/>
  <c r="G29" i="1"/>
  <c r="F29" i="1"/>
  <c r="E29" i="1"/>
  <c r="D29" i="1"/>
  <c r="D24" i="1" s="1"/>
  <c r="I28" i="1"/>
  <c r="F28" i="1"/>
  <c r="E28" i="1"/>
  <c r="I27" i="1"/>
  <c r="I26" i="1"/>
  <c r="T25" i="1"/>
  <c r="S25" i="1"/>
  <c r="R25" i="1"/>
  <c r="Q25" i="1"/>
  <c r="Q24" i="1" s="1"/>
  <c r="P25" i="1"/>
  <c r="O25" i="1"/>
  <c r="N25" i="1"/>
  <c r="M25" i="1"/>
  <c r="M24" i="1" s="1"/>
  <c r="L25" i="1"/>
  <c r="K25" i="1"/>
  <c r="K24" i="1" s="1"/>
  <c r="J25" i="1"/>
  <c r="J24" i="1" s="1"/>
  <c r="J10" i="1" s="1"/>
  <c r="J9" i="1" s="1"/>
  <c r="I25" i="1"/>
  <c r="H25" i="1"/>
  <c r="G25" i="1"/>
  <c r="F25" i="1"/>
  <c r="E25" i="1"/>
  <c r="E24" i="1" s="1"/>
  <c r="D25" i="1"/>
  <c r="S24" i="1"/>
  <c r="R24" i="1"/>
  <c r="O24" i="1"/>
  <c r="N24" i="1"/>
  <c r="L24" i="1"/>
  <c r="L10" i="1" s="1"/>
  <c r="H24" i="1"/>
  <c r="G24" i="1"/>
  <c r="G23" i="1"/>
  <c r="G20" i="1" s="1"/>
  <c r="G10" i="1" s="1"/>
  <c r="H22" i="1"/>
  <c r="E22" i="1"/>
  <c r="E20" i="1" s="1"/>
  <c r="I21" i="1"/>
  <c r="T20" i="1"/>
  <c r="S20" i="1"/>
  <c r="R20" i="1"/>
  <c r="Q20" i="1"/>
  <c r="P20" i="1"/>
  <c r="O20" i="1"/>
  <c r="O10" i="1" s="1"/>
  <c r="O9" i="1" s="1"/>
  <c r="O8" i="1" s="1"/>
  <c r="N20" i="1"/>
  <c r="M20" i="1"/>
  <c r="L20" i="1"/>
  <c r="K20" i="1"/>
  <c r="J20" i="1"/>
  <c r="H20" i="1"/>
  <c r="H10" i="1" s="1"/>
  <c r="D20" i="1"/>
  <c r="I18" i="1"/>
  <c r="I17" i="1"/>
  <c r="I16" i="1"/>
  <c r="I15" i="1"/>
  <c r="I14" i="1"/>
  <c r="I13" i="1"/>
  <c r="I12" i="1"/>
  <c r="T11" i="1"/>
  <c r="S11" i="1"/>
  <c r="R11" i="1"/>
  <c r="R10" i="1" s="1"/>
  <c r="R9" i="1" s="1"/>
  <c r="Q11" i="1"/>
  <c r="Q10" i="1" s="1"/>
  <c r="P11" i="1"/>
  <c r="O11" i="1"/>
  <c r="N11" i="1"/>
  <c r="N10" i="1" s="1"/>
  <c r="N9" i="1" s="1"/>
  <c r="M11" i="1"/>
  <c r="M10" i="1" s="1"/>
  <c r="M9" i="1" s="1"/>
  <c r="L11" i="1"/>
  <c r="K11" i="1"/>
  <c r="J11" i="1"/>
  <c r="H11" i="1"/>
  <c r="G11" i="1"/>
  <c r="E11" i="1"/>
  <c r="D11" i="1"/>
  <c r="I11" i="1" s="1"/>
  <c r="F10" i="1"/>
  <c r="E10" i="1"/>
  <c r="E9" i="1" s="1"/>
  <c r="L9" i="1" l="1"/>
  <c r="L8" i="1" s="1"/>
  <c r="M8" i="1"/>
  <c r="Q9" i="1"/>
  <c r="Q8" i="1" s="1"/>
  <c r="T9" i="1"/>
  <c r="T8" i="1" s="1"/>
  <c r="H67" i="1"/>
  <c r="H66" i="1" s="1"/>
  <c r="F24" i="1"/>
  <c r="F23" i="1" s="1"/>
  <c r="D10" i="1"/>
  <c r="D9" i="1" s="1"/>
  <c r="I22" i="1"/>
  <c r="G38" i="1"/>
  <c r="G37" i="1" s="1"/>
  <c r="G9" i="1" s="1"/>
  <c r="G8" i="1" s="1"/>
  <c r="I39" i="1"/>
  <c r="E67" i="1"/>
  <c r="E66" i="1" s="1"/>
  <c r="E65" i="1" s="1"/>
  <c r="E64" i="1" s="1"/>
  <c r="E8" i="1" s="1"/>
  <c r="H81" i="1"/>
  <c r="I88" i="1"/>
  <c r="G65" i="1"/>
  <c r="G64" i="1"/>
  <c r="I45" i="1"/>
  <c r="M67" i="1"/>
  <c r="M66" i="1" s="1"/>
  <c r="M65" i="1" s="1"/>
  <c r="M64" i="1" s="1"/>
  <c r="Q67" i="1"/>
  <c r="Q66" i="1" s="1"/>
  <c r="Q65" i="1" s="1"/>
  <c r="Q64" i="1" s="1"/>
  <c r="I80" i="1"/>
  <c r="I79" i="1" s="1"/>
  <c r="I67" i="1" s="1"/>
  <c r="I66" i="1" s="1"/>
  <c r="I65" i="1" s="1"/>
  <c r="I64" i="1" s="1"/>
  <c r="E79" i="1"/>
  <c r="J66" i="1"/>
  <c r="J65" i="1" s="1"/>
  <c r="J64" i="1" s="1"/>
  <c r="J8" i="1" s="1"/>
  <c r="I84" i="1"/>
  <c r="I83" i="1" s="1"/>
  <c r="K10" i="1"/>
  <c r="K9" i="1" s="1"/>
  <c r="K8" i="1" s="1"/>
  <c r="S10" i="1"/>
  <c r="S9" i="1" s="1"/>
  <c r="H37" i="1"/>
  <c r="H9" i="1" s="1"/>
  <c r="L37" i="1"/>
  <c r="P37" i="1"/>
  <c r="P9" i="1" s="1"/>
  <c r="P8" i="1" s="1"/>
  <c r="T37" i="1"/>
  <c r="I43" i="1"/>
  <c r="F38" i="1"/>
  <c r="F37" i="1" s="1"/>
  <c r="F36" i="1" s="1"/>
  <c r="I36" i="1" s="1"/>
  <c r="I24" i="1" s="1"/>
  <c r="K66" i="1"/>
  <c r="K65" i="1" s="1"/>
  <c r="K64" i="1" s="1"/>
  <c r="S66" i="1"/>
  <c r="S65" i="1" s="1"/>
  <c r="S64" i="1" s="1"/>
  <c r="N66" i="1"/>
  <c r="N65" i="1" s="1"/>
  <c r="N64" i="1" s="1"/>
  <c r="N8" i="1" s="1"/>
  <c r="R66" i="1"/>
  <c r="R65" i="1" s="1"/>
  <c r="R64" i="1" s="1"/>
  <c r="R8" i="1" s="1"/>
  <c r="E83" i="1"/>
  <c r="I20" i="1" l="1"/>
  <c r="I10" i="1" s="1"/>
  <c r="F20" i="1"/>
  <c r="F19" i="1" s="1"/>
  <c r="I23" i="1"/>
  <c r="H65" i="1"/>
  <c r="H64" i="1"/>
  <c r="H8" i="1" s="1"/>
  <c r="D8" i="1"/>
  <c r="S8" i="1"/>
  <c r="I38" i="1"/>
  <c r="I37" i="1" s="1"/>
  <c r="I19" i="1" l="1"/>
  <c r="F9" i="1"/>
  <c r="F8" i="1" l="1"/>
  <c r="I8" i="1" s="1"/>
  <c r="I9" i="1"/>
</calcChain>
</file>

<file path=xl/sharedStrings.xml><?xml version="1.0" encoding="utf-8"?>
<sst xmlns="http://schemas.openxmlformats.org/spreadsheetml/2006/main" count="2220" uniqueCount="1046">
  <si>
    <t>CAPRESOCA EPS</t>
  </si>
  <si>
    <t>Nit 891856000</t>
  </si>
  <si>
    <t>EJECUCION PRESUPUESTAL GASTOS</t>
  </si>
  <si>
    <r>
      <t xml:space="preserve">MES:  DICIEMBRE AÑO </t>
    </r>
    <r>
      <rPr>
        <b/>
        <u/>
        <sz val="8"/>
        <color indexed="8"/>
        <rFont val="Arial"/>
        <family val="2"/>
      </rPr>
      <t xml:space="preserve">  2018</t>
    </r>
  </si>
  <si>
    <t>CUENTA</t>
  </si>
  <si>
    <t>APROPIACION INICIAL</t>
  </si>
  <si>
    <t>MODIFICACIONES</t>
  </si>
  <si>
    <t>APROPIACION DEFINITIVA</t>
  </si>
  <si>
    <t>SALDOS DE APROPIACION</t>
  </si>
  <si>
    <t>SALDOS DE TRAMITE</t>
  </si>
  <si>
    <t>CÓDIGO</t>
  </si>
  <si>
    <t xml:space="preserve">NOMBRE </t>
  </si>
  <si>
    <t>ADICION Y/O DISMINUCION</t>
  </si>
  <si>
    <t>TRASLADOS</t>
  </si>
  <si>
    <t>CERTIFICADOS</t>
  </si>
  <si>
    <t>REGISTROS</t>
  </si>
  <si>
    <t>EJECUCIONES U OBLIGACIONES</t>
  </si>
  <si>
    <t>GIROS</t>
  </si>
  <si>
    <t>CERTIFICADOS POR REGISTRAR</t>
  </si>
  <si>
    <t>REGISTROS POR EJECUTAR</t>
  </si>
  <si>
    <t>OBLIGACIONES POR PAGAR</t>
  </si>
  <si>
    <t>CREDITO</t>
  </si>
  <si>
    <t>CONTRACREDITO</t>
  </si>
  <si>
    <t>MES</t>
  </si>
  <si>
    <t>ACUMULADO</t>
  </si>
  <si>
    <t>ACUMULADOS</t>
  </si>
  <si>
    <t>GASTOS</t>
  </si>
  <si>
    <t>GASTOS DE FUNCIONAMIENTO</t>
  </si>
  <si>
    <t>2.1.01</t>
  </si>
  <si>
    <t>GASTOS DE PERSONAL</t>
  </si>
  <si>
    <t>2.1.01.01</t>
  </si>
  <si>
    <t>SERVICIOS PERSONALES ASOCIADOS A LA NOMINA</t>
  </si>
  <si>
    <t>2.1.01.01.01</t>
  </si>
  <si>
    <t>SUELDO PERSONAL DE NOMINA</t>
  </si>
  <si>
    <t>2.1.01.01.02</t>
  </si>
  <si>
    <t>INDEMNIZACION DE VACACIONES</t>
  </si>
  <si>
    <t>2.1.01.01.03</t>
  </si>
  <si>
    <t>PRIMA DE SERVICIOS</t>
  </si>
  <si>
    <t>2.1.01.01.04</t>
  </si>
  <si>
    <t>BONIFICACION POR SERVICIOS PRESTADOS</t>
  </si>
  <si>
    <t>2.1.01.01.05</t>
  </si>
  <si>
    <t>BONIFICACION ESPECIAL RECREACION</t>
  </si>
  <si>
    <t>2.1.01.01.06</t>
  </si>
  <si>
    <t>PRIMA DE VACACIONES</t>
  </si>
  <si>
    <t>2.1.01.01.07</t>
  </si>
  <si>
    <t>PRIMA DE NAVIDAD</t>
  </si>
  <si>
    <t>2.1.01.01.08</t>
  </si>
  <si>
    <t>RETROACTIVO CESANTIAS</t>
  </si>
  <si>
    <t>2.1.01.02</t>
  </si>
  <si>
    <t>SERVICIOS PERSONALES INDIRECTOS</t>
  </si>
  <si>
    <t>2.1.01.02.01</t>
  </si>
  <si>
    <t>SUPERNUMERARIOS</t>
  </si>
  <si>
    <t>2.1.01.02.02</t>
  </si>
  <si>
    <t>HONORARIOS</t>
  </si>
  <si>
    <t>2.1.01.02.03</t>
  </si>
  <si>
    <t>REMUNERACION SERVICIOS TECNICOS Y AUXILIARES</t>
  </si>
  <si>
    <t>2.1.01.03</t>
  </si>
  <si>
    <t>CONTRIBUCIONES INHERENTES A LA NOMINA</t>
  </si>
  <si>
    <t>2.1.01.03.01</t>
  </si>
  <si>
    <t>APORTES SECTOR PUBLICO</t>
  </si>
  <si>
    <t>2.1.01.03.01.01</t>
  </si>
  <si>
    <t>APORTES PENSIONES</t>
  </si>
  <si>
    <t>2.1.01.03.01.02</t>
  </si>
  <si>
    <t>APORTES CESANTIAS</t>
  </si>
  <si>
    <t>2.1.01.03.01.03</t>
  </si>
  <si>
    <t>APORTES SALUD</t>
  </si>
  <si>
    <t>2.1.01.03.02</t>
  </si>
  <si>
    <t>APORTES SECTOR PRIVADO</t>
  </si>
  <si>
    <t>2.1.01.03.02.01</t>
  </si>
  <si>
    <t>2.1.01.03.02.02</t>
  </si>
  <si>
    <t>2.1.01.03.02.03</t>
  </si>
  <si>
    <t>2.1.01.03.03</t>
  </si>
  <si>
    <t>I.C.B.F</t>
  </si>
  <si>
    <t>2.1.01.03.04</t>
  </si>
  <si>
    <t>SENA</t>
  </si>
  <si>
    <t>2.1.01.03.05</t>
  </si>
  <si>
    <t>SUBSIDIO FAMILIAR</t>
  </si>
  <si>
    <t>2.1.01.03.06</t>
  </si>
  <si>
    <t>RIESGOS PROFESIONALES</t>
  </si>
  <si>
    <t>2.1.02</t>
  </si>
  <si>
    <t>GASTOS GENERALES</t>
  </si>
  <si>
    <t>2.1.02.01</t>
  </si>
  <si>
    <t>ADQUISICION DE BIENES</t>
  </si>
  <si>
    <t>2.1.02.01.01</t>
  </si>
  <si>
    <t>COMPRA DE EQUIPO</t>
  </si>
  <si>
    <t>2.1.02.01.02</t>
  </si>
  <si>
    <t>MATERIALES Y SUMINISTROS</t>
  </si>
  <si>
    <t>2.1.02.01.03</t>
  </si>
  <si>
    <t>GASTOS IMPREVISTOS</t>
  </si>
  <si>
    <t>2.1.02.01.04</t>
  </si>
  <si>
    <t>SOFTWARE Y SISTEMATIZACION</t>
  </si>
  <si>
    <t>2.1.02.01.05</t>
  </si>
  <si>
    <t>SISTEMA GESTION DE SEGURIDAD SALUD EN EL TRABAJO</t>
  </si>
  <si>
    <t>2.1.02.01.06</t>
  </si>
  <si>
    <t>PROGRAMA DE GESTION DOCUMENTAL</t>
  </si>
  <si>
    <t>2.1.02.02</t>
  </si>
  <si>
    <t>ADQUSICION DE SERVICIOS</t>
  </si>
  <si>
    <t>2.1.02.02.01</t>
  </si>
  <si>
    <t>MANTENIMIENTO</t>
  </si>
  <si>
    <t>2.1.02.02.02</t>
  </si>
  <si>
    <t>SERVICIOS PUBLICOS</t>
  </si>
  <si>
    <t>2.1.02.02.03</t>
  </si>
  <si>
    <t>ARRENDAMIENTOS</t>
  </si>
  <si>
    <t>2.1.02.02.04</t>
  </si>
  <si>
    <t>IMPRESOS Y PUBLICACIONES</t>
  </si>
  <si>
    <t>2.1.02.02.05</t>
  </si>
  <si>
    <t>VIATICOS</t>
  </si>
  <si>
    <t>2.1.02.02.06</t>
  </si>
  <si>
    <t>GASTOS DE VIAJE</t>
  </si>
  <si>
    <t>2.1.02.02.07</t>
  </si>
  <si>
    <t>SEGUROS</t>
  </si>
  <si>
    <t>2.1.02.02.08</t>
  </si>
  <si>
    <t>CAPACITACION</t>
  </si>
  <si>
    <t>2.1.02.02.09</t>
  </si>
  <si>
    <t>BIENESTAR SOCIAL</t>
  </si>
  <si>
    <t>2.1.02.02.10</t>
  </si>
  <si>
    <t>2.1.02.02.11</t>
  </si>
  <si>
    <t>COMUNICACIÓN Y TRANSPORTE</t>
  </si>
  <si>
    <t>2.1.02.02.12</t>
  </si>
  <si>
    <t>ASEO Y CAFETERIA</t>
  </si>
  <si>
    <t>2.1.02.02.13</t>
  </si>
  <si>
    <t>VIGILIANCIA</t>
  </si>
  <si>
    <t>2.1.02.02.14</t>
  </si>
  <si>
    <t>ADECUACIONES LOCATIVAS</t>
  </si>
  <si>
    <t>2.1.02.03</t>
  </si>
  <si>
    <t>IMPUESTOS Y MULTAS</t>
  </si>
  <si>
    <t>2.1.02.03.01</t>
  </si>
  <si>
    <t>TRANSFERENCIA SECTOR PUBLICO NACIONAL</t>
  </si>
  <si>
    <t>2.1.02.03.02</t>
  </si>
  <si>
    <t>TRANSFERENCIA SECTOR PUBLICO –IMPUESTOS</t>
  </si>
  <si>
    <t>2.1.02.03.03</t>
  </si>
  <si>
    <t>TRANSFERENCIA POR SENTENCIAS Y CONCILIACIONES</t>
  </si>
  <si>
    <t>GASTOS DE OPERACIÓN</t>
  </si>
  <si>
    <t>2.2.01</t>
  </si>
  <si>
    <t>GASTOS DE COMERCIALIZACION</t>
  </si>
  <si>
    <t>2.2.01.03</t>
  </si>
  <si>
    <t>COMPRA SERVICIOS PARA LA VENTA</t>
  </si>
  <si>
    <t>2.2.01.03.01</t>
  </si>
  <si>
    <t>COMPRA SERVICIOS VTA REG. SUBSIDIADO</t>
  </si>
  <si>
    <t>2.2.01.03.01.01</t>
  </si>
  <si>
    <t>PRIMER NIVEL</t>
  </si>
  <si>
    <t>2.2.01.03.01.02</t>
  </si>
  <si>
    <t>SEGUNDO NIVEL</t>
  </si>
  <si>
    <t>2.2.01.03.01.03</t>
  </si>
  <si>
    <t>TERCER NIVEL</t>
  </si>
  <si>
    <t>2.2.01.03.01.04</t>
  </si>
  <si>
    <t>PROMOCION Y PREVENCION</t>
  </si>
  <si>
    <t>2.2.01.03.01.05</t>
  </si>
  <si>
    <t>MEDICAMENTOS</t>
  </si>
  <si>
    <t>2.2.01.03.01.06</t>
  </si>
  <si>
    <t>ALTO COSTO</t>
  </si>
  <si>
    <t>2.2.01.03.01.07</t>
  </si>
  <si>
    <t>URGENCIAS</t>
  </si>
  <si>
    <t>2.2.01.03.01.08</t>
  </si>
  <si>
    <t>AMBULANCIAS</t>
  </si>
  <si>
    <t>2.2.01.03.01.09</t>
  </si>
  <si>
    <t>TRANSPORTE-REEMBOLSOS</t>
  </si>
  <si>
    <t>2.2.01.03.01. 10</t>
  </si>
  <si>
    <t>ALBERGUES</t>
  </si>
  <si>
    <t>2.2.01.03.01. 11</t>
  </si>
  <si>
    <t>AUDITORIA CONCURRENTE</t>
  </si>
  <si>
    <t>2.2.01.03.01.12</t>
  </si>
  <si>
    <t>PAGO DE PASIVOS</t>
  </si>
  <si>
    <t>2.2.01.03.01.12.01</t>
  </si>
  <si>
    <t>Pasivos Servicios de Salud</t>
  </si>
  <si>
    <t>2.2.01.03.01.13</t>
  </si>
  <si>
    <t>EVENTOS NO POSS</t>
  </si>
  <si>
    <t>2.2.01.03.01 13 01</t>
  </si>
  <si>
    <t>Eventos No Pos y/o Tutelas</t>
  </si>
  <si>
    <t>2.2.01.03.02</t>
  </si>
  <si>
    <t>COMPRA DE SERVICIOS PARA LA VENTA REGIMEN CONTRIBUTIVO</t>
  </si>
  <si>
    <t>2.2.01.03.02.01</t>
  </si>
  <si>
    <t>2.2.01.03.02.02</t>
  </si>
  <si>
    <t>2.2.01.03.02.03</t>
  </si>
  <si>
    <t>2.2.01.03.02.04</t>
  </si>
  <si>
    <t>2.2.01.03.02.05</t>
  </si>
  <si>
    <t>2.2.01.03.02.06</t>
  </si>
  <si>
    <t>2.2.01.03.02.07</t>
  </si>
  <si>
    <t>2.2.01.03.02.08</t>
  </si>
  <si>
    <t>2.2.01.03.02.09</t>
  </si>
  <si>
    <t>TRANSPORTE</t>
  </si>
  <si>
    <t>2.2.01.03.02.10</t>
  </si>
  <si>
    <t>ENFERMEDAD NO PROFESIONAL</t>
  </si>
  <si>
    <t>2.2.01.03.02.11</t>
  </si>
  <si>
    <t>LICENCIAS POR MATERNIDAD</t>
  </si>
  <si>
    <t>2.2.01.03.02.12</t>
  </si>
  <si>
    <t>2.2.01.03.02.13</t>
  </si>
  <si>
    <t>NURIA YARLEY BOHORQUEZ PEÑA</t>
  </si>
  <si>
    <t>ALBA LUCY CRUZ PARDO</t>
  </si>
  <si>
    <t>CARMENZA BARRERA BARRERA</t>
  </si>
  <si>
    <t>GERENTE</t>
  </si>
  <si>
    <t>SUBGERENTE  ADMINISTRATIVO Y FINANCIERO</t>
  </si>
  <si>
    <t>TECNICO ADTVO PRESUPUESTO ( e )</t>
  </si>
  <si>
    <r>
      <t xml:space="preserve">MES:  DICIEMBRE AÑO </t>
    </r>
    <r>
      <rPr>
        <b/>
        <u/>
        <sz val="8"/>
        <color theme="1"/>
        <rFont val="Arial"/>
        <family val="2"/>
      </rPr>
      <t xml:space="preserve">  2019</t>
    </r>
  </si>
  <si>
    <t>21010101</t>
  </si>
  <si>
    <t>21010101 01</t>
  </si>
  <si>
    <t>Sueldos</t>
  </si>
  <si>
    <t>21010101 02</t>
  </si>
  <si>
    <t>Vacaciones</t>
  </si>
  <si>
    <t>21010101 03</t>
  </si>
  <si>
    <t>Indemnizacion de Vacaciones</t>
  </si>
  <si>
    <t>21010101 04</t>
  </si>
  <si>
    <t>Prima de Vacaciones</t>
  </si>
  <si>
    <t>21010101 05</t>
  </si>
  <si>
    <t>Bonificacion Especial de Recreación</t>
  </si>
  <si>
    <t>21010101 06</t>
  </si>
  <si>
    <t>Bonificacion por Servicios Prestados</t>
  </si>
  <si>
    <t>21010101 07</t>
  </si>
  <si>
    <t>Prima de Servicios</t>
  </si>
  <si>
    <t>21010101 08</t>
  </si>
  <si>
    <t>Prima de Navidad</t>
  </si>
  <si>
    <t>21010101 09</t>
  </si>
  <si>
    <t>Retroactivo de Cesantias</t>
  </si>
  <si>
    <t>21010102</t>
  </si>
  <si>
    <t>21010102 01</t>
  </si>
  <si>
    <t>Supernumerarios</t>
  </si>
  <si>
    <t>21010102 02</t>
  </si>
  <si>
    <t>Honorarios</t>
  </si>
  <si>
    <t>21010102 03</t>
  </si>
  <si>
    <t>Rumeracion Servicios Tecnicos y Auxiliares</t>
  </si>
  <si>
    <t>21010103</t>
  </si>
  <si>
    <t>CONTRIBUCIONES INHERENTES A LA NOMINA R.S</t>
  </si>
  <si>
    <t>21010103 01</t>
  </si>
  <si>
    <t>APORTES SECTOR PUBLICO R.S.</t>
  </si>
  <si>
    <t>21010103 01 01</t>
  </si>
  <si>
    <t>Aporte Pensiones</t>
  </si>
  <si>
    <t>21010103 01 02</t>
  </si>
  <si>
    <t>Aportes Cesantías</t>
  </si>
  <si>
    <t>21010103 01 03</t>
  </si>
  <si>
    <t>Aportes Salud</t>
  </si>
  <si>
    <t>21010103 02</t>
  </si>
  <si>
    <t>APORTES SECTOR PRIVADO R.S</t>
  </si>
  <si>
    <t>21010103 02 01</t>
  </si>
  <si>
    <t>Aportes Pensiones</t>
  </si>
  <si>
    <t>21010103 02 02</t>
  </si>
  <si>
    <t>Aporte Cesantías</t>
  </si>
  <si>
    <t>21010103 02 03</t>
  </si>
  <si>
    <t>21010103 03</t>
  </si>
  <si>
    <t>APORTES PARAFISCALES</t>
  </si>
  <si>
    <t>21010103 03 01</t>
  </si>
  <si>
    <t>Instituto Colombiano Bienestar Familiar</t>
  </si>
  <si>
    <t>21010103 03 02</t>
  </si>
  <si>
    <t>Sena</t>
  </si>
  <si>
    <t>21010103 03 03</t>
  </si>
  <si>
    <t>Subsidio Familiar</t>
  </si>
  <si>
    <t>21010103 03 04</t>
  </si>
  <si>
    <t>Riesgos Laborales</t>
  </si>
  <si>
    <t>210104</t>
  </si>
  <si>
    <t>SERVICIOS PERSONALES ASOCIADOS A LA NOMINA R.C</t>
  </si>
  <si>
    <t>21010401</t>
  </si>
  <si>
    <t>SUELDO PERSONAL DE NOMINA REGIMEN CONTRIBUTIVO</t>
  </si>
  <si>
    <t>21010401 01</t>
  </si>
  <si>
    <t>21010401 02</t>
  </si>
  <si>
    <t>21010401 03</t>
  </si>
  <si>
    <t>21010401 04</t>
  </si>
  <si>
    <t>21010401 05</t>
  </si>
  <si>
    <t>Bonificación Especial de Recreación</t>
  </si>
  <si>
    <t>21010401 06</t>
  </si>
  <si>
    <t>Bonificación por Servicios Prestados</t>
  </si>
  <si>
    <t>21010401 07</t>
  </si>
  <si>
    <t>21010401 08</t>
  </si>
  <si>
    <t>21010402</t>
  </si>
  <si>
    <t>SERVICIOS PERSONALES INDIRECTOS R.C</t>
  </si>
  <si>
    <t>21010402 01</t>
  </si>
  <si>
    <t>21010402 02</t>
  </si>
  <si>
    <t>21010402 03</t>
  </si>
  <si>
    <t>Remuneración Servicios Tecnicos y Auxiliares</t>
  </si>
  <si>
    <t>21010403</t>
  </si>
  <si>
    <t>CONTRIBUCIONES INHERENTES A LA NOMINA R.C</t>
  </si>
  <si>
    <t>21010403 01</t>
  </si>
  <si>
    <t>21010403 01 01</t>
  </si>
  <si>
    <t>21010403 01 02</t>
  </si>
  <si>
    <t>21010403 01 03</t>
  </si>
  <si>
    <t>21010403 02</t>
  </si>
  <si>
    <t>21010403 02 01</t>
  </si>
  <si>
    <t>21010403 02 02</t>
  </si>
  <si>
    <t>Aportes Cesantias</t>
  </si>
  <si>
    <t>21010403 02 03</t>
  </si>
  <si>
    <t>21010403 03</t>
  </si>
  <si>
    <t>21010403 03 01</t>
  </si>
  <si>
    <t>21010403 03 02</t>
  </si>
  <si>
    <t>21010403 03 03</t>
  </si>
  <si>
    <t>21010403 03 04</t>
  </si>
  <si>
    <t>2102</t>
  </si>
  <si>
    <t>210201</t>
  </si>
  <si>
    <t>GASTOS REGIMEN CONTRIBUTIVO</t>
  </si>
  <si>
    <t>21020101</t>
  </si>
  <si>
    <t>21020101 01</t>
  </si>
  <si>
    <t>Compra de Equipo</t>
  </si>
  <si>
    <t>21020101 02</t>
  </si>
  <si>
    <t>Materiales y Suministos</t>
  </si>
  <si>
    <t>21020101 03</t>
  </si>
  <si>
    <t>Gastos Imprevistos</t>
  </si>
  <si>
    <t>21020101 04</t>
  </si>
  <si>
    <t>Software y Sistematización</t>
  </si>
  <si>
    <t>21020101 05</t>
  </si>
  <si>
    <t>Sistema Gestion de Seguridad Salud en el trabajo</t>
  </si>
  <si>
    <t>21020101 06</t>
  </si>
  <si>
    <t>Programa de Gestion Documental</t>
  </si>
  <si>
    <t>21020102</t>
  </si>
  <si>
    <t>ADQUISICION DE SERVICIOS</t>
  </si>
  <si>
    <t>21020102 01</t>
  </si>
  <si>
    <t>Mantenimiento</t>
  </si>
  <si>
    <t>21020102 02</t>
  </si>
  <si>
    <t>Servicios Publicos</t>
  </si>
  <si>
    <t>21020102 03</t>
  </si>
  <si>
    <t>Arrendamientos</t>
  </si>
  <si>
    <t>21020102 04</t>
  </si>
  <si>
    <t>Impresos y Publicaciones</t>
  </si>
  <si>
    <t>21020102 05</t>
  </si>
  <si>
    <t>Viaticos</t>
  </si>
  <si>
    <t>21020102 06</t>
  </si>
  <si>
    <t>Gastos de Viaje</t>
  </si>
  <si>
    <t>21020102 07</t>
  </si>
  <si>
    <t>Seguros</t>
  </si>
  <si>
    <t>21020102 08</t>
  </si>
  <si>
    <t>Capacitacion</t>
  </si>
  <si>
    <t>21020102 09</t>
  </si>
  <si>
    <t>Bienestar Social</t>
  </si>
  <si>
    <t>21020102 10</t>
  </si>
  <si>
    <t>21020102 11</t>
  </si>
  <si>
    <t>Comunicación y Transporte</t>
  </si>
  <si>
    <t>21020102 12</t>
  </si>
  <si>
    <t>Aseo y Cafeteria</t>
  </si>
  <si>
    <t>21020102 13</t>
  </si>
  <si>
    <t>Vigilancia</t>
  </si>
  <si>
    <t>21020103</t>
  </si>
  <si>
    <t>21020103 01</t>
  </si>
  <si>
    <t>Transferencia Sector Publico Nacional</t>
  </si>
  <si>
    <t>21020103 02</t>
  </si>
  <si>
    <t>Transferencia SEctor Publico - Impuestos</t>
  </si>
  <si>
    <t>21020103 03</t>
  </si>
  <si>
    <t>Transferencia Por Sentencias y Conciliaciones</t>
  </si>
  <si>
    <t>210202</t>
  </si>
  <si>
    <t>GASTOS REGIMEN SUBSIDIADO</t>
  </si>
  <si>
    <t>21020201</t>
  </si>
  <si>
    <t>21020201 01</t>
  </si>
  <si>
    <t>21020201 02</t>
  </si>
  <si>
    <t>Materiales y Suministros</t>
  </si>
  <si>
    <t>21020201 03</t>
  </si>
  <si>
    <t>21020201 04</t>
  </si>
  <si>
    <t>21020201 05</t>
  </si>
  <si>
    <t>Sistema Gestion de Seguridad Salud en el Trabajo</t>
  </si>
  <si>
    <t>21020201 06</t>
  </si>
  <si>
    <t>Programa de Gestión Documental</t>
  </si>
  <si>
    <t>21020202</t>
  </si>
  <si>
    <t>21020202 01</t>
  </si>
  <si>
    <t>21020202 02</t>
  </si>
  <si>
    <t>21020202 03</t>
  </si>
  <si>
    <t>21020202 04</t>
  </si>
  <si>
    <t>21020202 05</t>
  </si>
  <si>
    <t>21020202 06</t>
  </si>
  <si>
    <t>21020202 07</t>
  </si>
  <si>
    <t>21020202 08</t>
  </si>
  <si>
    <t>21020202 09</t>
  </si>
  <si>
    <t>Binestar Social</t>
  </si>
  <si>
    <t>21020202 10</t>
  </si>
  <si>
    <t>21020202 11</t>
  </si>
  <si>
    <t>21020202 12</t>
  </si>
  <si>
    <t>Aseo y Cafetería</t>
  </si>
  <si>
    <t>21020202 13</t>
  </si>
  <si>
    <t>21020203</t>
  </si>
  <si>
    <t>21020203 01</t>
  </si>
  <si>
    <t>21020203 02</t>
  </si>
  <si>
    <t>Transferencia Sector Publico -  Impuestos</t>
  </si>
  <si>
    <t>21020203 03</t>
  </si>
  <si>
    <t>Transferencia por Setencias y Conciliaciones</t>
  </si>
  <si>
    <t>21020203 04</t>
  </si>
  <si>
    <t>Descuentos Aplicados LMA</t>
  </si>
  <si>
    <t>21020203 05</t>
  </si>
  <si>
    <t>Liquidacion mensula de afiliados (Sin Situacion de Fondos)</t>
  </si>
  <si>
    <t>2.2.01.03.01 11</t>
  </si>
  <si>
    <t>EVENTO NO POS</t>
  </si>
  <si>
    <t>22010301 11 01</t>
  </si>
  <si>
    <t>Evento No Pos y/o Tutelas</t>
  </si>
  <si>
    <t>2.2.01.03.03</t>
  </si>
  <si>
    <t>PASIVOS</t>
  </si>
  <si>
    <t>2.2.01.03.03. 01</t>
  </si>
  <si>
    <t>Pago Pasivos Servicios de Salud Régimen Subsidiado</t>
  </si>
  <si>
    <t>2.2.01.03.03. 02</t>
  </si>
  <si>
    <t>Pago Pasivos Servicios de Salud Régimen Contributivo</t>
  </si>
  <si>
    <t>ALBERT URIEL GALLEGO MORENO</t>
  </si>
  <si>
    <t>JAINADIS MEJIA CARDONA</t>
  </si>
  <si>
    <t>GERENTE ( E)</t>
  </si>
  <si>
    <t>SUBGERENTE  ADMINISTRATIVO Y FINANCIERO ( E )</t>
  </si>
  <si>
    <r>
      <t xml:space="preserve">MES:  DICIEMBRE AÑO </t>
    </r>
    <r>
      <rPr>
        <b/>
        <u/>
        <sz val="8"/>
        <color theme="1"/>
        <rFont val="Arial"/>
        <family val="2"/>
      </rPr>
      <t xml:space="preserve">  2020</t>
    </r>
  </si>
  <si>
    <t>21010102 04</t>
  </si>
  <si>
    <t>Vigencia Expirada Funcionamiento</t>
  </si>
  <si>
    <t>Transferencia Sector Publico - Impuestos</t>
  </si>
  <si>
    <t>Descuentos UPC (Sin Situación de Fondos- LMA)</t>
  </si>
  <si>
    <t>22010301 01</t>
  </si>
  <si>
    <t>22010301 02</t>
  </si>
  <si>
    <t>22010301 03</t>
  </si>
  <si>
    <t>22010301 04</t>
  </si>
  <si>
    <t>22010301 05</t>
  </si>
  <si>
    <t>22010301 06</t>
  </si>
  <si>
    <t>22010301 07</t>
  </si>
  <si>
    <t>22010301 08</t>
  </si>
  <si>
    <t>22010301 09</t>
  </si>
  <si>
    <t>TRANSPORTE - REEMBOLSOS</t>
  </si>
  <si>
    <t>22010301 10</t>
  </si>
  <si>
    <t>22010301 11</t>
  </si>
  <si>
    <t>2.2.01.03.01 12</t>
  </si>
  <si>
    <t>22010301 12 01</t>
  </si>
  <si>
    <t>22010301 12 02</t>
  </si>
  <si>
    <t>Presupuesto Maximo Servc. Tecnologicos en salud No PBS (Resol.206-2020)</t>
  </si>
  <si>
    <t>22010302 01</t>
  </si>
  <si>
    <t>22010302 02</t>
  </si>
  <si>
    <t>22010302 03</t>
  </si>
  <si>
    <t>22010302 04</t>
  </si>
  <si>
    <t>22010302 05</t>
  </si>
  <si>
    <t>22010302 06</t>
  </si>
  <si>
    <t>22010302 07</t>
  </si>
  <si>
    <t>22010302 08</t>
  </si>
  <si>
    <t>22010302 09</t>
  </si>
  <si>
    <t>22010302 10</t>
  </si>
  <si>
    <t>22010302 11</t>
  </si>
  <si>
    <t>LICENCIAS POR MATERNIDAD-PATERNIDAD</t>
  </si>
  <si>
    <t>22010302 12</t>
  </si>
  <si>
    <t>22010302 13</t>
  </si>
  <si>
    <t>22010302 14</t>
  </si>
  <si>
    <t>Presupuesto Máximo Servc. Tecnologicos en Salud No PBS(Resol.206-2020)</t>
  </si>
  <si>
    <t>22010302 15</t>
  </si>
  <si>
    <t>Evento No POS</t>
  </si>
  <si>
    <t>22010303 01</t>
  </si>
  <si>
    <t>22010303 02</t>
  </si>
  <si>
    <r>
      <t xml:space="preserve">MES: SEPTEIMBRE AÑO </t>
    </r>
    <r>
      <rPr>
        <b/>
        <u/>
        <sz val="8"/>
        <color theme="1"/>
        <rFont val="Arial"/>
        <family val="2"/>
      </rPr>
      <t xml:space="preserve">  2021</t>
    </r>
  </si>
  <si>
    <t>ADICION</t>
  </si>
  <si>
    <t>REDUCCION</t>
  </si>
  <si>
    <t>2.1.01.01.01 01</t>
  </si>
  <si>
    <t>2.1.01.01.01 02</t>
  </si>
  <si>
    <t>2.1.01.01.01 03</t>
  </si>
  <si>
    <t>2.1.01.01.01 04</t>
  </si>
  <si>
    <t>2.1.01.01.01 05</t>
  </si>
  <si>
    <t>2.1.01.01.01 06</t>
  </si>
  <si>
    <t>2.1.01.01.01 07</t>
  </si>
  <si>
    <t>2.1.01.01.01 08</t>
  </si>
  <si>
    <t>2.1.01.01.01 09</t>
  </si>
  <si>
    <t>2.1.01.01.02 01</t>
  </si>
  <si>
    <t>2.1.01.01.02 02</t>
  </si>
  <si>
    <t>2.1.01.01.02 03</t>
  </si>
  <si>
    <t>2.1.01.01.03 01</t>
  </si>
  <si>
    <t>2.1.01.01.03 01 01</t>
  </si>
  <si>
    <t>2.1.01.01.03 01 02</t>
  </si>
  <si>
    <t>2.1.01.01.03 01 03</t>
  </si>
  <si>
    <t>2.1.01.01.03 02</t>
  </si>
  <si>
    <t>2.1.01.01.03 02 01</t>
  </si>
  <si>
    <t>2.1.01.01.03 02 02</t>
  </si>
  <si>
    <t>2.1.01.01.03 02 03</t>
  </si>
  <si>
    <t>2.1.01.01.03 03</t>
  </si>
  <si>
    <t>2.1.01.01.03 03 01</t>
  </si>
  <si>
    <t>2.1.01.01.03 03 02</t>
  </si>
  <si>
    <t>2.1.01.01.03 03 03</t>
  </si>
  <si>
    <t>2.1.01.01.03 03 04</t>
  </si>
  <si>
    <t>2.1.01.04</t>
  </si>
  <si>
    <t>2.1.01.04.01</t>
  </si>
  <si>
    <t>2.1.01.04.01 01</t>
  </si>
  <si>
    <t>2.1.01.04.01 02</t>
  </si>
  <si>
    <t>2.1.01.04.01 03</t>
  </si>
  <si>
    <t>2.1.01.04.01 04</t>
  </si>
  <si>
    <t>2.1.01.04.01 05</t>
  </si>
  <si>
    <t>2.1.01.04.01 06</t>
  </si>
  <si>
    <t>2.1.01.04.01 07</t>
  </si>
  <si>
    <t>2.1.01.04.01 08</t>
  </si>
  <si>
    <t>2.1.01.0402</t>
  </si>
  <si>
    <t>2.1.01.04.02 01</t>
  </si>
  <si>
    <t>2.1.01.04.02 02</t>
  </si>
  <si>
    <t>2.1.01.04.02 03</t>
  </si>
  <si>
    <t>2.1.01.04.03</t>
  </si>
  <si>
    <t>2.1.01.04.03 01</t>
  </si>
  <si>
    <t>2.1.01.04.03 01 01</t>
  </si>
  <si>
    <t>2.1.01.04.03 01 02</t>
  </si>
  <si>
    <t>2.1.01.04.03 01 03</t>
  </si>
  <si>
    <t>2.1.01.04.03 02</t>
  </si>
  <si>
    <t>2.1.01.04.03 02 01</t>
  </si>
  <si>
    <t>2.1.01.04.03 02 02</t>
  </si>
  <si>
    <t>2.1.01.04.03 02 03</t>
  </si>
  <si>
    <t>2.1.01.04.03 03</t>
  </si>
  <si>
    <t>2.1.01.04.03 03 01</t>
  </si>
  <si>
    <t>2.1.01.04.03 03 02</t>
  </si>
  <si>
    <t>2.1.01.04.03 03 03</t>
  </si>
  <si>
    <t>2.1.01.04.03 03 04</t>
  </si>
  <si>
    <t>2.1.02.01.01 01</t>
  </si>
  <si>
    <t>2.1.02.01.01 02</t>
  </si>
  <si>
    <t>2.1.02.01.01 03</t>
  </si>
  <si>
    <t>2.1.02.01.01 04</t>
  </si>
  <si>
    <t>2.1.02.01.01 05</t>
  </si>
  <si>
    <t>2.1.02.01.01 06</t>
  </si>
  <si>
    <t>2.1.02.01.02 01</t>
  </si>
  <si>
    <t>2.1.02.01.02 02</t>
  </si>
  <si>
    <t>2.1.02.01.02 03</t>
  </si>
  <si>
    <t>2.1.02.01.02 04</t>
  </si>
  <si>
    <t>2.1.02.01.02 05</t>
  </si>
  <si>
    <t>2.1.02.01.02 06</t>
  </si>
  <si>
    <t>2.1.02.01.02 07</t>
  </si>
  <si>
    <t>2.1.02.01.02 08</t>
  </si>
  <si>
    <t>2.1.02.01.02 09</t>
  </si>
  <si>
    <t>2.1.02.01.02 10</t>
  </si>
  <si>
    <t>2.1.02.01.02 11</t>
  </si>
  <si>
    <t>2.1.02.01.02 12</t>
  </si>
  <si>
    <t>2.1.02.01.02 13</t>
  </si>
  <si>
    <t>2.1.02.01.03 01</t>
  </si>
  <si>
    <t>2.1.02.01.03 02</t>
  </si>
  <si>
    <t>2.1.02.01.03 03</t>
  </si>
  <si>
    <t>2.1.02.02.01 01</t>
  </si>
  <si>
    <t>2.1.02.02.01 02</t>
  </si>
  <si>
    <t>2.1.02.02.01 03</t>
  </si>
  <si>
    <t>2.1.02.02.01 04</t>
  </si>
  <si>
    <t>2.1.02.02.01 05</t>
  </si>
  <si>
    <t>2.1.02.02.01 06</t>
  </si>
  <si>
    <t>2.1.02.02.02 01</t>
  </si>
  <si>
    <t>2.1.02.02.02 02</t>
  </si>
  <si>
    <t>2.1.02.02.02 03</t>
  </si>
  <si>
    <t>2.1.02.02.02 04</t>
  </si>
  <si>
    <t>2.1.02.02.02 05</t>
  </si>
  <si>
    <t>2.1.02.02.02 06</t>
  </si>
  <si>
    <t>2.1.02.02.02 07</t>
  </si>
  <si>
    <t>2.1.02.02.02 08</t>
  </si>
  <si>
    <t>2.1.02.02.02 09</t>
  </si>
  <si>
    <t>2.1.02.02.02 10</t>
  </si>
  <si>
    <t>2.1.02.02.02 11</t>
  </si>
  <si>
    <t>2.1.02.02.02 12</t>
  </si>
  <si>
    <t>2.1.02.02.02 13</t>
  </si>
  <si>
    <t>2.1.02.02.03 01</t>
  </si>
  <si>
    <t>2.1.02.02.03 02</t>
  </si>
  <si>
    <t>2.1.02.02.03 03</t>
  </si>
  <si>
    <t>2.2.01.03.01 01</t>
  </si>
  <si>
    <t>2.2.01.03.01 02</t>
  </si>
  <si>
    <t>2.2.01.03.01 03</t>
  </si>
  <si>
    <t>2.2.01.03.01 04</t>
  </si>
  <si>
    <t>2.2.01.03.01 05</t>
  </si>
  <si>
    <t>2.2.01.03.01 06</t>
  </si>
  <si>
    <t>2.2.01.03.01 07</t>
  </si>
  <si>
    <t>2.2.01.03.01 08</t>
  </si>
  <si>
    <t>2.2.01.03.01 09</t>
  </si>
  <si>
    <t>2.2.01.03.01 10</t>
  </si>
  <si>
    <t xml:space="preserve">2.2.01.03.01 12 </t>
  </si>
  <si>
    <t>Presupuesto Maximo-Servc Tecnologicos en Salud-NO PBS</t>
  </si>
  <si>
    <t>2.2.01.03.02 01</t>
  </si>
  <si>
    <t>2.2.01.03.02 02</t>
  </si>
  <si>
    <t>2.2.01.03.02 03</t>
  </si>
  <si>
    <t>2.2.01.03.02 04</t>
  </si>
  <si>
    <t>2.2.01.03.02 05</t>
  </si>
  <si>
    <t>2.2.01.03.02 06</t>
  </si>
  <si>
    <t>2.2.01.03.02 07</t>
  </si>
  <si>
    <t>2.2.01.03.02 08</t>
  </si>
  <si>
    <t>2.2.01.03.02 09</t>
  </si>
  <si>
    <t>2.2.01.03.02 10</t>
  </si>
  <si>
    <t>2.2.01.03.02 11</t>
  </si>
  <si>
    <t>2.2.01.03.02 12</t>
  </si>
  <si>
    <t>2.2.01.03.02 13</t>
  </si>
  <si>
    <t>EVENTO NO POS Y/O TUTELAS</t>
  </si>
  <si>
    <t>2.2.01.03.02 14</t>
  </si>
  <si>
    <t>Presupuesto Máximo Servc. Tecnologicos en Salud - NO PBS</t>
  </si>
  <si>
    <t>2.2.01.03.03 01</t>
  </si>
  <si>
    <t>2.2.01.03.03 02</t>
  </si>
  <si>
    <t>RICAURTE ROJAS BAHAMON</t>
  </si>
  <si>
    <t>YENNY YAJAIRA YEPES PARRA</t>
  </si>
  <si>
    <t>GERENTE CAPRESOCA EPS</t>
  </si>
  <si>
    <t xml:space="preserve">SUBGERENTE  ADMINISTRATIVO Y FINANCIERO </t>
  </si>
  <si>
    <t>TECNICO ADMINISTRATIVO</t>
  </si>
  <si>
    <t>NIT.891856000</t>
  </si>
  <si>
    <t xml:space="preserve">                         </t>
  </si>
  <si>
    <t>EJECUCION PRESUPUESTAL INGRESOS</t>
  </si>
  <si>
    <r>
      <t xml:space="preserve">MES:  DICIEMBRE AÑO </t>
    </r>
    <r>
      <rPr>
        <b/>
        <u/>
        <sz val="8"/>
        <rFont val="Arial"/>
        <family val="2"/>
      </rPr>
      <t xml:space="preserve">  2018</t>
    </r>
  </si>
  <si>
    <t>MODIFCACIONES</t>
  </si>
  <si>
    <t>APROPIACION DEFINIFTIVA</t>
  </si>
  <si>
    <t>P.A.C. APROBADO</t>
  </si>
  <si>
    <t>TRAMITE</t>
  </si>
  <si>
    <t>SALDOS</t>
  </si>
  <si>
    <t>EJECUCIONES O CUENTAS POR COBRAR</t>
  </si>
  <si>
    <t>PAGOS O RECAUDOS</t>
  </si>
  <si>
    <t>RECONOCIMIENTOS</t>
  </si>
  <si>
    <t>ACMULADO</t>
  </si>
  <si>
    <t>%</t>
  </si>
  <si>
    <t>INGRESOS</t>
  </si>
  <si>
    <t>INGRESOS CORRIENTES</t>
  </si>
  <si>
    <t>1.1.02</t>
  </si>
  <si>
    <t>INGRESOS NO TRIBUTARIOS</t>
  </si>
  <si>
    <t>1.1.02.98</t>
  </si>
  <si>
    <t>OTROS INGRESOS NO TRIBUTARIOS</t>
  </si>
  <si>
    <t>1.1.02.98.01</t>
  </si>
  <si>
    <t>Administración del Régimen Subsidiado</t>
  </si>
  <si>
    <t>1.1.02.98.01.01</t>
  </si>
  <si>
    <t>Upc Régimen Subsidiado</t>
  </si>
  <si>
    <t>1.1.02.98.01.02</t>
  </si>
  <si>
    <t>Copagos</t>
  </si>
  <si>
    <t>1.1.02.98.01.03</t>
  </si>
  <si>
    <t>Recobros Ente Territorial-Fosyga</t>
  </si>
  <si>
    <t>1.1.02.98.01.04</t>
  </si>
  <si>
    <t>Cuenta Alto Costo</t>
  </si>
  <si>
    <t>1.1.02.98.01.05</t>
  </si>
  <si>
    <t>Otros Ingresos</t>
  </si>
  <si>
    <t>1.1.02.98.01.08</t>
  </si>
  <si>
    <t>Ajuste UPC Vigencias Anteriores</t>
  </si>
  <si>
    <t>1.1.02.98.02</t>
  </si>
  <si>
    <t>Administración del Régimen Contributivo</t>
  </si>
  <si>
    <t>1.1.02.98.02.01</t>
  </si>
  <si>
    <t>Upc Régimen Contributivo</t>
  </si>
  <si>
    <t>1.1.02.98.02.02</t>
  </si>
  <si>
    <t>1.1.02.98.02.03</t>
  </si>
  <si>
    <t>1.1.02.98.02.04</t>
  </si>
  <si>
    <t>RECURSOS DE CAPITAL</t>
  </si>
  <si>
    <t>1.2.02.</t>
  </si>
  <si>
    <t>OTROS RECURSOS DE CAPITAL</t>
  </si>
  <si>
    <t>1.2.02.03</t>
  </si>
  <si>
    <t>RENDIMIENTOS DE OPERACIONES FINANCIERAS</t>
  </si>
  <si>
    <t xml:space="preserve"> </t>
  </si>
  <si>
    <t>1.2.02.03.01</t>
  </si>
  <si>
    <t>Rendimientos Financieros Régimen Subsidiado</t>
  </si>
  <si>
    <t>1.2.02.03.02</t>
  </si>
  <si>
    <t>Rendimientos Financieros Régimen Contributivo</t>
  </si>
  <si>
    <t>1.2.02.03.03</t>
  </si>
  <si>
    <t>Rendimientos Financieros Administrativos</t>
  </si>
  <si>
    <t>1.2.02.03.04</t>
  </si>
  <si>
    <t>Otros Ingresos Administrativos</t>
  </si>
  <si>
    <t>1.2.02.03.05</t>
  </si>
  <si>
    <t>Vigencia Expirada Regimen Subsidiado</t>
  </si>
  <si>
    <t>1.2.02.03.06</t>
  </si>
  <si>
    <t>Vigencia Expirada Regimen Contributivo</t>
  </si>
  <si>
    <t>1.2.02.98</t>
  </si>
  <si>
    <t>Liberación Reservas</t>
  </si>
  <si>
    <r>
      <t xml:space="preserve">MES:  DICIEMBRE  AÑO </t>
    </r>
    <r>
      <rPr>
        <b/>
        <u/>
        <sz val="8"/>
        <color theme="1"/>
        <rFont val="Arial"/>
        <family val="2"/>
      </rPr>
      <t xml:space="preserve">  2019</t>
    </r>
  </si>
  <si>
    <t>1</t>
  </si>
  <si>
    <t>11</t>
  </si>
  <si>
    <t>1102</t>
  </si>
  <si>
    <t>INGRESOS  NO TRIBUTARIOS</t>
  </si>
  <si>
    <t>110204</t>
  </si>
  <si>
    <t>OPERACIONALES</t>
  </si>
  <si>
    <t>11020403</t>
  </si>
  <si>
    <t>VENTA DE SERVICIOS</t>
  </si>
  <si>
    <t>11020403 05</t>
  </si>
  <si>
    <t>SERVICIOS DE SALUD</t>
  </si>
  <si>
    <t>11020403 05 02</t>
  </si>
  <si>
    <t>REGIMEN CONTRIBUTIVO</t>
  </si>
  <si>
    <t>11020403 05 02  01</t>
  </si>
  <si>
    <t>UPC Régimen Contributivo</t>
  </si>
  <si>
    <t>11020403 05 02  02</t>
  </si>
  <si>
    <t>11020403 05 02  03</t>
  </si>
  <si>
    <t>Recobros Ente Territorial - ADRES</t>
  </si>
  <si>
    <t>Recobros Licencia Maternidad-Paternidad ADRES</t>
  </si>
  <si>
    <t>11020403 05 04</t>
  </si>
  <si>
    <t>REGIMEN SUBSIDIADO</t>
  </si>
  <si>
    <t>11020403 05 04  01</t>
  </si>
  <si>
    <t>UPC Regimen Subsidiado</t>
  </si>
  <si>
    <t>11020403 05 04  02</t>
  </si>
  <si>
    <t>11020403 05 04  03</t>
  </si>
  <si>
    <t>11020403 05 04  04</t>
  </si>
  <si>
    <t>INTERESES</t>
  </si>
  <si>
    <t>12020301 01</t>
  </si>
  <si>
    <t>Rendimientos Financieros Regimen Subsidiado</t>
  </si>
  <si>
    <t>12020301 02</t>
  </si>
  <si>
    <t>Rendimientos Financieros Régimen Contibutivo</t>
  </si>
  <si>
    <t>12020301 03</t>
  </si>
  <si>
    <t>120298</t>
  </si>
  <si>
    <t>OTROS INGRESOS</t>
  </si>
  <si>
    <t>12029801</t>
  </si>
  <si>
    <t>Otros Ingresos Regimen Contributivo</t>
  </si>
  <si>
    <t>12029802</t>
  </si>
  <si>
    <t>Otros Ingresos Regimen Subsidiado</t>
  </si>
  <si>
    <t>12029803</t>
  </si>
  <si>
    <t>12029804</t>
  </si>
  <si>
    <t>12029805</t>
  </si>
  <si>
    <t>12029806</t>
  </si>
  <si>
    <t>Liquidacion Mensual de afiliados (Sin Situacion de Fondos)</t>
  </si>
  <si>
    <r>
      <t xml:space="preserve">Salvedad: Que mediante </t>
    </r>
    <r>
      <rPr>
        <b/>
        <sz val="9"/>
        <rFont val="Arial"/>
        <family val="2"/>
      </rPr>
      <t xml:space="preserve">COMPROBANTE DE INGRESO o RECIBO DE CAJA No. 188903 </t>
    </r>
    <r>
      <rPr>
        <sz val="9"/>
        <rFont val="Arial"/>
        <family val="2"/>
      </rPr>
      <t>con fecha 31 de enero de 2019 se realizó afectación presupuestal por un valor de</t>
    </r>
    <r>
      <rPr>
        <b/>
        <sz val="9"/>
        <rFont val="Arial"/>
        <family val="2"/>
      </rPr>
      <t xml:space="preserve"> $1.911.021.193.21, </t>
    </r>
    <r>
      <rPr>
        <sz val="9"/>
        <rFont val="Arial"/>
        <family val="2"/>
      </rPr>
      <t>debido a que correspondía a la</t>
    </r>
    <r>
      <rPr>
        <b/>
        <sz val="9"/>
        <rFont val="Arial"/>
        <family val="2"/>
      </rPr>
      <t xml:space="preserve"> </t>
    </r>
    <r>
      <rPr>
        <sz val="9"/>
        <rFont val="Arial"/>
        <family val="2"/>
      </rPr>
      <t>DEVOLUCION O REINTEGRO DE DINERO POR ERROR DE DISPERSION EN PLATAFORMA BANCARIA POR TRASFERENCIA ELECTRONICA EL DIA 28 DICIEMBRE 2018.  Una vez se observó el error en el que se había incurrido, no se podía reversar dicha afectación presupuestal, y realmente correspondía era a un movimiento Tesoral</t>
    </r>
  </si>
  <si>
    <r>
      <t xml:space="preserve">MES:  DICIEMBRE AÑO </t>
    </r>
    <r>
      <rPr>
        <b/>
        <u/>
        <sz val="8"/>
        <rFont val="Arial"/>
        <family val="2"/>
      </rPr>
      <t xml:space="preserve">  2020</t>
    </r>
  </si>
  <si>
    <t>Recobros Ente Territorial - ADRES (Presupuesto Maximo No PBS Resol.206/2020)</t>
  </si>
  <si>
    <t>11020403 05 02  04</t>
  </si>
  <si>
    <t>11020403 05 04  05</t>
  </si>
  <si>
    <t>Recobros Ente Territorial-ADRES</t>
  </si>
  <si>
    <t>12020398 01</t>
  </si>
  <si>
    <t>Otros Ingresos Contributivo</t>
  </si>
  <si>
    <t>12020398 02</t>
  </si>
  <si>
    <t>Otros Ingresos Subsidiado</t>
  </si>
  <si>
    <t>12020398 03</t>
  </si>
  <si>
    <t>12020398 04</t>
  </si>
  <si>
    <t>12020398 05</t>
  </si>
  <si>
    <t>12020398 06</t>
  </si>
  <si>
    <t>12020398 07</t>
  </si>
  <si>
    <t>Descuento UPC (Sin Situacion de Fondos-LMA)</t>
  </si>
  <si>
    <t>12020398 08</t>
  </si>
  <si>
    <t>Liberación de Reservas</t>
  </si>
  <si>
    <r>
      <t xml:space="preserve">MES:  DICIEMBRE  AÑO </t>
    </r>
    <r>
      <rPr>
        <b/>
        <u/>
        <sz val="8"/>
        <color theme="1"/>
        <rFont val="Arial"/>
        <family val="2"/>
      </rPr>
      <t xml:space="preserve">  2021</t>
    </r>
  </si>
  <si>
    <t>1.1.02.04</t>
  </si>
  <si>
    <t>1.1.02.04.03</t>
  </si>
  <si>
    <t>1.1.02.04.03 05</t>
  </si>
  <si>
    <t>1.1.02.04.03 05 02</t>
  </si>
  <si>
    <t>RÉGIMEN CONTRIBUTIVO</t>
  </si>
  <si>
    <t>1.1.02.04.03 05 02  01</t>
  </si>
  <si>
    <t>1.1.02.04.03 05 02  02</t>
  </si>
  <si>
    <t>1.1.02.04.03 05 02  03</t>
  </si>
  <si>
    <t>Presupuesto Máximo-Servc Tecnológicos en Salud-NO PBS</t>
  </si>
  <si>
    <t>1.1.02.04.03 05 02  04</t>
  </si>
  <si>
    <t>1.1.02.04.03 05 02  05</t>
  </si>
  <si>
    <t>1.1.02.04.03 05 04</t>
  </si>
  <si>
    <t>RÉGIMEN SUBSIDIADO</t>
  </si>
  <si>
    <t>1.1.02.04.03 05 04  01</t>
  </si>
  <si>
    <t>UPC Régimen Subsidiado</t>
  </si>
  <si>
    <t>1.1.02.04.03 05 04  02</t>
  </si>
  <si>
    <t>1.1.02.04.03 05 04  03</t>
  </si>
  <si>
    <t>1.1.02.04.03 05 04  04</t>
  </si>
  <si>
    <t>1.1.02.04.03 05 04  05</t>
  </si>
  <si>
    <t>Recobros Ente Territorial - -ADRES</t>
  </si>
  <si>
    <t>1.1.02.04.03 05 04  06</t>
  </si>
  <si>
    <t>coronavirus COVID-19</t>
  </si>
  <si>
    <t>ADMINISTRACION DEL REGIMEN SUBSIDIADO</t>
  </si>
  <si>
    <t>1.1.02.98.01 04</t>
  </si>
  <si>
    <t>1.1.02.98.01 06</t>
  </si>
  <si>
    <t>Otros Ingresos Pos</t>
  </si>
  <si>
    <t>1.2.02.03.01 01</t>
  </si>
  <si>
    <t>1.2.02.03.01 02</t>
  </si>
  <si>
    <t>1.2.02.03.01 03</t>
  </si>
  <si>
    <t>1.2.02.03.98</t>
  </si>
  <si>
    <t>1.2.02.03.98 01</t>
  </si>
  <si>
    <t>1.2.02.03.98 02</t>
  </si>
  <si>
    <t>Vigencia Expirada Régimen Subsidiado</t>
  </si>
  <si>
    <t>1.2.02.03.98 03</t>
  </si>
  <si>
    <t>Vigencia Expirada Régimen Contributivo</t>
  </si>
  <si>
    <t>1.2.02.03.98 04</t>
  </si>
  <si>
    <t>1.2.02.03.98 05</t>
  </si>
  <si>
    <t>Cancelacion de Pasivos</t>
  </si>
  <si>
    <t>1203</t>
  </si>
  <si>
    <t>RECURSOS DEL BALANCE</t>
  </si>
  <si>
    <t>120301</t>
  </si>
  <si>
    <t>Superavit Fiscal</t>
  </si>
  <si>
    <t>12030101</t>
  </si>
  <si>
    <t>Regimen Subsidiado</t>
  </si>
  <si>
    <t>12030102</t>
  </si>
  <si>
    <t>Regimen Contributivo</t>
  </si>
  <si>
    <t>1.3.01</t>
  </si>
  <si>
    <t xml:space="preserve">SUPERAVIT FISCAL </t>
  </si>
  <si>
    <t>1.3.01.01</t>
  </si>
  <si>
    <t xml:space="preserve">Cuenta Maestra Régimen Contributivo </t>
  </si>
  <si>
    <t xml:space="preserve">MES: </t>
  </si>
  <si>
    <t>OCTUBRE AÑO 2022</t>
  </si>
  <si>
    <t>NIVEL</t>
  </si>
  <si>
    <t>TIPO</t>
  </si>
  <si>
    <t>PAGOS</t>
  </si>
  <si>
    <t>A</t>
  </si>
  <si>
    <t>2.1</t>
  </si>
  <si>
    <t>FUNCIONAMIENTO</t>
  </si>
  <si>
    <t>2.1.1</t>
  </si>
  <si>
    <t>2.1.1.01</t>
  </si>
  <si>
    <t>Planta de personal permanente</t>
  </si>
  <si>
    <t>2.1.1.01.01</t>
  </si>
  <si>
    <t>C</t>
  </si>
  <si>
    <t>Factores constitutivos de salario</t>
  </si>
  <si>
    <t>2.1.1.01.01.001.01</t>
  </si>
  <si>
    <t>Sueldo básico</t>
  </si>
  <si>
    <t>2.1.1.01.01.001.01.01</t>
  </si>
  <si>
    <t>Sueldo básico Subs</t>
  </si>
  <si>
    <t>2.1.1.01.01.001.01.02</t>
  </si>
  <si>
    <t>Sueldo básico Contrib</t>
  </si>
  <si>
    <t>2.1.1.01.01.001.06</t>
  </si>
  <si>
    <t>Prima de servicio</t>
  </si>
  <si>
    <t>2.1.1.01.01.001.06.01</t>
  </si>
  <si>
    <t>Prima de servicio subs</t>
  </si>
  <si>
    <t>2.1.1.01.01.001.06.02</t>
  </si>
  <si>
    <t>Prima de servicio contrib</t>
  </si>
  <si>
    <t>2.1.1.01.01.001.07</t>
  </si>
  <si>
    <t>Bonificación por servicios
prestados</t>
  </si>
  <si>
    <t>2.1.1.01.01.001.07.01</t>
  </si>
  <si>
    <t>Bonificación por servicios prestados subs</t>
  </si>
  <si>
    <t>2.1.1.01.01.001.07.02</t>
  </si>
  <si>
    <t>Bonificación por servicios prestados contrib</t>
  </si>
  <si>
    <t>2.1.1.01.01.001.08</t>
  </si>
  <si>
    <t>Prestaciones sociales</t>
  </si>
  <si>
    <t>2.1.1.01.01.001.08.01</t>
  </si>
  <si>
    <t>Prima de navidad</t>
  </si>
  <si>
    <t>2.1.1.01.01.001.08.01.01</t>
  </si>
  <si>
    <t>Prima de navidad subs</t>
  </si>
  <si>
    <t>2.1.1.01.01.001.08.01.02</t>
  </si>
  <si>
    <t>Prima de navidad contrib</t>
  </si>
  <si>
    <t>2.1.1.01.01.001.08.02</t>
  </si>
  <si>
    <t>Prima de vacaciones</t>
  </si>
  <si>
    <t>2.1.1.01.01.001.08.02.01</t>
  </si>
  <si>
    <t>Prima de vacaciones subs</t>
  </si>
  <si>
    <t>2.1.1.01.01.001.08.02.02</t>
  </si>
  <si>
    <t>Prima de vacaciones subs contrib</t>
  </si>
  <si>
    <t>2.1.1.01.02</t>
  </si>
  <si>
    <t>Contribuciones inherentes a la nómina</t>
  </si>
  <si>
    <t>2.1.1.01.02.001</t>
  </si>
  <si>
    <t>Aportes a la seguridad social en pensiones</t>
  </si>
  <si>
    <t>2.1.1.01.02.001.01</t>
  </si>
  <si>
    <t>Aportes a la seguridad social en
pensiones subs</t>
  </si>
  <si>
    <t>2.1.1.01.02.001.02</t>
  </si>
  <si>
    <t>Aportes a la seguridad social en
pensiones contrib</t>
  </si>
  <si>
    <t>2.1.1.01.02.002</t>
  </si>
  <si>
    <t>Aportes a la seguridad social en
salud</t>
  </si>
  <si>
    <t>2.1.1.01.02.002.01</t>
  </si>
  <si>
    <t>Aportes a la seguridad social en
salud subs</t>
  </si>
  <si>
    <t>2.1.1.01.02.002.02</t>
  </si>
  <si>
    <t>Aportes a la seguridad social en
salud contrib</t>
  </si>
  <si>
    <t>2.1.1.01.02.003</t>
  </si>
  <si>
    <t>Aportes de cesantías</t>
  </si>
  <si>
    <t>2.1.1.01.02.003.01</t>
  </si>
  <si>
    <t>Aportes de cesantías subs</t>
  </si>
  <si>
    <t>2.1.1.01.02.003.02</t>
  </si>
  <si>
    <t>Aportes de cesantías contrib</t>
  </si>
  <si>
    <t>2.1.1.01.02.004</t>
  </si>
  <si>
    <t>Aportes a cajas de compensación familiar</t>
  </si>
  <si>
    <t>2.1.1.01.02.004.01</t>
  </si>
  <si>
    <t>Aportes a cajas de compensación
familiar subs</t>
  </si>
  <si>
    <t>2.1.1.01.02.004.02</t>
  </si>
  <si>
    <t>Aportes a cajas de compensación
familiar contrib</t>
  </si>
  <si>
    <t>2.1.1.01.02.005</t>
  </si>
  <si>
    <t>Aportes generales al sistema de riesgos laborales</t>
  </si>
  <si>
    <t>2.1.1.01.02.005.01</t>
  </si>
  <si>
    <t>Aportes generales al sistema de
riesgos laborales subs</t>
  </si>
  <si>
    <t>2.1.1.01.02.005.02</t>
  </si>
  <si>
    <t>Aportes generales al sistema de
riesgos laborales contrib</t>
  </si>
  <si>
    <t>2.1.1.01.02.006</t>
  </si>
  <si>
    <t>Aportes al ICBF</t>
  </si>
  <si>
    <t>2.1.1.01.02.006.01</t>
  </si>
  <si>
    <t>Aportes al ICBF subs</t>
  </si>
  <si>
    <t>2.1.1.01.02.006.02</t>
  </si>
  <si>
    <t>Aportes al ICBF contrib</t>
  </si>
  <si>
    <t>2.1.1.01.02.007</t>
  </si>
  <si>
    <t>Aportes al SENA</t>
  </si>
  <si>
    <t>2.1.1.01.02.007.01</t>
  </si>
  <si>
    <t>Aportes al SENA subs</t>
  </si>
  <si>
    <t>2.1.1.01.02.007.02</t>
  </si>
  <si>
    <t>Aportes al SENA contrib</t>
  </si>
  <si>
    <t>2.1.1.01.02.008</t>
  </si>
  <si>
    <t>Aportes a la ESAP</t>
  </si>
  <si>
    <t>2.1.1.01.02.008.01</t>
  </si>
  <si>
    <t>Aportes a la ESAP subs</t>
  </si>
  <si>
    <t>2.1.1.01.02.008.02</t>
  </si>
  <si>
    <t>Aportes a la ESAP contrib</t>
  </si>
  <si>
    <t>2.1.1.01.02.009</t>
  </si>
  <si>
    <t>Aportes a escuelas industriales e institutos técnicos</t>
  </si>
  <si>
    <t>2.1.1.01.02.009.01</t>
  </si>
  <si>
    <t>Aportes a escuelas industriales e
institutos técnicos subs</t>
  </si>
  <si>
    <t>2.1.1.01.02.009.02</t>
  </si>
  <si>
    <t>Aportes a escuelas industriales e
institutos técnicos contrib</t>
  </si>
  <si>
    <t>2.1.1.01.03</t>
  </si>
  <si>
    <t>Remuneraciones no constitutivas de factor salarial</t>
  </si>
  <si>
    <t>2.1.1.01.03.001</t>
  </si>
  <si>
    <t>2.1.1.01.03.001.01</t>
  </si>
  <si>
    <t>2.1.1.01.03.001.01.01</t>
  </si>
  <si>
    <t>Vacaciones Subs</t>
  </si>
  <si>
    <t>2.1.1.01.03.001.01.02</t>
  </si>
  <si>
    <t>Vacaciones contrib</t>
  </si>
  <si>
    <t>2.1.1.01.03.001.02</t>
  </si>
  <si>
    <t>Indemnización por vacaciones</t>
  </si>
  <si>
    <t>2.1.1.01.03.001.02.01</t>
  </si>
  <si>
    <t>Indemnización por vacaciones
subs</t>
  </si>
  <si>
    <t>2.1.1.01.03.001.02.02</t>
  </si>
  <si>
    <t>Indemnización por vacaciones
contrib</t>
  </si>
  <si>
    <t>2.1.1.01.03.001.03</t>
  </si>
  <si>
    <t>Bonificación especial de
recreación</t>
  </si>
  <si>
    <t>2.1.1.01.03.001.03.01</t>
  </si>
  <si>
    <t>Bonificación especial de
recreación subs</t>
  </si>
  <si>
    <t>2.1.1.01.03.001.03.02</t>
  </si>
  <si>
    <t>Bonificación especial de
recreación contrib</t>
  </si>
  <si>
    <t>2.1.2</t>
  </si>
  <si>
    <t>Adquisición de bienes y servicios</t>
  </si>
  <si>
    <t>2.1.2.02</t>
  </si>
  <si>
    <t>Adquisiciones diferentes de activos</t>
  </si>
  <si>
    <t>2.1.2.02.01</t>
  </si>
  <si>
    <t>Materiales y suministros</t>
  </si>
  <si>
    <t>2.1.2.02.01.003</t>
  </si>
  <si>
    <t>Otros bienes transportables (excepto productos metálicos, maquinaria y equipo)</t>
  </si>
  <si>
    <t>2.1.2.02.01.003.01</t>
  </si>
  <si>
    <t>Compra de equipo</t>
  </si>
  <si>
    <t>2.1.2.02.01.003.02</t>
  </si>
  <si>
    <t>2.1.2.02.02</t>
  </si>
  <si>
    <t>Adquisición de servicios</t>
  </si>
  <si>
    <t>2.1.2.02.02.006</t>
  </si>
  <si>
    <t>Servicios de alojamiento;
servicios de suministro de comidas y bebidas; servicios de transporte; y servicios de distribución de electricidad, gas y agua</t>
  </si>
  <si>
    <t>2.1.2.02.02.006.01</t>
  </si>
  <si>
    <t>Cafeteria</t>
  </si>
  <si>
    <t>2.1.2.02.02.006.02</t>
  </si>
  <si>
    <t>2.1.2.02.02.006.03</t>
  </si>
  <si>
    <t>2.1.2.02.02.006.04</t>
  </si>
  <si>
    <t>gastos de viaje</t>
  </si>
  <si>
    <t>2.1.2.02.02.007</t>
  </si>
  <si>
    <t>Servicios financieros y servicios conexos, servicios inmobiliarios y servicios de leasing</t>
  </si>
  <si>
    <t>2.1.2.02.02.007.01</t>
  </si>
  <si>
    <t>seguros</t>
  </si>
  <si>
    <t>2.1.2.02.02.007.02</t>
  </si>
  <si>
    <t>arrendamientos</t>
  </si>
  <si>
    <t>2.1.2.02.02.008</t>
  </si>
  <si>
    <t>Servicios prestados a las empresas y servicios de producción</t>
  </si>
  <si>
    <t>2.1.2.02.02.008.01</t>
  </si>
  <si>
    <t>Servicios profesionales</t>
  </si>
  <si>
    <t>2.1.2.02.02.008.01.01</t>
  </si>
  <si>
    <t>Servicios profesionales Subs</t>
  </si>
  <si>
    <t>2.1.2.02.02.008.01.02</t>
  </si>
  <si>
    <t>Servicios profesionales Contr</t>
  </si>
  <si>
    <t>2.1.2.02.02.008.02</t>
  </si>
  <si>
    <t>Remuneración Servicios Tecnicos
y Auxiliares</t>
  </si>
  <si>
    <t>2.1.2.02.02.008.02.01</t>
  </si>
  <si>
    <t>Remuneración Servicios Tecnicos y Auxiliares Subs</t>
  </si>
  <si>
    <t>2.1.2.02.02.008.02.02</t>
  </si>
  <si>
    <t>Remuneración Servicios Tecnicos y Auxiliares Contr</t>
  </si>
  <si>
    <t>2.1.2.02.02.008.03</t>
  </si>
  <si>
    <t>impresos y publicaciones</t>
  </si>
  <si>
    <t>2.1.2.02.02.008.04</t>
  </si>
  <si>
    <t>Servicio de Vigilancia</t>
  </si>
  <si>
    <t>2.1.2.02.02.008.05</t>
  </si>
  <si>
    <t>Gestion documental</t>
  </si>
  <si>
    <t>2.1.2.02.02.008.06</t>
  </si>
  <si>
    <t>mantenimiento equipos y de software</t>
  </si>
  <si>
    <t>2.1.2.02.02.008.07</t>
  </si>
  <si>
    <t>mantenimiento y reparación de instalaciones</t>
  </si>
  <si>
    <t>2.1.2.02.02.008.08</t>
  </si>
  <si>
    <t>Servicios de aseo</t>
  </si>
  <si>
    <t>2.1.2.02.02.008.09</t>
  </si>
  <si>
    <t>2.1.2.02.02.008.10</t>
  </si>
  <si>
    <t>Gastos imprevistos</t>
  </si>
  <si>
    <t>2.1.2.02.02.009</t>
  </si>
  <si>
    <t>Servicios para la comunidad, sociales y personales</t>
  </si>
  <si>
    <t>2.1.2.02.02.009.01</t>
  </si>
  <si>
    <t>2.1.2.02.02.009.02</t>
  </si>
  <si>
    <t>Bienestar social</t>
  </si>
  <si>
    <t>2.1.2.02.02.009.03</t>
  </si>
  <si>
    <t>Capacitación</t>
  </si>
  <si>
    <t>2.1.2.02.02.010</t>
  </si>
  <si>
    <t>Viáticos de los funcionarios en comisión</t>
  </si>
  <si>
    <t>2.1.2.02.02.010.01</t>
  </si>
  <si>
    <t>viaticos</t>
  </si>
  <si>
    <t>2.1.8</t>
  </si>
  <si>
    <t>Gastos por tributos, tasas, contribuciones, multas, sanciones e intereses de mora</t>
  </si>
  <si>
    <t>2.1.8.01</t>
  </si>
  <si>
    <t>Impuestos</t>
  </si>
  <si>
    <t>2.1.8.01.52</t>
  </si>
  <si>
    <t>Impuesto predial unificado</t>
  </si>
  <si>
    <t>2.1.8.04</t>
  </si>
  <si>
    <t>Contribuciones</t>
  </si>
  <si>
    <t>2.1.8.04.07</t>
  </si>
  <si>
    <t>Contribución de vigilancia - Superintendencia Nacional de Salud</t>
  </si>
  <si>
    <t>2.1.8.05</t>
  </si>
  <si>
    <t>Multas, sanciones e intereses de mora</t>
  </si>
  <si>
    <t>2.1.8.05.01.001</t>
  </si>
  <si>
    <t>Multas Superintendencias</t>
  </si>
  <si>
    <t>2.1.8.05.01.002</t>
  </si>
  <si>
    <t>Multas Judiciales</t>
  </si>
  <si>
    <t>2.2</t>
  </si>
  <si>
    <t>Servicio de la deuda pública</t>
  </si>
  <si>
    <t>2.2.2</t>
  </si>
  <si>
    <t>Servicio de la deuda pública
interna</t>
  </si>
  <si>
    <t>2.2.2.01</t>
  </si>
  <si>
    <t>Principal</t>
  </si>
  <si>
    <t>2.2.2.01.03</t>
  </si>
  <si>
    <t>Otras cuentas por pagar</t>
  </si>
  <si>
    <t>2.2.2.01.03.001</t>
  </si>
  <si>
    <t>Proveedores</t>
  </si>
  <si>
    <t>2.2.2.01.03.001.01</t>
  </si>
  <si>
    <t>Proveedores Regimen subsidiado</t>
  </si>
  <si>
    <t>2.2.2.01.03.001.02</t>
  </si>
  <si>
    <t>Proveedores Regimen contributivo</t>
  </si>
  <si>
    <t>2.4</t>
  </si>
  <si>
    <t>Gastos de operación comercial</t>
  </si>
  <si>
    <t>2.4.5</t>
  </si>
  <si>
    <t>Gastos de comercialización y producción</t>
  </si>
  <si>
    <t>2.4.5.02</t>
  </si>
  <si>
    <t xml:space="preserve">Adquisición de servicios </t>
  </si>
  <si>
    <t>2.4.5.02.09</t>
  </si>
  <si>
    <t>2.4.5.02.09.01</t>
  </si>
  <si>
    <t>Servicios afiliados Régimen subsidiado</t>
  </si>
  <si>
    <t>2.4.5.02.09.01.01</t>
  </si>
  <si>
    <t>2.4.5.02.09.01.02</t>
  </si>
  <si>
    <t>2.4.5.02.09.01.03</t>
  </si>
  <si>
    <t>2.4.5.02.09.01.04</t>
  </si>
  <si>
    <t>2.4.5.02.09.01.05</t>
  </si>
  <si>
    <t>2.4.5.02.09.01.06</t>
  </si>
  <si>
    <t>2.4.5.02.09.01.07</t>
  </si>
  <si>
    <t>2.4.5.02.09.01.08</t>
  </si>
  <si>
    <t>2.4.5.02.09.01.09</t>
  </si>
  <si>
    <t>2.4.5.02.09.01.10</t>
  </si>
  <si>
    <t>2.4.5.02.09.01.11</t>
  </si>
  <si>
    <t>2.4.5.02.09.01.12</t>
  </si>
  <si>
    <t>Presupuesto Maximo Servc. Tecnologicos en salud -  NO PBS</t>
  </si>
  <si>
    <t>2.4.5.02.09.01.13</t>
  </si>
  <si>
    <t>2.4.5.02.09.01.14</t>
  </si>
  <si>
    <t>Presupuesto Máximo Serv. NO PBS pasivos vig 2020</t>
  </si>
  <si>
    <t>2.4.5.02.09.01.15</t>
  </si>
  <si>
    <t>Presupuesto Máximo Serv. NO PBS Pasivos Vig 2021</t>
  </si>
  <si>
    <t>2.4.5.02.09.01.16</t>
  </si>
  <si>
    <t>Canastas CORONAVIRUS 19</t>
  </si>
  <si>
    <t>2.4.5.02.09.02</t>
  </si>
  <si>
    <t>Servicios afiliados Régimen contributivo</t>
  </si>
  <si>
    <t>2.4.5.02.09.02.01</t>
  </si>
  <si>
    <t>2.4.5.02.09.02.02</t>
  </si>
  <si>
    <t>2.4.5.02.09.02.03</t>
  </si>
  <si>
    <t>2.4.5.02.09.02.04</t>
  </si>
  <si>
    <t>2.4.5.02.09.02.05</t>
  </si>
  <si>
    <t>2.4.5.02.09.02.06</t>
  </si>
  <si>
    <t>2.4.5.02.09.02.07</t>
  </si>
  <si>
    <t>2.4.5.02.09.02.08</t>
  </si>
  <si>
    <t>2.4.5.02.09.02.09</t>
  </si>
  <si>
    <t>2.4.5.02.09.02.10</t>
  </si>
  <si>
    <t>ENFERMEDAD NOPROFESIONAL</t>
  </si>
  <si>
    <t>2.4.5.02.09.02.11</t>
  </si>
  <si>
    <t>2.4.5.02.09.02.12</t>
  </si>
  <si>
    <t>2.4.5.02.09.02.13</t>
  </si>
  <si>
    <t>2.4.5.02.09.02.14</t>
  </si>
  <si>
    <t>Presupuesto Máximo Servc.
Tecnologicos en Salud - NO PBS</t>
  </si>
  <si>
    <t>ACREDITAR</t>
  </si>
  <si>
    <t>CONTRACREDITAR</t>
  </si>
  <si>
    <t>Ingresos</t>
  </si>
  <si>
    <t>Ingresos no tributarios</t>
  </si>
  <si>
    <t>1.1.02.05</t>
  </si>
  <si>
    <t>Venta de bienes y servicios</t>
  </si>
  <si>
    <t>1.1.02.05.002</t>
  </si>
  <si>
    <t>Ventas incidentales de</t>
  </si>
  <si>
    <t>1.1.02.05.002.09</t>
  </si>
  <si>
    <t>1.1.02.05.002.09.01</t>
  </si>
  <si>
    <t>Otros ingresos administrativos</t>
  </si>
  <si>
    <t>1.1.02.06</t>
  </si>
  <si>
    <t>Transferencias corrientes</t>
  </si>
  <si>
    <t>1.1.02.06.009</t>
  </si>
  <si>
    <t>Recursos del Sistema de Seguridad Social Integral</t>
  </si>
  <si>
    <t>1.1.02.06.009.01</t>
  </si>
  <si>
    <t>Sistema de Seguridad Social Integral</t>
  </si>
  <si>
    <t>1.1.02.06.009.01.01</t>
  </si>
  <si>
    <t>Compensación UPC</t>
  </si>
  <si>
    <t>1.1.02.06.009.01.01.01</t>
  </si>
  <si>
    <t>Regimen contributivo</t>
  </si>
  <si>
    <t>1.1.02.06.009.01.01.01.01</t>
  </si>
  <si>
    <t>1.1.02.06.009.01.01.01.02</t>
  </si>
  <si>
    <t>1.1.02.06.009.01.01.01.03</t>
  </si>
  <si>
    <t>Recobros Licencia Maternidad-Paternidad ADRES y Enfermedades no profesionales</t>
  </si>
  <si>
    <t>1.1.02.06.009.01.01.01.04</t>
  </si>
  <si>
    <t>1.1.02.06.009.01.01.02</t>
  </si>
  <si>
    <t>Regimen subsidiado</t>
  </si>
  <si>
    <t>1.1.02.06.009.01.01.02.01</t>
  </si>
  <si>
    <t>1.1.02.06.009.01.01.02.02</t>
  </si>
  <si>
    <t>1.1.02.06.009.01.01.02.03</t>
  </si>
  <si>
    <t>1.1.02.06.009.01.01.02.04</t>
  </si>
  <si>
    <t>1.1.02.06.009.01.01.02.05</t>
  </si>
  <si>
    <t>Presupuesto Máximo Serv. NO
PBS pasivos vig 2020</t>
  </si>
  <si>
    <t>1.1.02.06.009.01.01.02.06</t>
  </si>
  <si>
    <t>Presupuesto Máximo Serv. NO
PBS Pasivos Vig 2021</t>
  </si>
  <si>
    <t>1.1.02.06.009.01.01.02.07</t>
  </si>
  <si>
    <t>Recursos de capital</t>
  </si>
  <si>
    <t>1.2.05</t>
  </si>
  <si>
    <t>Rendimientos financieros</t>
  </si>
  <si>
    <t>1.2.05.03</t>
  </si>
  <si>
    <t>Depósitos</t>
  </si>
  <si>
    <t>1.2.05.03.01</t>
  </si>
  <si>
    <t>1.2.05.03.02</t>
  </si>
  <si>
    <t>1.2.05.03.03</t>
  </si>
  <si>
    <t xml:space="preserve">SUBGERENTE ADMINISTRATIVO Y FINANCIERO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</si>
</sst>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0.00_ ;\-#,##0.00\ "/>
    <numFmt numFmtId="165" formatCode="#,##0.0"/>
    <numFmt numFmtId="166" formatCode="_-* #,##0.0_-;\-* #,##0.0_-;_-* &quot;-&quot;??_-;_-@_-"/>
    <numFmt numFmtId="167" formatCode="#,##0_ ;\-#,##0\ "/>
    <numFmt numFmtId="168" formatCode="#,##0.00;[Red]#,##0.00"/>
    <numFmt numFmtId="169" formatCode="#,##0;[Red]#,##0"/>
    <numFmt numFmtId="170" formatCode="#,##0.00_);\(#,##0.00\)"/>
    <numFmt numFmtId="171" formatCode="_-* #,##0.00\ _$_-;\-* #,##0.00\ _$_-;_-* &quot;-&quot;??\ _$_-;_-@_-"/>
    <numFmt numFmtId="172" formatCode="_-* #,##0_-;\-* #,##0_-;_-* &quot;-&quot;??_-;_-@_-"/>
    <numFmt numFmtId="173" formatCode="0.0"/>
  </numFmts>
  <fonts count="37" x14ac:knownFonts="1">
    <font>
      <sz val="10"/>
      <name val="Arial"/>
    </font>
    <font>
      <sz val="11"/>
      <color theme="1"/>
      <name val="Calibri"/>
      <family val="2"/>
      <scheme val="minor"/>
    </font>
    <font>
      <sz val="10"/>
      <name val="Arial"/>
      <family val="2"/>
    </font>
    <font>
      <sz val="8"/>
      <color theme="1"/>
      <name val="Arial"/>
      <family val="2"/>
    </font>
    <font>
      <b/>
      <sz val="8"/>
      <color theme="1"/>
      <name val="Arial"/>
      <family val="2"/>
    </font>
    <font>
      <sz val="10"/>
      <name val="Arial"/>
      <family val="2"/>
    </font>
    <font>
      <b/>
      <sz val="7"/>
      <color theme="1"/>
      <name val="Arial"/>
      <family val="2"/>
    </font>
    <font>
      <sz val="8"/>
      <name val="Arial"/>
      <family val="2"/>
    </font>
    <font>
      <b/>
      <u/>
      <sz val="8"/>
      <color indexed="8"/>
      <name val="Arial"/>
      <family val="2"/>
    </font>
    <font>
      <b/>
      <sz val="8"/>
      <name val="Arial"/>
      <family val="2"/>
    </font>
    <font>
      <sz val="8"/>
      <color indexed="8"/>
      <name val="Arial"/>
      <family val="2"/>
    </font>
    <font>
      <sz val="8.0500000000000007"/>
      <color theme="1"/>
      <name val="Times New Roman"/>
      <family val="1"/>
    </font>
    <font>
      <sz val="7"/>
      <color theme="1"/>
      <name val="Arial"/>
      <family val="2"/>
    </font>
    <font>
      <b/>
      <u/>
      <sz val="8"/>
      <color theme="1"/>
      <name val="Arial"/>
      <family val="2"/>
    </font>
    <font>
      <sz val="8.0500000000000007"/>
      <color indexed="8"/>
      <name val="Times New Roman"/>
      <family val="1"/>
    </font>
    <font>
      <sz val="6.95"/>
      <color theme="1"/>
      <name val="Arial"/>
      <family val="2"/>
    </font>
    <font>
      <b/>
      <sz val="8"/>
      <color rgb="FFC00000"/>
      <name val="Arial"/>
      <family val="2"/>
    </font>
    <font>
      <sz val="7"/>
      <color rgb="FFC00000"/>
      <name val="Arial"/>
      <family val="2"/>
    </font>
    <font>
      <sz val="7"/>
      <color indexed="8"/>
      <name val="Arial"/>
      <family val="2"/>
    </font>
    <font>
      <sz val="8"/>
      <color rgb="FFC00000"/>
      <name val="Arial"/>
      <family val="2"/>
    </font>
    <font>
      <sz val="8.0500000000000007"/>
      <color rgb="FFC00000"/>
      <name val="Times New Roman"/>
      <family val="1"/>
    </font>
    <font>
      <sz val="8"/>
      <color theme="1"/>
      <name val="Times New Roman"/>
      <family val="1"/>
    </font>
    <font>
      <sz val="8"/>
      <color indexed="8"/>
      <name val="Times New Roman"/>
      <family val="1"/>
    </font>
    <font>
      <b/>
      <sz val="10"/>
      <name val="Arial"/>
      <family val="2"/>
    </font>
    <font>
      <b/>
      <u/>
      <sz val="8"/>
      <name val="Arial"/>
      <family val="2"/>
    </font>
    <font>
      <b/>
      <i/>
      <sz val="8"/>
      <color theme="1"/>
      <name val="Arial"/>
      <family val="2"/>
    </font>
    <font>
      <i/>
      <sz val="8"/>
      <color theme="1"/>
      <name val="Arial"/>
      <family val="2"/>
    </font>
    <font>
      <b/>
      <sz val="10"/>
      <color theme="1"/>
      <name val="Arial"/>
      <family val="2"/>
    </font>
    <font>
      <sz val="9"/>
      <name val="Arial"/>
      <family val="2"/>
    </font>
    <font>
      <b/>
      <sz val="9"/>
      <name val="Arial"/>
      <family val="2"/>
    </font>
    <font>
      <sz val="6.95"/>
      <color indexed="8"/>
      <name val="Arial"/>
      <family val="2"/>
    </font>
    <font>
      <b/>
      <sz val="9"/>
      <color theme="1"/>
      <name val="Arial"/>
      <family val="2"/>
    </font>
    <font>
      <sz val="9"/>
      <color theme="1"/>
      <name val="Arial"/>
      <family val="2"/>
    </font>
    <font>
      <b/>
      <sz val="8"/>
      <color rgb="FF000000"/>
      <name val="Arial"/>
      <family val="2"/>
    </font>
    <font>
      <sz val="8"/>
      <color rgb="FF000000"/>
      <name val="Arial"/>
      <family val="2"/>
    </font>
    <font>
      <sz val="12"/>
      <color theme="1"/>
      <name val="Arial"/>
      <family val="2"/>
    </font>
    <font>
      <b/>
      <sz val="12"/>
      <color theme="1"/>
      <name val="Arial"/>
      <family val="2"/>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00"/>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xf numFmtId="43" fontId="2" fillId="0" borderId="0" applyFont="0" applyFill="0" applyBorder="0" applyAlignment="0" applyProtection="0"/>
    <xf numFmtId="0" fontId="1" fillId="0" borderId="0"/>
  </cellStyleXfs>
  <cellXfs count="695">
    <xf numFmtId="0" fontId="0" fillId="0" borderId="0" xfId="0"/>
    <xf numFmtId="0" fontId="3" fillId="0" borderId="0" xfId="0" applyFont="1"/>
    <xf numFmtId="0" fontId="4" fillId="0" borderId="0" xfId="0" applyFont="1" applyAlignment="1">
      <alignment horizontal="left"/>
    </xf>
    <xf numFmtId="0" fontId="3" fillId="0" borderId="0" xfId="0" applyFont="1" applyAlignment="1">
      <alignment horizontal="left"/>
    </xf>
    <xf numFmtId="3" fontId="3" fillId="0" borderId="0" xfId="0" applyNumberFormat="1" applyFont="1"/>
    <xf numFmtId="3" fontId="6" fillId="0" borderId="0" xfId="1" applyNumberFormat="1" applyFont="1" applyAlignment="1">
      <alignment horizontal="center"/>
    </xf>
    <xf numFmtId="4" fontId="4" fillId="0" borderId="0" xfId="0" applyNumberFormat="1" applyFont="1" applyAlignment="1">
      <alignment horizontal="right"/>
    </xf>
    <xf numFmtId="164" fontId="3" fillId="0" borderId="0" xfId="0" applyNumberFormat="1" applyFont="1"/>
    <xf numFmtId="4" fontId="3" fillId="2" borderId="0" xfId="0" applyNumberFormat="1" applyFont="1" applyFill="1"/>
    <xf numFmtId="4" fontId="7" fillId="0" borderId="0" xfId="0" applyNumberFormat="1" applyFont="1"/>
    <xf numFmtId="4" fontId="4" fillId="2" borderId="0" xfId="0" applyNumberFormat="1" applyFont="1" applyFill="1" applyAlignment="1">
      <alignment horizontal="right"/>
    </xf>
    <xf numFmtId="165" fontId="3" fillId="0" borderId="0" xfId="0" applyNumberFormat="1" applyFont="1"/>
    <xf numFmtId="166" fontId="3" fillId="0" borderId="0" xfId="2" applyNumberFormat="1" applyFont="1"/>
    <xf numFmtId="4" fontId="3" fillId="0" borderId="0" xfId="0" applyNumberFormat="1" applyFont="1"/>
    <xf numFmtId="0" fontId="4" fillId="0" borderId="0" xfId="0" applyFont="1"/>
    <xf numFmtId="167" fontId="4" fillId="0" borderId="0" xfId="1" applyNumberFormat="1" applyFont="1"/>
    <xf numFmtId="4" fontId="4" fillId="0" borderId="0" xfId="0" applyNumberFormat="1" applyFont="1" applyAlignment="1">
      <alignment horizontal="center"/>
    </xf>
    <xf numFmtId="167" fontId="3" fillId="0" borderId="0" xfId="1" applyNumberFormat="1" applyFont="1"/>
    <xf numFmtId="164" fontId="3" fillId="2" borderId="0" xfId="0" applyNumberFormat="1" applyFont="1" applyFill="1"/>
    <xf numFmtId="4" fontId="9" fillId="2" borderId="0" xfId="0" applyNumberFormat="1" applyFont="1" applyFill="1" applyAlignment="1">
      <alignment horizontal="right"/>
    </xf>
    <xf numFmtId="166" fontId="3" fillId="3" borderId="3" xfId="1" applyNumberFormat="1" applyFont="1" applyFill="1" applyBorder="1" applyAlignment="1">
      <alignment horizontal="center" vertical="center"/>
    </xf>
    <xf numFmtId="3" fontId="4" fillId="0" borderId="8"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3" fontId="4" fillId="2" borderId="8" xfId="0" applyNumberFormat="1" applyFont="1" applyFill="1" applyBorder="1" applyAlignment="1">
      <alignment horizontal="center" vertical="center" wrapText="1"/>
    </xf>
    <xf numFmtId="3" fontId="9" fillId="0" borderId="8" xfId="0" applyNumberFormat="1" applyFont="1" applyBorder="1" applyAlignment="1">
      <alignment horizontal="center" vertical="center" wrapText="1"/>
    </xf>
    <xf numFmtId="0" fontId="4" fillId="0" borderId="1" xfId="0" applyFont="1" applyBorder="1" applyAlignment="1">
      <alignment horizontal="left"/>
    </xf>
    <xf numFmtId="0" fontId="4" fillId="0" borderId="2" xfId="0" applyFont="1" applyBorder="1"/>
    <xf numFmtId="4" fontId="4" fillId="0" borderId="2" xfId="0" applyNumberFormat="1" applyFont="1" applyBorder="1" applyAlignment="1">
      <alignment horizontal="right"/>
    </xf>
    <xf numFmtId="39" fontId="4" fillId="0" borderId="2" xfId="0" applyNumberFormat="1" applyFont="1" applyBorder="1" applyAlignment="1">
      <alignment horizontal="right" vertical="center"/>
    </xf>
    <xf numFmtId="4" fontId="4" fillId="2" borderId="2" xfId="0" applyNumberFormat="1" applyFont="1" applyFill="1" applyBorder="1" applyAlignment="1">
      <alignment horizontal="right"/>
    </xf>
    <xf numFmtId="4" fontId="9" fillId="2" borderId="2" xfId="0" applyNumberFormat="1" applyFont="1" applyFill="1" applyBorder="1" applyAlignment="1">
      <alignment horizontal="right"/>
    </xf>
    <xf numFmtId="4" fontId="4" fillId="2" borderId="3" xfId="0" applyNumberFormat="1" applyFont="1" applyFill="1" applyBorder="1" applyAlignment="1">
      <alignment horizontal="right"/>
    </xf>
    <xf numFmtId="4" fontId="4" fillId="0" borderId="0" xfId="0" applyNumberFormat="1" applyFont="1"/>
    <xf numFmtId="0" fontId="4" fillId="0" borderId="4" xfId="0" applyFont="1" applyBorder="1" applyAlignment="1">
      <alignment horizontal="left"/>
    </xf>
    <xf numFmtId="0" fontId="4" fillId="0" borderId="5" xfId="0" applyFont="1" applyBorder="1"/>
    <xf numFmtId="4" fontId="4" fillId="0" borderId="5" xfId="0" applyNumberFormat="1" applyFont="1" applyBorder="1" applyAlignment="1">
      <alignment horizontal="right"/>
    </xf>
    <xf numFmtId="39" fontId="3" fillId="0" borderId="5" xfId="0" applyNumberFormat="1" applyFont="1" applyBorder="1" applyAlignment="1">
      <alignment horizontal="right" vertical="center"/>
    </xf>
    <xf numFmtId="39" fontId="4" fillId="0" borderId="5" xfId="0" applyNumberFormat="1" applyFont="1" applyBorder="1" applyAlignment="1">
      <alignment horizontal="right" vertical="center"/>
    </xf>
    <xf numFmtId="4" fontId="4" fillId="2" borderId="5" xfId="0" applyNumberFormat="1" applyFont="1" applyFill="1" applyBorder="1" applyAlignment="1">
      <alignment horizontal="right"/>
    </xf>
    <xf numFmtId="4" fontId="9" fillId="2" borderId="5" xfId="0" applyNumberFormat="1" applyFont="1" applyFill="1" applyBorder="1" applyAlignment="1">
      <alignment horizontal="right"/>
    </xf>
    <xf numFmtId="4" fontId="4" fillId="2" borderId="6" xfId="0" applyNumberFormat="1" applyFont="1" applyFill="1" applyBorder="1" applyAlignment="1">
      <alignment horizontal="right"/>
    </xf>
    <xf numFmtId="0" fontId="4" fillId="0" borderId="4" xfId="0" applyFont="1" applyBorder="1"/>
    <xf numFmtId="0" fontId="3" fillId="0" borderId="4" xfId="0" applyFont="1" applyBorder="1"/>
    <xf numFmtId="0" fontId="3" fillId="0" borderId="5" xfId="0" applyFont="1" applyBorder="1"/>
    <xf numFmtId="39" fontId="7" fillId="0" borderId="5" xfId="0" applyNumberFormat="1" applyFont="1" applyBorder="1" applyAlignment="1">
      <alignment horizontal="right" vertical="center"/>
    </xf>
    <xf numFmtId="39" fontId="10" fillId="0" borderId="5" xfId="0" applyNumberFormat="1" applyFont="1" applyBorder="1" applyAlignment="1">
      <alignment horizontal="right" vertical="center"/>
    </xf>
    <xf numFmtId="39" fontId="3" fillId="0" borderId="6" xfId="0" applyNumberFormat="1" applyFont="1" applyBorder="1" applyAlignment="1">
      <alignment horizontal="right" vertical="center"/>
    </xf>
    <xf numFmtId="39" fontId="3" fillId="0" borderId="0" xfId="0" applyNumberFormat="1" applyFont="1"/>
    <xf numFmtId="39" fontId="4" fillId="2" borderId="5" xfId="0" applyNumberFormat="1" applyFont="1" applyFill="1" applyBorder="1" applyAlignment="1">
      <alignment horizontal="right" vertical="center"/>
    </xf>
    <xf numFmtId="39" fontId="9" fillId="2" borderId="5" xfId="0" applyNumberFormat="1" applyFont="1" applyFill="1" applyBorder="1" applyAlignment="1">
      <alignment horizontal="right" vertical="center"/>
    </xf>
    <xf numFmtId="0" fontId="3" fillId="0" borderId="4" xfId="0" applyFont="1" applyBorder="1" applyAlignment="1">
      <alignment vertical="center"/>
    </xf>
    <xf numFmtId="0" fontId="3" fillId="0" borderId="5" xfId="0" applyFont="1" applyBorder="1" applyAlignment="1">
      <alignment wrapText="1"/>
    </xf>
    <xf numFmtId="4" fontId="9" fillId="0" borderId="5" xfId="0" applyNumberFormat="1" applyFont="1" applyBorder="1" applyAlignment="1">
      <alignment horizontal="right"/>
    </xf>
    <xf numFmtId="39" fontId="4" fillId="2" borderId="6" xfId="0" applyNumberFormat="1" applyFont="1" applyFill="1" applyBorder="1" applyAlignment="1">
      <alignment horizontal="right" vertical="center"/>
    </xf>
    <xf numFmtId="4" fontId="3" fillId="0" borderId="5" xfId="0" applyNumberFormat="1" applyFont="1" applyBorder="1"/>
    <xf numFmtId="4" fontId="3" fillId="0" borderId="5" xfId="0" applyNumberFormat="1" applyFont="1" applyBorder="1" applyAlignment="1">
      <alignment horizontal="right" vertical="center"/>
    </xf>
    <xf numFmtId="168" fontId="3" fillId="0" borderId="5" xfId="0" applyNumberFormat="1" applyFont="1" applyBorder="1"/>
    <xf numFmtId="4" fontId="4" fillId="0" borderId="5" xfId="0" applyNumberFormat="1" applyFont="1" applyBorder="1"/>
    <xf numFmtId="0" fontId="3" fillId="0" borderId="5" xfId="0" applyFont="1" applyBorder="1" applyAlignment="1">
      <alignment vertical="center"/>
    </xf>
    <xf numFmtId="169" fontId="4" fillId="0" borderId="5" xfId="0" applyNumberFormat="1" applyFont="1" applyBorder="1"/>
    <xf numFmtId="166" fontId="3" fillId="0" borderId="0" xfId="2" applyNumberFormat="1" applyFont="1" applyBorder="1"/>
    <xf numFmtId="169" fontId="3" fillId="0" borderId="5" xfId="0" applyNumberFormat="1" applyFont="1" applyBorder="1"/>
    <xf numFmtId="4" fontId="3" fillId="0" borderId="5" xfId="0" applyNumberFormat="1" applyFont="1" applyBorder="1" applyAlignment="1">
      <alignment horizontal="right"/>
    </xf>
    <xf numFmtId="0" fontId="3" fillId="0" borderId="10" xfId="0" applyFont="1" applyBorder="1"/>
    <xf numFmtId="0" fontId="3" fillId="0" borderId="11" xfId="0" applyFont="1" applyBorder="1"/>
    <xf numFmtId="4" fontId="3" fillId="0" borderId="11" xfId="0" applyNumberFormat="1" applyFont="1" applyBorder="1" applyAlignment="1">
      <alignment horizontal="right"/>
    </xf>
    <xf numFmtId="169" fontId="3" fillId="0" borderId="11" xfId="0" applyNumberFormat="1" applyFont="1" applyBorder="1"/>
    <xf numFmtId="168" fontId="3" fillId="0" borderId="11" xfId="0" applyNumberFormat="1" applyFont="1" applyBorder="1"/>
    <xf numFmtId="39" fontId="3" fillId="0" borderId="11" xfId="0" applyNumberFormat="1" applyFont="1" applyBorder="1" applyAlignment="1">
      <alignment horizontal="right" vertical="center"/>
    </xf>
    <xf numFmtId="39" fontId="7" fillId="0" borderId="11" xfId="0" applyNumberFormat="1" applyFont="1" applyBorder="1" applyAlignment="1">
      <alignment horizontal="right" vertical="center"/>
    </xf>
    <xf numFmtId="39" fontId="10" fillId="0" borderId="11" xfId="0" applyNumberFormat="1" applyFont="1" applyBorder="1" applyAlignment="1">
      <alignment horizontal="right" vertical="center"/>
    </xf>
    <xf numFmtId="39" fontId="3" fillId="0" borderId="12" xfId="0" applyNumberFormat="1" applyFont="1" applyBorder="1" applyAlignment="1">
      <alignment horizontal="right" vertical="center"/>
    </xf>
    <xf numFmtId="169" fontId="3" fillId="0" borderId="0" xfId="0" applyNumberFormat="1" applyFont="1"/>
    <xf numFmtId="169" fontId="3" fillId="2" borderId="0" xfId="0" applyNumberFormat="1" applyFont="1" applyFill="1"/>
    <xf numFmtId="39" fontId="3" fillId="0" borderId="0" xfId="0" applyNumberFormat="1" applyFont="1" applyAlignment="1">
      <alignment horizontal="right" vertical="center"/>
    </xf>
    <xf numFmtId="43" fontId="3" fillId="0" borderId="0" xfId="2" applyFont="1" applyBorder="1"/>
    <xf numFmtId="0" fontId="7" fillId="0" borderId="0" xfId="0" applyFont="1"/>
    <xf numFmtId="39" fontId="7" fillId="0" borderId="0" xfId="0" applyNumberFormat="1" applyFont="1"/>
    <xf numFmtId="10" fontId="3" fillId="0" borderId="0" xfId="0" applyNumberFormat="1" applyFont="1"/>
    <xf numFmtId="169" fontId="4" fillId="0" borderId="0" xfId="0" applyNumberFormat="1" applyFont="1" applyAlignment="1">
      <alignment horizontal="center"/>
    </xf>
    <xf numFmtId="169" fontId="4" fillId="0" borderId="0" xfId="0" applyNumberFormat="1" applyFont="1"/>
    <xf numFmtId="0" fontId="3" fillId="0" borderId="0" xfId="0" applyFont="1" applyAlignment="1">
      <alignment horizontal="center"/>
    </xf>
    <xf numFmtId="39" fontId="7" fillId="0" borderId="0" xfId="0" applyNumberFormat="1" applyFont="1" applyAlignment="1">
      <alignment horizontal="right" vertical="center"/>
    </xf>
    <xf numFmtId="169" fontId="7" fillId="0" borderId="0" xfId="0" applyNumberFormat="1" applyFont="1"/>
    <xf numFmtId="10" fontId="3" fillId="0" borderId="0" xfId="3" applyNumberFormat="1" applyFont="1"/>
    <xf numFmtId="43" fontId="3" fillId="0" borderId="0" xfId="2" applyFont="1"/>
    <xf numFmtId="39" fontId="4" fillId="0" borderId="0" xfId="0" applyNumberFormat="1" applyFont="1" applyAlignment="1">
      <alignment horizontal="right" vertical="center"/>
    </xf>
    <xf numFmtId="39" fontId="11" fillId="0" borderId="0" xfId="0" applyNumberFormat="1" applyFont="1" applyAlignment="1">
      <alignment horizontal="right" vertical="center"/>
    </xf>
    <xf numFmtId="4" fontId="4" fillId="4" borderId="0" xfId="0" applyNumberFormat="1" applyFont="1" applyFill="1" applyAlignment="1">
      <alignment horizontal="right"/>
    </xf>
    <xf numFmtId="4" fontId="12" fillId="0" borderId="0" xfId="0" applyNumberFormat="1" applyFont="1"/>
    <xf numFmtId="164" fontId="3" fillId="2" borderId="0" xfId="1" applyNumberFormat="1" applyFont="1" applyFill="1"/>
    <xf numFmtId="4" fontId="3" fillId="4" borderId="0" xfId="0" applyNumberFormat="1" applyFont="1" applyFill="1"/>
    <xf numFmtId="3" fontId="4" fillId="4" borderId="8" xfId="0" applyNumberFormat="1" applyFont="1" applyFill="1" applyBorder="1" applyAlignment="1">
      <alignment horizontal="center" vertical="center" wrapText="1"/>
    </xf>
    <xf numFmtId="43" fontId="4" fillId="0" borderId="0" xfId="2" applyFont="1"/>
    <xf numFmtId="0" fontId="4" fillId="0" borderId="1" xfId="0" applyFont="1" applyBorder="1" applyAlignment="1">
      <alignment horizontal="right"/>
    </xf>
    <xf numFmtId="39" fontId="4" fillId="2" borderId="2" xfId="0" applyNumberFormat="1" applyFont="1" applyFill="1" applyBorder="1" applyAlignment="1">
      <alignment horizontal="right" vertical="center"/>
    </xf>
    <xf numFmtId="4" fontId="4" fillId="4" borderId="2" xfId="0" applyNumberFormat="1" applyFont="1" applyFill="1" applyBorder="1" applyAlignment="1">
      <alignment horizontal="right"/>
    </xf>
    <xf numFmtId="39" fontId="14" fillId="0" borderId="0" xfId="0" applyNumberFormat="1" applyFont="1" applyAlignment="1">
      <alignment horizontal="right" vertical="center"/>
    </xf>
    <xf numFmtId="0" fontId="4" fillId="0" borderId="4" xfId="0" applyFont="1" applyBorder="1" applyAlignment="1">
      <alignment horizontal="right"/>
    </xf>
    <xf numFmtId="4" fontId="4" fillId="4" borderId="5" xfId="0" applyNumberFormat="1" applyFont="1" applyFill="1" applyBorder="1" applyAlignment="1">
      <alignment horizontal="right"/>
    </xf>
    <xf numFmtId="0" fontId="4" fillId="0" borderId="4" xfId="0" applyFont="1" applyBorder="1" applyAlignment="1">
      <alignment horizontal="right" vertical="center"/>
    </xf>
    <xf numFmtId="0" fontId="4" fillId="0" borderId="5" xfId="0" applyFont="1" applyBorder="1" applyAlignment="1">
      <alignment vertical="center"/>
    </xf>
    <xf numFmtId="4" fontId="4" fillId="0" borderId="6" xfId="0" applyNumberFormat="1" applyFont="1" applyBorder="1" applyAlignment="1">
      <alignment horizontal="right"/>
    </xf>
    <xf numFmtId="0" fontId="3" fillId="0" borderId="4" xfId="0" applyFont="1" applyBorder="1" applyAlignment="1">
      <alignment horizontal="right" vertical="center"/>
    </xf>
    <xf numFmtId="39" fontId="3" fillId="2" borderId="5" xfId="0" applyNumberFormat="1" applyFont="1" applyFill="1" applyBorder="1" applyAlignment="1">
      <alignment horizontal="right" vertical="center"/>
    </xf>
    <xf numFmtId="39" fontId="11" fillId="0" borderId="5" xfId="0" applyNumberFormat="1" applyFont="1" applyBorder="1" applyAlignment="1">
      <alignment horizontal="right" vertical="center"/>
    </xf>
    <xf numFmtId="39" fontId="10" fillId="4" borderId="5" xfId="0" applyNumberFormat="1" applyFont="1" applyFill="1" applyBorder="1" applyAlignment="1">
      <alignment horizontal="right" vertical="center"/>
    </xf>
    <xf numFmtId="39" fontId="14" fillId="0" borderId="6" xfId="0" applyNumberFormat="1" applyFont="1" applyBorder="1" applyAlignment="1">
      <alignment horizontal="right" vertical="center"/>
    </xf>
    <xf numFmtId="39" fontId="4" fillId="4" borderId="5" xfId="0" applyNumberFormat="1" applyFont="1" applyFill="1" applyBorder="1" applyAlignment="1">
      <alignment horizontal="right" vertical="center"/>
    </xf>
    <xf numFmtId="39" fontId="4" fillId="0" borderId="6" xfId="0" applyNumberFormat="1" applyFont="1" applyBorder="1" applyAlignment="1">
      <alignment horizontal="right" vertical="center"/>
    </xf>
    <xf numFmtId="0" fontId="3" fillId="0" borderId="5" xfId="0" applyFont="1" applyBorder="1" applyAlignment="1">
      <alignment vertical="center" wrapText="1"/>
    </xf>
    <xf numFmtId="0" fontId="3" fillId="0" borderId="4" xfId="0" applyFont="1" applyBorder="1" applyAlignment="1">
      <alignment horizontal="right"/>
    </xf>
    <xf numFmtId="39" fontId="3" fillId="0" borderId="5" xfId="0" quotePrefix="1" applyNumberFormat="1" applyFont="1" applyBorder="1" applyAlignment="1">
      <alignment horizontal="right" vertical="center"/>
    </xf>
    <xf numFmtId="166" fontId="4" fillId="4" borderId="0" xfId="2" applyNumberFormat="1" applyFont="1" applyFill="1"/>
    <xf numFmtId="0" fontId="4" fillId="4" borderId="4" xfId="0" applyFont="1" applyFill="1" applyBorder="1" applyAlignment="1">
      <alignment horizontal="right" vertical="center"/>
    </xf>
    <xf numFmtId="0" fontId="4" fillId="4" borderId="5" xfId="0" applyFont="1" applyFill="1" applyBorder="1" applyAlignment="1">
      <alignment vertical="center"/>
    </xf>
    <xf numFmtId="168" fontId="4" fillId="4" borderId="5" xfId="0" applyNumberFormat="1" applyFont="1" applyFill="1" applyBorder="1"/>
    <xf numFmtId="39" fontId="4" fillId="4" borderId="6" xfId="0" applyNumberFormat="1" applyFont="1" applyFill="1" applyBorder="1" applyAlignment="1">
      <alignment horizontal="right" vertical="center"/>
    </xf>
    <xf numFmtId="43" fontId="4" fillId="4" borderId="0" xfId="2" applyFont="1" applyFill="1"/>
    <xf numFmtId="0" fontId="3" fillId="0" borderId="10" xfId="0" applyFont="1" applyBorder="1" applyAlignment="1">
      <alignment horizontal="right" vertical="center"/>
    </xf>
    <xf numFmtId="0" fontId="3" fillId="0" borderId="11" xfId="0" applyFont="1" applyBorder="1" applyAlignment="1">
      <alignment vertical="center"/>
    </xf>
    <xf numFmtId="39" fontId="3" fillId="2" borderId="11" xfId="0" applyNumberFormat="1" applyFont="1" applyFill="1" applyBorder="1" applyAlignment="1">
      <alignment horizontal="right" vertical="center"/>
    </xf>
    <xf numFmtId="39" fontId="10" fillId="4" borderId="11" xfId="0" applyNumberFormat="1" applyFont="1" applyFill="1" applyBorder="1" applyAlignment="1">
      <alignment horizontal="right" vertical="center"/>
    </xf>
    <xf numFmtId="39" fontId="11" fillId="0" borderId="11" xfId="0" applyNumberFormat="1" applyFont="1" applyBorder="1" applyAlignment="1">
      <alignment horizontal="right" vertical="center"/>
    </xf>
    <xf numFmtId="39" fontId="14" fillId="0" borderId="12" xfId="0" applyNumberFormat="1" applyFont="1" applyBorder="1" applyAlignment="1">
      <alignment horizontal="right" vertical="center"/>
    </xf>
    <xf numFmtId="0" fontId="3" fillId="0" borderId="0" xfId="0" applyFont="1" applyAlignment="1">
      <alignment horizontal="right"/>
    </xf>
    <xf numFmtId="39" fontId="3" fillId="4" borderId="0" xfId="0" applyNumberFormat="1" applyFont="1" applyFill="1" applyAlignment="1">
      <alignment horizontal="right" vertical="center"/>
    </xf>
    <xf numFmtId="39" fontId="10" fillId="0" borderId="0" xfId="0" applyNumberFormat="1" applyFont="1" applyAlignment="1">
      <alignment horizontal="right" vertical="center"/>
    </xf>
    <xf numFmtId="10" fontId="3" fillId="0" borderId="0" xfId="0" applyNumberFormat="1" applyFont="1" applyAlignment="1">
      <alignment horizontal="right"/>
    </xf>
    <xf numFmtId="39" fontId="15" fillId="0" borderId="0" xfId="0" applyNumberFormat="1" applyFont="1" applyAlignment="1">
      <alignment horizontal="right" vertical="center"/>
    </xf>
    <xf numFmtId="169" fontId="3" fillId="4" borderId="0" xfId="0" applyNumberFormat="1" applyFont="1" applyFill="1"/>
    <xf numFmtId="4" fontId="4" fillId="0" borderId="3" xfId="0" applyNumberFormat="1" applyFont="1" applyBorder="1" applyAlignment="1">
      <alignment horizontal="right"/>
    </xf>
    <xf numFmtId="43" fontId="3" fillId="0" borderId="0" xfId="2" applyFont="1" applyFill="1"/>
    <xf numFmtId="4" fontId="3" fillId="0" borderId="0" xfId="0" applyNumberFormat="1" applyFont="1" applyAlignment="1">
      <alignment horizontal="center"/>
    </xf>
    <xf numFmtId="3" fontId="3" fillId="0" borderId="0" xfId="0" applyNumberFormat="1" applyFont="1" applyAlignment="1">
      <alignment horizontal="center"/>
    </xf>
    <xf numFmtId="3" fontId="4" fillId="0" borderId="0" xfId="1" applyNumberFormat="1" applyFont="1" applyFill="1" applyAlignment="1">
      <alignment horizontal="center"/>
    </xf>
    <xf numFmtId="39" fontId="16" fillId="0" borderId="0" xfId="0" applyNumberFormat="1" applyFont="1" applyAlignment="1">
      <alignment horizontal="right" vertical="center"/>
    </xf>
    <xf numFmtId="170" fontId="3" fillId="0" borderId="0" xfId="0" applyNumberFormat="1" applyFont="1" applyAlignment="1">
      <alignment horizontal="right" vertical="center"/>
    </xf>
    <xf numFmtId="170" fontId="11" fillId="0" borderId="0" xfId="0" applyNumberFormat="1" applyFont="1" applyAlignment="1">
      <alignment horizontal="right" vertical="center"/>
    </xf>
    <xf numFmtId="170" fontId="17" fillId="0" borderId="0" xfId="0" applyNumberFormat="1" applyFont="1" applyAlignment="1">
      <alignment horizontal="right" vertical="center"/>
    </xf>
    <xf numFmtId="170" fontId="18" fillId="0" borderId="0" xfId="0" applyNumberFormat="1" applyFont="1" applyAlignment="1">
      <alignment horizontal="right" vertical="center"/>
    </xf>
    <xf numFmtId="166" fontId="3" fillId="0" borderId="0" xfId="2" applyNumberFormat="1" applyFont="1" applyFill="1" applyBorder="1"/>
    <xf numFmtId="43" fontId="12" fillId="0" borderId="0" xfId="2" applyFont="1" applyFill="1" applyBorder="1"/>
    <xf numFmtId="43" fontId="3" fillId="0" borderId="0" xfId="2" applyFont="1" applyFill="1" applyBorder="1"/>
    <xf numFmtId="167" fontId="4" fillId="0" borderId="0" xfId="1" applyNumberFormat="1" applyFont="1" applyFill="1" applyAlignment="1">
      <alignment horizontal="center"/>
    </xf>
    <xf numFmtId="4" fontId="16" fillId="0" borderId="0" xfId="0" applyNumberFormat="1" applyFont="1" applyAlignment="1">
      <alignment horizontal="right"/>
    </xf>
    <xf numFmtId="164" fontId="3" fillId="0" borderId="0" xfId="1" applyNumberFormat="1" applyFont="1" applyFill="1"/>
    <xf numFmtId="170" fontId="19" fillId="0" borderId="0" xfId="0" applyNumberFormat="1" applyFont="1" applyAlignment="1">
      <alignment horizontal="right" vertical="center"/>
    </xf>
    <xf numFmtId="170" fontId="10" fillId="0" borderId="0" xfId="0" applyNumberFormat="1" applyFont="1" applyAlignment="1">
      <alignment horizontal="right" vertical="center"/>
    </xf>
    <xf numFmtId="170" fontId="20" fillId="0" borderId="0" xfId="0" applyNumberFormat="1" applyFont="1" applyAlignment="1">
      <alignment horizontal="right" vertical="center"/>
    </xf>
    <xf numFmtId="170" fontId="14" fillId="0" borderId="0" xfId="0" applyNumberFormat="1" applyFont="1" applyAlignment="1">
      <alignment horizontal="right" vertical="center"/>
    </xf>
    <xf numFmtId="166" fontId="3" fillId="0" borderId="3" xfId="1" applyNumberFormat="1" applyFont="1" applyFill="1" applyBorder="1" applyAlignment="1">
      <alignment horizontal="right" vertical="center"/>
    </xf>
    <xf numFmtId="3" fontId="3" fillId="0" borderId="8" xfId="0" applyNumberFormat="1" applyFont="1" applyBorder="1" applyAlignment="1">
      <alignment horizontal="right" vertical="center" wrapText="1"/>
    </xf>
    <xf numFmtId="43" fontId="4" fillId="0" borderId="0" xfId="2" applyFont="1" applyFill="1"/>
    <xf numFmtId="39" fontId="4" fillId="0" borderId="2" xfId="0" applyNumberFormat="1" applyFont="1" applyBorder="1" applyAlignment="1">
      <alignment horizontal="center" vertical="center"/>
    </xf>
    <xf numFmtId="10" fontId="3" fillId="0" borderId="0" xfId="0" applyNumberFormat="1" applyFont="1" applyAlignment="1">
      <alignment horizontal="right" vertical="center"/>
    </xf>
    <xf numFmtId="39" fontId="4" fillId="0" borderId="5" xfId="0" applyNumberFormat="1" applyFont="1" applyBorder="1" applyAlignment="1">
      <alignment horizontal="center" vertical="center"/>
    </xf>
    <xf numFmtId="43" fontId="3" fillId="0" borderId="0" xfId="2" applyFont="1" applyFill="1" applyAlignment="1">
      <alignment horizontal="right" vertical="center"/>
    </xf>
    <xf numFmtId="4" fontId="4" fillId="0" borderId="5" xfId="0" applyNumberFormat="1" applyFont="1" applyBorder="1" applyAlignment="1">
      <alignment horizontal="center"/>
    </xf>
    <xf numFmtId="170" fontId="3" fillId="0" borderId="5" xfId="0" applyNumberFormat="1" applyFont="1" applyBorder="1" applyAlignment="1">
      <alignment horizontal="right" vertical="center"/>
    </xf>
    <xf numFmtId="39" fontId="3" fillId="0" borderId="5" xfId="0" applyNumberFormat="1" applyFont="1" applyBorder="1" applyAlignment="1">
      <alignment horizontal="center" vertical="center"/>
    </xf>
    <xf numFmtId="170" fontId="21" fillId="0" borderId="5" xfId="0" applyNumberFormat="1" applyFont="1" applyBorder="1" applyAlignment="1">
      <alignment horizontal="right" vertical="center"/>
    </xf>
    <xf numFmtId="170" fontId="21" fillId="0" borderId="6" xfId="0" applyNumberFormat="1" applyFont="1" applyBorder="1" applyAlignment="1">
      <alignment horizontal="right" vertical="center"/>
    </xf>
    <xf numFmtId="4" fontId="3" fillId="0" borderId="5" xfId="0" applyNumberFormat="1" applyFont="1" applyBorder="1" applyAlignment="1">
      <alignment horizontal="center"/>
    </xf>
    <xf numFmtId="4" fontId="3" fillId="0" borderId="6" xfId="0" applyNumberFormat="1" applyFont="1" applyBorder="1" applyAlignment="1">
      <alignment horizontal="right"/>
    </xf>
    <xf numFmtId="169" fontId="4" fillId="0" borderId="5" xfId="0" applyNumberFormat="1" applyFont="1" applyBorder="1" applyAlignment="1">
      <alignment horizontal="center"/>
    </xf>
    <xf numFmtId="166" fontId="3" fillId="0" borderId="0" xfId="2" applyNumberFormat="1" applyFont="1" applyFill="1"/>
    <xf numFmtId="166" fontId="4" fillId="0" borderId="0" xfId="2" applyNumberFormat="1" applyFont="1" applyFill="1"/>
    <xf numFmtId="168" fontId="4" fillId="0" borderId="5" xfId="0" applyNumberFormat="1" applyFont="1" applyBorder="1"/>
    <xf numFmtId="168" fontId="4" fillId="0" borderId="5" xfId="0" applyNumberFormat="1" applyFont="1" applyBorder="1" applyAlignment="1">
      <alignment horizontal="center"/>
    </xf>
    <xf numFmtId="168" fontId="4" fillId="0" borderId="5" xfId="0" applyNumberFormat="1" applyFont="1" applyBorder="1" applyAlignment="1">
      <alignment horizontal="right"/>
    </xf>
    <xf numFmtId="0" fontId="3" fillId="0" borderId="10" xfId="0" applyFont="1" applyBorder="1" applyAlignment="1">
      <alignment horizontal="right"/>
    </xf>
    <xf numFmtId="170" fontId="3" fillId="0" borderId="11" xfId="0" applyNumberFormat="1" applyFont="1" applyBorder="1" applyAlignment="1">
      <alignment horizontal="right" vertical="center"/>
    </xf>
    <xf numFmtId="39" fontId="3" fillId="0" borderId="11" xfId="0" applyNumberFormat="1" applyFont="1" applyBorder="1" applyAlignment="1">
      <alignment horizontal="center" vertical="center"/>
    </xf>
    <xf numFmtId="170" fontId="21" fillId="0" borderId="11" xfId="0" applyNumberFormat="1" applyFont="1" applyBorder="1" applyAlignment="1">
      <alignment horizontal="right" vertical="center"/>
    </xf>
    <xf numFmtId="170" fontId="21" fillId="0" borderId="12" xfId="0" applyNumberFormat="1" applyFont="1" applyBorder="1" applyAlignment="1">
      <alignment horizontal="right" vertical="center"/>
    </xf>
    <xf numFmtId="169" fontId="3" fillId="0" borderId="0" xfId="0" applyNumberFormat="1" applyFont="1" applyAlignment="1">
      <alignment horizontal="center"/>
    </xf>
    <xf numFmtId="169" fontId="19" fillId="0" borderId="0" xfId="0" applyNumberFormat="1" applyFont="1" applyAlignment="1">
      <alignment horizontal="right"/>
    </xf>
    <xf numFmtId="166" fontId="3" fillId="0" borderId="0" xfId="2" applyNumberFormat="1" applyFont="1" applyFill="1" applyAlignment="1">
      <alignment horizontal="right"/>
    </xf>
    <xf numFmtId="10" fontId="3" fillId="0" borderId="0" xfId="3" applyNumberFormat="1" applyFont="1" applyFill="1"/>
    <xf numFmtId="169" fontId="3" fillId="0" borderId="0" xfId="0" applyNumberFormat="1" applyFont="1" applyAlignment="1">
      <alignment horizontal="right"/>
    </xf>
    <xf numFmtId="0" fontId="4" fillId="0" borderId="0" xfId="0" applyFont="1" applyAlignment="1">
      <alignment horizontal="right"/>
    </xf>
    <xf numFmtId="171" fontId="4" fillId="0" borderId="0" xfId="0" applyNumberFormat="1" applyFont="1" applyAlignment="1">
      <alignment horizontal="right"/>
    </xf>
    <xf numFmtId="172" fontId="4" fillId="0" borderId="0" xfId="2" applyNumberFormat="1" applyFont="1" applyFill="1" applyAlignment="1">
      <alignment horizontal="right"/>
    </xf>
    <xf numFmtId="43" fontId="4" fillId="0" borderId="0" xfId="2" applyFont="1" applyFill="1" applyAlignment="1">
      <alignment horizontal="right"/>
    </xf>
    <xf numFmtId="164" fontId="4" fillId="0" borderId="0" xfId="0" applyNumberFormat="1" applyFont="1"/>
    <xf numFmtId="3" fontId="3" fillId="0" borderId="0" xfId="0" applyNumberFormat="1" applyFont="1" applyAlignment="1">
      <alignment horizontal="right"/>
    </xf>
    <xf numFmtId="3" fontId="4" fillId="0" borderId="0" xfId="1" applyNumberFormat="1" applyFont="1" applyFill="1" applyAlignment="1">
      <alignment horizontal="right"/>
    </xf>
    <xf numFmtId="167" fontId="4" fillId="0" borderId="0" xfId="1" applyNumberFormat="1" applyFont="1" applyFill="1" applyBorder="1" applyAlignment="1">
      <alignment horizontal="right"/>
    </xf>
    <xf numFmtId="39" fontId="4" fillId="0" borderId="14" xfId="0" applyNumberFormat="1" applyFont="1" applyBorder="1" applyAlignment="1">
      <alignment horizontal="right" vertical="center"/>
    </xf>
    <xf numFmtId="170" fontId="22" fillId="0" borderId="0" xfId="0" applyNumberFormat="1" applyFont="1" applyAlignment="1">
      <alignment horizontal="right" vertical="center"/>
    </xf>
    <xf numFmtId="39" fontId="4" fillId="0" borderId="8" xfId="4" applyNumberFormat="1" applyFont="1" applyBorder="1" applyAlignment="1">
      <alignment horizontal="center" vertical="center"/>
    </xf>
    <xf numFmtId="3" fontId="4" fillId="0" borderId="8" xfId="4" applyNumberFormat="1" applyFont="1" applyBorder="1" applyAlignment="1">
      <alignment horizontal="center" vertical="center" wrapText="1"/>
    </xf>
    <xf numFmtId="0" fontId="4" fillId="0" borderId="0" xfId="0" applyFont="1" applyAlignment="1">
      <alignment horizontal="center"/>
    </xf>
    <xf numFmtId="0" fontId="4" fillId="0" borderId="4" xfId="0" applyFont="1" applyBorder="1" applyAlignment="1">
      <alignment horizontal="left" vertical="center"/>
    </xf>
    <xf numFmtId="0" fontId="3" fillId="0" borderId="4" xfId="0" applyFont="1" applyBorder="1" applyAlignment="1">
      <alignment horizontal="left" vertical="center"/>
    </xf>
    <xf numFmtId="43" fontId="3" fillId="0" borderId="5" xfId="2" applyFont="1" applyFill="1" applyBorder="1"/>
    <xf numFmtId="170" fontId="10" fillId="0" borderId="5" xfId="0" applyNumberFormat="1" applyFont="1" applyBorder="1" applyAlignment="1">
      <alignment horizontal="right" vertical="center"/>
    </xf>
    <xf numFmtId="170" fontId="10" fillId="0" borderId="6" xfId="0" applyNumberFormat="1" applyFont="1" applyBorder="1" applyAlignment="1">
      <alignment horizontal="right" vertical="center"/>
    </xf>
    <xf numFmtId="0" fontId="4" fillId="0" borderId="5" xfId="0" applyFont="1" applyBorder="1" applyAlignment="1">
      <alignment horizontal="right" vertical="center"/>
    </xf>
    <xf numFmtId="0" fontId="3" fillId="0" borderId="5" xfId="0" applyFont="1" applyBorder="1" applyAlignment="1">
      <alignment horizontal="right" vertical="center"/>
    </xf>
    <xf numFmtId="0" fontId="4" fillId="0" borderId="5" xfId="0" applyFont="1" applyBorder="1" applyAlignment="1">
      <alignment vertical="top"/>
    </xf>
    <xf numFmtId="0" fontId="3" fillId="0" borderId="5" xfId="4" applyFont="1" applyBorder="1" applyAlignment="1">
      <alignment vertical="center"/>
    </xf>
    <xf numFmtId="0" fontId="3" fillId="0" borderId="10" xfId="0" applyFont="1" applyBorder="1" applyAlignment="1">
      <alignment horizontal="left" vertical="center"/>
    </xf>
    <xf numFmtId="43" fontId="3" fillId="0" borderId="11" xfId="2" applyFont="1" applyFill="1" applyBorder="1"/>
    <xf numFmtId="170" fontId="10" fillId="0" borderId="11" xfId="0" applyNumberFormat="1" applyFont="1" applyBorder="1" applyAlignment="1">
      <alignment horizontal="right" vertical="center"/>
    </xf>
    <xf numFmtId="170" fontId="10" fillId="0" borderId="12" xfId="0" applyNumberFormat="1" applyFont="1" applyBorder="1" applyAlignment="1">
      <alignment horizontal="right" vertical="center"/>
    </xf>
    <xf numFmtId="10" fontId="3" fillId="0" borderId="0" xfId="0" applyNumberFormat="1" applyFont="1" applyAlignment="1">
      <alignment horizontal="center"/>
    </xf>
    <xf numFmtId="169" fontId="4" fillId="0" borderId="0" xfId="0" applyNumberFormat="1" applyFont="1" applyAlignment="1">
      <alignment horizontal="right" vertical="center"/>
    </xf>
    <xf numFmtId="43" fontId="4" fillId="0" borderId="0" xfId="2" applyFont="1" applyFill="1" applyAlignment="1">
      <alignment horizontal="right" vertical="center"/>
    </xf>
    <xf numFmtId="43" fontId="4" fillId="0" borderId="0" xfId="2" applyFont="1" applyFill="1" applyAlignment="1">
      <alignment vertical="center"/>
    </xf>
    <xf numFmtId="43" fontId="4" fillId="0" borderId="0" xfId="2" applyFont="1" applyFill="1" applyBorder="1" applyAlignment="1">
      <alignment horizontal="center"/>
    </xf>
    <xf numFmtId="43" fontId="3" fillId="0" borderId="0" xfId="2" applyFont="1" applyFill="1" applyAlignment="1">
      <alignment horizontal="center"/>
    </xf>
    <xf numFmtId="10" fontId="3" fillId="0" borderId="0" xfId="0" applyNumberFormat="1" applyFont="1" applyAlignment="1">
      <alignment horizontal="left"/>
    </xf>
    <xf numFmtId="169" fontId="3" fillId="0" borderId="0" xfId="0" applyNumberFormat="1" applyFont="1" applyAlignment="1">
      <alignment horizontal="right" vertical="center"/>
    </xf>
    <xf numFmtId="43" fontId="3" fillId="0" borderId="0" xfId="2" applyFont="1" applyFill="1" applyAlignment="1">
      <alignment vertical="center"/>
    </xf>
    <xf numFmtId="10" fontId="7" fillId="0" borderId="0" xfId="0" applyNumberFormat="1" applyFont="1"/>
    <xf numFmtId="0" fontId="9" fillId="0" borderId="0" xfId="0" applyFont="1" applyAlignment="1">
      <alignment horizontal="left"/>
    </xf>
    <xf numFmtId="0" fontId="7" fillId="0" borderId="0" xfId="0" applyFont="1" applyAlignment="1">
      <alignment horizontal="left"/>
    </xf>
    <xf numFmtId="3" fontId="7" fillId="0" borderId="0" xfId="0" applyNumberFormat="1" applyFont="1"/>
    <xf numFmtId="2" fontId="7" fillId="0" borderId="0" xfId="0" applyNumberFormat="1" applyFont="1"/>
    <xf numFmtId="0" fontId="9" fillId="0" borderId="0" xfId="0" applyFont="1"/>
    <xf numFmtId="0" fontId="9" fillId="0" borderId="0" xfId="0" applyFont="1" applyAlignment="1">
      <alignment horizontal="center"/>
    </xf>
    <xf numFmtId="39" fontId="4" fillId="0" borderId="8" xfId="0" applyNumberFormat="1" applyFont="1" applyBorder="1" applyAlignment="1">
      <alignment horizontal="right" vertical="center"/>
    </xf>
    <xf numFmtId="3" fontId="9" fillId="0" borderId="34" xfId="0" applyNumberFormat="1" applyFont="1" applyBorder="1" applyAlignment="1">
      <alignment horizontal="center" vertical="center" wrapText="1"/>
    </xf>
    <xf numFmtId="3" fontId="9" fillId="0" borderId="14" xfId="0" applyNumberFormat="1" applyFont="1" applyBorder="1" applyAlignment="1">
      <alignment horizontal="center" vertical="center" wrapText="1"/>
    </xf>
    <xf numFmtId="3" fontId="9" fillId="0" borderId="26" xfId="0" applyNumberFormat="1" applyFont="1" applyBorder="1" applyAlignment="1">
      <alignment horizontal="center" vertical="center" wrapText="1"/>
    </xf>
    <xf numFmtId="4" fontId="9" fillId="0" borderId="8" xfId="0" applyNumberFormat="1" applyFont="1" applyBorder="1" applyAlignment="1">
      <alignment horizontal="center" vertical="center" wrapText="1"/>
    </xf>
    <xf numFmtId="3" fontId="9" fillId="0" borderId="9" xfId="0" applyNumberFormat="1" applyFont="1" applyBorder="1" applyAlignment="1">
      <alignment horizontal="center" vertical="center" wrapText="1"/>
    </xf>
    <xf numFmtId="0" fontId="3" fillId="0" borderId="1" xfId="0" applyFont="1" applyBorder="1" applyAlignment="1">
      <alignment horizontal="left"/>
    </xf>
    <xf numFmtId="3" fontId="4" fillId="0" borderId="2" xfId="0" applyNumberFormat="1" applyFont="1" applyBorder="1" applyAlignment="1">
      <alignment horizontal="right" vertical="center"/>
    </xf>
    <xf numFmtId="39" fontId="4" fillId="0" borderId="2" xfId="0" applyNumberFormat="1" applyFont="1" applyBorder="1" applyAlignment="1">
      <alignment vertical="center"/>
    </xf>
    <xf numFmtId="10" fontId="25" fillId="0" borderId="3" xfId="3" applyNumberFormat="1" applyFont="1" applyFill="1" applyBorder="1" applyAlignment="1" applyProtection="1"/>
    <xf numFmtId="3" fontId="4" fillId="0" borderId="5" xfId="0" applyNumberFormat="1" applyFont="1" applyBorder="1" applyAlignment="1">
      <alignment horizontal="right" vertical="center"/>
    </xf>
    <xf numFmtId="39" fontId="4" fillId="0" borderId="5" xfId="0" applyNumberFormat="1" applyFont="1" applyBorder="1" applyAlignment="1">
      <alignment vertical="center"/>
    </xf>
    <xf numFmtId="10" fontId="25" fillId="0" borderId="6" xfId="3" applyNumberFormat="1" applyFont="1" applyFill="1" applyBorder="1" applyAlignment="1" applyProtection="1"/>
    <xf numFmtId="3" fontId="4" fillId="0" borderId="5" xfId="0" applyNumberFormat="1" applyFont="1" applyBorder="1"/>
    <xf numFmtId="3" fontId="3" fillId="0" borderId="5" xfId="0" applyNumberFormat="1" applyFont="1" applyBorder="1" applyAlignment="1">
      <alignment horizontal="right" vertical="center"/>
    </xf>
    <xf numFmtId="10" fontId="26" fillId="0" borderId="6" xfId="3" applyNumberFormat="1" applyFont="1" applyFill="1" applyBorder="1" applyAlignment="1" applyProtection="1"/>
    <xf numFmtId="39" fontId="3" fillId="0" borderId="5" xfId="0" applyNumberFormat="1" applyFont="1" applyBorder="1" applyAlignment="1">
      <alignment vertical="center"/>
    </xf>
    <xf numFmtId="43" fontId="7" fillId="0" borderId="0" xfId="5" applyFont="1"/>
    <xf numFmtId="3" fontId="3" fillId="0" borderId="5" xfId="0" applyNumberFormat="1" applyFont="1" applyBorder="1"/>
    <xf numFmtId="43" fontId="3" fillId="0" borderId="5" xfId="2" applyFont="1" applyBorder="1"/>
    <xf numFmtId="10" fontId="7" fillId="0" borderId="0" xfId="3" applyNumberFormat="1" applyFont="1"/>
    <xf numFmtId="39" fontId="3" fillId="0" borderId="11" xfId="0" applyNumberFormat="1" applyFont="1" applyBorder="1" applyAlignment="1">
      <alignment vertical="center"/>
    </xf>
    <xf numFmtId="10" fontId="26" fillId="0" borderId="12" xfId="3" applyNumberFormat="1" applyFont="1" applyFill="1" applyBorder="1" applyAlignment="1" applyProtection="1"/>
    <xf numFmtId="169" fontId="9" fillId="0" borderId="0" xfId="0" applyNumberFormat="1" applyFont="1" applyAlignment="1">
      <alignment horizontal="center"/>
    </xf>
    <xf numFmtId="169" fontId="9" fillId="0" borderId="0" xfId="0" applyNumberFormat="1" applyFont="1"/>
    <xf numFmtId="0" fontId="7" fillId="0" borderId="0" xfId="0" applyFont="1" applyAlignment="1">
      <alignment horizontal="center"/>
    </xf>
    <xf numFmtId="2" fontId="3" fillId="0" borderId="0" xfId="0" applyNumberFormat="1" applyFont="1"/>
    <xf numFmtId="3" fontId="4" fillId="0" borderId="34"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26" xfId="0" applyNumberFormat="1" applyFont="1" applyBorder="1" applyAlignment="1">
      <alignment horizontal="center" vertical="center" wrapText="1"/>
    </xf>
    <xf numFmtId="4" fontId="4" fillId="0" borderId="8"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0" fontId="4" fillId="0" borderId="1"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39" fontId="4" fillId="0" borderId="5" xfId="0" applyNumberFormat="1" applyFont="1" applyBorder="1"/>
    <xf numFmtId="168" fontId="4" fillId="0" borderId="5" xfId="0" applyNumberFormat="1" applyFont="1" applyBorder="1" applyAlignment="1">
      <alignment horizontal="right" vertical="center"/>
    </xf>
    <xf numFmtId="168" fontId="3" fillId="0" borderId="5" xfId="2" applyNumberFormat="1" applyFont="1" applyBorder="1" applyAlignment="1">
      <alignment horizontal="right" vertical="center"/>
    </xf>
    <xf numFmtId="39" fontId="3" fillId="0" borderId="5" xfId="0" applyNumberFormat="1" applyFont="1" applyBorder="1"/>
    <xf numFmtId="0" fontId="3" fillId="0" borderId="11" xfId="0" applyFont="1" applyBorder="1" applyAlignment="1">
      <alignment horizontal="left" wrapText="1"/>
    </xf>
    <xf numFmtId="0" fontId="7" fillId="0" borderId="0" xfId="4" applyFont="1"/>
    <xf numFmtId="169" fontId="7" fillId="0" borderId="0" xfId="4" applyNumberFormat="1" applyFont="1"/>
    <xf numFmtId="169" fontId="7" fillId="0" borderId="0" xfId="4" applyNumberFormat="1" applyFont="1" applyAlignment="1">
      <alignment horizontal="center"/>
    </xf>
    <xf numFmtId="168" fontId="7" fillId="0" borderId="0" xfId="4" applyNumberFormat="1" applyFont="1"/>
    <xf numFmtId="4" fontId="7" fillId="0" borderId="0" xfId="4" applyNumberFormat="1" applyFont="1"/>
    <xf numFmtId="10" fontId="7" fillId="0" borderId="0" xfId="4" applyNumberFormat="1" applyFont="1"/>
    <xf numFmtId="0" fontId="9" fillId="0" borderId="0" xfId="4" applyFont="1" applyAlignment="1">
      <alignment horizontal="left"/>
    </xf>
    <xf numFmtId="0" fontId="7" fillId="0" borderId="0" xfId="4" applyFont="1" applyAlignment="1">
      <alignment horizontal="left"/>
    </xf>
    <xf numFmtId="3" fontId="7" fillId="0" borderId="0" xfId="4" applyNumberFormat="1" applyFont="1"/>
    <xf numFmtId="39" fontId="9" fillId="0" borderId="0" xfId="4" applyNumberFormat="1" applyFont="1" applyAlignment="1">
      <alignment horizontal="center" vertical="center"/>
    </xf>
    <xf numFmtId="2" fontId="7" fillId="0" borderId="0" xfId="4" applyNumberFormat="1" applyFont="1"/>
    <xf numFmtId="164" fontId="7" fillId="0" borderId="0" xfId="4" applyNumberFormat="1" applyFont="1"/>
    <xf numFmtId="39" fontId="7" fillId="0" borderId="0" xfId="4" applyNumberFormat="1" applyFont="1"/>
    <xf numFmtId="0" fontId="9" fillId="0" borderId="0" xfId="4" applyFont="1"/>
    <xf numFmtId="0" fontId="9" fillId="0" borderId="0" xfId="4" applyFont="1" applyAlignment="1">
      <alignment horizontal="center"/>
    </xf>
    <xf numFmtId="43" fontId="7" fillId="0" borderId="0" xfId="2" applyFont="1" applyFill="1"/>
    <xf numFmtId="170" fontId="7" fillId="0" borderId="0" xfId="0" applyNumberFormat="1" applyFont="1" applyAlignment="1">
      <alignment horizontal="right" vertical="center"/>
    </xf>
    <xf numFmtId="3" fontId="7" fillId="0" borderId="0" xfId="4" applyNumberFormat="1" applyFont="1" applyAlignment="1">
      <alignment horizontal="center"/>
    </xf>
    <xf numFmtId="3" fontId="9" fillId="0" borderId="8" xfId="4" applyNumberFormat="1" applyFont="1" applyBorder="1" applyAlignment="1">
      <alignment horizontal="center" vertical="center" wrapText="1"/>
    </xf>
    <xf numFmtId="3" fontId="9" fillId="0" borderId="34" xfId="4" applyNumberFormat="1" applyFont="1" applyBorder="1" applyAlignment="1">
      <alignment horizontal="center" vertical="center" wrapText="1"/>
    </xf>
    <xf numFmtId="3" fontId="9" fillId="0" borderId="14" xfId="4" applyNumberFormat="1" applyFont="1" applyBorder="1" applyAlignment="1">
      <alignment horizontal="center" vertical="center" wrapText="1"/>
    </xf>
    <xf numFmtId="3" fontId="9" fillId="0" borderId="26" xfId="4" applyNumberFormat="1" applyFont="1" applyBorder="1" applyAlignment="1">
      <alignment horizontal="center" vertical="center" wrapText="1"/>
    </xf>
    <xf numFmtId="4" fontId="9" fillId="0" borderId="8" xfId="4" applyNumberFormat="1" applyFont="1" applyBorder="1" applyAlignment="1">
      <alignment horizontal="center" vertical="center" wrapText="1"/>
    </xf>
    <xf numFmtId="3" fontId="9" fillId="0" borderId="9" xfId="4" applyNumberFormat="1" applyFont="1" applyBorder="1" applyAlignment="1">
      <alignment horizontal="center" vertical="center" wrapText="1"/>
    </xf>
    <xf numFmtId="0" fontId="4" fillId="0" borderId="1" xfId="4" applyFont="1" applyBorder="1" applyAlignment="1">
      <alignment vertical="center"/>
    </xf>
    <xf numFmtId="0" fontId="4" fillId="0" borderId="2" xfId="4" applyFont="1" applyBorder="1" applyAlignment="1">
      <alignment vertical="center"/>
    </xf>
    <xf numFmtId="39" fontId="4" fillId="0" borderId="2" xfId="4" applyNumberFormat="1" applyFont="1" applyBorder="1" applyAlignment="1">
      <alignment horizontal="right" vertical="center"/>
    </xf>
    <xf numFmtId="39" fontId="4" fillId="0" borderId="2" xfId="4" applyNumberFormat="1" applyFont="1" applyBorder="1" applyAlignment="1">
      <alignment horizontal="center" vertical="center"/>
    </xf>
    <xf numFmtId="3" fontId="4" fillId="0" borderId="2" xfId="4" applyNumberFormat="1" applyFont="1" applyBorder="1" applyAlignment="1">
      <alignment horizontal="right" vertical="center"/>
    </xf>
    <xf numFmtId="39" fontId="4" fillId="0" borderId="2" xfId="4" applyNumberFormat="1" applyFont="1" applyBorder="1" applyAlignment="1">
      <alignment vertical="center"/>
    </xf>
    <xf numFmtId="0" fontId="4" fillId="0" borderId="2" xfId="4" applyFont="1" applyBorder="1"/>
    <xf numFmtId="0" fontId="4" fillId="0" borderId="4" xfId="4" applyFont="1" applyBorder="1" applyAlignment="1">
      <alignment vertical="center"/>
    </xf>
    <xf numFmtId="0" fontId="4" fillId="0" borderId="5" xfId="4" applyFont="1" applyBorder="1" applyAlignment="1">
      <alignment vertical="center"/>
    </xf>
    <xf numFmtId="39" fontId="4" fillId="0" borderId="5" xfId="4" applyNumberFormat="1" applyFont="1" applyBorder="1" applyAlignment="1">
      <alignment horizontal="right" vertical="center"/>
    </xf>
    <xf numFmtId="39" fontId="4" fillId="0" borderId="5" xfId="4" applyNumberFormat="1" applyFont="1" applyBorder="1" applyAlignment="1">
      <alignment horizontal="center" vertical="center"/>
    </xf>
    <xf numFmtId="3" fontId="4" fillId="0" borderId="5" xfId="4" applyNumberFormat="1" applyFont="1" applyBorder="1" applyAlignment="1">
      <alignment horizontal="right" vertical="center"/>
    </xf>
    <xf numFmtId="39" fontId="4" fillId="0" borderId="5" xfId="4" applyNumberFormat="1" applyFont="1" applyBorder="1" applyAlignment="1">
      <alignment vertical="center"/>
    </xf>
    <xf numFmtId="3" fontId="4" fillId="0" borderId="5" xfId="4" applyNumberFormat="1" applyFont="1" applyBorder="1"/>
    <xf numFmtId="169" fontId="4" fillId="0" borderId="5" xfId="4" applyNumberFormat="1" applyFont="1" applyBorder="1"/>
    <xf numFmtId="39" fontId="4" fillId="0" borderId="5" xfId="4" applyNumberFormat="1" applyFont="1" applyBorder="1"/>
    <xf numFmtId="39" fontId="4" fillId="0" borderId="5" xfId="4" applyNumberFormat="1" applyFont="1" applyBorder="1" applyAlignment="1">
      <alignment horizontal="center"/>
    </xf>
    <xf numFmtId="4" fontId="9" fillId="0" borderId="0" xfId="4" applyNumberFormat="1" applyFont="1"/>
    <xf numFmtId="168" fontId="3" fillId="0" borderId="5" xfId="4" applyNumberFormat="1" applyFont="1" applyBorder="1" applyAlignment="1">
      <alignment horizontal="center"/>
    </xf>
    <xf numFmtId="3" fontId="3" fillId="0" borderId="5" xfId="4" applyNumberFormat="1" applyFont="1" applyBorder="1" applyAlignment="1">
      <alignment horizontal="right" vertical="center"/>
    </xf>
    <xf numFmtId="39" fontId="3" fillId="0" borderId="5" xfId="4" applyNumberFormat="1" applyFont="1" applyBorder="1" applyAlignment="1">
      <alignment vertical="center"/>
    </xf>
    <xf numFmtId="169" fontId="3" fillId="0" borderId="5" xfId="4" applyNumberFormat="1" applyFont="1" applyBorder="1"/>
    <xf numFmtId="170" fontId="7" fillId="0" borderId="0" xfId="4" applyNumberFormat="1" applyFont="1"/>
    <xf numFmtId="168" fontId="4" fillId="0" borderId="5" xfId="4" applyNumberFormat="1" applyFont="1" applyBorder="1" applyAlignment="1">
      <alignment horizontal="center" vertical="center"/>
    </xf>
    <xf numFmtId="3" fontId="3" fillId="0" borderId="5" xfId="4" applyNumberFormat="1" applyFont="1" applyBorder="1"/>
    <xf numFmtId="0" fontId="4" fillId="0" borderId="4" xfId="4" applyFont="1" applyBorder="1" applyAlignment="1">
      <alignment horizontal="left"/>
    </xf>
    <xf numFmtId="0" fontId="4" fillId="0" borderId="5" xfId="4" applyFont="1" applyBorder="1"/>
    <xf numFmtId="0" fontId="4" fillId="0" borderId="4" xfId="4" applyFont="1" applyBorder="1"/>
    <xf numFmtId="10" fontId="7" fillId="0" borderId="0" xfId="3" applyNumberFormat="1" applyFont="1" applyFill="1"/>
    <xf numFmtId="39" fontId="3" fillId="0" borderId="5" xfId="4" applyNumberFormat="1" applyFont="1" applyBorder="1" applyAlignment="1">
      <alignment horizontal="center"/>
    </xf>
    <xf numFmtId="169" fontId="3" fillId="0" borderId="5" xfId="4" applyNumberFormat="1" applyFont="1" applyBorder="1" applyAlignment="1">
      <alignment horizontal="center"/>
    </xf>
    <xf numFmtId="0" fontId="3" fillId="0" borderId="10" xfId="0" applyFont="1" applyBorder="1" applyAlignment="1">
      <alignment vertical="center"/>
    </xf>
    <xf numFmtId="169" fontId="3" fillId="0" borderId="11" xfId="4" applyNumberFormat="1" applyFont="1" applyBorder="1"/>
    <xf numFmtId="169" fontId="3" fillId="0" borderId="11" xfId="4" applyNumberFormat="1" applyFont="1" applyBorder="1" applyAlignment="1">
      <alignment horizontal="center"/>
    </xf>
    <xf numFmtId="39" fontId="3" fillId="0" borderId="11" xfId="4" applyNumberFormat="1" applyFont="1" applyBorder="1" applyAlignment="1">
      <alignment vertical="center"/>
    </xf>
    <xf numFmtId="169" fontId="4" fillId="0" borderId="11" xfId="0" applyNumberFormat="1" applyFont="1" applyBorder="1"/>
    <xf numFmtId="0" fontId="7" fillId="0" borderId="0" xfId="0" applyFont="1" applyAlignment="1">
      <alignment vertical="center"/>
    </xf>
    <xf numFmtId="43" fontId="9" fillId="0" borderId="0" xfId="2" applyFont="1" applyFill="1" applyBorder="1" applyAlignment="1">
      <alignment horizontal="center"/>
    </xf>
    <xf numFmtId="10" fontId="7" fillId="0" borderId="0" xfId="0" applyNumberFormat="1" applyFont="1" applyAlignment="1">
      <alignment horizontal="right"/>
    </xf>
    <xf numFmtId="43" fontId="3" fillId="0" borderId="0" xfId="2" applyFont="1" applyBorder="1" applyAlignment="1">
      <alignment horizontal="left"/>
    </xf>
    <xf numFmtId="43" fontId="3" fillId="0" borderId="0" xfId="2" applyFont="1" applyBorder="1" applyAlignment="1">
      <alignment horizontal="right"/>
    </xf>
    <xf numFmtId="43" fontId="3" fillId="0" borderId="0" xfId="2" applyFont="1" applyFill="1" applyBorder="1" applyAlignment="1">
      <alignment horizontal="right" vertical="center"/>
    </xf>
    <xf numFmtId="43" fontId="30" fillId="0" borderId="0" xfId="2" applyFont="1" applyBorder="1" applyAlignment="1">
      <alignment horizontal="right" vertical="center"/>
    </xf>
    <xf numFmtId="43" fontId="3" fillId="0" borderId="0" xfId="2" applyFont="1" applyBorder="1" applyAlignment="1">
      <alignment horizontal="right" vertical="center"/>
    </xf>
    <xf numFmtId="43" fontId="3" fillId="0" borderId="0" xfId="2" applyFont="1" applyAlignment="1">
      <alignment horizontal="center"/>
    </xf>
    <xf numFmtId="43" fontId="4" fillId="0" borderId="0" xfId="2" applyFont="1" applyAlignment="1">
      <alignment horizontal="center" vertical="center"/>
    </xf>
    <xf numFmtId="43" fontId="4" fillId="0" borderId="11" xfId="2" applyFont="1" applyBorder="1" applyAlignment="1">
      <alignment horizontal="center" vertical="center" wrapText="1"/>
    </xf>
    <xf numFmtId="43" fontId="4" fillId="0" borderId="12" xfId="2" applyFont="1" applyBorder="1" applyAlignment="1">
      <alignment horizontal="center" vertical="center" wrapText="1"/>
    </xf>
    <xf numFmtId="43" fontId="4" fillId="0" borderId="1" xfId="2" applyFont="1" applyBorder="1" applyAlignment="1">
      <alignment horizontal="left" vertical="center"/>
    </xf>
    <xf numFmtId="43" fontId="4" fillId="0" borderId="2" xfId="2" applyFont="1" applyBorder="1" applyAlignment="1">
      <alignment vertical="center"/>
    </xf>
    <xf numFmtId="43" fontId="4" fillId="0" borderId="2" xfId="2" applyFont="1" applyBorder="1" applyAlignment="1">
      <alignment horizontal="right" vertical="center"/>
    </xf>
    <xf numFmtId="43" fontId="4" fillId="0" borderId="2" xfId="2" applyFont="1" applyFill="1" applyBorder="1" applyAlignment="1">
      <alignment horizontal="right" vertical="center"/>
    </xf>
    <xf numFmtId="43" fontId="26" fillId="0" borderId="3" xfId="2" applyFont="1" applyFill="1" applyBorder="1" applyAlignment="1" applyProtection="1"/>
    <xf numFmtId="173" fontId="4" fillId="0" borderId="4" xfId="2" applyNumberFormat="1" applyFont="1" applyBorder="1" applyAlignment="1">
      <alignment horizontal="left" vertical="center"/>
    </xf>
    <xf numFmtId="43" fontId="4" fillId="0" borderId="5" xfId="2" applyFont="1" applyBorder="1" applyAlignment="1">
      <alignment vertical="center"/>
    </xf>
    <xf numFmtId="43" fontId="4" fillId="0" borderId="5" xfId="2" applyFont="1" applyBorder="1" applyAlignment="1">
      <alignment horizontal="right" vertical="center"/>
    </xf>
    <xf numFmtId="43" fontId="4" fillId="0" borderId="5" xfId="2" applyFont="1" applyFill="1" applyBorder="1" applyAlignment="1">
      <alignment horizontal="right" vertical="center"/>
    </xf>
    <xf numFmtId="43" fontId="26" fillId="0" borderId="6" xfId="2" applyFont="1" applyFill="1" applyBorder="1" applyAlignment="1" applyProtection="1"/>
    <xf numFmtId="43" fontId="4" fillId="0" borderId="4" xfId="2" applyFont="1" applyBorder="1" applyAlignment="1">
      <alignment horizontal="left" vertical="center"/>
    </xf>
    <xf numFmtId="43" fontId="4" fillId="0" borderId="5" xfId="2" applyFont="1" applyBorder="1" applyAlignment="1">
      <alignment horizontal="right"/>
    </xf>
    <xf numFmtId="43" fontId="4" fillId="0" borderId="5" xfId="2" applyFont="1" applyFill="1" applyBorder="1" applyAlignment="1" applyProtection="1">
      <alignment horizontal="right"/>
    </xf>
    <xf numFmtId="43" fontId="4" fillId="0" borderId="5" xfId="2" applyFont="1" applyFill="1" applyBorder="1" applyAlignment="1" applyProtection="1">
      <alignment horizontal="right" vertical="center"/>
    </xf>
    <xf numFmtId="43" fontId="3" fillId="0" borderId="4" xfId="2" applyFont="1" applyBorder="1" applyAlignment="1">
      <alignment horizontal="left" vertical="center"/>
    </xf>
    <xf numFmtId="43" fontId="3" fillId="0" borderId="5" xfId="2" applyFont="1" applyBorder="1" applyAlignment="1">
      <alignment vertical="center"/>
    </xf>
    <xf numFmtId="43" fontId="3" fillId="0" borderId="5" xfId="2" applyFont="1" applyBorder="1" applyAlignment="1">
      <alignment horizontal="right" vertical="center"/>
    </xf>
    <xf numFmtId="43" fontId="3" fillId="0" borderId="5" xfId="2" applyFont="1" applyFill="1" applyBorder="1" applyAlignment="1">
      <alignment horizontal="right" vertical="center"/>
    </xf>
    <xf numFmtId="43" fontId="3" fillId="0" borderId="5" xfId="2" applyFont="1" applyBorder="1" applyAlignment="1">
      <alignment vertical="center" wrapText="1"/>
    </xf>
    <xf numFmtId="43" fontId="3" fillId="0" borderId="5" xfId="2" applyFont="1" applyBorder="1" applyAlignment="1">
      <alignment horizontal="right"/>
    </xf>
    <xf numFmtId="173" fontId="4" fillId="0" borderId="4" xfId="2" applyNumberFormat="1" applyFont="1" applyBorder="1" applyAlignment="1">
      <alignment horizontal="left"/>
    </xf>
    <xf numFmtId="43" fontId="4" fillId="0" borderId="5" xfId="2" applyFont="1" applyBorder="1"/>
    <xf numFmtId="43" fontId="4" fillId="0" borderId="4" xfId="2" applyFont="1" applyBorder="1" applyAlignment="1">
      <alignment horizontal="left"/>
    </xf>
    <xf numFmtId="173" fontId="4" fillId="0" borderId="4" xfId="2" applyNumberFormat="1" applyFont="1" applyBorder="1" applyAlignment="1">
      <alignment horizontal="left" vertical="top"/>
    </xf>
    <xf numFmtId="43" fontId="3" fillId="0" borderId="10" xfId="2" applyFont="1" applyBorder="1" applyAlignment="1">
      <alignment horizontal="left" vertical="center"/>
    </xf>
    <xf numFmtId="43" fontId="3" fillId="0" borderId="11" xfId="2" applyFont="1" applyBorder="1"/>
    <xf numFmtId="43" fontId="3" fillId="0" borderId="11" xfId="2" applyFont="1" applyBorder="1" applyAlignment="1">
      <alignment horizontal="right"/>
    </xf>
    <xf numFmtId="43" fontId="3" fillId="0" borderId="11" xfId="2" applyFont="1" applyFill="1" applyBorder="1" applyAlignment="1">
      <alignment horizontal="right" vertical="center"/>
    </xf>
    <xf numFmtId="43" fontId="26" fillId="0" borderId="12" xfId="2" applyFont="1" applyFill="1" applyBorder="1" applyAlignment="1" applyProtection="1"/>
    <xf numFmtId="43" fontId="3" fillId="0" borderId="0" xfId="2" applyFont="1" applyBorder="1" applyAlignment="1">
      <alignment horizontal="left" vertical="center"/>
    </xf>
    <xf numFmtId="43" fontId="4" fillId="0" borderId="0" xfId="2" applyFont="1" applyAlignment="1">
      <alignment horizontal="center"/>
    </xf>
    <xf numFmtId="43" fontId="4" fillId="0" borderId="0" xfId="2" applyFont="1" applyAlignment="1">
      <alignment horizontal="right"/>
    </xf>
    <xf numFmtId="43" fontId="3" fillId="0" borderId="0" xfId="2" applyFont="1" applyAlignment="1">
      <alignment horizontal="left"/>
    </xf>
    <xf numFmtId="43" fontId="3" fillId="0" borderId="0" xfId="2" applyFont="1" applyAlignment="1">
      <alignment horizontal="right"/>
    </xf>
    <xf numFmtId="0" fontId="4" fillId="0" borderId="37" xfId="4" applyFont="1" applyBorder="1" applyAlignment="1">
      <alignment horizontal="center" vertical="center"/>
    </xf>
    <xf numFmtId="0" fontId="4" fillId="0" borderId="0" xfId="4" applyFont="1" applyAlignment="1">
      <alignment horizontal="center"/>
    </xf>
    <xf numFmtId="172" fontId="4" fillId="0" borderId="8" xfId="4" applyNumberFormat="1" applyFont="1" applyBorder="1" applyAlignment="1">
      <alignment horizontal="center" vertical="center"/>
    </xf>
    <xf numFmtId="172" fontId="4" fillId="0" borderId="8" xfId="4" applyNumberFormat="1" applyFont="1" applyBorder="1" applyAlignment="1">
      <alignment horizontal="center" vertical="center" wrapText="1"/>
    </xf>
    <xf numFmtId="1" fontId="33" fillId="0" borderId="1" xfId="6" applyNumberFormat="1" applyFont="1" applyBorder="1" applyAlignment="1">
      <alignment horizontal="left" vertical="top" shrinkToFit="1"/>
    </xf>
    <xf numFmtId="1" fontId="33" fillId="0" borderId="2" xfId="6" applyNumberFormat="1" applyFont="1" applyBorder="1" applyAlignment="1">
      <alignment horizontal="center" vertical="center" shrinkToFit="1"/>
    </xf>
    <xf numFmtId="0" fontId="4" fillId="0" borderId="2" xfId="4" applyFont="1" applyBorder="1" applyAlignment="1">
      <alignment horizontal="center" vertical="center"/>
    </xf>
    <xf numFmtId="0" fontId="9" fillId="0" borderId="2" xfId="6" applyFont="1" applyBorder="1" applyAlignment="1">
      <alignment horizontal="left" vertical="top" wrapText="1"/>
    </xf>
    <xf numFmtId="172" fontId="33" fillId="0" borderId="2" xfId="2" applyNumberFormat="1" applyFont="1" applyFill="1" applyBorder="1" applyAlignment="1">
      <alignment horizontal="right" vertical="top" shrinkToFit="1"/>
    </xf>
    <xf numFmtId="172" fontId="4" fillId="0" borderId="2" xfId="2" applyNumberFormat="1" applyFont="1" applyFill="1" applyBorder="1"/>
    <xf numFmtId="172" fontId="33" fillId="0" borderId="2" xfId="6" applyNumberFormat="1" applyFont="1" applyBorder="1" applyAlignment="1">
      <alignment horizontal="right" vertical="top" shrinkToFit="1"/>
    </xf>
    <xf numFmtId="172" fontId="33" fillId="0" borderId="3" xfId="6" applyNumberFormat="1" applyFont="1" applyBorder="1" applyAlignment="1">
      <alignment horizontal="right" vertical="top" shrinkToFit="1"/>
    </xf>
    <xf numFmtId="0" fontId="4" fillId="0" borderId="0" xfId="4" applyFont="1"/>
    <xf numFmtId="0" fontId="9" fillId="0" borderId="4" xfId="6" applyFont="1" applyBorder="1" applyAlignment="1">
      <alignment horizontal="left" vertical="top" wrapText="1"/>
    </xf>
    <xf numFmtId="1" fontId="33" fillId="0" borderId="5" xfId="6" applyNumberFormat="1" applyFont="1" applyBorder="1" applyAlignment="1">
      <alignment horizontal="center" vertical="center" shrinkToFit="1"/>
    </xf>
    <xf numFmtId="0" fontId="4" fillId="0" borderId="5" xfId="4" applyFont="1" applyBorder="1" applyAlignment="1">
      <alignment horizontal="center" vertical="center"/>
    </xf>
    <xf numFmtId="0" fontId="9" fillId="0" borderId="5" xfId="6" applyFont="1" applyBorder="1" applyAlignment="1">
      <alignment horizontal="left" vertical="top" wrapText="1"/>
    </xf>
    <xf numFmtId="172" fontId="33" fillId="0" borderId="5" xfId="2" applyNumberFormat="1" applyFont="1" applyFill="1" applyBorder="1" applyAlignment="1">
      <alignment horizontal="right" vertical="top" shrinkToFit="1"/>
    </xf>
    <xf numFmtId="172" fontId="4" fillId="0" borderId="5" xfId="2" applyNumberFormat="1" applyFont="1" applyFill="1" applyBorder="1"/>
    <xf numFmtId="172" fontId="33" fillId="0" borderId="5" xfId="6" applyNumberFormat="1" applyFont="1" applyBorder="1" applyAlignment="1">
      <alignment horizontal="right" vertical="top" shrinkToFit="1"/>
    </xf>
    <xf numFmtId="172" fontId="33" fillId="0" borderId="6" xfId="6" applyNumberFormat="1" applyFont="1" applyBorder="1" applyAlignment="1">
      <alignment horizontal="right" vertical="top" shrinkToFit="1"/>
    </xf>
    <xf numFmtId="0" fontId="3" fillId="0" borderId="0" xfId="4" applyFont="1"/>
    <xf numFmtId="2" fontId="4" fillId="0" borderId="0" xfId="2" applyNumberFormat="1" applyFont="1" applyFill="1" applyAlignment="1">
      <alignment horizontal="right"/>
    </xf>
    <xf numFmtId="0" fontId="7" fillId="0" borderId="4" xfId="6" applyFont="1" applyBorder="1" applyAlignment="1">
      <alignment horizontal="left" vertical="top" wrapText="1"/>
    </xf>
    <xf numFmtId="1" fontId="34" fillId="0" borderId="5" xfId="6" applyNumberFormat="1" applyFont="1" applyBorder="1" applyAlignment="1">
      <alignment horizontal="center" vertical="center" shrinkToFit="1"/>
    </xf>
    <xf numFmtId="0" fontId="3" fillId="0" borderId="5" xfId="4" applyFont="1" applyBorder="1" applyAlignment="1">
      <alignment horizontal="center" vertical="center"/>
    </xf>
    <xf numFmtId="0" fontId="7" fillId="0" borderId="5" xfId="6" applyFont="1" applyBorder="1" applyAlignment="1">
      <alignment horizontal="left" vertical="top" wrapText="1"/>
    </xf>
    <xf numFmtId="172" fontId="34" fillId="0" borderId="5" xfId="2" applyNumberFormat="1" applyFont="1" applyFill="1" applyBorder="1" applyAlignment="1">
      <alignment horizontal="right" vertical="top" shrinkToFit="1"/>
    </xf>
    <xf numFmtId="172" fontId="34" fillId="0" borderId="5" xfId="6" applyNumberFormat="1" applyFont="1" applyBorder="1" applyAlignment="1">
      <alignment horizontal="right" vertical="top" shrinkToFit="1"/>
    </xf>
    <xf numFmtId="172" fontId="34" fillId="0" borderId="6" xfId="6" applyNumberFormat="1" applyFont="1" applyBorder="1" applyAlignment="1">
      <alignment horizontal="right" vertical="top" shrinkToFit="1"/>
    </xf>
    <xf numFmtId="2" fontId="3" fillId="0" borderId="0" xfId="2" applyNumberFormat="1" applyFont="1" applyFill="1" applyAlignment="1">
      <alignment horizontal="right"/>
    </xf>
    <xf numFmtId="172" fontId="3" fillId="0" borderId="5" xfId="2" applyNumberFormat="1" applyFont="1" applyFill="1" applyBorder="1"/>
    <xf numFmtId="0" fontId="34" fillId="0" borderId="5" xfId="6" applyFont="1" applyBorder="1" applyAlignment="1">
      <alignment horizontal="left" vertical="top" wrapText="1"/>
    </xf>
    <xf numFmtId="0" fontId="33" fillId="0" borderId="5" xfId="6" applyFont="1" applyBorder="1" applyAlignment="1">
      <alignment horizontal="left" vertical="top" wrapText="1"/>
    </xf>
    <xf numFmtId="172" fontId="3" fillId="0" borderId="5" xfId="2" applyNumberFormat="1" applyFont="1" applyFill="1" applyBorder="1" applyAlignment="1">
      <alignment vertical="center"/>
    </xf>
    <xf numFmtId="0" fontId="3" fillId="0" borderId="4" xfId="4" applyFont="1" applyBorder="1" applyAlignment="1">
      <alignment horizontal="left"/>
    </xf>
    <xf numFmtId="0" fontId="3" fillId="0" borderId="5" xfId="4" applyFont="1" applyBorder="1" applyAlignment="1">
      <alignment wrapText="1"/>
    </xf>
    <xf numFmtId="172" fontId="3" fillId="0" borderId="5" xfId="2" applyNumberFormat="1" applyFont="1" applyFill="1" applyBorder="1" applyAlignment="1"/>
    <xf numFmtId="172" fontId="3" fillId="0" borderId="5" xfId="2" applyNumberFormat="1" applyFont="1" applyFill="1" applyBorder="1" applyAlignment="1">
      <alignment horizontal="right"/>
    </xf>
    <xf numFmtId="0" fontId="3" fillId="0" borderId="5" xfId="4" applyFont="1" applyBorder="1" applyAlignment="1">
      <alignment horizontal="center"/>
    </xf>
    <xf numFmtId="0" fontId="3" fillId="0" borderId="10" xfId="4" applyFont="1" applyBorder="1" applyAlignment="1">
      <alignment horizontal="left"/>
    </xf>
    <xf numFmtId="0" fontId="3" fillId="0" borderId="11" xfId="4" applyFont="1" applyBorder="1" applyAlignment="1">
      <alignment horizontal="center"/>
    </xf>
    <xf numFmtId="0" fontId="3" fillId="0" borderId="11" xfId="4" applyFont="1" applyBorder="1" applyAlignment="1">
      <alignment horizontal="center" vertical="center"/>
    </xf>
    <xf numFmtId="0" fontId="3" fillId="0" borderId="11" xfId="4" applyFont="1" applyBorder="1" applyAlignment="1">
      <alignment wrapText="1"/>
    </xf>
    <xf numFmtId="172" fontId="3" fillId="0" borderId="11" xfId="2" applyNumberFormat="1" applyFont="1" applyFill="1" applyBorder="1"/>
    <xf numFmtId="172" fontId="3" fillId="0" borderId="11" xfId="2" applyNumberFormat="1" applyFont="1" applyFill="1" applyBorder="1" applyAlignment="1">
      <alignment vertical="center"/>
    </xf>
    <xf numFmtId="172" fontId="3" fillId="0" borderId="11" xfId="2" applyNumberFormat="1" applyFont="1" applyFill="1" applyBorder="1" applyAlignment="1"/>
    <xf numFmtId="172" fontId="3" fillId="0" borderId="11" xfId="2" applyNumberFormat="1" applyFont="1" applyFill="1" applyBorder="1" applyAlignment="1">
      <alignment horizontal="right"/>
    </xf>
    <xf numFmtId="172" fontId="3" fillId="0" borderId="12" xfId="2" applyNumberFormat="1" applyFont="1" applyFill="1" applyBorder="1"/>
    <xf numFmtId="0" fontId="3" fillId="0" borderId="0" xfId="4" applyFont="1" applyAlignment="1">
      <alignment horizontal="left"/>
    </xf>
    <xf numFmtId="0" fontId="3" fillId="0" borderId="0" xfId="4" applyFont="1" applyAlignment="1">
      <alignment horizontal="center"/>
    </xf>
    <xf numFmtId="0" fontId="3" fillId="0" borderId="0" xfId="4" applyFont="1" applyAlignment="1">
      <alignment horizontal="center" vertical="center"/>
    </xf>
    <xf numFmtId="0" fontId="3" fillId="0" borderId="0" xfId="4" applyFont="1" applyAlignment="1">
      <alignment wrapText="1"/>
    </xf>
    <xf numFmtId="172" fontId="3" fillId="0" borderId="0" xfId="2" applyNumberFormat="1" applyFont="1" applyFill="1" applyBorder="1"/>
    <xf numFmtId="172" fontId="3" fillId="0" borderId="0" xfId="2" applyNumberFormat="1" applyFont="1" applyFill="1" applyBorder="1" applyAlignment="1">
      <alignment vertical="center"/>
    </xf>
    <xf numFmtId="172" fontId="3" fillId="0" borderId="0" xfId="2" applyNumberFormat="1" applyFont="1" applyFill="1" applyBorder="1" applyAlignment="1"/>
    <xf numFmtId="172" fontId="3" fillId="0" borderId="0" xfId="2" applyNumberFormat="1" applyFont="1" applyFill="1" applyBorder="1" applyAlignment="1">
      <alignment horizontal="right"/>
    </xf>
    <xf numFmtId="0" fontId="35" fillId="0" borderId="0" xfId="4" applyFont="1" applyAlignment="1">
      <alignment horizontal="left"/>
    </xf>
    <xf numFmtId="0" fontId="35" fillId="0" borderId="0" xfId="4" applyFont="1" applyAlignment="1">
      <alignment horizontal="center"/>
    </xf>
    <xf numFmtId="0" fontId="35" fillId="0" borderId="0" xfId="4" applyFont="1" applyAlignment="1">
      <alignment wrapText="1"/>
    </xf>
    <xf numFmtId="172" fontId="35" fillId="0" borderId="0" xfId="4" applyNumberFormat="1" applyFont="1"/>
    <xf numFmtId="172" fontId="35" fillId="0" borderId="0" xfId="4" applyNumberFormat="1" applyFont="1" applyAlignment="1">
      <alignment vertical="center"/>
    </xf>
    <xf numFmtId="172" fontId="35" fillId="0" borderId="0" xfId="2" applyNumberFormat="1" applyFont="1" applyFill="1" applyAlignment="1"/>
    <xf numFmtId="172" fontId="35" fillId="0" borderId="0" xfId="2" applyNumberFormat="1" applyFont="1" applyFill="1" applyAlignment="1">
      <alignment horizontal="right"/>
    </xf>
    <xf numFmtId="172" fontId="35" fillId="0" borderId="0" xfId="2" applyNumberFormat="1" applyFont="1" applyFill="1"/>
    <xf numFmtId="172" fontId="3" fillId="0" borderId="0" xfId="4" applyNumberFormat="1" applyFont="1"/>
    <xf numFmtId="169" fontId="36" fillId="0" borderId="0" xfId="6" applyNumberFormat="1" applyFont="1" applyAlignment="1">
      <alignment horizontal="center"/>
    </xf>
    <xf numFmtId="172" fontId="36" fillId="0" borderId="0" xfId="6" applyNumberFormat="1" applyFont="1"/>
    <xf numFmtId="172" fontId="36" fillId="0" borderId="0" xfId="6" applyNumberFormat="1" applyFont="1" applyAlignment="1">
      <alignment vertical="center"/>
    </xf>
    <xf numFmtId="172" fontId="36" fillId="0" borderId="0" xfId="2" applyNumberFormat="1" applyFont="1" applyFill="1" applyAlignment="1">
      <alignment horizontal="center" vertical="center"/>
    </xf>
    <xf numFmtId="172" fontId="36" fillId="0" borderId="0" xfId="2" applyNumberFormat="1" applyFont="1" applyFill="1" applyBorder="1" applyAlignment="1"/>
    <xf numFmtId="0" fontId="35" fillId="0" borderId="0" xfId="6" applyFont="1" applyAlignment="1">
      <alignment horizontal="center"/>
    </xf>
    <xf numFmtId="172" fontId="35" fillId="0" borderId="0" xfId="6" applyNumberFormat="1" applyFont="1"/>
    <xf numFmtId="172" fontId="35" fillId="0" borderId="0" xfId="6" applyNumberFormat="1" applyFont="1" applyAlignment="1">
      <alignment vertical="center"/>
    </xf>
    <xf numFmtId="172" fontId="35" fillId="0" borderId="0" xfId="2" applyNumberFormat="1" applyFont="1" applyFill="1" applyAlignment="1">
      <alignment horizontal="center" vertical="center"/>
    </xf>
    <xf numFmtId="172" fontId="3" fillId="0" borderId="0" xfId="4" applyNumberFormat="1" applyFont="1" applyAlignment="1">
      <alignment vertical="center"/>
    </xf>
    <xf numFmtId="172" fontId="3" fillId="0" borderId="0" xfId="2" applyNumberFormat="1" applyFont="1" applyFill="1" applyAlignment="1"/>
    <xf numFmtId="172" fontId="3" fillId="0" borderId="0" xfId="2" applyNumberFormat="1" applyFont="1" applyFill="1" applyAlignment="1">
      <alignment horizontal="right"/>
    </xf>
    <xf numFmtId="172" fontId="3" fillId="0" borderId="0" xfId="2" applyNumberFormat="1" applyFont="1" applyFill="1"/>
    <xf numFmtId="43" fontId="4" fillId="0" borderId="5" xfId="2" applyFont="1" applyFill="1" applyBorder="1" applyAlignment="1">
      <alignment horizontal="center" vertical="center" wrapText="1"/>
    </xf>
    <xf numFmtId="2" fontId="4" fillId="0" borderId="5" xfId="2" applyNumberFormat="1" applyFont="1" applyFill="1" applyBorder="1" applyAlignment="1">
      <alignment horizontal="center" vertical="center" wrapText="1"/>
    </xf>
    <xf numFmtId="3" fontId="4" fillId="0" borderId="6" xfId="4" applyNumberFormat="1" applyFont="1" applyBorder="1" applyAlignment="1">
      <alignment horizontal="center" vertical="center" wrapText="1"/>
    </xf>
    <xf numFmtId="0" fontId="4" fillId="0" borderId="39" xfId="2" applyNumberFormat="1" applyFont="1" applyFill="1" applyBorder="1" applyAlignment="1">
      <alignment horizontal="left" vertical="center"/>
    </xf>
    <xf numFmtId="0" fontId="4" fillId="0" borderId="29" xfId="2" applyNumberFormat="1" applyFont="1" applyFill="1" applyBorder="1" applyAlignment="1">
      <alignment horizontal="center" vertical="center"/>
    </xf>
    <xf numFmtId="43" fontId="4" fillId="0" borderId="29" xfId="2" applyFont="1" applyFill="1" applyBorder="1" applyAlignment="1">
      <alignment vertical="center"/>
    </xf>
    <xf numFmtId="43" fontId="33" fillId="0" borderId="29" xfId="2" applyFont="1" applyFill="1" applyBorder="1" applyAlignment="1">
      <alignment horizontal="right" vertical="center"/>
    </xf>
    <xf numFmtId="43" fontId="4" fillId="0" borderId="29" xfId="2" applyFont="1" applyFill="1" applyBorder="1" applyAlignment="1">
      <alignment horizontal="right" vertical="center"/>
    </xf>
    <xf numFmtId="43" fontId="25" fillId="0" borderId="40" xfId="2" applyFont="1" applyFill="1" applyBorder="1" applyAlignment="1" applyProtection="1"/>
    <xf numFmtId="0" fontId="4" fillId="0" borderId="4" xfId="2" applyNumberFormat="1" applyFont="1" applyFill="1" applyBorder="1" applyAlignment="1">
      <alignment horizontal="left" vertical="center"/>
    </xf>
    <xf numFmtId="0" fontId="4" fillId="0" borderId="5" xfId="2" applyNumberFormat="1" applyFont="1" applyFill="1" applyBorder="1" applyAlignment="1">
      <alignment horizontal="center" vertical="center"/>
    </xf>
    <xf numFmtId="43" fontId="4" fillId="0" borderId="5" xfId="2" applyFont="1" applyFill="1" applyBorder="1" applyAlignment="1">
      <alignment vertical="center"/>
    </xf>
    <xf numFmtId="43" fontId="33" fillId="0" borderId="5" xfId="2" applyFont="1" applyFill="1" applyBorder="1" applyAlignment="1">
      <alignment horizontal="right" vertical="center"/>
    </xf>
    <xf numFmtId="43" fontId="25" fillId="0" borderId="6" xfId="2" applyFont="1" applyFill="1" applyBorder="1" applyAlignment="1" applyProtection="1"/>
    <xf numFmtId="43" fontId="4" fillId="0" borderId="4" xfId="2" applyFont="1" applyFill="1" applyBorder="1" applyAlignment="1">
      <alignment vertical="center"/>
    </xf>
    <xf numFmtId="43" fontId="3" fillId="0" borderId="4" xfId="2" applyFont="1" applyFill="1" applyBorder="1" applyAlignment="1">
      <alignment vertical="center"/>
    </xf>
    <xf numFmtId="0" fontId="3" fillId="0" borderId="5" xfId="2" applyNumberFormat="1" applyFont="1" applyFill="1" applyBorder="1" applyAlignment="1">
      <alignment horizontal="center" vertical="center"/>
    </xf>
    <xf numFmtId="43" fontId="3" fillId="0" borderId="5" xfId="2" applyFont="1" applyFill="1" applyBorder="1" applyAlignment="1">
      <alignment vertical="center"/>
    </xf>
    <xf numFmtId="43" fontId="34" fillId="0" borderId="5" xfId="2" applyFont="1" applyFill="1" applyBorder="1" applyAlignment="1">
      <alignment horizontal="right" vertical="center"/>
    </xf>
    <xf numFmtId="43" fontId="3" fillId="0" borderId="5" xfId="2" applyFont="1" applyFill="1" applyBorder="1" applyAlignment="1" applyProtection="1">
      <alignment horizontal="right"/>
    </xf>
    <xf numFmtId="43" fontId="3" fillId="0" borderId="5" xfId="2" applyFont="1" applyFill="1" applyBorder="1" applyAlignment="1" applyProtection="1"/>
    <xf numFmtId="43" fontId="4" fillId="0" borderId="5" xfId="2" applyFont="1" applyFill="1" applyBorder="1" applyAlignment="1">
      <alignment vertical="center" wrapText="1"/>
    </xf>
    <xf numFmtId="43" fontId="4" fillId="0" borderId="5" xfId="2" applyFont="1" applyFill="1" applyBorder="1" applyAlignment="1">
      <alignment horizontal="right"/>
    </xf>
    <xf numFmtId="43" fontId="3" fillId="0" borderId="5" xfId="2" applyFont="1" applyFill="1" applyBorder="1" applyAlignment="1">
      <alignment horizontal="right"/>
    </xf>
    <xf numFmtId="10" fontId="3" fillId="0" borderId="0" xfId="4" applyNumberFormat="1" applyFont="1"/>
    <xf numFmtId="43" fontId="3" fillId="0" borderId="5" xfId="2" applyFont="1" applyFill="1" applyBorder="1" applyAlignment="1">
      <alignment vertical="center" wrapText="1"/>
    </xf>
    <xf numFmtId="43" fontId="3" fillId="0" borderId="4" xfId="2" applyFont="1" applyFill="1" applyBorder="1" applyAlignment="1">
      <alignment horizontal="left"/>
    </xf>
    <xf numFmtId="0" fontId="3" fillId="0" borderId="5" xfId="2" applyNumberFormat="1" applyFont="1" applyFill="1" applyBorder="1" applyAlignment="1">
      <alignment horizontal="center"/>
    </xf>
    <xf numFmtId="43" fontId="3" fillId="0" borderId="4" xfId="2" applyFont="1" applyFill="1" applyBorder="1"/>
    <xf numFmtId="43" fontId="34" fillId="0" borderId="5" xfId="2" applyFont="1" applyFill="1" applyBorder="1" applyAlignment="1">
      <alignment horizontal="center" vertical="center"/>
    </xf>
    <xf numFmtId="43" fontId="3" fillId="0" borderId="10" xfId="2" applyFont="1" applyFill="1" applyBorder="1"/>
    <xf numFmtId="0" fontId="3" fillId="0" borderId="11" xfId="2" applyNumberFormat="1" applyFont="1" applyFill="1" applyBorder="1" applyAlignment="1">
      <alignment horizontal="center"/>
    </xf>
    <xf numFmtId="43" fontId="34" fillId="0" borderId="11" xfId="2" applyFont="1" applyFill="1" applyBorder="1" applyAlignment="1">
      <alignment horizontal="center" vertical="center"/>
    </xf>
    <xf numFmtId="43" fontId="3" fillId="0" borderId="11" xfId="2" applyFont="1" applyFill="1" applyBorder="1" applyAlignment="1">
      <alignment horizontal="right"/>
    </xf>
    <xf numFmtId="0" fontId="3" fillId="0" borderId="0" xfId="4" applyFont="1" applyAlignment="1">
      <alignment horizontal="right"/>
    </xf>
    <xf numFmtId="169" fontId="3" fillId="0" borderId="0" xfId="4" applyNumberFormat="1" applyFont="1"/>
    <xf numFmtId="169" fontId="3" fillId="0" borderId="0" xfId="4" applyNumberFormat="1" applyFont="1" applyAlignment="1">
      <alignment vertical="center"/>
    </xf>
    <xf numFmtId="43" fontId="3" fillId="0" borderId="0" xfId="2" applyFont="1" applyFill="1" applyAlignment="1"/>
    <xf numFmtId="43" fontId="3" fillId="0" borderId="0" xfId="2" applyFont="1" applyFill="1" applyAlignment="1">
      <alignment horizontal="right"/>
    </xf>
    <xf numFmtId="0" fontId="4" fillId="0" borderId="0" xfId="4" applyFont="1" applyAlignment="1">
      <alignment horizontal="right"/>
    </xf>
    <xf numFmtId="169" fontId="4" fillId="0" borderId="0" xfId="4" applyNumberFormat="1" applyFont="1"/>
    <xf numFmtId="43" fontId="4" fillId="0" borderId="0" xfId="2" applyFont="1" applyFill="1" applyAlignment="1"/>
    <xf numFmtId="10" fontId="4" fillId="0" borderId="0" xfId="4" applyNumberFormat="1" applyFont="1"/>
    <xf numFmtId="169" fontId="23" fillId="0" borderId="0" xfId="0" applyNumberFormat="1" applyFont="1" applyAlignment="1">
      <alignment horizontal="center"/>
    </xf>
    <xf numFmtId="0" fontId="7" fillId="0" borderId="0" xfId="0" applyFont="1" applyAlignment="1">
      <alignment horizontal="center"/>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33" xfId="0" applyFont="1" applyFill="1" applyBorder="1" applyAlignment="1">
      <alignment horizontal="center" vertical="center" wrapText="1"/>
    </xf>
    <xf numFmtId="3" fontId="7" fillId="3" borderId="18" xfId="0" applyNumberFormat="1" applyFont="1" applyFill="1" applyBorder="1" applyAlignment="1">
      <alignment horizontal="center" vertical="center"/>
    </xf>
    <xf numFmtId="3" fontId="7" fillId="3" borderId="21" xfId="0" applyNumberFormat="1" applyFont="1" applyFill="1" applyBorder="1" applyAlignment="1">
      <alignment horizontal="center" vertical="center"/>
    </xf>
    <xf numFmtId="3" fontId="7" fillId="3" borderId="19" xfId="0" applyNumberFormat="1" applyFont="1" applyFill="1" applyBorder="1" applyAlignment="1">
      <alignment horizontal="center" vertical="center"/>
    </xf>
    <xf numFmtId="3" fontId="7" fillId="3" borderId="22" xfId="0" applyNumberFormat="1" applyFont="1" applyFill="1" applyBorder="1" applyAlignment="1">
      <alignment horizontal="center" vertical="center" wrapText="1"/>
    </xf>
    <xf numFmtId="0" fontId="7" fillId="0" borderId="31" xfId="0" applyFont="1" applyBorder="1"/>
    <xf numFmtId="3" fontId="7" fillId="3" borderId="1" xfId="0" applyNumberFormat="1" applyFont="1" applyFill="1" applyBorder="1" applyAlignment="1">
      <alignment horizontal="center" vertical="center"/>
    </xf>
    <xf numFmtId="3" fontId="7" fillId="3" borderId="3" xfId="0" applyNumberFormat="1" applyFont="1" applyFill="1" applyBorder="1" applyAlignment="1">
      <alignment horizontal="center" vertical="center"/>
    </xf>
    <xf numFmtId="3" fontId="7" fillId="3" borderId="10" xfId="0" applyNumberFormat="1" applyFont="1" applyFill="1" applyBorder="1" applyAlignment="1">
      <alignment horizontal="center" vertical="center"/>
    </xf>
    <xf numFmtId="3" fontId="7" fillId="3" borderId="12" xfId="0" applyNumberFormat="1" applyFont="1" applyFill="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xf>
    <xf numFmtId="3" fontId="7" fillId="3" borderId="23" xfId="0" applyNumberFormat="1" applyFont="1" applyFill="1" applyBorder="1" applyAlignment="1">
      <alignment horizontal="center" vertical="center"/>
    </xf>
    <xf numFmtId="3" fontId="7" fillId="3" borderId="24" xfId="0" applyNumberFormat="1" applyFont="1" applyFill="1" applyBorder="1" applyAlignment="1">
      <alignment horizontal="center" vertical="center"/>
    </xf>
    <xf numFmtId="0" fontId="9" fillId="0" borderId="25" xfId="0" applyFont="1" applyBorder="1" applyAlignment="1">
      <alignment horizontal="center" vertical="center" wrapText="1"/>
    </xf>
    <xf numFmtId="169" fontId="9" fillId="0" borderId="0" xfId="0" applyNumberFormat="1" applyFont="1" applyAlignment="1">
      <alignment horizontal="center"/>
    </xf>
    <xf numFmtId="43" fontId="9" fillId="0" borderId="0" xfId="2" applyFont="1" applyBorder="1" applyAlignment="1">
      <alignment horizontal="center"/>
    </xf>
    <xf numFmtId="169" fontId="3" fillId="0" borderId="0" xfId="0" applyNumberFormat="1" applyFont="1" applyAlignment="1">
      <alignment horizontal="center"/>
    </xf>
    <xf numFmtId="169" fontId="7" fillId="0" borderId="0" xfId="0" applyNumberFormat="1" applyFont="1" applyAlignment="1">
      <alignment horizontal="center"/>
    </xf>
    <xf numFmtId="0" fontId="9" fillId="0" borderId="26" xfId="0" applyFont="1" applyBorder="1" applyAlignment="1">
      <alignment horizontal="center" vertical="center" wrapText="1"/>
    </xf>
    <xf numFmtId="3" fontId="4" fillId="0" borderId="28" xfId="0" applyNumberFormat="1" applyFont="1" applyBorder="1" applyAlignment="1">
      <alignment horizontal="center" vertical="center"/>
    </xf>
    <xf numFmtId="3" fontId="4" fillId="0" borderId="29" xfId="0" applyNumberFormat="1" applyFont="1" applyBorder="1" applyAlignment="1">
      <alignment horizontal="center" vertical="center"/>
    </xf>
    <xf numFmtId="3" fontId="4" fillId="0" borderId="30" xfId="0" applyNumberFormat="1" applyFont="1" applyBorder="1" applyAlignment="1">
      <alignment horizontal="center" vertical="center"/>
    </xf>
    <xf numFmtId="3" fontId="4" fillId="0" borderId="15" xfId="0" applyNumberFormat="1" applyFont="1" applyBorder="1" applyAlignment="1">
      <alignment horizontal="center" vertical="center"/>
    </xf>
    <xf numFmtId="3" fontId="4" fillId="0" borderId="32" xfId="0" applyNumberFormat="1" applyFont="1" applyBorder="1" applyAlignment="1">
      <alignment horizontal="center" vertical="center"/>
    </xf>
    <xf numFmtId="3" fontId="4" fillId="0" borderId="5" xfId="0" applyNumberFormat="1" applyFont="1" applyBorder="1" applyAlignment="1">
      <alignment horizontal="center" vertical="center"/>
    </xf>
    <xf numFmtId="3" fontId="4" fillId="0" borderId="6" xfId="0" applyNumberFormat="1" applyFont="1" applyBorder="1" applyAlignment="1">
      <alignment horizontal="center" vertical="center"/>
    </xf>
    <xf numFmtId="0" fontId="4" fillId="0" borderId="0" xfId="0" applyFont="1" applyAlignment="1">
      <alignment horizontal="center"/>
    </xf>
    <xf numFmtId="4" fontId="4" fillId="0" borderId="0" xfId="0" applyNumberFormat="1" applyFont="1" applyAlignment="1">
      <alignment horizont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8" xfId="0" applyFont="1" applyFill="1" applyBorder="1" applyAlignment="1">
      <alignment horizontal="center" vertical="center" wrapText="1"/>
    </xf>
    <xf numFmtId="3" fontId="3" fillId="3" borderId="2" xfId="0" applyNumberFormat="1" applyFont="1" applyFill="1" applyBorder="1" applyAlignment="1">
      <alignment horizontal="center" vertical="center"/>
    </xf>
    <xf numFmtId="3" fontId="3" fillId="3" borderId="2" xfId="0" applyNumberFormat="1" applyFont="1" applyFill="1" applyBorder="1" applyAlignment="1">
      <alignment horizontal="center" vertical="center" wrapText="1"/>
    </xf>
    <xf numFmtId="0" fontId="3" fillId="0" borderId="5" xfId="0" applyFont="1" applyBorder="1"/>
    <xf numFmtId="0" fontId="3" fillId="0" borderId="8" xfId="0" applyFont="1" applyBorder="1"/>
    <xf numFmtId="166" fontId="3" fillId="3" borderId="2" xfId="2" applyNumberFormat="1" applyFont="1" applyFill="1" applyBorder="1" applyAlignment="1">
      <alignment horizontal="center" vertical="center"/>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166" fontId="4" fillId="0" borderId="6" xfId="2" applyNumberFormat="1" applyFont="1" applyBorder="1" applyAlignment="1">
      <alignment horizontal="center" vertical="center" wrapText="1"/>
    </xf>
    <xf numFmtId="166" fontId="4" fillId="0" borderId="9" xfId="2" applyNumberFormat="1" applyFont="1" applyBorder="1" applyAlignment="1">
      <alignment horizontal="center" vertical="center" wrapText="1"/>
    </xf>
    <xf numFmtId="169" fontId="4" fillId="0" borderId="0" xfId="0" applyNumberFormat="1" applyFont="1" applyAlignment="1">
      <alignment horizontal="center"/>
    </xf>
    <xf numFmtId="43" fontId="4" fillId="0" borderId="0" xfId="2" applyFont="1" applyBorder="1" applyAlignment="1">
      <alignment horizontal="center"/>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3" fontId="3" fillId="0" borderId="5" xfId="0" applyNumberFormat="1" applyFont="1" applyBorder="1" applyAlignment="1">
      <alignment horizontal="center" vertical="center" wrapText="1"/>
    </xf>
    <xf numFmtId="3" fontId="3" fillId="0" borderId="5" xfId="0" applyNumberFormat="1" applyFont="1" applyBorder="1" applyAlignment="1">
      <alignment horizontal="center" vertical="center"/>
    </xf>
    <xf numFmtId="166" fontId="4" fillId="0" borderId="5" xfId="2" applyNumberFormat="1" applyFont="1" applyBorder="1" applyAlignment="1">
      <alignment horizontal="center" vertical="center" wrapText="1"/>
    </xf>
    <xf numFmtId="166" fontId="4" fillId="0" borderId="8" xfId="2" applyNumberFormat="1" applyFont="1" applyBorder="1" applyAlignment="1">
      <alignment horizontal="center" vertical="center" wrapText="1"/>
    </xf>
    <xf numFmtId="169" fontId="27" fillId="0" borderId="0" xfId="0" applyNumberFormat="1" applyFont="1" applyAlignment="1">
      <alignment horizontal="center"/>
    </xf>
    <xf numFmtId="0" fontId="3" fillId="0" borderId="0" xfId="0" applyFont="1" applyAlignment="1">
      <alignment horizontal="center"/>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33" xfId="0" applyFont="1" applyFill="1" applyBorder="1" applyAlignment="1">
      <alignment horizontal="center" vertical="center" wrapText="1"/>
    </xf>
    <xf numFmtId="3" fontId="3" fillId="3" borderId="18" xfId="0" applyNumberFormat="1" applyFont="1" applyFill="1" applyBorder="1" applyAlignment="1">
      <alignment horizontal="center" vertical="center"/>
    </xf>
    <xf numFmtId="3" fontId="3" fillId="3" borderId="21" xfId="0" applyNumberFormat="1" applyFont="1" applyFill="1" applyBorder="1" applyAlignment="1">
      <alignment horizontal="center" vertical="center"/>
    </xf>
    <xf numFmtId="3" fontId="3" fillId="3" borderId="19" xfId="0" applyNumberFormat="1" applyFont="1" applyFill="1" applyBorder="1" applyAlignment="1">
      <alignment horizontal="center" vertical="center"/>
    </xf>
    <xf numFmtId="3" fontId="3" fillId="3" borderId="22" xfId="0" applyNumberFormat="1" applyFont="1" applyFill="1" applyBorder="1" applyAlignment="1">
      <alignment horizontal="center" vertical="center" wrapText="1"/>
    </xf>
    <xf numFmtId="0" fontId="3" fillId="0" borderId="31" xfId="0" applyFont="1" applyBorder="1"/>
    <xf numFmtId="3" fontId="3" fillId="3" borderId="1" xfId="0" applyNumberFormat="1" applyFont="1" applyFill="1" applyBorder="1" applyAlignment="1">
      <alignment horizontal="center" vertical="center"/>
    </xf>
    <xf numFmtId="3" fontId="3" fillId="3" borderId="3" xfId="0" applyNumberFormat="1" applyFont="1" applyFill="1" applyBorder="1" applyAlignment="1">
      <alignment horizontal="center" vertical="center"/>
    </xf>
    <xf numFmtId="3" fontId="3" fillId="3" borderId="10" xfId="0" applyNumberFormat="1" applyFont="1" applyFill="1" applyBorder="1" applyAlignment="1">
      <alignment horizontal="center" vertical="center"/>
    </xf>
    <xf numFmtId="3" fontId="3" fillId="3" borderId="12" xfId="0" applyNumberFormat="1" applyFont="1" applyFill="1" applyBorder="1" applyAlignment="1">
      <alignment horizontal="center" vertical="center"/>
    </xf>
    <xf numFmtId="0" fontId="3" fillId="0" borderId="21" xfId="0" applyFont="1" applyBorder="1" applyAlignment="1">
      <alignment horizontal="center" vertical="center"/>
    </xf>
    <xf numFmtId="0" fontId="3" fillId="0" borderId="19" xfId="0" applyFont="1" applyBorder="1" applyAlignment="1">
      <alignment horizontal="center" vertical="center"/>
    </xf>
    <xf numFmtId="3" fontId="3" fillId="3" borderId="23" xfId="0" applyNumberFormat="1" applyFont="1" applyFill="1" applyBorder="1" applyAlignment="1">
      <alignment horizontal="center" vertical="center"/>
    </xf>
    <xf numFmtId="3" fontId="3" fillId="3" borderId="24" xfId="0" applyNumberFormat="1" applyFont="1" applyFill="1" applyBorder="1" applyAlignment="1">
      <alignment horizontal="center"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28" fillId="0" borderId="35" xfId="0" applyFont="1" applyBorder="1" applyAlignment="1">
      <alignment horizontal="left" wrapText="1"/>
    </xf>
    <xf numFmtId="0" fontId="4" fillId="0" borderId="4" xfId="0" applyFont="1" applyBorder="1" applyAlignment="1">
      <alignment horizontal="right" vertical="center" wrapText="1"/>
    </xf>
    <xf numFmtId="0" fontId="4" fillId="0" borderId="7" xfId="0" applyFont="1" applyBorder="1" applyAlignment="1">
      <alignment horizontal="right" vertical="center" wrapText="1"/>
    </xf>
    <xf numFmtId="169" fontId="23" fillId="0" borderId="0" xfId="4" applyNumberFormat="1" applyFont="1" applyAlignment="1">
      <alignment horizontal="center"/>
    </xf>
    <xf numFmtId="0" fontId="7" fillId="0" borderId="0" xfId="4" applyFont="1" applyAlignment="1">
      <alignment horizontal="center"/>
    </xf>
    <xf numFmtId="0" fontId="7" fillId="0" borderId="18" xfId="4" applyFont="1" applyBorder="1" applyAlignment="1">
      <alignment horizontal="center" vertical="center" wrapText="1"/>
    </xf>
    <xf numFmtId="0" fontId="7" fillId="0" borderId="19" xfId="4" applyFont="1" applyBorder="1" applyAlignment="1">
      <alignment horizontal="center" vertical="center" wrapText="1"/>
    </xf>
    <xf numFmtId="0" fontId="7" fillId="0" borderId="20" xfId="4" applyFont="1" applyBorder="1" applyAlignment="1">
      <alignment horizontal="center" vertical="center" wrapText="1"/>
    </xf>
    <xf numFmtId="0" fontId="7" fillId="0" borderId="27" xfId="4" applyFont="1" applyBorder="1" applyAlignment="1">
      <alignment horizontal="center" vertical="center" wrapText="1"/>
    </xf>
    <xf numFmtId="0" fontId="7" fillId="0" borderId="33" xfId="4" applyFont="1" applyBorder="1" applyAlignment="1">
      <alignment horizontal="center" vertical="center" wrapText="1"/>
    </xf>
    <xf numFmtId="3" fontId="7" fillId="0" borderId="18" xfId="4" applyNumberFormat="1" applyFont="1" applyBorder="1" applyAlignment="1">
      <alignment horizontal="center" vertical="center"/>
    </xf>
    <xf numFmtId="3" fontId="7" fillId="0" borderId="21" xfId="4" applyNumberFormat="1" applyFont="1" applyBorder="1" applyAlignment="1">
      <alignment horizontal="center" vertical="center"/>
    </xf>
    <xf numFmtId="3" fontId="7" fillId="0" borderId="19" xfId="4" applyNumberFormat="1" applyFont="1" applyBorder="1" applyAlignment="1">
      <alignment horizontal="center" vertical="center"/>
    </xf>
    <xf numFmtId="3" fontId="7" fillId="0" borderId="22" xfId="4" applyNumberFormat="1" applyFont="1" applyBorder="1" applyAlignment="1">
      <alignment horizontal="center" vertical="center" wrapText="1"/>
    </xf>
    <xf numFmtId="0" fontId="7" fillId="0" borderId="31" xfId="4" applyFont="1" applyBorder="1"/>
    <xf numFmtId="3" fontId="7" fillId="0" borderId="1" xfId="4" applyNumberFormat="1" applyFont="1" applyBorder="1" applyAlignment="1">
      <alignment horizontal="center" vertical="center"/>
    </xf>
    <xf numFmtId="3" fontId="7" fillId="0" borderId="3" xfId="4" applyNumberFormat="1" applyFont="1" applyBorder="1" applyAlignment="1">
      <alignment horizontal="center" vertical="center"/>
    </xf>
    <xf numFmtId="3" fontId="7" fillId="0" borderId="10" xfId="4" applyNumberFormat="1" applyFont="1" applyBorder="1" applyAlignment="1">
      <alignment horizontal="center" vertical="center"/>
    </xf>
    <xf numFmtId="3" fontId="7" fillId="0" borderId="12" xfId="4" applyNumberFormat="1" applyFont="1" applyBorder="1" applyAlignment="1">
      <alignment horizontal="center" vertical="center"/>
    </xf>
    <xf numFmtId="0" fontId="7" fillId="0" borderId="21" xfId="4" applyFont="1" applyBorder="1" applyAlignment="1">
      <alignment horizontal="center" vertical="center"/>
    </xf>
    <xf numFmtId="0" fontId="7" fillId="0" borderId="19" xfId="4" applyFont="1" applyBorder="1" applyAlignment="1">
      <alignment horizontal="center" vertical="center"/>
    </xf>
    <xf numFmtId="3" fontId="7" fillId="0" borderId="23" xfId="4" applyNumberFormat="1" applyFont="1" applyBorder="1" applyAlignment="1">
      <alignment horizontal="center" vertical="center"/>
    </xf>
    <xf numFmtId="3" fontId="7" fillId="0" borderId="24" xfId="4" applyNumberFormat="1" applyFont="1" applyBorder="1" applyAlignment="1">
      <alignment horizontal="center" vertical="center"/>
    </xf>
    <xf numFmtId="0" fontId="9" fillId="0" borderId="25" xfId="4" applyFont="1" applyBorder="1" applyAlignment="1">
      <alignment horizontal="center" vertical="center" wrapText="1"/>
    </xf>
    <xf numFmtId="43" fontId="9" fillId="0" borderId="0" xfId="2" applyFont="1" applyFill="1" applyBorder="1" applyAlignment="1">
      <alignment horizontal="center"/>
    </xf>
    <xf numFmtId="0" fontId="9" fillId="0" borderId="26" xfId="4" applyFont="1" applyBorder="1" applyAlignment="1">
      <alignment horizontal="center" vertical="center" wrapText="1"/>
    </xf>
    <xf numFmtId="3" fontId="9" fillId="0" borderId="28" xfId="4" applyNumberFormat="1" applyFont="1" applyBorder="1" applyAlignment="1">
      <alignment horizontal="center" vertical="center"/>
    </xf>
    <xf numFmtId="3" fontId="9" fillId="0" borderId="29" xfId="4" applyNumberFormat="1" applyFont="1" applyBorder="1" applyAlignment="1">
      <alignment horizontal="center" vertical="center"/>
    </xf>
    <xf numFmtId="3" fontId="9" fillId="0" borderId="30" xfId="4" applyNumberFormat="1" applyFont="1" applyBorder="1" applyAlignment="1">
      <alignment horizontal="center" vertical="center"/>
    </xf>
    <xf numFmtId="3" fontId="9" fillId="0" borderId="15" xfId="4" applyNumberFormat="1" applyFont="1" applyBorder="1" applyAlignment="1">
      <alignment horizontal="center" vertical="center"/>
    </xf>
    <xf numFmtId="3" fontId="9" fillId="0" borderId="32" xfId="4" applyNumberFormat="1" applyFont="1" applyBorder="1" applyAlignment="1">
      <alignment horizontal="center" vertical="center"/>
    </xf>
    <xf numFmtId="3" fontId="9" fillId="0" borderId="5" xfId="4" applyNumberFormat="1" applyFont="1" applyBorder="1" applyAlignment="1">
      <alignment horizontal="center" vertical="center"/>
    </xf>
    <xf numFmtId="3" fontId="9" fillId="0" borderId="6" xfId="4" applyNumberFormat="1" applyFont="1" applyBorder="1" applyAlignment="1">
      <alignment horizontal="center" vertical="center"/>
    </xf>
    <xf numFmtId="0" fontId="4" fillId="0" borderId="0" xfId="0" applyFont="1" applyAlignment="1">
      <alignment horizontal="left"/>
    </xf>
    <xf numFmtId="0" fontId="4" fillId="0" borderId="13" xfId="0" applyFont="1" applyBorder="1" applyAlignment="1">
      <alignment horizontal="left"/>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3" fontId="3" fillId="0" borderId="2" xfId="0" applyNumberFormat="1" applyFont="1" applyBorder="1" applyAlignment="1">
      <alignment horizontal="center" vertical="center"/>
    </xf>
    <xf numFmtId="166" fontId="3" fillId="0" borderId="2" xfId="2" applyNumberFormat="1" applyFont="1" applyFill="1" applyBorder="1" applyAlignment="1">
      <alignment horizontal="center" vertical="center"/>
    </xf>
    <xf numFmtId="0" fontId="4" fillId="0" borderId="4" xfId="0" applyFont="1" applyBorder="1" applyAlignment="1">
      <alignment horizontal="right" wrapText="1"/>
    </xf>
    <xf numFmtId="0" fontId="4" fillId="0" borderId="7" xfId="0" applyFont="1" applyBorder="1" applyAlignment="1">
      <alignment horizontal="right" wrapText="1"/>
    </xf>
    <xf numFmtId="166" fontId="4" fillId="0" borderId="5" xfId="2" applyNumberFormat="1" applyFont="1" applyFill="1" applyBorder="1" applyAlignment="1">
      <alignment horizontal="center" vertical="center" wrapText="1"/>
    </xf>
    <xf numFmtId="166" fontId="4" fillId="0" borderId="8" xfId="2" applyNumberFormat="1" applyFont="1" applyFill="1" applyBorder="1" applyAlignment="1">
      <alignment horizontal="center" vertical="center" wrapText="1"/>
    </xf>
    <xf numFmtId="166" fontId="4" fillId="0" borderId="6" xfId="2" applyNumberFormat="1" applyFont="1" applyFill="1" applyBorder="1" applyAlignment="1">
      <alignment horizontal="right" vertical="center" wrapText="1"/>
    </xf>
    <xf numFmtId="166" fontId="4" fillId="0" borderId="9" xfId="2" applyNumberFormat="1" applyFont="1" applyFill="1" applyBorder="1" applyAlignment="1">
      <alignment horizontal="right" vertical="center" wrapText="1"/>
    </xf>
    <xf numFmtId="43" fontId="4" fillId="0" borderId="0" xfId="2" applyFont="1" applyFill="1" applyBorder="1" applyAlignment="1">
      <alignment horizontal="center"/>
    </xf>
    <xf numFmtId="43" fontId="3" fillId="0" borderId="0" xfId="2" applyFont="1" applyBorder="1" applyAlignment="1">
      <alignment horizontal="center"/>
    </xf>
    <xf numFmtId="43" fontId="4" fillId="0" borderId="0" xfId="2" applyFont="1" applyBorder="1" applyAlignment="1">
      <alignment horizontal="left"/>
    </xf>
    <xf numFmtId="43" fontId="3" fillId="3" borderId="1" xfId="2" applyFont="1" applyFill="1" applyBorder="1" applyAlignment="1">
      <alignment horizontal="center" vertical="center" wrapText="1"/>
    </xf>
    <xf numFmtId="43" fontId="3" fillId="3" borderId="2" xfId="2" applyFont="1" applyFill="1" applyBorder="1" applyAlignment="1">
      <alignment horizontal="center" vertical="center" wrapText="1"/>
    </xf>
    <xf numFmtId="43" fontId="3" fillId="3" borderId="5" xfId="2" applyFont="1" applyFill="1" applyBorder="1" applyAlignment="1">
      <alignment horizontal="center" vertical="center" wrapText="1"/>
    </xf>
    <xf numFmtId="43" fontId="3" fillId="3" borderId="11" xfId="2" applyFont="1" applyFill="1" applyBorder="1" applyAlignment="1">
      <alignment horizontal="center" vertical="center" wrapText="1"/>
    </xf>
    <xf numFmtId="43" fontId="3" fillId="3" borderId="2" xfId="2" applyFont="1" applyFill="1" applyBorder="1" applyAlignment="1">
      <alignment horizontal="center" vertical="center"/>
    </xf>
    <xf numFmtId="43" fontId="3" fillId="0" borderId="5" xfId="2" applyFont="1" applyBorder="1" applyAlignment="1">
      <alignment horizontal="center"/>
    </xf>
    <xf numFmtId="43" fontId="3" fillId="0" borderId="11" xfId="2" applyFont="1" applyBorder="1" applyAlignment="1">
      <alignment horizontal="center"/>
    </xf>
    <xf numFmtId="43" fontId="3" fillId="0" borderId="2" xfId="2" applyFont="1" applyBorder="1" applyAlignment="1">
      <alignment horizontal="center" vertical="center"/>
    </xf>
    <xf numFmtId="43" fontId="3" fillId="3" borderId="3" xfId="2" applyFont="1" applyFill="1" applyBorder="1" applyAlignment="1">
      <alignment horizontal="center" vertical="center"/>
    </xf>
    <xf numFmtId="43" fontId="4" fillId="0" borderId="4" xfId="2" applyFont="1" applyFill="1" applyBorder="1" applyAlignment="1">
      <alignment horizontal="center" vertical="center" wrapText="1"/>
    </xf>
    <xf numFmtId="43" fontId="4" fillId="0" borderId="10" xfId="2" applyFont="1" applyFill="1" applyBorder="1" applyAlignment="1">
      <alignment horizontal="center" vertical="center" wrapText="1"/>
    </xf>
    <xf numFmtId="43" fontId="4" fillId="0" borderId="5" xfId="2" applyFont="1" applyFill="1" applyBorder="1" applyAlignment="1">
      <alignment horizontal="center" vertical="center" wrapText="1"/>
    </xf>
    <xf numFmtId="43" fontId="4" fillId="0" borderId="11" xfId="2" applyFont="1" applyFill="1" applyBorder="1" applyAlignment="1">
      <alignment horizontal="center" vertical="center" wrapText="1"/>
    </xf>
    <xf numFmtId="43" fontId="4" fillId="0" borderId="5" xfId="2" applyFont="1" applyFill="1" applyBorder="1" applyAlignment="1">
      <alignment horizontal="center" vertical="center"/>
    </xf>
    <xf numFmtId="43" fontId="4" fillId="0" borderId="11" xfId="2" applyFont="1" applyFill="1" applyBorder="1" applyAlignment="1">
      <alignment horizontal="center" vertical="center"/>
    </xf>
    <xf numFmtId="43" fontId="4" fillId="0" borderId="5" xfId="2" applyFont="1" applyBorder="1" applyAlignment="1">
      <alignment horizontal="center" vertical="center" wrapText="1"/>
    </xf>
    <xf numFmtId="43" fontId="4" fillId="0" borderId="11" xfId="2" applyFont="1" applyBorder="1" applyAlignment="1">
      <alignment horizontal="center" vertical="center" wrapText="1"/>
    </xf>
    <xf numFmtId="43" fontId="4" fillId="0" borderId="5" xfId="2" applyFont="1" applyBorder="1" applyAlignment="1">
      <alignment horizontal="center" vertical="center"/>
    </xf>
    <xf numFmtId="43" fontId="4" fillId="0" borderId="6" xfId="2" applyFont="1" applyBorder="1" applyAlignment="1">
      <alignment horizontal="center" vertical="center"/>
    </xf>
    <xf numFmtId="43" fontId="31" fillId="0" borderId="0" xfId="2" applyFont="1" applyAlignment="1">
      <alignment horizontal="center" vertical="center"/>
    </xf>
    <xf numFmtId="43" fontId="32" fillId="0" borderId="0" xfId="2" applyFont="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166" fontId="4" fillId="0" borderId="6" xfId="2" applyNumberFormat="1" applyFont="1" applyFill="1" applyBorder="1" applyAlignment="1">
      <alignment horizontal="center" vertical="center" wrapText="1"/>
    </xf>
    <xf numFmtId="166" fontId="4" fillId="0" borderId="9" xfId="2" applyNumberFormat="1" applyFont="1" applyFill="1" applyBorder="1" applyAlignment="1">
      <alignment horizontal="center" vertical="center" wrapText="1"/>
    </xf>
    <xf numFmtId="43" fontId="4" fillId="0" borderId="0" xfId="2" applyFont="1" applyFill="1" applyAlignment="1">
      <alignment horizontal="center" vertical="center"/>
    </xf>
    <xf numFmtId="43" fontId="3" fillId="0" borderId="0" xfId="2" applyFont="1" applyFill="1" applyAlignment="1">
      <alignment horizontal="center" vertical="center"/>
    </xf>
    <xf numFmtId="166" fontId="3" fillId="0" borderId="15" xfId="2" applyNumberFormat="1" applyFont="1" applyFill="1" applyBorder="1" applyAlignment="1">
      <alignment horizontal="center" vertical="center"/>
    </xf>
    <xf numFmtId="166" fontId="3" fillId="0" borderId="16" xfId="2" applyNumberFormat="1" applyFont="1" applyFill="1" applyBorder="1" applyAlignment="1">
      <alignment horizontal="center" vertical="center"/>
    </xf>
    <xf numFmtId="166" fontId="3" fillId="0" borderId="17" xfId="2" applyNumberFormat="1" applyFont="1" applyFill="1" applyBorder="1" applyAlignment="1">
      <alignment horizontal="center" vertical="center"/>
    </xf>
    <xf numFmtId="0" fontId="4" fillId="0" borderId="1" xfId="4" applyFont="1" applyBorder="1" applyAlignment="1">
      <alignment horizontal="center" vertical="center"/>
    </xf>
    <xf numFmtId="0" fontId="4" fillId="0" borderId="2" xfId="4" applyFont="1" applyBorder="1" applyAlignment="1">
      <alignment horizontal="center" vertical="center"/>
    </xf>
    <xf numFmtId="3" fontId="4" fillId="0" borderId="2" xfId="4" applyNumberFormat="1" applyFont="1" applyBorder="1" applyAlignment="1">
      <alignment horizontal="center" vertical="center"/>
    </xf>
    <xf numFmtId="3" fontId="4" fillId="0" borderId="3" xfId="4" applyNumberFormat="1" applyFont="1" applyBorder="1" applyAlignment="1">
      <alignment horizontal="center" vertical="center"/>
    </xf>
    <xf numFmtId="0" fontId="4" fillId="0" borderId="4" xfId="4" applyFont="1" applyBorder="1" applyAlignment="1">
      <alignment horizontal="center" vertical="center" wrapText="1"/>
    </xf>
    <xf numFmtId="0" fontId="4" fillId="0" borderId="5" xfId="4" applyFont="1" applyBorder="1" applyAlignment="1">
      <alignment horizontal="center" vertical="center" wrapText="1"/>
    </xf>
    <xf numFmtId="3" fontId="4" fillId="0" borderId="5" xfId="4" applyNumberFormat="1" applyFont="1" applyBorder="1" applyAlignment="1">
      <alignment horizontal="center" vertical="center"/>
    </xf>
    <xf numFmtId="43" fontId="4" fillId="0" borderId="5" xfId="2" applyFont="1" applyFill="1" applyBorder="1" applyAlignment="1">
      <alignment horizontal="center"/>
    </xf>
    <xf numFmtId="0" fontId="4" fillId="0" borderId="5" xfId="4" applyFont="1" applyBorder="1" applyAlignment="1">
      <alignment horizontal="center" vertical="center"/>
    </xf>
    <xf numFmtId="3" fontId="4" fillId="0" borderId="6" xfId="4" applyNumberFormat="1" applyFont="1" applyBorder="1" applyAlignment="1">
      <alignment horizontal="center" vertical="center"/>
    </xf>
    <xf numFmtId="0" fontId="33" fillId="0" borderId="5" xfId="2" applyNumberFormat="1" applyFont="1" applyFill="1" applyBorder="1" applyAlignment="1">
      <alignment horizontal="center" vertical="center"/>
    </xf>
    <xf numFmtId="0" fontId="4" fillId="0" borderId="0" xfId="4" applyFont="1" applyAlignment="1">
      <alignment horizontal="center" wrapText="1"/>
    </xf>
    <xf numFmtId="169" fontId="4" fillId="0" borderId="0" xfId="4" applyNumberFormat="1" applyFont="1" applyAlignment="1">
      <alignment horizontal="center" vertical="center"/>
    </xf>
    <xf numFmtId="43" fontId="4" fillId="0" borderId="0" xfId="2" applyFont="1" applyFill="1" applyAlignment="1">
      <alignment horizontal="center"/>
    </xf>
    <xf numFmtId="39" fontId="4" fillId="0" borderId="5" xfId="4" applyNumberFormat="1" applyFont="1" applyBorder="1" applyAlignment="1">
      <alignment horizontal="center" vertical="center"/>
    </xf>
    <xf numFmtId="3" fontId="4" fillId="0" borderId="5" xfId="4" applyNumberFormat="1" applyFont="1" applyBorder="1" applyAlignment="1">
      <alignment horizontal="center" vertical="center" wrapText="1"/>
    </xf>
    <xf numFmtId="0" fontId="3" fillId="0" borderId="0" xfId="4" applyFont="1" applyAlignment="1">
      <alignment horizontal="center" wrapText="1"/>
    </xf>
    <xf numFmtId="169" fontId="3" fillId="0" borderId="0" xfId="4" applyNumberFormat="1" applyFont="1" applyAlignment="1">
      <alignment horizontal="center" vertical="center"/>
    </xf>
    <xf numFmtId="43" fontId="3" fillId="0" borderId="0" xfId="2" applyFont="1" applyFill="1" applyAlignment="1">
      <alignment horizontal="center"/>
    </xf>
    <xf numFmtId="0" fontId="4" fillId="0" borderId="23" xfId="4" applyFont="1" applyBorder="1" applyAlignment="1">
      <alignment horizontal="center"/>
    </xf>
    <xf numFmtId="0" fontId="4" fillId="0" borderId="35" xfId="4" applyFont="1" applyBorder="1" applyAlignment="1">
      <alignment horizontal="center"/>
    </xf>
    <xf numFmtId="0" fontId="4" fillId="0" borderId="36" xfId="4" applyFont="1" applyBorder="1" applyAlignment="1">
      <alignment horizontal="center"/>
    </xf>
    <xf numFmtId="172" fontId="4" fillId="0" borderId="37" xfId="4" applyNumberFormat="1" applyFont="1" applyBorder="1" applyAlignment="1">
      <alignment horizontal="center"/>
    </xf>
    <xf numFmtId="172" fontId="4" fillId="0" borderId="38" xfId="4" applyNumberFormat="1" applyFont="1" applyBorder="1" applyAlignment="1">
      <alignment horizontal="center"/>
    </xf>
    <xf numFmtId="0" fontId="4" fillId="0" borderId="1" xfId="4" applyFont="1" applyBorder="1" applyAlignment="1">
      <alignment horizontal="center" vertical="center" wrapText="1"/>
    </xf>
    <xf numFmtId="0" fontId="4" fillId="0" borderId="2" xfId="4" applyFont="1" applyBorder="1" applyAlignment="1">
      <alignment horizontal="center" vertical="center" wrapText="1"/>
    </xf>
    <xf numFmtId="172" fontId="4" fillId="0" borderId="2" xfId="4" applyNumberFormat="1" applyFont="1" applyBorder="1" applyAlignment="1">
      <alignment horizontal="center" vertical="center" wrapText="1"/>
    </xf>
    <xf numFmtId="172" fontId="4" fillId="0" borderId="5" xfId="4" applyNumberFormat="1" applyFont="1" applyBorder="1" applyAlignment="1">
      <alignment horizontal="center" vertical="center" wrapText="1"/>
    </xf>
    <xf numFmtId="172" fontId="4" fillId="0" borderId="8" xfId="4" applyNumberFormat="1" applyFont="1" applyBorder="1" applyAlignment="1">
      <alignment horizontal="center" vertical="center" wrapText="1"/>
    </xf>
    <xf numFmtId="172" fontId="4" fillId="0" borderId="2" xfId="4" applyNumberFormat="1" applyFont="1" applyBorder="1" applyAlignment="1">
      <alignment horizontal="center" vertical="center"/>
    </xf>
    <xf numFmtId="172" fontId="4" fillId="0" borderId="15" xfId="4" applyNumberFormat="1" applyFont="1" applyBorder="1" applyAlignment="1">
      <alignment horizontal="center" vertical="center"/>
    </xf>
    <xf numFmtId="172" fontId="4" fillId="0" borderId="16" xfId="4" applyNumberFormat="1" applyFont="1" applyBorder="1" applyAlignment="1">
      <alignment horizontal="center" vertical="center"/>
    </xf>
    <xf numFmtId="172" fontId="4" fillId="0" borderId="32" xfId="4" applyNumberFormat="1" applyFont="1" applyBorder="1" applyAlignment="1">
      <alignment horizontal="center" vertical="center"/>
    </xf>
    <xf numFmtId="172" fontId="4" fillId="0" borderId="2" xfId="2" applyNumberFormat="1" applyFont="1" applyFill="1" applyBorder="1" applyAlignment="1">
      <alignment horizontal="center" vertical="center"/>
    </xf>
    <xf numFmtId="172" fontId="4" fillId="0" borderId="3" xfId="2" applyNumberFormat="1" applyFont="1" applyFill="1" applyBorder="1" applyAlignment="1">
      <alignment horizontal="center" vertical="center"/>
    </xf>
    <xf numFmtId="0" fontId="4" fillId="0" borderId="4" xfId="4" applyFont="1" applyBorder="1" applyAlignment="1">
      <alignment horizontal="left" vertical="center" wrapText="1"/>
    </xf>
    <xf numFmtId="0" fontId="4" fillId="0" borderId="7" xfId="4" applyFont="1" applyBorder="1" applyAlignment="1">
      <alignment horizontal="left" vertical="center" wrapText="1"/>
    </xf>
    <xf numFmtId="0" fontId="33" fillId="0" borderId="8" xfId="2" applyNumberFormat="1" applyFont="1" applyFill="1" applyBorder="1" applyAlignment="1">
      <alignment horizontal="center" vertical="center"/>
    </xf>
    <xf numFmtId="172" fontId="4" fillId="0" borderId="6" xfId="2" applyNumberFormat="1" applyFont="1" applyFill="1" applyBorder="1" applyAlignment="1">
      <alignment horizontal="center" vertical="center" wrapText="1"/>
    </xf>
    <xf numFmtId="172" fontId="4" fillId="0" borderId="9" xfId="2" applyNumberFormat="1" applyFont="1" applyFill="1" applyBorder="1" applyAlignment="1">
      <alignment horizontal="center" vertical="center" wrapText="1"/>
    </xf>
    <xf numFmtId="172" fontId="36" fillId="0" borderId="0" xfId="2" applyNumberFormat="1" applyFont="1" applyFill="1" applyBorder="1" applyAlignment="1">
      <alignment horizontal="center"/>
    </xf>
    <xf numFmtId="0" fontId="4" fillId="0" borderId="8" xfId="4" applyFont="1" applyBorder="1" applyAlignment="1">
      <alignment horizontal="center" vertical="center"/>
    </xf>
    <xf numFmtId="172" fontId="4" fillId="0" borderId="5" xfId="4" applyNumberFormat="1" applyFont="1" applyBorder="1" applyAlignment="1">
      <alignment horizontal="center" vertical="center"/>
    </xf>
    <xf numFmtId="172" fontId="35" fillId="0" borderId="0" xfId="6" applyNumberFormat="1" applyFont="1" applyAlignment="1">
      <alignment horizontal="center"/>
    </xf>
    <xf numFmtId="172" fontId="4" fillId="0" borderId="5" xfId="2" applyNumberFormat="1" applyFont="1" applyFill="1" applyBorder="1" applyAlignment="1">
      <alignment horizontal="center" vertical="center" wrapText="1"/>
    </xf>
    <xf numFmtId="172" fontId="4" fillId="0" borderId="8" xfId="2" applyNumberFormat="1" applyFont="1" applyFill="1" applyBorder="1" applyAlignment="1">
      <alignment horizontal="center" vertical="center" wrapText="1"/>
    </xf>
  </cellXfs>
  <cellStyles count="7">
    <cellStyle name="Millares 2" xfId="5"/>
    <cellStyle name="Millares 2 3" xfId="2"/>
    <cellStyle name="Millares 3" xfId="1"/>
    <cellStyle name="Normal" xfId="0" builtinId="0"/>
    <cellStyle name="Normal 2" xfId="4"/>
    <cellStyle name="Normal 3" xfId="6"/>
    <cellStyle name="Porcentu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1321593</xdr:colOff>
      <xdr:row>31</xdr:row>
      <xdr:rowOff>0</xdr:rowOff>
    </xdr:from>
    <xdr:ext cx="1200150" cy="630504"/>
    <xdr:sp macro="" textlink="">
      <xdr:nvSpPr>
        <xdr:cNvPr id="2" name="Textbox 3">
          <a:extLst>
            <a:ext uri="{FF2B5EF4-FFF2-40B4-BE49-F238E27FC236}">
              <a16:creationId xmlns:a16="http://schemas.microsoft.com/office/drawing/2014/main" xmlns="" id="{30FC81CA-27F2-49DF-B3B1-E5DE2FF29798}"/>
            </a:ext>
          </a:extLst>
        </xdr:cNvPr>
        <xdr:cNvSpPr txBox="1"/>
      </xdr:nvSpPr>
      <xdr:spPr>
        <a:xfrm>
          <a:off x="3493293" y="5514975"/>
          <a:ext cx="1200150" cy="630504"/>
        </a:xfrm>
        <a:prstGeom prst="rect">
          <a:avLst/>
        </a:prstGeom>
      </xdr:spPr>
      <xdr:txBody>
        <a:bodyPr vertOverflow="clip" lIns="0" tIns="0" rIns="0" bIns="0" anchor="t"/>
        <a:lstStyle/>
        <a:p>
          <a:endParaRPr/>
        </a:p>
        <a:p>
          <a:endParaRPr/>
        </a:p>
        <a:p>
          <a:endParaRPr/>
        </a:p>
        <a:p>
          <a:endParaRPr/>
        </a:p>
        <a:p>
          <a:endParaRPr/>
        </a:p>
        <a:p>
          <a:endParaRPr/>
        </a:p>
        <a:p>
          <a:endParaRPr/>
        </a:p>
        <a:p>
          <a:r>
            <a:rPr sz="450" b="1">
              <a:latin typeface="Arial"/>
              <a:cs typeface="Arial"/>
            </a:rPr>
            <a:t>NUR</a:t>
          </a:r>
          <a:r>
            <a:rPr sz="450" b="1" spc="-15">
              <a:latin typeface="Arial"/>
              <a:cs typeface="Arial"/>
            </a:rPr>
            <a:t>I</a:t>
          </a:r>
          <a:r>
            <a:rPr sz="450" b="1" spc="0">
              <a:latin typeface="Arial"/>
              <a:cs typeface="Arial"/>
            </a:rPr>
            <a:t>A</a:t>
          </a:r>
          <a:r>
            <a:rPr sz="450" b="1" spc="-20">
              <a:latin typeface="Arial"/>
              <a:cs typeface="Arial"/>
            </a:rPr>
            <a:t> </a:t>
          </a:r>
          <a:r>
            <a:rPr sz="450" b="1" spc="-10">
              <a:latin typeface="Arial"/>
              <a:cs typeface="Arial"/>
            </a:rPr>
            <a:t>Y</a:t>
          </a:r>
          <a:r>
            <a:rPr sz="450" b="1" spc="-25">
              <a:latin typeface="Arial"/>
              <a:cs typeface="Arial"/>
            </a:rPr>
            <a:t>A</a:t>
          </a:r>
          <a:r>
            <a:rPr sz="450" b="1" spc="0">
              <a:latin typeface="Arial"/>
              <a:cs typeface="Arial"/>
            </a:rPr>
            <a:t>R</a:t>
          </a:r>
          <a:r>
            <a:rPr sz="450" b="1" spc="-5">
              <a:latin typeface="Arial"/>
              <a:cs typeface="Arial"/>
            </a:rPr>
            <a:t>L</a:t>
          </a:r>
          <a:r>
            <a:rPr sz="450" b="1" spc="0">
              <a:latin typeface="Arial"/>
              <a:cs typeface="Arial"/>
            </a:rPr>
            <a:t>EY</a:t>
          </a:r>
          <a:r>
            <a:rPr sz="450" b="1" spc="-5">
              <a:latin typeface="Arial"/>
              <a:cs typeface="Arial"/>
            </a:rPr>
            <a:t> </a:t>
          </a:r>
          <a:r>
            <a:rPr sz="450" b="1" spc="0">
              <a:latin typeface="Arial"/>
              <a:cs typeface="Arial"/>
            </a:rPr>
            <a:t>B</a:t>
          </a:r>
          <a:r>
            <a:rPr sz="450" b="1" spc="-5">
              <a:latin typeface="Arial"/>
              <a:cs typeface="Arial"/>
            </a:rPr>
            <a:t>O</a:t>
          </a:r>
          <a:r>
            <a:rPr sz="450" b="1" spc="0">
              <a:latin typeface="Arial"/>
              <a:cs typeface="Arial"/>
            </a:rPr>
            <a:t>H</a:t>
          </a:r>
          <a:r>
            <a:rPr sz="450" b="1" spc="-5">
              <a:latin typeface="Arial"/>
              <a:cs typeface="Arial"/>
            </a:rPr>
            <a:t>O</a:t>
          </a:r>
          <a:r>
            <a:rPr sz="450" b="1" spc="0">
              <a:latin typeface="Arial"/>
              <a:cs typeface="Arial"/>
            </a:rPr>
            <a:t>R</a:t>
          </a:r>
          <a:r>
            <a:rPr sz="450" b="1" spc="-5">
              <a:latin typeface="Arial"/>
              <a:cs typeface="Arial"/>
            </a:rPr>
            <a:t>Q</a:t>
          </a:r>
          <a:r>
            <a:rPr sz="450" b="1" spc="0">
              <a:latin typeface="Arial"/>
              <a:cs typeface="Arial"/>
            </a:rPr>
            <a:t>UEZ PEÑA</a:t>
          </a:r>
        </a:p>
        <a:p>
          <a:r>
            <a:rPr sz="450" b="0" spc="-5">
              <a:latin typeface="Arial MT"/>
              <a:cs typeface="Arial MT"/>
            </a:rPr>
            <a:t>G</a:t>
          </a:r>
          <a:r>
            <a:rPr sz="450" b="0" spc="0">
              <a:latin typeface="Arial MT"/>
              <a:cs typeface="Arial MT"/>
            </a:rPr>
            <a:t>EREN</a:t>
          </a:r>
          <a:r>
            <a:rPr sz="450" b="0" spc="-5">
              <a:latin typeface="Arial MT"/>
              <a:cs typeface="Arial MT"/>
            </a:rPr>
            <a:t>T</a:t>
          </a:r>
          <a:r>
            <a:rPr sz="450" b="0" spc="0">
              <a:latin typeface="Arial MT"/>
              <a:cs typeface="Arial MT"/>
            </a:rPr>
            <a:t>E</a:t>
          </a:r>
          <a:r>
            <a:rPr sz="450" b="0" spc="10">
              <a:latin typeface="Arial MT"/>
              <a:cs typeface="Arial MT"/>
            </a:rPr>
            <a:t> </a:t>
          </a:r>
          <a:r>
            <a:rPr sz="450" b="0" spc="0">
              <a:latin typeface="Arial MT"/>
              <a:cs typeface="Arial MT"/>
            </a:rPr>
            <a:t>CAPRES</a:t>
          </a:r>
          <a:r>
            <a:rPr sz="450" b="0" spc="-5">
              <a:latin typeface="Arial MT"/>
              <a:cs typeface="Arial MT"/>
            </a:rPr>
            <a:t>O</a:t>
          </a:r>
          <a:r>
            <a:rPr sz="450" b="0" spc="0">
              <a:latin typeface="Arial MT"/>
              <a:cs typeface="Arial MT"/>
            </a:rPr>
            <a:t>CA</a:t>
          </a:r>
          <a:r>
            <a:rPr sz="450" b="0" spc="10">
              <a:latin typeface="Arial MT"/>
              <a:cs typeface="Arial MT"/>
            </a:rPr>
            <a:t> </a:t>
          </a:r>
          <a:r>
            <a:rPr sz="450" b="0" spc="0">
              <a:latin typeface="Arial MT"/>
              <a:cs typeface="Arial MT"/>
            </a:rPr>
            <a:t>EPS</a:t>
          </a:r>
        </a:p>
      </xdr:txBody>
    </xdr:sp>
    <xdr:clientData/>
  </xdr:oneCellAnchor>
  <xdr:oneCellAnchor>
    <xdr:from>
      <xdr:col>3</xdr:col>
      <xdr:colOff>1321593</xdr:colOff>
      <xdr:row>31</xdr:row>
      <xdr:rowOff>0</xdr:rowOff>
    </xdr:from>
    <xdr:ext cx="1200150" cy="630504"/>
    <xdr:sp macro="" textlink="">
      <xdr:nvSpPr>
        <xdr:cNvPr id="3" name="Textbox 3">
          <a:extLst>
            <a:ext uri="{FF2B5EF4-FFF2-40B4-BE49-F238E27FC236}">
              <a16:creationId xmlns:a16="http://schemas.microsoft.com/office/drawing/2014/main" xmlns="" id="{4D2A0A04-0379-4182-9312-2EF9AA5A9A7F}"/>
            </a:ext>
          </a:extLst>
        </xdr:cNvPr>
        <xdr:cNvSpPr txBox="1"/>
      </xdr:nvSpPr>
      <xdr:spPr>
        <a:xfrm>
          <a:off x="3493293" y="5514975"/>
          <a:ext cx="1200150" cy="630504"/>
        </a:xfrm>
        <a:prstGeom prst="rect">
          <a:avLst/>
        </a:prstGeom>
      </xdr:spPr>
      <xdr:txBody>
        <a:bodyPr vertOverflow="clip" lIns="0" tIns="0" rIns="0" bIns="0" anchor="t"/>
        <a:lstStyle/>
        <a:p>
          <a:endParaRPr/>
        </a:p>
        <a:p>
          <a:endParaRPr/>
        </a:p>
        <a:p>
          <a:endParaRPr/>
        </a:p>
        <a:p>
          <a:endParaRPr/>
        </a:p>
        <a:p>
          <a:endParaRPr/>
        </a:p>
        <a:p>
          <a:endParaRPr/>
        </a:p>
        <a:p>
          <a:endParaRPr/>
        </a:p>
        <a:p>
          <a:r>
            <a:rPr sz="450" b="1">
              <a:latin typeface="Arial"/>
              <a:cs typeface="Arial"/>
            </a:rPr>
            <a:t>NUR</a:t>
          </a:r>
          <a:r>
            <a:rPr sz="450" b="1" spc="-15">
              <a:latin typeface="Arial"/>
              <a:cs typeface="Arial"/>
            </a:rPr>
            <a:t>I</a:t>
          </a:r>
          <a:r>
            <a:rPr sz="450" b="1" spc="0">
              <a:latin typeface="Arial"/>
              <a:cs typeface="Arial"/>
            </a:rPr>
            <a:t>A</a:t>
          </a:r>
          <a:r>
            <a:rPr sz="450" b="1" spc="-20">
              <a:latin typeface="Arial"/>
              <a:cs typeface="Arial"/>
            </a:rPr>
            <a:t> </a:t>
          </a:r>
          <a:r>
            <a:rPr sz="450" b="1" spc="-10">
              <a:latin typeface="Arial"/>
              <a:cs typeface="Arial"/>
            </a:rPr>
            <a:t>Y</a:t>
          </a:r>
          <a:r>
            <a:rPr sz="450" b="1" spc="-25">
              <a:latin typeface="Arial"/>
              <a:cs typeface="Arial"/>
            </a:rPr>
            <a:t>A</a:t>
          </a:r>
          <a:r>
            <a:rPr sz="450" b="1" spc="0">
              <a:latin typeface="Arial"/>
              <a:cs typeface="Arial"/>
            </a:rPr>
            <a:t>R</a:t>
          </a:r>
          <a:r>
            <a:rPr sz="450" b="1" spc="-5">
              <a:latin typeface="Arial"/>
              <a:cs typeface="Arial"/>
            </a:rPr>
            <a:t>L</a:t>
          </a:r>
          <a:r>
            <a:rPr sz="450" b="1" spc="0">
              <a:latin typeface="Arial"/>
              <a:cs typeface="Arial"/>
            </a:rPr>
            <a:t>EY</a:t>
          </a:r>
          <a:r>
            <a:rPr sz="450" b="1" spc="-5">
              <a:latin typeface="Arial"/>
              <a:cs typeface="Arial"/>
            </a:rPr>
            <a:t> </a:t>
          </a:r>
          <a:r>
            <a:rPr sz="450" b="1" spc="0">
              <a:latin typeface="Arial"/>
              <a:cs typeface="Arial"/>
            </a:rPr>
            <a:t>B</a:t>
          </a:r>
          <a:r>
            <a:rPr sz="450" b="1" spc="-5">
              <a:latin typeface="Arial"/>
              <a:cs typeface="Arial"/>
            </a:rPr>
            <a:t>O</a:t>
          </a:r>
          <a:r>
            <a:rPr sz="450" b="1" spc="0">
              <a:latin typeface="Arial"/>
              <a:cs typeface="Arial"/>
            </a:rPr>
            <a:t>H</a:t>
          </a:r>
          <a:r>
            <a:rPr sz="450" b="1" spc="-5">
              <a:latin typeface="Arial"/>
              <a:cs typeface="Arial"/>
            </a:rPr>
            <a:t>O</a:t>
          </a:r>
          <a:r>
            <a:rPr sz="450" b="1" spc="0">
              <a:latin typeface="Arial"/>
              <a:cs typeface="Arial"/>
            </a:rPr>
            <a:t>R</a:t>
          </a:r>
          <a:r>
            <a:rPr sz="450" b="1" spc="-5">
              <a:latin typeface="Arial"/>
              <a:cs typeface="Arial"/>
            </a:rPr>
            <a:t>Q</a:t>
          </a:r>
          <a:r>
            <a:rPr sz="450" b="1" spc="0">
              <a:latin typeface="Arial"/>
              <a:cs typeface="Arial"/>
            </a:rPr>
            <a:t>UEZ PEÑA</a:t>
          </a:r>
        </a:p>
        <a:p>
          <a:r>
            <a:rPr sz="450" b="0" spc="-5">
              <a:latin typeface="Arial MT"/>
              <a:cs typeface="Arial MT"/>
            </a:rPr>
            <a:t>G</a:t>
          </a:r>
          <a:r>
            <a:rPr sz="450" b="0" spc="0">
              <a:latin typeface="Arial MT"/>
              <a:cs typeface="Arial MT"/>
            </a:rPr>
            <a:t>EREN</a:t>
          </a:r>
          <a:r>
            <a:rPr sz="450" b="0" spc="-5">
              <a:latin typeface="Arial MT"/>
              <a:cs typeface="Arial MT"/>
            </a:rPr>
            <a:t>T</a:t>
          </a:r>
          <a:r>
            <a:rPr sz="450" b="0" spc="0">
              <a:latin typeface="Arial MT"/>
              <a:cs typeface="Arial MT"/>
            </a:rPr>
            <a:t>E</a:t>
          </a:r>
          <a:r>
            <a:rPr sz="450" b="0" spc="10">
              <a:latin typeface="Arial MT"/>
              <a:cs typeface="Arial MT"/>
            </a:rPr>
            <a:t> </a:t>
          </a:r>
          <a:r>
            <a:rPr sz="450" b="0" spc="0">
              <a:latin typeface="Arial MT"/>
              <a:cs typeface="Arial MT"/>
            </a:rPr>
            <a:t>CAPRES</a:t>
          </a:r>
          <a:r>
            <a:rPr sz="450" b="0" spc="-5">
              <a:latin typeface="Arial MT"/>
              <a:cs typeface="Arial MT"/>
            </a:rPr>
            <a:t>O</a:t>
          </a:r>
          <a:r>
            <a:rPr sz="450" b="0" spc="0">
              <a:latin typeface="Arial MT"/>
              <a:cs typeface="Arial MT"/>
            </a:rPr>
            <a:t>CA</a:t>
          </a:r>
          <a:r>
            <a:rPr sz="450" b="0" spc="10">
              <a:latin typeface="Arial MT"/>
              <a:cs typeface="Arial MT"/>
            </a:rPr>
            <a:t> </a:t>
          </a:r>
          <a:r>
            <a:rPr sz="450" b="0" spc="0">
              <a:latin typeface="Arial MT"/>
              <a:cs typeface="Arial MT"/>
            </a:rPr>
            <a:t>EPS</a:t>
          </a:r>
        </a:p>
      </xdr:txBody>
    </xdr:sp>
    <xdr:clientData/>
  </xdr:oneCellAnchor>
  <xdr:oneCellAnchor>
    <xdr:from>
      <xdr:col>3</xdr:col>
      <xdr:colOff>1321593</xdr:colOff>
      <xdr:row>34</xdr:row>
      <xdr:rowOff>0</xdr:rowOff>
    </xdr:from>
    <xdr:ext cx="1200150" cy="630504"/>
    <xdr:sp macro="" textlink="">
      <xdr:nvSpPr>
        <xdr:cNvPr id="4" name="Textbox 3">
          <a:extLst>
            <a:ext uri="{FF2B5EF4-FFF2-40B4-BE49-F238E27FC236}">
              <a16:creationId xmlns:a16="http://schemas.microsoft.com/office/drawing/2014/main" xmlns="" id="{628E8F94-6532-48C2-BAF7-BC2CAEC36658}"/>
            </a:ext>
          </a:extLst>
        </xdr:cNvPr>
        <xdr:cNvSpPr txBox="1"/>
      </xdr:nvSpPr>
      <xdr:spPr>
        <a:xfrm>
          <a:off x="3493293" y="6029325"/>
          <a:ext cx="1200150" cy="630504"/>
        </a:xfrm>
        <a:prstGeom prst="rect">
          <a:avLst/>
        </a:prstGeom>
      </xdr:spPr>
      <xdr:txBody>
        <a:bodyPr vertOverflow="clip" lIns="0" tIns="0" rIns="0" bIns="0" anchor="t"/>
        <a:lstStyle/>
        <a:p>
          <a:endParaRPr/>
        </a:p>
        <a:p>
          <a:endParaRPr/>
        </a:p>
        <a:p>
          <a:endParaRPr/>
        </a:p>
        <a:p>
          <a:endParaRPr/>
        </a:p>
        <a:p>
          <a:endParaRPr/>
        </a:p>
        <a:p>
          <a:endParaRPr/>
        </a:p>
        <a:p>
          <a:endParaRPr/>
        </a:p>
        <a:p>
          <a:r>
            <a:rPr sz="450" b="1">
              <a:latin typeface="Arial"/>
              <a:cs typeface="Arial"/>
            </a:rPr>
            <a:t>NUR</a:t>
          </a:r>
          <a:r>
            <a:rPr sz="450" b="1" spc="-15">
              <a:latin typeface="Arial"/>
              <a:cs typeface="Arial"/>
            </a:rPr>
            <a:t>I</a:t>
          </a:r>
          <a:r>
            <a:rPr sz="450" b="1" spc="0">
              <a:latin typeface="Arial"/>
              <a:cs typeface="Arial"/>
            </a:rPr>
            <a:t>A</a:t>
          </a:r>
          <a:r>
            <a:rPr sz="450" b="1" spc="-20">
              <a:latin typeface="Arial"/>
              <a:cs typeface="Arial"/>
            </a:rPr>
            <a:t> </a:t>
          </a:r>
          <a:r>
            <a:rPr sz="450" b="1" spc="-10">
              <a:latin typeface="Arial"/>
              <a:cs typeface="Arial"/>
            </a:rPr>
            <a:t>Y</a:t>
          </a:r>
          <a:r>
            <a:rPr sz="450" b="1" spc="-25">
              <a:latin typeface="Arial"/>
              <a:cs typeface="Arial"/>
            </a:rPr>
            <a:t>A</a:t>
          </a:r>
          <a:r>
            <a:rPr sz="450" b="1" spc="0">
              <a:latin typeface="Arial"/>
              <a:cs typeface="Arial"/>
            </a:rPr>
            <a:t>R</a:t>
          </a:r>
          <a:r>
            <a:rPr sz="450" b="1" spc="-5">
              <a:latin typeface="Arial"/>
              <a:cs typeface="Arial"/>
            </a:rPr>
            <a:t>L</a:t>
          </a:r>
          <a:r>
            <a:rPr sz="450" b="1" spc="0">
              <a:latin typeface="Arial"/>
              <a:cs typeface="Arial"/>
            </a:rPr>
            <a:t>EY</a:t>
          </a:r>
          <a:r>
            <a:rPr sz="450" b="1" spc="-5">
              <a:latin typeface="Arial"/>
              <a:cs typeface="Arial"/>
            </a:rPr>
            <a:t> </a:t>
          </a:r>
          <a:r>
            <a:rPr sz="450" b="1" spc="0">
              <a:latin typeface="Arial"/>
              <a:cs typeface="Arial"/>
            </a:rPr>
            <a:t>B</a:t>
          </a:r>
          <a:r>
            <a:rPr sz="450" b="1" spc="-5">
              <a:latin typeface="Arial"/>
              <a:cs typeface="Arial"/>
            </a:rPr>
            <a:t>O</a:t>
          </a:r>
          <a:r>
            <a:rPr sz="450" b="1" spc="0">
              <a:latin typeface="Arial"/>
              <a:cs typeface="Arial"/>
            </a:rPr>
            <a:t>H</a:t>
          </a:r>
          <a:r>
            <a:rPr sz="450" b="1" spc="-5">
              <a:latin typeface="Arial"/>
              <a:cs typeface="Arial"/>
            </a:rPr>
            <a:t>O</a:t>
          </a:r>
          <a:r>
            <a:rPr sz="450" b="1" spc="0">
              <a:latin typeface="Arial"/>
              <a:cs typeface="Arial"/>
            </a:rPr>
            <a:t>R</a:t>
          </a:r>
          <a:r>
            <a:rPr sz="450" b="1" spc="-5">
              <a:latin typeface="Arial"/>
              <a:cs typeface="Arial"/>
            </a:rPr>
            <a:t>Q</a:t>
          </a:r>
          <a:r>
            <a:rPr sz="450" b="1" spc="0">
              <a:latin typeface="Arial"/>
              <a:cs typeface="Arial"/>
            </a:rPr>
            <a:t>UEZ PEÑA</a:t>
          </a:r>
        </a:p>
        <a:p>
          <a:r>
            <a:rPr sz="450" b="0" spc="-5">
              <a:latin typeface="Arial MT"/>
              <a:cs typeface="Arial MT"/>
            </a:rPr>
            <a:t>G</a:t>
          </a:r>
          <a:r>
            <a:rPr sz="450" b="0" spc="0">
              <a:latin typeface="Arial MT"/>
              <a:cs typeface="Arial MT"/>
            </a:rPr>
            <a:t>EREN</a:t>
          </a:r>
          <a:r>
            <a:rPr sz="450" b="0" spc="-5">
              <a:latin typeface="Arial MT"/>
              <a:cs typeface="Arial MT"/>
            </a:rPr>
            <a:t>T</a:t>
          </a:r>
          <a:r>
            <a:rPr sz="450" b="0" spc="0">
              <a:latin typeface="Arial MT"/>
              <a:cs typeface="Arial MT"/>
            </a:rPr>
            <a:t>E</a:t>
          </a:r>
          <a:r>
            <a:rPr sz="450" b="0" spc="10">
              <a:latin typeface="Arial MT"/>
              <a:cs typeface="Arial MT"/>
            </a:rPr>
            <a:t> </a:t>
          </a:r>
          <a:r>
            <a:rPr sz="450" b="0" spc="0">
              <a:latin typeface="Arial MT"/>
              <a:cs typeface="Arial MT"/>
            </a:rPr>
            <a:t>CAPRES</a:t>
          </a:r>
          <a:r>
            <a:rPr sz="450" b="0" spc="-5">
              <a:latin typeface="Arial MT"/>
              <a:cs typeface="Arial MT"/>
            </a:rPr>
            <a:t>O</a:t>
          </a:r>
          <a:r>
            <a:rPr sz="450" b="0" spc="0">
              <a:latin typeface="Arial MT"/>
              <a:cs typeface="Arial MT"/>
            </a:rPr>
            <a:t>CA</a:t>
          </a:r>
          <a:r>
            <a:rPr sz="450" b="0" spc="10">
              <a:latin typeface="Arial MT"/>
              <a:cs typeface="Arial MT"/>
            </a:rPr>
            <a:t> </a:t>
          </a:r>
          <a:r>
            <a:rPr sz="450" b="0" spc="0">
              <a:latin typeface="Arial MT"/>
              <a:cs typeface="Arial MT"/>
            </a:rPr>
            <a:t>EPS</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1321593</xdr:colOff>
      <xdr:row>7</xdr:row>
      <xdr:rowOff>0</xdr:rowOff>
    </xdr:from>
    <xdr:ext cx="1200150" cy="630504"/>
    <xdr:sp macro="" textlink="">
      <xdr:nvSpPr>
        <xdr:cNvPr id="2" name="Textbox 3">
          <a:extLst>
            <a:ext uri="{FF2B5EF4-FFF2-40B4-BE49-F238E27FC236}">
              <a16:creationId xmlns:a16="http://schemas.microsoft.com/office/drawing/2014/main" xmlns="" id="{D705FB4B-0B46-441A-8A2E-6F722D5115E0}"/>
            </a:ext>
          </a:extLst>
        </xdr:cNvPr>
        <xdr:cNvSpPr txBox="1"/>
      </xdr:nvSpPr>
      <xdr:spPr>
        <a:xfrm>
          <a:off x="3436143" y="1381125"/>
          <a:ext cx="1200150" cy="630504"/>
        </a:xfrm>
        <a:prstGeom prst="rect">
          <a:avLst/>
        </a:prstGeom>
      </xdr:spPr>
      <xdr:txBody>
        <a:bodyPr vertOverflow="clip" lIns="0" tIns="0" rIns="0" bIns="0" anchor="t"/>
        <a:lstStyle/>
        <a:p>
          <a:endParaRPr/>
        </a:p>
        <a:p>
          <a:endParaRPr/>
        </a:p>
        <a:p>
          <a:endParaRPr/>
        </a:p>
        <a:p>
          <a:endParaRPr/>
        </a:p>
        <a:p>
          <a:endParaRPr/>
        </a:p>
        <a:p>
          <a:endParaRPr/>
        </a:p>
        <a:p>
          <a:endParaRPr/>
        </a:p>
        <a:p>
          <a:r>
            <a:rPr sz="450" b="1">
              <a:latin typeface="Arial"/>
              <a:cs typeface="Arial"/>
            </a:rPr>
            <a:t>NUR</a:t>
          </a:r>
          <a:r>
            <a:rPr sz="450" b="1" spc="-15">
              <a:latin typeface="Arial"/>
              <a:cs typeface="Arial"/>
            </a:rPr>
            <a:t>I</a:t>
          </a:r>
          <a:r>
            <a:rPr sz="450" b="1" spc="0">
              <a:latin typeface="Arial"/>
              <a:cs typeface="Arial"/>
            </a:rPr>
            <a:t>A</a:t>
          </a:r>
          <a:r>
            <a:rPr sz="450" b="1" spc="-20">
              <a:latin typeface="Arial"/>
              <a:cs typeface="Arial"/>
            </a:rPr>
            <a:t> </a:t>
          </a:r>
          <a:r>
            <a:rPr sz="450" b="1" spc="-10">
              <a:latin typeface="Arial"/>
              <a:cs typeface="Arial"/>
            </a:rPr>
            <a:t>Y</a:t>
          </a:r>
          <a:r>
            <a:rPr sz="450" b="1" spc="-25">
              <a:latin typeface="Arial"/>
              <a:cs typeface="Arial"/>
            </a:rPr>
            <a:t>A</a:t>
          </a:r>
          <a:r>
            <a:rPr sz="450" b="1" spc="0">
              <a:latin typeface="Arial"/>
              <a:cs typeface="Arial"/>
            </a:rPr>
            <a:t>R</a:t>
          </a:r>
          <a:r>
            <a:rPr sz="450" b="1" spc="-5">
              <a:latin typeface="Arial"/>
              <a:cs typeface="Arial"/>
            </a:rPr>
            <a:t>L</a:t>
          </a:r>
          <a:r>
            <a:rPr sz="450" b="1" spc="0">
              <a:latin typeface="Arial"/>
              <a:cs typeface="Arial"/>
            </a:rPr>
            <a:t>EY</a:t>
          </a:r>
          <a:r>
            <a:rPr sz="450" b="1" spc="-5">
              <a:latin typeface="Arial"/>
              <a:cs typeface="Arial"/>
            </a:rPr>
            <a:t> </a:t>
          </a:r>
          <a:r>
            <a:rPr sz="450" b="1" spc="0">
              <a:latin typeface="Arial"/>
              <a:cs typeface="Arial"/>
            </a:rPr>
            <a:t>B</a:t>
          </a:r>
          <a:r>
            <a:rPr sz="450" b="1" spc="-5">
              <a:latin typeface="Arial"/>
              <a:cs typeface="Arial"/>
            </a:rPr>
            <a:t>O</a:t>
          </a:r>
          <a:r>
            <a:rPr sz="450" b="1" spc="0">
              <a:latin typeface="Arial"/>
              <a:cs typeface="Arial"/>
            </a:rPr>
            <a:t>H</a:t>
          </a:r>
          <a:r>
            <a:rPr sz="450" b="1" spc="-5">
              <a:latin typeface="Arial"/>
              <a:cs typeface="Arial"/>
            </a:rPr>
            <a:t>O</a:t>
          </a:r>
          <a:r>
            <a:rPr sz="450" b="1" spc="0">
              <a:latin typeface="Arial"/>
              <a:cs typeface="Arial"/>
            </a:rPr>
            <a:t>R</a:t>
          </a:r>
          <a:r>
            <a:rPr sz="450" b="1" spc="-5">
              <a:latin typeface="Arial"/>
              <a:cs typeface="Arial"/>
            </a:rPr>
            <a:t>Q</a:t>
          </a:r>
          <a:r>
            <a:rPr sz="450" b="1" spc="0">
              <a:latin typeface="Arial"/>
              <a:cs typeface="Arial"/>
            </a:rPr>
            <a:t>UEZ PEÑA</a:t>
          </a:r>
        </a:p>
        <a:p>
          <a:r>
            <a:rPr sz="450" b="0" spc="-5">
              <a:latin typeface="Arial MT"/>
              <a:cs typeface="Arial MT"/>
            </a:rPr>
            <a:t>G</a:t>
          </a:r>
          <a:r>
            <a:rPr sz="450" b="0" spc="0">
              <a:latin typeface="Arial MT"/>
              <a:cs typeface="Arial MT"/>
            </a:rPr>
            <a:t>EREN</a:t>
          </a:r>
          <a:r>
            <a:rPr sz="450" b="0" spc="-5">
              <a:latin typeface="Arial MT"/>
              <a:cs typeface="Arial MT"/>
            </a:rPr>
            <a:t>T</a:t>
          </a:r>
          <a:r>
            <a:rPr sz="450" b="0" spc="0">
              <a:latin typeface="Arial MT"/>
              <a:cs typeface="Arial MT"/>
            </a:rPr>
            <a:t>E</a:t>
          </a:r>
          <a:r>
            <a:rPr sz="450" b="0" spc="10">
              <a:latin typeface="Arial MT"/>
              <a:cs typeface="Arial MT"/>
            </a:rPr>
            <a:t> </a:t>
          </a:r>
          <a:r>
            <a:rPr sz="450" b="0" spc="0">
              <a:latin typeface="Arial MT"/>
              <a:cs typeface="Arial MT"/>
            </a:rPr>
            <a:t>CAPRES</a:t>
          </a:r>
          <a:r>
            <a:rPr sz="450" b="0" spc="-5">
              <a:latin typeface="Arial MT"/>
              <a:cs typeface="Arial MT"/>
            </a:rPr>
            <a:t>O</a:t>
          </a:r>
          <a:r>
            <a:rPr sz="450" b="0" spc="0">
              <a:latin typeface="Arial MT"/>
              <a:cs typeface="Arial MT"/>
            </a:rPr>
            <a:t>CA</a:t>
          </a:r>
          <a:r>
            <a:rPr sz="450" b="0" spc="10">
              <a:latin typeface="Arial MT"/>
              <a:cs typeface="Arial MT"/>
            </a:rPr>
            <a:t> </a:t>
          </a:r>
          <a:r>
            <a:rPr sz="450" b="0" spc="0">
              <a:latin typeface="Arial MT"/>
              <a:cs typeface="Arial MT"/>
            </a:rPr>
            <a:t>EPS</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2"/>
  <sheetViews>
    <sheetView topLeftCell="A19" zoomScaleNormal="100" workbookViewId="0">
      <pane xSplit="3" topLeftCell="D1" activePane="topRight" state="frozen"/>
      <selection activeCell="A7" sqref="A7"/>
      <selection pane="topRight" activeCell="B51" sqref="B51"/>
    </sheetView>
  </sheetViews>
  <sheetFormatPr baseColWidth="10" defaultRowHeight="10" x14ac:dyDescent="0.2"/>
  <cols>
    <col min="1" max="1" width="22" style="76" customWidth="1"/>
    <col min="2" max="2" width="12.26953125" style="76" customWidth="1"/>
    <col min="3" max="3" width="35.26953125" style="76" customWidth="1"/>
    <col min="4" max="4" width="17.453125" style="83" customWidth="1"/>
    <col min="5" max="5" width="15.453125" style="72" customWidth="1"/>
    <col min="6" max="6" width="10" style="83" customWidth="1"/>
    <col min="7" max="7" width="4.7265625" style="83" customWidth="1"/>
    <col min="8" max="8" width="10.26953125" style="83" customWidth="1"/>
    <col min="9" max="9" width="18" style="83" customWidth="1"/>
    <col min="10" max="10" width="7" style="83" hidden="1" customWidth="1"/>
    <col min="11" max="11" width="18.81640625" style="83" hidden="1" customWidth="1"/>
    <col min="12" max="12" width="16.7265625" style="72" customWidth="1"/>
    <col min="13" max="13" width="16.81640625" style="83" customWidth="1"/>
    <col min="14" max="14" width="16.54296875" style="9" customWidth="1"/>
    <col min="15" max="15" width="18.453125" style="83" customWidth="1"/>
    <col min="16" max="16" width="16.1796875" style="83" customWidth="1"/>
    <col min="17" max="17" width="11.26953125" style="216" customWidth="1"/>
    <col min="18" max="18" width="11.453125" style="76"/>
    <col min="19" max="19" width="15" style="76" bestFit="1" customWidth="1"/>
    <col min="20" max="256" width="11.453125" style="76"/>
    <col min="257" max="257" width="22" style="76" customWidth="1"/>
    <col min="258" max="258" width="12.26953125" style="76" customWidth="1"/>
    <col min="259" max="259" width="35.26953125" style="76" customWidth="1"/>
    <col min="260" max="260" width="17.453125" style="76" customWidth="1"/>
    <col min="261" max="261" width="15.453125" style="76" customWidth="1"/>
    <col min="262" max="262" width="10" style="76" customWidth="1"/>
    <col min="263" max="263" width="4.7265625" style="76" customWidth="1"/>
    <col min="264" max="264" width="10.26953125" style="76" customWidth="1"/>
    <col min="265" max="265" width="18" style="76" customWidth="1"/>
    <col min="266" max="267" width="0" style="76" hidden="1" customWidth="1"/>
    <col min="268" max="268" width="16.7265625" style="76" customWidth="1"/>
    <col min="269" max="269" width="16.81640625" style="76" customWidth="1"/>
    <col min="270" max="270" width="16.54296875" style="76" customWidth="1"/>
    <col min="271" max="271" width="18.453125" style="76" customWidth="1"/>
    <col min="272" max="272" width="16.1796875" style="76" customWidth="1"/>
    <col min="273" max="273" width="11.26953125" style="76" customWidth="1"/>
    <col min="274" max="274" width="11.453125" style="76"/>
    <col min="275" max="275" width="15" style="76" bestFit="1" customWidth="1"/>
    <col min="276" max="512" width="11.453125" style="76"/>
    <col min="513" max="513" width="22" style="76" customWidth="1"/>
    <col min="514" max="514" width="12.26953125" style="76" customWidth="1"/>
    <col min="515" max="515" width="35.26953125" style="76" customWidth="1"/>
    <col min="516" max="516" width="17.453125" style="76" customWidth="1"/>
    <col min="517" max="517" width="15.453125" style="76" customWidth="1"/>
    <col min="518" max="518" width="10" style="76" customWidth="1"/>
    <col min="519" max="519" width="4.7265625" style="76" customWidth="1"/>
    <col min="520" max="520" width="10.26953125" style="76" customWidth="1"/>
    <col min="521" max="521" width="18" style="76" customWidth="1"/>
    <col min="522" max="523" width="0" style="76" hidden="1" customWidth="1"/>
    <col min="524" max="524" width="16.7265625" style="76" customWidth="1"/>
    <col min="525" max="525" width="16.81640625" style="76" customWidth="1"/>
    <col min="526" max="526" width="16.54296875" style="76" customWidth="1"/>
    <col min="527" max="527" width="18.453125" style="76" customWidth="1"/>
    <col min="528" max="528" width="16.1796875" style="76" customWidth="1"/>
    <col min="529" max="529" width="11.26953125" style="76" customWidth="1"/>
    <col min="530" max="530" width="11.453125" style="76"/>
    <col min="531" max="531" width="15" style="76" bestFit="1" customWidth="1"/>
    <col min="532" max="768" width="11.453125" style="76"/>
    <col min="769" max="769" width="22" style="76" customWidth="1"/>
    <col min="770" max="770" width="12.26953125" style="76" customWidth="1"/>
    <col min="771" max="771" width="35.26953125" style="76" customWidth="1"/>
    <col min="772" max="772" width="17.453125" style="76" customWidth="1"/>
    <col min="773" max="773" width="15.453125" style="76" customWidth="1"/>
    <col min="774" max="774" width="10" style="76" customWidth="1"/>
    <col min="775" max="775" width="4.7265625" style="76" customWidth="1"/>
    <col min="776" max="776" width="10.26953125" style="76" customWidth="1"/>
    <col min="777" max="777" width="18" style="76" customWidth="1"/>
    <col min="778" max="779" width="0" style="76" hidden="1" customWidth="1"/>
    <col min="780" max="780" width="16.7265625" style="76" customWidth="1"/>
    <col min="781" max="781" width="16.81640625" style="76" customWidth="1"/>
    <col min="782" max="782" width="16.54296875" style="76" customWidth="1"/>
    <col min="783" max="783" width="18.453125" style="76" customWidth="1"/>
    <col min="784" max="784" width="16.1796875" style="76" customWidth="1"/>
    <col min="785" max="785" width="11.26953125" style="76" customWidth="1"/>
    <col min="786" max="786" width="11.453125" style="76"/>
    <col min="787" max="787" width="15" style="76" bestFit="1" customWidth="1"/>
    <col min="788" max="1024" width="11.453125" style="76"/>
    <col min="1025" max="1025" width="22" style="76" customWidth="1"/>
    <col min="1026" max="1026" width="12.26953125" style="76" customWidth="1"/>
    <col min="1027" max="1027" width="35.26953125" style="76" customWidth="1"/>
    <col min="1028" max="1028" width="17.453125" style="76" customWidth="1"/>
    <col min="1029" max="1029" width="15.453125" style="76" customWidth="1"/>
    <col min="1030" max="1030" width="10" style="76" customWidth="1"/>
    <col min="1031" max="1031" width="4.7265625" style="76" customWidth="1"/>
    <col min="1032" max="1032" width="10.26953125" style="76" customWidth="1"/>
    <col min="1033" max="1033" width="18" style="76" customWidth="1"/>
    <col min="1034" max="1035" width="0" style="76" hidden="1" customWidth="1"/>
    <col min="1036" max="1036" width="16.7265625" style="76" customWidth="1"/>
    <col min="1037" max="1037" width="16.81640625" style="76" customWidth="1"/>
    <col min="1038" max="1038" width="16.54296875" style="76" customWidth="1"/>
    <col min="1039" max="1039" width="18.453125" style="76" customWidth="1"/>
    <col min="1040" max="1040" width="16.1796875" style="76" customWidth="1"/>
    <col min="1041" max="1041" width="11.26953125" style="76" customWidth="1"/>
    <col min="1042" max="1042" width="11.453125" style="76"/>
    <col min="1043" max="1043" width="15" style="76" bestFit="1" customWidth="1"/>
    <col min="1044" max="1280" width="11.453125" style="76"/>
    <col min="1281" max="1281" width="22" style="76" customWidth="1"/>
    <col min="1282" max="1282" width="12.26953125" style="76" customWidth="1"/>
    <col min="1283" max="1283" width="35.26953125" style="76" customWidth="1"/>
    <col min="1284" max="1284" width="17.453125" style="76" customWidth="1"/>
    <col min="1285" max="1285" width="15.453125" style="76" customWidth="1"/>
    <col min="1286" max="1286" width="10" style="76" customWidth="1"/>
    <col min="1287" max="1287" width="4.7265625" style="76" customWidth="1"/>
    <col min="1288" max="1288" width="10.26953125" style="76" customWidth="1"/>
    <col min="1289" max="1289" width="18" style="76" customWidth="1"/>
    <col min="1290" max="1291" width="0" style="76" hidden="1" customWidth="1"/>
    <col min="1292" max="1292" width="16.7265625" style="76" customWidth="1"/>
    <col min="1293" max="1293" width="16.81640625" style="76" customWidth="1"/>
    <col min="1294" max="1294" width="16.54296875" style="76" customWidth="1"/>
    <col min="1295" max="1295" width="18.453125" style="76" customWidth="1"/>
    <col min="1296" max="1296" width="16.1796875" style="76" customWidth="1"/>
    <col min="1297" max="1297" width="11.26953125" style="76" customWidth="1"/>
    <col min="1298" max="1298" width="11.453125" style="76"/>
    <col min="1299" max="1299" width="15" style="76" bestFit="1" customWidth="1"/>
    <col min="1300" max="1536" width="11.453125" style="76"/>
    <col min="1537" max="1537" width="22" style="76" customWidth="1"/>
    <col min="1538" max="1538" width="12.26953125" style="76" customWidth="1"/>
    <col min="1539" max="1539" width="35.26953125" style="76" customWidth="1"/>
    <col min="1540" max="1540" width="17.453125" style="76" customWidth="1"/>
    <col min="1541" max="1541" width="15.453125" style="76" customWidth="1"/>
    <col min="1542" max="1542" width="10" style="76" customWidth="1"/>
    <col min="1543" max="1543" width="4.7265625" style="76" customWidth="1"/>
    <col min="1544" max="1544" width="10.26953125" style="76" customWidth="1"/>
    <col min="1545" max="1545" width="18" style="76" customWidth="1"/>
    <col min="1546" max="1547" width="0" style="76" hidden="1" customWidth="1"/>
    <col min="1548" max="1548" width="16.7265625" style="76" customWidth="1"/>
    <col min="1549" max="1549" width="16.81640625" style="76" customWidth="1"/>
    <col min="1550" max="1550" width="16.54296875" style="76" customWidth="1"/>
    <col min="1551" max="1551" width="18.453125" style="76" customWidth="1"/>
    <col min="1552" max="1552" width="16.1796875" style="76" customWidth="1"/>
    <col min="1553" max="1553" width="11.26953125" style="76" customWidth="1"/>
    <col min="1554" max="1554" width="11.453125" style="76"/>
    <col min="1555" max="1555" width="15" style="76" bestFit="1" customWidth="1"/>
    <col min="1556" max="1792" width="11.453125" style="76"/>
    <col min="1793" max="1793" width="22" style="76" customWidth="1"/>
    <col min="1794" max="1794" width="12.26953125" style="76" customWidth="1"/>
    <col min="1795" max="1795" width="35.26953125" style="76" customWidth="1"/>
    <col min="1796" max="1796" width="17.453125" style="76" customWidth="1"/>
    <col min="1797" max="1797" width="15.453125" style="76" customWidth="1"/>
    <col min="1798" max="1798" width="10" style="76" customWidth="1"/>
    <col min="1799" max="1799" width="4.7265625" style="76" customWidth="1"/>
    <col min="1800" max="1800" width="10.26953125" style="76" customWidth="1"/>
    <col min="1801" max="1801" width="18" style="76" customWidth="1"/>
    <col min="1802" max="1803" width="0" style="76" hidden="1" customWidth="1"/>
    <col min="1804" max="1804" width="16.7265625" style="76" customWidth="1"/>
    <col min="1805" max="1805" width="16.81640625" style="76" customWidth="1"/>
    <col min="1806" max="1806" width="16.54296875" style="76" customWidth="1"/>
    <col min="1807" max="1807" width="18.453125" style="76" customWidth="1"/>
    <col min="1808" max="1808" width="16.1796875" style="76" customWidth="1"/>
    <col min="1809" max="1809" width="11.26953125" style="76" customWidth="1"/>
    <col min="1810" max="1810" width="11.453125" style="76"/>
    <col min="1811" max="1811" width="15" style="76" bestFit="1" customWidth="1"/>
    <col min="1812" max="2048" width="11.453125" style="76"/>
    <col min="2049" max="2049" width="22" style="76" customWidth="1"/>
    <col min="2050" max="2050" width="12.26953125" style="76" customWidth="1"/>
    <col min="2051" max="2051" width="35.26953125" style="76" customWidth="1"/>
    <col min="2052" max="2052" width="17.453125" style="76" customWidth="1"/>
    <col min="2053" max="2053" width="15.453125" style="76" customWidth="1"/>
    <col min="2054" max="2054" width="10" style="76" customWidth="1"/>
    <col min="2055" max="2055" width="4.7265625" style="76" customWidth="1"/>
    <col min="2056" max="2056" width="10.26953125" style="76" customWidth="1"/>
    <col min="2057" max="2057" width="18" style="76" customWidth="1"/>
    <col min="2058" max="2059" width="0" style="76" hidden="1" customWidth="1"/>
    <col min="2060" max="2060" width="16.7265625" style="76" customWidth="1"/>
    <col min="2061" max="2061" width="16.81640625" style="76" customWidth="1"/>
    <col min="2062" max="2062" width="16.54296875" style="76" customWidth="1"/>
    <col min="2063" max="2063" width="18.453125" style="76" customWidth="1"/>
    <col min="2064" max="2064" width="16.1796875" style="76" customWidth="1"/>
    <col min="2065" max="2065" width="11.26953125" style="76" customWidth="1"/>
    <col min="2066" max="2066" width="11.453125" style="76"/>
    <col min="2067" max="2067" width="15" style="76" bestFit="1" customWidth="1"/>
    <col min="2068" max="2304" width="11.453125" style="76"/>
    <col min="2305" max="2305" width="22" style="76" customWidth="1"/>
    <col min="2306" max="2306" width="12.26953125" style="76" customWidth="1"/>
    <col min="2307" max="2307" width="35.26953125" style="76" customWidth="1"/>
    <col min="2308" max="2308" width="17.453125" style="76" customWidth="1"/>
    <col min="2309" max="2309" width="15.453125" style="76" customWidth="1"/>
    <col min="2310" max="2310" width="10" style="76" customWidth="1"/>
    <col min="2311" max="2311" width="4.7265625" style="76" customWidth="1"/>
    <col min="2312" max="2312" width="10.26953125" style="76" customWidth="1"/>
    <col min="2313" max="2313" width="18" style="76" customWidth="1"/>
    <col min="2314" max="2315" width="0" style="76" hidden="1" customWidth="1"/>
    <col min="2316" max="2316" width="16.7265625" style="76" customWidth="1"/>
    <col min="2317" max="2317" width="16.81640625" style="76" customWidth="1"/>
    <col min="2318" max="2318" width="16.54296875" style="76" customWidth="1"/>
    <col min="2319" max="2319" width="18.453125" style="76" customWidth="1"/>
    <col min="2320" max="2320" width="16.1796875" style="76" customWidth="1"/>
    <col min="2321" max="2321" width="11.26953125" style="76" customWidth="1"/>
    <col min="2322" max="2322" width="11.453125" style="76"/>
    <col min="2323" max="2323" width="15" style="76" bestFit="1" customWidth="1"/>
    <col min="2324" max="2560" width="11.453125" style="76"/>
    <col min="2561" max="2561" width="22" style="76" customWidth="1"/>
    <col min="2562" max="2562" width="12.26953125" style="76" customWidth="1"/>
    <col min="2563" max="2563" width="35.26953125" style="76" customWidth="1"/>
    <col min="2564" max="2564" width="17.453125" style="76" customWidth="1"/>
    <col min="2565" max="2565" width="15.453125" style="76" customWidth="1"/>
    <col min="2566" max="2566" width="10" style="76" customWidth="1"/>
    <col min="2567" max="2567" width="4.7265625" style="76" customWidth="1"/>
    <col min="2568" max="2568" width="10.26953125" style="76" customWidth="1"/>
    <col min="2569" max="2569" width="18" style="76" customWidth="1"/>
    <col min="2570" max="2571" width="0" style="76" hidden="1" customWidth="1"/>
    <col min="2572" max="2572" width="16.7265625" style="76" customWidth="1"/>
    <col min="2573" max="2573" width="16.81640625" style="76" customWidth="1"/>
    <col min="2574" max="2574" width="16.54296875" style="76" customWidth="1"/>
    <col min="2575" max="2575" width="18.453125" style="76" customWidth="1"/>
    <col min="2576" max="2576" width="16.1796875" style="76" customWidth="1"/>
    <col min="2577" max="2577" width="11.26953125" style="76" customWidth="1"/>
    <col min="2578" max="2578" width="11.453125" style="76"/>
    <col min="2579" max="2579" width="15" style="76" bestFit="1" customWidth="1"/>
    <col min="2580" max="2816" width="11.453125" style="76"/>
    <col min="2817" max="2817" width="22" style="76" customWidth="1"/>
    <col min="2818" max="2818" width="12.26953125" style="76" customWidth="1"/>
    <col min="2819" max="2819" width="35.26953125" style="76" customWidth="1"/>
    <col min="2820" max="2820" width="17.453125" style="76" customWidth="1"/>
    <col min="2821" max="2821" width="15.453125" style="76" customWidth="1"/>
    <col min="2822" max="2822" width="10" style="76" customWidth="1"/>
    <col min="2823" max="2823" width="4.7265625" style="76" customWidth="1"/>
    <col min="2824" max="2824" width="10.26953125" style="76" customWidth="1"/>
    <col min="2825" max="2825" width="18" style="76" customWidth="1"/>
    <col min="2826" max="2827" width="0" style="76" hidden="1" customWidth="1"/>
    <col min="2828" max="2828" width="16.7265625" style="76" customWidth="1"/>
    <col min="2829" max="2829" width="16.81640625" style="76" customWidth="1"/>
    <col min="2830" max="2830" width="16.54296875" style="76" customWidth="1"/>
    <col min="2831" max="2831" width="18.453125" style="76" customWidth="1"/>
    <col min="2832" max="2832" width="16.1796875" style="76" customWidth="1"/>
    <col min="2833" max="2833" width="11.26953125" style="76" customWidth="1"/>
    <col min="2834" max="2834" width="11.453125" style="76"/>
    <col min="2835" max="2835" width="15" style="76" bestFit="1" customWidth="1"/>
    <col min="2836" max="3072" width="11.453125" style="76"/>
    <col min="3073" max="3073" width="22" style="76" customWidth="1"/>
    <col min="3074" max="3074" width="12.26953125" style="76" customWidth="1"/>
    <col min="3075" max="3075" width="35.26953125" style="76" customWidth="1"/>
    <col min="3076" max="3076" width="17.453125" style="76" customWidth="1"/>
    <col min="3077" max="3077" width="15.453125" style="76" customWidth="1"/>
    <col min="3078" max="3078" width="10" style="76" customWidth="1"/>
    <col min="3079" max="3079" width="4.7265625" style="76" customWidth="1"/>
    <col min="3080" max="3080" width="10.26953125" style="76" customWidth="1"/>
    <col min="3081" max="3081" width="18" style="76" customWidth="1"/>
    <col min="3082" max="3083" width="0" style="76" hidden="1" customWidth="1"/>
    <col min="3084" max="3084" width="16.7265625" style="76" customWidth="1"/>
    <col min="3085" max="3085" width="16.81640625" style="76" customWidth="1"/>
    <col min="3086" max="3086" width="16.54296875" style="76" customWidth="1"/>
    <col min="3087" max="3087" width="18.453125" style="76" customWidth="1"/>
    <col min="3088" max="3088" width="16.1796875" style="76" customWidth="1"/>
    <col min="3089" max="3089" width="11.26953125" style="76" customWidth="1"/>
    <col min="3090" max="3090" width="11.453125" style="76"/>
    <col min="3091" max="3091" width="15" style="76" bestFit="1" customWidth="1"/>
    <col min="3092" max="3328" width="11.453125" style="76"/>
    <col min="3329" max="3329" width="22" style="76" customWidth="1"/>
    <col min="3330" max="3330" width="12.26953125" style="76" customWidth="1"/>
    <col min="3331" max="3331" width="35.26953125" style="76" customWidth="1"/>
    <col min="3332" max="3332" width="17.453125" style="76" customWidth="1"/>
    <col min="3333" max="3333" width="15.453125" style="76" customWidth="1"/>
    <col min="3334" max="3334" width="10" style="76" customWidth="1"/>
    <col min="3335" max="3335" width="4.7265625" style="76" customWidth="1"/>
    <col min="3336" max="3336" width="10.26953125" style="76" customWidth="1"/>
    <col min="3337" max="3337" width="18" style="76" customWidth="1"/>
    <col min="3338" max="3339" width="0" style="76" hidden="1" customWidth="1"/>
    <col min="3340" max="3340" width="16.7265625" style="76" customWidth="1"/>
    <col min="3341" max="3341" width="16.81640625" style="76" customWidth="1"/>
    <col min="3342" max="3342" width="16.54296875" style="76" customWidth="1"/>
    <col min="3343" max="3343" width="18.453125" style="76" customWidth="1"/>
    <col min="3344" max="3344" width="16.1796875" style="76" customWidth="1"/>
    <col min="3345" max="3345" width="11.26953125" style="76" customWidth="1"/>
    <col min="3346" max="3346" width="11.453125" style="76"/>
    <col min="3347" max="3347" width="15" style="76" bestFit="1" customWidth="1"/>
    <col min="3348" max="3584" width="11.453125" style="76"/>
    <col min="3585" max="3585" width="22" style="76" customWidth="1"/>
    <col min="3586" max="3586" width="12.26953125" style="76" customWidth="1"/>
    <col min="3587" max="3587" width="35.26953125" style="76" customWidth="1"/>
    <col min="3588" max="3588" width="17.453125" style="76" customWidth="1"/>
    <col min="3589" max="3589" width="15.453125" style="76" customWidth="1"/>
    <col min="3590" max="3590" width="10" style="76" customWidth="1"/>
    <col min="3591" max="3591" width="4.7265625" style="76" customWidth="1"/>
    <col min="3592" max="3592" width="10.26953125" style="76" customWidth="1"/>
    <col min="3593" max="3593" width="18" style="76" customWidth="1"/>
    <col min="3594" max="3595" width="0" style="76" hidden="1" customWidth="1"/>
    <col min="3596" max="3596" width="16.7265625" style="76" customWidth="1"/>
    <col min="3597" max="3597" width="16.81640625" style="76" customWidth="1"/>
    <col min="3598" max="3598" width="16.54296875" style="76" customWidth="1"/>
    <col min="3599" max="3599" width="18.453125" style="76" customWidth="1"/>
    <col min="3600" max="3600" width="16.1796875" style="76" customWidth="1"/>
    <col min="3601" max="3601" width="11.26953125" style="76" customWidth="1"/>
    <col min="3602" max="3602" width="11.453125" style="76"/>
    <col min="3603" max="3603" width="15" style="76" bestFit="1" customWidth="1"/>
    <col min="3604" max="3840" width="11.453125" style="76"/>
    <col min="3841" max="3841" width="22" style="76" customWidth="1"/>
    <col min="3842" max="3842" width="12.26953125" style="76" customWidth="1"/>
    <col min="3843" max="3843" width="35.26953125" style="76" customWidth="1"/>
    <col min="3844" max="3844" width="17.453125" style="76" customWidth="1"/>
    <col min="3845" max="3845" width="15.453125" style="76" customWidth="1"/>
    <col min="3846" max="3846" width="10" style="76" customWidth="1"/>
    <col min="3847" max="3847" width="4.7265625" style="76" customWidth="1"/>
    <col min="3848" max="3848" width="10.26953125" style="76" customWidth="1"/>
    <col min="3849" max="3849" width="18" style="76" customWidth="1"/>
    <col min="3850" max="3851" width="0" style="76" hidden="1" customWidth="1"/>
    <col min="3852" max="3852" width="16.7265625" style="76" customWidth="1"/>
    <col min="3853" max="3853" width="16.81640625" style="76" customWidth="1"/>
    <col min="3854" max="3854" width="16.54296875" style="76" customWidth="1"/>
    <col min="3855" max="3855" width="18.453125" style="76" customWidth="1"/>
    <col min="3856" max="3856" width="16.1796875" style="76" customWidth="1"/>
    <col min="3857" max="3857" width="11.26953125" style="76" customWidth="1"/>
    <col min="3858" max="3858" width="11.453125" style="76"/>
    <col min="3859" max="3859" width="15" style="76" bestFit="1" customWidth="1"/>
    <col min="3860" max="4096" width="11.453125" style="76"/>
    <col min="4097" max="4097" width="22" style="76" customWidth="1"/>
    <col min="4098" max="4098" width="12.26953125" style="76" customWidth="1"/>
    <col min="4099" max="4099" width="35.26953125" style="76" customWidth="1"/>
    <col min="4100" max="4100" width="17.453125" style="76" customWidth="1"/>
    <col min="4101" max="4101" width="15.453125" style="76" customWidth="1"/>
    <col min="4102" max="4102" width="10" style="76" customWidth="1"/>
    <col min="4103" max="4103" width="4.7265625" style="76" customWidth="1"/>
    <col min="4104" max="4104" width="10.26953125" style="76" customWidth="1"/>
    <col min="4105" max="4105" width="18" style="76" customWidth="1"/>
    <col min="4106" max="4107" width="0" style="76" hidden="1" customWidth="1"/>
    <col min="4108" max="4108" width="16.7265625" style="76" customWidth="1"/>
    <col min="4109" max="4109" width="16.81640625" style="76" customWidth="1"/>
    <col min="4110" max="4110" width="16.54296875" style="76" customWidth="1"/>
    <col min="4111" max="4111" width="18.453125" style="76" customWidth="1"/>
    <col min="4112" max="4112" width="16.1796875" style="76" customWidth="1"/>
    <col min="4113" max="4113" width="11.26953125" style="76" customWidth="1"/>
    <col min="4114" max="4114" width="11.453125" style="76"/>
    <col min="4115" max="4115" width="15" style="76" bestFit="1" customWidth="1"/>
    <col min="4116" max="4352" width="11.453125" style="76"/>
    <col min="4353" max="4353" width="22" style="76" customWidth="1"/>
    <col min="4354" max="4354" width="12.26953125" style="76" customWidth="1"/>
    <col min="4355" max="4355" width="35.26953125" style="76" customWidth="1"/>
    <col min="4356" max="4356" width="17.453125" style="76" customWidth="1"/>
    <col min="4357" max="4357" width="15.453125" style="76" customWidth="1"/>
    <col min="4358" max="4358" width="10" style="76" customWidth="1"/>
    <col min="4359" max="4359" width="4.7265625" style="76" customWidth="1"/>
    <col min="4360" max="4360" width="10.26953125" style="76" customWidth="1"/>
    <col min="4361" max="4361" width="18" style="76" customWidth="1"/>
    <col min="4362" max="4363" width="0" style="76" hidden="1" customWidth="1"/>
    <col min="4364" max="4364" width="16.7265625" style="76" customWidth="1"/>
    <col min="4365" max="4365" width="16.81640625" style="76" customWidth="1"/>
    <col min="4366" max="4366" width="16.54296875" style="76" customWidth="1"/>
    <col min="4367" max="4367" width="18.453125" style="76" customWidth="1"/>
    <col min="4368" max="4368" width="16.1796875" style="76" customWidth="1"/>
    <col min="4369" max="4369" width="11.26953125" style="76" customWidth="1"/>
    <col min="4370" max="4370" width="11.453125" style="76"/>
    <col min="4371" max="4371" width="15" style="76" bestFit="1" customWidth="1"/>
    <col min="4372" max="4608" width="11.453125" style="76"/>
    <col min="4609" max="4609" width="22" style="76" customWidth="1"/>
    <col min="4610" max="4610" width="12.26953125" style="76" customWidth="1"/>
    <col min="4611" max="4611" width="35.26953125" style="76" customWidth="1"/>
    <col min="4612" max="4612" width="17.453125" style="76" customWidth="1"/>
    <col min="4613" max="4613" width="15.453125" style="76" customWidth="1"/>
    <col min="4614" max="4614" width="10" style="76" customWidth="1"/>
    <col min="4615" max="4615" width="4.7265625" style="76" customWidth="1"/>
    <col min="4616" max="4616" width="10.26953125" style="76" customWidth="1"/>
    <col min="4617" max="4617" width="18" style="76" customWidth="1"/>
    <col min="4618" max="4619" width="0" style="76" hidden="1" customWidth="1"/>
    <col min="4620" max="4620" width="16.7265625" style="76" customWidth="1"/>
    <col min="4621" max="4621" width="16.81640625" style="76" customWidth="1"/>
    <col min="4622" max="4622" width="16.54296875" style="76" customWidth="1"/>
    <col min="4623" max="4623" width="18.453125" style="76" customWidth="1"/>
    <col min="4624" max="4624" width="16.1796875" style="76" customWidth="1"/>
    <col min="4625" max="4625" width="11.26953125" style="76" customWidth="1"/>
    <col min="4626" max="4626" width="11.453125" style="76"/>
    <col min="4627" max="4627" width="15" style="76" bestFit="1" customWidth="1"/>
    <col min="4628" max="4864" width="11.453125" style="76"/>
    <col min="4865" max="4865" width="22" style="76" customWidth="1"/>
    <col min="4866" max="4866" width="12.26953125" style="76" customWidth="1"/>
    <col min="4867" max="4867" width="35.26953125" style="76" customWidth="1"/>
    <col min="4868" max="4868" width="17.453125" style="76" customWidth="1"/>
    <col min="4869" max="4869" width="15.453125" style="76" customWidth="1"/>
    <col min="4870" max="4870" width="10" style="76" customWidth="1"/>
    <col min="4871" max="4871" width="4.7265625" style="76" customWidth="1"/>
    <col min="4872" max="4872" width="10.26953125" style="76" customWidth="1"/>
    <col min="4873" max="4873" width="18" style="76" customWidth="1"/>
    <col min="4874" max="4875" width="0" style="76" hidden="1" customWidth="1"/>
    <col min="4876" max="4876" width="16.7265625" style="76" customWidth="1"/>
    <col min="4877" max="4877" width="16.81640625" style="76" customWidth="1"/>
    <col min="4878" max="4878" width="16.54296875" style="76" customWidth="1"/>
    <col min="4879" max="4879" width="18.453125" style="76" customWidth="1"/>
    <col min="4880" max="4880" width="16.1796875" style="76" customWidth="1"/>
    <col min="4881" max="4881" width="11.26953125" style="76" customWidth="1"/>
    <col min="4882" max="4882" width="11.453125" style="76"/>
    <col min="4883" max="4883" width="15" style="76" bestFit="1" customWidth="1"/>
    <col min="4884" max="5120" width="11.453125" style="76"/>
    <col min="5121" max="5121" width="22" style="76" customWidth="1"/>
    <col min="5122" max="5122" width="12.26953125" style="76" customWidth="1"/>
    <col min="5123" max="5123" width="35.26953125" style="76" customWidth="1"/>
    <col min="5124" max="5124" width="17.453125" style="76" customWidth="1"/>
    <col min="5125" max="5125" width="15.453125" style="76" customWidth="1"/>
    <col min="5126" max="5126" width="10" style="76" customWidth="1"/>
    <col min="5127" max="5127" width="4.7265625" style="76" customWidth="1"/>
    <col min="5128" max="5128" width="10.26953125" style="76" customWidth="1"/>
    <col min="5129" max="5129" width="18" style="76" customWidth="1"/>
    <col min="5130" max="5131" width="0" style="76" hidden="1" customWidth="1"/>
    <col min="5132" max="5132" width="16.7265625" style="76" customWidth="1"/>
    <col min="5133" max="5133" width="16.81640625" style="76" customWidth="1"/>
    <col min="5134" max="5134" width="16.54296875" style="76" customWidth="1"/>
    <col min="5135" max="5135" width="18.453125" style="76" customWidth="1"/>
    <col min="5136" max="5136" width="16.1796875" style="76" customWidth="1"/>
    <col min="5137" max="5137" width="11.26953125" style="76" customWidth="1"/>
    <col min="5138" max="5138" width="11.453125" style="76"/>
    <col min="5139" max="5139" width="15" style="76" bestFit="1" customWidth="1"/>
    <col min="5140" max="5376" width="11.453125" style="76"/>
    <col min="5377" max="5377" width="22" style="76" customWidth="1"/>
    <col min="5378" max="5378" width="12.26953125" style="76" customWidth="1"/>
    <col min="5379" max="5379" width="35.26953125" style="76" customWidth="1"/>
    <col min="5380" max="5380" width="17.453125" style="76" customWidth="1"/>
    <col min="5381" max="5381" width="15.453125" style="76" customWidth="1"/>
    <col min="5382" max="5382" width="10" style="76" customWidth="1"/>
    <col min="5383" max="5383" width="4.7265625" style="76" customWidth="1"/>
    <col min="5384" max="5384" width="10.26953125" style="76" customWidth="1"/>
    <col min="5385" max="5385" width="18" style="76" customWidth="1"/>
    <col min="5386" max="5387" width="0" style="76" hidden="1" customWidth="1"/>
    <col min="5388" max="5388" width="16.7265625" style="76" customWidth="1"/>
    <col min="5389" max="5389" width="16.81640625" style="76" customWidth="1"/>
    <col min="5390" max="5390" width="16.54296875" style="76" customWidth="1"/>
    <col min="5391" max="5391" width="18.453125" style="76" customWidth="1"/>
    <col min="5392" max="5392" width="16.1796875" style="76" customWidth="1"/>
    <col min="5393" max="5393" width="11.26953125" style="76" customWidth="1"/>
    <col min="5394" max="5394" width="11.453125" style="76"/>
    <col min="5395" max="5395" width="15" style="76" bestFit="1" customWidth="1"/>
    <col min="5396" max="5632" width="11.453125" style="76"/>
    <col min="5633" max="5633" width="22" style="76" customWidth="1"/>
    <col min="5634" max="5634" width="12.26953125" style="76" customWidth="1"/>
    <col min="5635" max="5635" width="35.26953125" style="76" customWidth="1"/>
    <col min="5636" max="5636" width="17.453125" style="76" customWidth="1"/>
    <col min="5637" max="5637" width="15.453125" style="76" customWidth="1"/>
    <col min="5638" max="5638" width="10" style="76" customWidth="1"/>
    <col min="5639" max="5639" width="4.7265625" style="76" customWidth="1"/>
    <col min="5640" max="5640" width="10.26953125" style="76" customWidth="1"/>
    <col min="5641" max="5641" width="18" style="76" customWidth="1"/>
    <col min="5642" max="5643" width="0" style="76" hidden="1" customWidth="1"/>
    <col min="5644" max="5644" width="16.7265625" style="76" customWidth="1"/>
    <col min="5645" max="5645" width="16.81640625" style="76" customWidth="1"/>
    <col min="5646" max="5646" width="16.54296875" style="76" customWidth="1"/>
    <col min="5647" max="5647" width="18.453125" style="76" customWidth="1"/>
    <col min="5648" max="5648" width="16.1796875" style="76" customWidth="1"/>
    <col min="5649" max="5649" width="11.26953125" style="76" customWidth="1"/>
    <col min="5650" max="5650" width="11.453125" style="76"/>
    <col min="5651" max="5651" width="15" style="76" bestFit="1" customWidth="1"/>
    <col min="5652" max="5888" width="11.453125" style="76"/>
    <col min="5889" max="5889" width="22" style="76" customWidth="1"/>
    <col min="5890" max="5890" width="12.26953125" style="76" customWidth="1"/>
    <col min="5891" max="5891" width="35.26953125" style="76" customWidth="1"/>
    <col min="5892" max="5892" width="17.453125" style="76" customWidth="1"/>
    <col min="5893" max="5893" width="15.453125" style="76" customWidth="1"/>
    <col min="5894" max="5894" width="10" style="76" customWidth="1"/>
    <col min="5895" max="5895" width="4.7265625" style="76" customWidth="1"/>
    <col min="5896" max="5896" width="10.26953125" style="76" customWidth="1"/>
    <col min="5897" max="5897" width="18" style="76" customWidth="1"/>
    <col min="5898" max="5899" width="0" style="76" hidden="1" customWidth="1"/>
    <col min="5900" max="5900" width="16.7265625" style="76" customWidth="1"/>
    <col min="5901" max="5901" width="16.81640625" style="76" customWidth="1"/>
    <col min="5902" max="5902" width="16.54296875" style="76" customWidth="1"/>
    <col min="5903" max="5903" width="18.453125" style="76" customWidth="1"/>
    <col min="5904" max="5904" width="16.1796875" style="76" customWidth="1"/>
    <col min="5905" max="5905" width="11.26953125" style="76" customWidth="1"/>
    <col min="5906" max="5906" width="11.453125" style="76"/>
    <col min="5907" max="5907" width="15" style="76" bestFit="1" customWidth="1"/>
    <col min="5908" max="6144" width="11.453125" style="76"/>
    <col min="6145" max="6145" width="22" style="76" customWidth="1"/>
    <col min="6146" max="6146" width="12.26953125" style="76" customWidth="1"/>
    <col min="6147" max="6147" width="35.26953125" style="76" customWidth="1"/>
    <col min="6148" max="6148" width="17.453125" style="76" customWidth="1"/>
    <col min="6149" max="6149" width="15.453125" style="76" customWidth="1"/>
    <col min="6150" max="6150" width="10" style="76" customWidth="1"/>
    <col min="6151" max="6151" width="4.7265625" style="76" customWidth="1"/>
    <col min="6152" max="6152" width="10.26953125" style="76" customWidth="1"/>
    <col min="6153" max="6153" width="18" style="76" customWidth="1"/>
    <col min="6154" max="6155" width="0" style="76" hidden="1" customWidth="1"/>
    <col min="6156" max="6156" width="16.7265625" style="76" customWidth="1"/>
    <col min="6157" max="6157" width="16.81640625" style="76" customWidth="1"/>
    <col min="6158" max="6158" width="16.54296875" style="76" customWidth="1"/>
    <col min="6159" max="6159" width="18.453125" style="76" customWidth="1"/>
    <col min="6160" max="6160" width="16.1796875" style="76" customWidth="1"/>
    <col min="6161" max="6161" width="11.26953125" style="76" customWidth="1"/>
    <col min="6162" max="6162" width="11.453125" style="76"/>
    <col min="6163" max="6163" width="15" style="76" bestFit="1" customWidth="1"/>
    <col min="6164" max="6400" width="11.453125" style="76"/>
    <col min="6401" max="6401" width="22" style="76" customWidth="1"/>
    <col min="6402" max="6402" width="12.26953125" style="76" customWidth="1"/>
    <col min="6403" max="6403" width="35.26953125" style="76" customWidth="1"/>
    <col min="6404" max="6404" width="17.453125" style="76" customWidth="1"/>
    <col min="6405" max="6405" width="15.453125" style="76" customWidth="1"/>
    <col min="6406" max="6406" width="10" style="76" customWidth="1"/>
    <col min="6407" max="6407" width="4.7265625" style="76" customWidth="1"/>
    <col min="6408" max="6408" width="10.26953125" style="76" customWidth="1"/>
    <col min="6409" max="6409" width="18" style="76" customWidth="1"/>
    <col min="6410" max="6411" width="0" style="76" hidden="1" customWidth="1"/>
    <col min="6412" max="6412" width="16.7265625" style="76" customWidth="1"/>
    <col min="6413" max="6413" width="16.81640625" style="76" customWidth="1"/>
    <col min="6414" max="6414" width="16.54296875" style="76" customWidth="1"/>
    <col min="6415" max="6415" width="18.453125" style="76" customWidth="1"/>
    <col min="6416" max="6416" width="16.1796875" style="76" customWidth="1"/>
    <col min="6417" max="6417" width="11.26953125" style="76" customWidth="1"/>
    <col min="6418" max="6418" width="11.453125" style="76"/>
    <col min="6419" max="6419" width="15" style="76" bestFit="1" customWidth="1"/>
    <col min="6420" max="6656" width="11.453125" style="76"/>
    <col min="6657" max="6657" width="22" style="76" customWidth="1"/>
    <col min="6658" max="6658" width="12.26953125" style="76" customWidth="1"/>
    <col min="6659" max="6659" width="35.26953125" style="76" customWidth="1"/>
    <col min="6660" max="6660" width="17.453125" style="76" customWidth="1"/>
    <col min="6661" max="6661" width="15.453125" style="76" customWidth="1"/>
    <col min="6662" max="6662" width="10" style="76" customWidth="1"/>
    <col min="6663" max="6663" width="4.7265625" style="76" customWidth="1"/>
    <col min="6664" max="6664" width="10.26953125" style="76" customWidth="1"/>
    <col min="6665" max="6665" width="18" style="76" customWidth="1"/>
    <col min="6666" max="6667" width="0" style="76" hidden="1" customWidth="1"/>
    <col min="6668" max="6668" width="16.7265625" style="76" customWidth="1"/>
    <col min="6669" max="6669" width="16.81640625" style="76" customWidth="1"/>
    <col min="6670" max="6670" width="16.54296875" style="76" customWidth="1"/>
    <col min="6671" max="6671" width="18.453125" style="76" customWidth="1"/>
    <col min="6672" max="6672" width="16.1796875" style="76" customWidth="1"/>
    <col min="6673" max="6673" width="11.26953125" style="76" customWidth="1"/>
    <col min="6674" max="6674" width="11.453125" style="76"/>
    <col min="6675" max="6675" width="15" style="76" bestFit="1" customWidth="1"/>
    <col min="6676" max="6912" width="11.453125" style="76"/>
    <col min="6913" max="6913" width="22" style="76" customWidth="1"/>
    <col min="6914" max="6914" width="12.26953125" style="76" customWidth="1"/>
    <col min="6915" max="6915" width="35.26953125" style="76" customWidth="1"/>
    <col min="6916" max="6916" width="17.453125" style="76" customWidth="1"/>
    <col min="6917" max="6917" width="15.453125" style="76" customWidth="1"/>
    <col min="6918" max="6918" width="10" style="76" customWidth="1"/>
    <col min="6919" max="6919" width="4.7265625" style="76" customWidth="1"/>
    <col min="6920" max="6920" width="10.26953125" style="76" customWidth="1"/>
    <col min="6921" max="6921" width="18" style="76" customWidth="1"/>
    <col min="6922" max="6923" width="0" style="76" hidden="1" customWidth="1"/>
    <col min="6924" max="6924" width="16.7265625" style="76" customWidth="1"/>
    <col min="6925" max="6925" width="16.81640625" style="76" customWidth="1"/>
    <col min="6926" max="6926" width="16.54296875" style="76" customWidth="1"/>
    <col min="6927" max="6927" width="18.453125" style="76" customWidth="1"/>
    <col min="6928" max="6928" width="16.1796875" style="76" customWidth="1"/>
    <col min="6929" max="6929" width="11.26953125" style="76" customWidth="1"/>
    <col min="6930" max="6930" width="11.453125" style="76"/>
    <col min="6931" max="6931" width="15" style="76" bestFit="1" customWidth="1"/>
    <col min="6932" max="7168" width="11.453125" style="76"/>
    <col min="7169" max="7169" width="22" style="76" customWidth="1"/>
    <col min="7170" max="7170" width="12.26953125" style="76" customWidth="1"/>
    <col min="7171" max="7171" width="35.26953125" style="76" customWidth="1"/>
    <col min="7172" max="7172" width="17.453125" style="76" customWidth="1"/>
    <col min="7173" max="7173" width="15.453125" style="76" customWidth="1"/>
    <col min="7174" max="7174" width="10" style="76" customWidth="1"/>
    <col min="7175" max="7175" width="4.7265625" style="76" customWidth="1"/>
    <col min="7176" max="7176" width="10.26953125" style="76" customWidth="1"/>
    <col min="7177" max="7177" width="18" style="76" customWidth="1"/>
    <col min="7178" max="7179" width="0" style="76" hidden="1" customWidth="1"/>
    <col min="7180" max="7180" width="16.7265625" style="76" customWidth="1"/>
    <col min="7181" max="7181" width="16.81640625" style="76" customWidth="1"/>
    <col min="7182" max="7182" width="16.54296875" style="76" customWidth="1"/>
    <col min="7183" max="7183" width="18.453125" style="76" customWidth="1"/>
    <col min="7184" max="7184" width="16.1796875" style="76" customWidth="1"/>
    <col min="7185" max="7185" width="11.26953125" style="76" customWidth="1"/>
    <col min="7186" max="7186" width="11.453125" style="76"/>
    <col min="7187" max="7187" width="15" style="76" bestFit="1" customWidth="1"/>
    <col min="7188" max="7424" width="11.453125" style="76"/>
    <col min="7425" max="7425" width="22" style="76" customWidth="1"/>
    <col min="7426" max="7426" width="12.26953125" style="76" customWidth="1"/>
    <col min="7427" max="7427" width="35.26953125" style="76" customWidth="1"/>
    <col min="7428" max="7428" width="17.453125" style="76" customWidth="1"/>
    <col min="7429" max="7429" width="15.453125" style="76" customWidth="1"/>
    <col min="7430" max="7430" width="10" style="76" customWidth="1"/>
    <col min="7431" max="7431" width="4.7265625" style="76" customWidth="1"/>
    <col min="7432" max="7432" width="10.26953125" style="76" customWidth="1"/>
    <col min="7433" max="7433" width="18" style="76" customWidth="1"/>
    <col min="7434" max="7435" width="0" style="76" hidden="1" customWidth="1"/>
    <col min="7436" max="7436" width="16.7265625" style="76" customWidth="1"/>
    <col min="7437" max="7437" width="16.81640625" style="76" customWidth="1"/>
    <col min="7438" max="7438" width="16.54296875" style="76" customWidth="1"/>
    <col min="7439" max="7439" width="18.453125" style="76" customWidth="1"/>
    <col min="7440" max="7440" width="16.1796875" style="76" customWidth="1"/>
    <col min="7441" max="7441" width="11.26953125" style="76" customWidth="1"/>
    <col min="7442" max="7442" width="11.453125" style="76"/>
    <col min="7443" max="7443" width="15" style="76" bestFit="1" customWidth="1"/>
    <col min="7444" max="7680" width="11.453125" style="76"/>
    <col min="7681" max="7681" width="22" style="76" customWidth="1"/>
    <col min="7682" max="7682" width="12.26953125" style="76" customWidth="1"/>
    <col min="7683" max="7683" width="35.26953125" style="76" customWidth="1"/>
    <col min="7684" max="7684" width="17.453125" style="76" customWidth="1"/>
    <col min="7685" max="7685" width="15.453125" style="76" customWidth="1"/>
    <col min="7686" max="7686" width="10" style="76" customWidth="1"/>
    <col min="7687" max="7687" width="4.7265625" style="76" customWidth="1"/>
    <col min="7688" max="7688" width="10.26953125" style="76" customWidth="1"/>
    <col min="7689" max="7689" width="18" style="76" customWidth="1"/>
    <col min="7690" max="7691" width="0" style="76" hidden="1" customWidth="1"/>
    <col min="7692" max="7692" width="16.7265625" style="76" customWidth="1"/>
    <col min="7693" max="7693" width="16.81640625" style="76" customWidth="1"/>
    <col min="7694" max="7694" width="16.54296875" style="76" customWidth="1"/>
    <col min="7695" max="7695" width="18.453125" style="76" customWidth="1"/>
    <col min="7696" max="7696" width="16.1796875" style="76" customWidth="1"/>
    <col min="7697" max="7697" width="11.26953125" style="76" customWidth="1"/>
    <col min="7698" max="7698" width="11.453125" style="76"/>
    <col min="7699" max="7699" width="15" style="76" bestFit="1" customWidth="1"/>
    <col min="7700" max="7936" width="11.453125" style="76"/>
    <col min="7937" max="7937" width="22" style="76" customWidth="1"/>
    <col min="7938" max="7938" width="12.26953125" style="76" customWidth="1"/>
    <col min="7939" max="7939" width="35.26953125" style="76" customWidth="1"/>
    <col min="7940" max="7940" width="17.453125" style="76" customWidth="1"/>
    <col min="7941" max="7941" width="15.453125" style="76" customWidth="1"/>
    <col min="7942" max="7942" width="10" style="76" customWidth="1"/>
    <col min="7943" max="7943" width="4.7265625" style="76" customWidth="1"/>
    <col min="7944" max="7944" width="10.26953125" style="76" customWidth="1"/>
    <col min="7945" max="7945" width="18" style="76" customWidth="1"/>
    <col min="7946" max="7947" width="0" style="76" hidden="1" customWidth="1"/>
    <col min="7948" max="7948" width="16.7265625" style="76" customWidth="1"/>
    <col min="7949" max="7949" width="16.81640625" style="76" customWidth="1"/>
    <col min="7950" max="7950" width="16.54296875" style="76" customWidth="1"/>
    <col min="7951" max="7951" width="18.453125" style="76" customWidth="1"/>
    <col min="7952" max="7952" width="16.1796875" style="76" customWidth="1"/>
    <col min="7953" max="7953" width="11.26953125" style="76" customWidth="1"/>
    <col min="7954" max="7954" width="11.453125" style="76"/>
    <col min="7955" max="7955" width="15" style="76" bestFit="1" customWidth="1"/>
    <col min="7956" max="8192" width="11.453125" style="76"/>
    <col min="8193" max="8193" width="22" style="76" customWidth="1"/>
    <col min="8194" max="8194" width="12.26953125" style="76" customWidth="1"/>
    <col min="8195" max="8195" width="35.26953125" style="76" customWidth="1"/>
    <col min="8196" max="8196" width="17.453125" style="76" customWidth="1"/>
    <col min="8197" max="8197" width="15.453125" style="76" customWidth="1"/>
    <col min="8198" max="8198" width="10" style="76" customWidth="1"/>
    <col min="8199" max="8199" width="4.7265625" style="76" customWidth="1"/>
    <col min="8200" max="8200" width="10.26953125" style="76" customWidth="1"/>
    <col min="8201" max="8201" width="18" style="76" customWidth="1"/>
    <col min="8202" max="8203" width="0" style="76" hidden="1" customWidth="1"/>
    <col min="8204" max="8204" width="16.7265625" style="76" customWidth="1"/>
    <col min="8205" max="8205" width="16.81640625" style="76" customWidth="1"/>
    <col min="8206" max="8206" width="16.54296875" style="76" customWidth="1"/>
    <col min="8207" max="8207" width="18.453125" style="76" customWidth="1"/>
    <col min="8208" max="8208" width="16.1796875" style="76" customWidth="1"/>
    <col min="8209" max="8209" width="11.26953125" style="76" customWidth="1"/>
    <col min="8210" max="8210" width="11.453125" style="76"/>
    <col min="8211" max="8211" width="15" style="76" bestFit="1" customWidth="1"/>
    <col min="8212" max="8448" width="11.453125" style="76"/>
    <col min="8449" max="8449" width="22" style="76" customWidth="1"/>
    <col min="8450" max="8450" width="12.26953125" style="76" customWidth="1"/>
    <col min="8451" max="8451" width="35.26953125" style="76" customWidth="1"/>
    <col min="8452" max="8452" width="17.453125" style="76" customWidth="1"/>
    <col min="8453" max="8453" width="15.453125" style="76" customWidth="1"/>
    <col min="8454" max="8454" width="10" style="76" customWidth="1"/>
    <col min="8455" max="8455" width="4.7265625" style="76" customWidth="1"/>
    <col min="8456" max="8456" width="10.26953125" style="76" customWidth="1"/>
    <col min="8457" max="8457" width="18" style="76" customWidth="1"/>
    <col min="8458" max="8459" width="0" style="76" hidden="1" customWidth="1"/>
    <col min="8460" max="8460" width="16.7265625" style="76" customWidth="1"/>
    <col min="8461" max="8461" width="16.81640625" style="76" customWidth="1"/>
    <col min="8462" max="8462" width="16.54296875" style="76" customWidth="1"/>
    <col min="8463" max="8463" width="18.453125" style="76" customWidth="1"/>
    <col min="8464" max="8464" width="16.1796875" style="76" customWidth="1"/>
    <col min="8465" max="8465" width="11.26953125" style="76" customWidth="1"/>
    <col min="8466" max="8466" width="11.453125" style="76"/>
    <col min="8467" max="8467" width="15" style="76" bestFit="1" customWidth="1"/>
    <col min="8468" max="8704" width="11.453125" style="76"/>
    <col min="8705" max="8705" width="22" style="76" customWidth="1"/>
    <col min="8706" max="8706" width="12.26953125" style="76" customWidth="1"/>
    <col min="8707" max="8707" width="35.26953125" style="76" customWidth="1"/>
    <col min="8708" max="8708" width="17.453125" style="76" customWidth="1"/>
    <col min="8709" max="8709" width="15.453125" style="76" customWidth="1"/>
    <col min="8710" max="8710" width="10" style="76" customWidth="1"/>
    <col min="8711" max="8711" width="4.7265625" style="76" customWidth="1"/>
    <col min="8712" max="8712" width="10.26953125" style="76" customWidth="1"/>
    <col min="8713" max="8713" width="18" style="76" customWidth="1"/>
    <col min="8714" max="8715" width="0" style="76" hidden="1" customWidth="1"/>
    <col min="8716" max="8716" width="16.7265625" style="76" customWidth="1"/>
    <col min="8717" max="8717" width="16.81640625" style="76" customWidth="1"/>
    <col min="8718" max="8718" width="16.54296875" style="76" customWidth="1"/>
    <col min="8719" max="8719" width="18.453125" style="76" customWidth="1"/>
    <col min="8720" max="8720" width="16.1796875" style="76" customWidth="1"/>
    <col min="8721" max="8721" width="11.26953125" style="76" customWidth="1"/>
    <col min="8722" max="8722" width="11.453125" style="76"/>
    <col min="8723" max="8723" width="15" style="76" bestFit="1" customWidth="1"/>
    <col min="8724" max="8960" width="11.453125" style="76"/>
    <col min="8961" max="8961" width="22" style="76" customWidth="1"/>
    <col min="8962" max="8962" width="12.26953125" style="76" customWidth="1"/>
    <col min="8963" max="8963" width="35.26953125" style="76" customWidth="1"/>
    <col min="8964" max="8964" width="17.453125" style="76" customWidth="1"/>
    <col min="8965" max="8965" width="15.453125" style="76" customWidth="1"/>
    <col min="8966" max="8966" width="10" style="76" customWidth="1"/>
    <col min="8967" max="8967" width="4.7265625" style="76" customWidth="1"/>
    <col min="8968" max="8968" width="10.26953125" style="76" customWidth="1"/>
    <col min="8969" max="8969" width="18" style="76" customWidth="1"/>
    <col min="8970" max="8971" width="0" style="76" hidden="1" customWidth="1"/>
    <col min="8972" max="8972" width="16.7265625" style="76" customWidth="1"/>
    <col min="8973" max="8973" width="16.81640625" style="76" customWidth="1"/>
    <col min="8974" max="8974" width="16.54296875" style="76" customWidth="1"/>
    <col min="8975" max="8975" width="18.453125" style="76" customWidth="1"/>
    <col min="8976" max="8976" width="16.1796875" style="76" customWidth="1"/>
    <col min="8977" max="8977" width="11.26953125" style="76" customWidth="1"/>
    <col min="8978" max="8978" width="11.453125" style="76"/>
    <col min="8979" max="8979" width="15" style="76" bestFit="1" customWidth="1"/>
    <col min="8980" max="9216" width="11.453125" style="76"/>
    <col min="9217" max="9217" width="22" style="76" customWidth="1"/>
    <col min="9218" max="9218" width="12.26953125" style="76" customWidth="1"/>
    <col min="9219" max="9219" width="35.26953125" style="76" customWidth="1"/>
    <col min="9220" max="9220" width="17.453125" style="76" customWidth="1"/>
    <col min="9221" max="9221" width="15.453125" style="76" customWidth="1"/>
    <col min="9222" max="9222" width="10" style="76" customWidth="1"/>
    <col min="9223" max="9223" width="4.7265625" style="76" customWidth="1"/>
    <col min="9224" max="9224" width="10.26953125" style="76" customWidth="1"/>
    <col min="9225" max="9225" width="18" style="76" customWidth="1"/>
    <col min="9226" max="9227" width="0" style="76" hidden="1" customWidth="1"/>
    <col min="9228" max="9228" width="16.7265625" style="76" customWidth="1"/>
    <col min="9229" max="9229" width="16.81640625" style="76" customWidth="1"/>
    <col min="9230" max="9230" width="16.54296875" style="76" customWidth="1"/>
    <col min="9231" max="9231" width="18.453125" style="76" customWidth="1"/>
    <col min="9232" max="9232" width="16.1796875" style="76" customWidth="1"/>
    <col min="9233" max="9233" width="11.26953125" style="76" customWidth="1"/>
    <col min="9234" max="9234" width="11.453125" style="76"/>
    <col min="9235" max="9235" width="15" style="76" bestFit="1" customWidth="1"/>
    <col min="9236" max="9472" width="11.453125" style="76"/>
    <col min="9473" max="9473" width="22" style="76" customWidth="1"/>
    <col min="9474" max="9474" width="12.26953125" style="76" customWidth="1"/>
    <col min="9475" max="9475" width="35.26953125" style="76" customWidth="1"/>
    <col min="9476" max="9476" width="17.453125" style="76" customWidth="1"/>
    <col min="9477" max="9477" width="15.453125" style="76" customWidth="1"/>
    <col min="9478" max="9478" width="10" style="76" customWidth="1"/>
    <col min="9479" max="9479" width="4.7265625" style="76" customWidth="1"/>
    <col min="9480" max="9480" width="10.26953125" style="76" customWidth="1"/>
    <col min="9481" max="9481" width="18" style="76" customWidth="1"/>
    <col min="9482" max="9483" width="0" style="76" hidden="1" customWidth="1"/>
    <col min="9484" max="9484" width="16.7265625" style="76" customWidth="1"/>
    <col min="9485" max="9485" width="16.81640625" style="76" customWidth="1"/>
    <col min="9486" max="9486" width="16.54296875" style="76" customWidth="1"/>
    <col min="9487" max="9487" width="18.453125" style="76" customWidth="1"/>
    <col min="9488" max="9488" width="16.1796875" style="76" customWidth="1"/>
    <col min="9489" max="9489" width="11.26953125" style="76" customWidth="1"/>
    <col min="9490" max="9490" width="11.453125" style="76"/>
    <col min="9491" max="9491" width="15" style="76" bestFit="1" customWidth="1"/>
    <col min="9492" max="9728" width="11.453125" style="76"/>
    <col min="9729" max="9729" width="22" style="76" customWidth="1"/>
    <col min="9730" max="9730" width="12.26953125" style="76" customWidth="1"/>
    <col min="9731" max="9731" width="35.26953125" style="76" customWidth="1"/>
    <col min="9732" max="9732" width="17.453125" style="76" customWidth="1"/>
    <col min="9733" max="9733" width="15.453125" style="76" customWidth="1"/>
    <col min="9734" max="9734" width="10" style="76" customWidth="1"/>
    <col min="9735" max="9735" width="4.7265625" style="76" customWidth="1"/>
    <col min="9736" max="9736" width="10.26953125" style="76" customWidth="1"/>
    <col min="9737" max="9737" width="18" style="76" customWidth="1"/>
    <col min="9738" max="9739" width="0" style="76" hidden="1" customWidth="1"/>
    <col min="9740" max="9740" width="16.7265625" style="76" customWidth="1"/>
    <col min="9741" max="9741" width="16.81640625" style="76" customWidth="1"/>
    <col min="9742" max="9742" width="16.54296875" style="76" customWidth="1"/>
    <col min="9743" max="9743" width="18.453125" style="76" customWidth="1"/>
    <col min="9744" max="9744" width="16.1796875" style="76" customWidth="1"/>
    <col min="9745" max="9745" width="11.26953125" style="76" customWidth="1"/>
    <col min="9746" max="9746" width="11.453125" style="76"/>
    <col min="9747" max="9747" width="15" style="76" bestFit="1" customWidth="1"/>
    <col min="9748" max="9984" width="11.453125" style="76"/>
    <col min="9985" max="9985" width="22" style="76" customWidth="1"/>
    <col min="9986" max="9986" width="12.26953125" style="76" customWidth="1"/>
    <col min="9987" max="9987" width="35.26953125" style="76" customWidth="1"/>
    <col min="9988" max="9988" width="17.453125" style="76" customWidth="1"/>
    <col min="9989" max="9989" width="15.453125" style="76" customWidth="1"/>
    <col min="9990" max="9990" width="10" style="76" customWidth="1"/>
    <col min="9991" max="9991" width="4.7265625" style="76" customWidth="1"/>
    <col min="9992" max="9992" width="10.26953125" style="76" customWidth="1"/>
    <col min="9993" max="9993" width="18" style="76" customWidth="1"/>
    <col min="9994" max="9995" width="0" style="76" hidden="1" customWidth="1"/>
    <col min="9996" max="9996" width="16.7265625" style="76" customWidth="1"/>
    <col min="9997" max="9997" width="16.81640625" style="76" customWidth="1"/>
    <col min="9998" max="9998" width="16.54296875" style="76" customWidth="1"/>
    <col min="9999" max="9999" width="18.453125" style="76" customWidth="1"/>
    <col min="10000" max="10000" width="16.1796875" style="76" customWidth="1"/>
    <col min="10001" max="10001" width="11.26953125" style="76" customWidth="1"/>
    <col min="10002" max="10002" width="11.453125" style="76"/>
    <col min="10003" max="10003" width="15" style="76" bestFit="1" customWidth="1"/>
    <col min="10004" max="10240" width="11.453125" style="76"/>
    <col min="10241" max="10241" width="22" style="76" customWidth="1"/>
    <col min="10242" max="10242" width="12.26953125" style="76" customWidth="1"/>
    <col min="10243" max="10243" width="35.26953125" style="76" customWidth="1"/>
    <col min="10244" max="10244" width="17.453125" style="76" customWidth="1"/>
    <col min="10245" max="10245" width="15.453125" style="76" customWidth="1"/>
    <col min="10246" max="10246" width="10" style="76" customWidth="1"/>
    <col min="10247" max="10247" width="4.7265625" style="76" customWidth="1"/>
    <col min="10248" max="10248" width="10.26953125" style="76" customWidth="1"/>
    <col min="10249" max="10249" width="18" style="76" customWidth="1"/>
    <col min="10250" max="10251" width="0" style="76" hidden="1" customWidth="1"/>
    <col min="10252" max="10252" width="16.7265625" style="76" customWidth="1"/>
    <col min="10253" max="10253" width="16.81640625" style="76" customWidth="1"/>
    <col min="10254" max="10254" width="16.54296875" style="76" customWidth="1"/>
    <col min="10255" max="10255" width="18.453125" style="76" customWidth="1"/>
    <col min="10256" max="10256" width="16.1796875" style="76" customWidth="1"/>
    <col min="10257" max="10257" width="11.26953125" style="76" customWidth="1"/>
    <col min="10258" max="10258" width="11.453125" style="76"/>
    <col min="10259" max="10259" width="15" style="76" bestFit="1" customWidth="1"/>
    <col min="10260" max="10496" width="11.453125" style="76"/>
    <col min="10497" max="10497" width="22" style="76" customWidth="1"/>
    <col min="10498" max="10498" width="12.26953125" style="76" customWidth="1"/>
    <col min="10499" max="10499" width="35.26953125" style="76" customWidth="1"/>
    <col min="10500" max="10500" width="17.453125" style="76" customWidth="1"/>
    <col min="10501" max="10501" width="15.453125" style="76" customWidth="1"/>
    <col min="10502" max="10502" width="10" style="76" customWidth="1"/>
    <col min="10503" max="10503" width="4.7265625" style="76" customWidth="1"/>
    <col min="10504" max="10504" width="10.26953125" style="76" customWidth="1"/>
    <col min="10505" max="10505" width="18" style="76" customWidth="1"/>
    <col min="10506" max="10507" width="0" style="76" hidden="1" customWidth="1"/>
    <col min="10508" max="10508" width="16.7265625" style="76" customWidth="1"/>
    <col min="10509" max="10509" width="16.81640625" style="76" customWidth="1"/>
    <col min="10510" max="10510" width="16.54296875" style="76" customWidth="1"/>
    <col min="10511" max="10511" width="18.453125" style="76" customWidth="1"/>
    <col min="10512" max="10512" width="16.1796875" style="76" customWidth="1"/>
    <col min="10513" max="10513" width="11.26953125" style="76" customWidth="1"/>
    <col min="10514" max="10514" width="11.453125" style="76"/>
    <col min="10515" max="10515" width="15" style="76" bestFit="1" customWidth="1"/>
    <col min="10516" max="10752" width="11.453125" style="76"/>
    <col min="10753" max="10753" width="22" style="76" customWidth="1"/>
    <col min="10754" max="10754" width="12.26953125" style="76" customWidth="1"/>
    <col min="10755" max="10755" width="35.26953125" style="76" customWidth="1"/>
    <col min="10756" max="10756" width="17.453125" style="76" customWidth="1"/>
    <col min="10757" max="10757" width="15.453125" style="76" customWidth="1"/>
    <col min="10758" max="10758" width="10" style="76" customWidth="1"/>
    <col min="10759" max="10759" width="4.7265625" style="76" customWidth="1"/>
    <col min="10760" max="10760" width="10.26953125" style="76" customWidth="1"/>
    <col min="10761" max="10761" width="18" style="76" customWidth="1"/>
    <col min="10762" max="10763" width="0" style="76" hidden="1" customWidth="1"/>
    <col min="10764" max="10764" width="16.7265625" style="76" customWidth="1"/>
    <col min="10765" max="10765" width="16.81640625" style="76" customWidth="1"/>
    <col min="10766" max="10766" width="16.54296875" style="76" customWidth="1"/>
    <col min="10767" max="10767" width="18.453125" style="76" customWidth="1"/>
    <col min="10768" max="10768" width="16.1796875" style="76" customWidth="1"/>
    <col min="10769" max="10769" width="11.26953125" style="76" customWidth="1"/>
    <col min="10770" max="10770" width="11.453125" style="76"/>
    <col min="10771" max="10771" width="15" style="76" bestFit="1" customWidth="1"/>
    <col min="10772" max="11008" width="11.453125" style="76"/>
    <col min="11009" max="11009" width="22" style="76" customWidth="1"/>
    <col min="11010" max="11010" width="12.26953125" style="76" customWidth="1"/>
    <col min="11011" max="11011" width="35.26953125" style="76" customWidth="1"/>
    <col min="11012" max="11012" width="17.453125" style="76" customWidth="1"/>
    <col min="11013" max="11013" width="15.453125" style="76" customWidth="1"/>
    <col min="11014" max="11014" width="10" style="76" customWidth="1"/>
    <col min="11015" max="11015" width="4.7265625" style="76" customWidth="1"/>
    <col min="11016" max="11016" width="10.26953125" style="76" customWidth="1"/>
    <col min="11017" max="11017" width="18" style="76" customWidth="1"/>
    <col min="11018" max="11019" width="0" style="76" hidden="1" customWidth="1"/>
    <col min="11020" max="11020" width="16.7265625" style="76" customWidth="1"/>
    <col min="11021" max="11021" width="16.81640625" style="76" customWidth="1"/>
    <col min="11022" max="11022" width="16.54296875" style="76" customWidth="1"/>
    <col min="11023" max="11023" width="18.453125" style="76" customWidth="1"/>
    <col min="11024" max="11024" width="16.1796875" style="76" customWidth="1"/>
    <col min="11025" max="11025" width="11.26953125" style="76" customWidth="1"/>
    <col min="11026" max="11026" width="11.453125" style="76"/>
    <col min="11027" max="11027" width="15" style="76" bestFit="1" customWidth="1"/>
    <col min="11028" max="11264" width="11.453125" style="76"/>
    <col min="11265" max="11265" width="22" style="76" customWidth="1"/>
    <col min="11266" max="11266" width="12.26953125" style="76" customWidth="1"/>
    <col min="11267" max="11267" width="35.26953125" style="76" customWidth="1"/>
    <col min="11268" max="11268" width="17.453125" style="76" customWidth="1"/>
    <col min="11269" max="11269" width="15.453125" style="76" customWidth="1"/>
    <col min="11270" max="11270" width="10" style="76" customWidth="1"/>
    <col min="11271" max="11271" width="4.7265625" style="76" customWidth="1"/>
    <col min="11272" max="11272" width="10.26953125" style="76" customWidth="1"/>
    <col min="11273" max="11273" width="18" style="76" customWidth="1"/>
    <col min="11274" max="11275" width="0" style="76" hidden="1" customWidth="1"/>
    <col min="11276" max="11276" width="16.7265625" style="76" customWidth="1"/>
    <col min="11277" max="11277" width="16.81640625" style="76" customWidth="1"/>
    <col min="11278" max="11278" width="16.54296875" style="76" customWidth="1"/>
    <col min="11279" max="11279" width="18.453125" style="76" customWidth="1"/>
    <col min="11280" max="11280" width="16.1796875" style="76" customWidth="1"/>
    <col min="11281" max="11281" width="11.26953125" style="76" customWidth="1"/>
    <col min="11282" max="11282" width="11.453125" style="76"/>
    <col min="11283" max="11283" width="15" style="76" bestFit="1" customWidth="1"/>
    <col min="11284" max="11520" width="11.453125" style="76"/>
    <col min="11521" max="11521" width="22" style="76" customWidth="1"/>
    <col min="11522" max="11522" width="12.26953125" style="76" customWidth="1"/>
    <col min="11523" max="11523" width="35.26953125" style="76" customWidth="1"/>
    <col min="11524" max="11524" width="17.453125" style="76" customWidth="1"/>
    <col min="11525" max="11525" width="15.453125" style="76" customWidth="1"/>
    <col min="11526" max="11526" width="10" style="76" customWidth="1"/>
    <col min="11527" max="11527" width="4.7265625" style="76" customWidth="1"/>
    <col min="11528" max="11528" width="10.26953125" style="76" customWidth="1"/>
    <col min="11529" max="11529" width="18" style="76" customWidth="1"/>
    <col min="11530" max="11531" width="0" style="76" hidden="1" customWidth="1"/>
    <col min="11532" max="11532" width="16.7265625" style="76" customWidth="1"/>
    <col min="11533" max="11533" width="16.81640625" style="76" customWidth="1"/>
    <col min="11534" max="11534" width="16.54296875" style="76" customWidth="1"/>
    <col min="11535" max="11535" width="18.453125" style="76" customWidth="1"/>
    <col min="11536" max="11536" width="16.1796875" style="76" customWidth="1"/>
    <col min="11537" max="11537" width="11.26953125" style="76" customWidth="1"/>
    <col min="11538" max="11538" width="11.453125" style="76"/>
    <col min="11539" max="11539" width="15" style="76" bestFit="1" customWidth="1"/>
    <col min="11540" max="11776" width="11.453125" style="76"/>
    <col min="11777" max="11777" width="22" style="76" customWidth="1"/>
    <col min="11778" max="11778" width="12.26953125" style="76" customWidth="1"/>
    <col min="11779" max="11779" width="35.26953125" style="76" customWidth="1"/>
    <col min="11780" max="11780" width="17.453125" style="76" customWidth="1"/>
    <col min="11781" max="11781" width="15.453125" style="76" customWidth="1"/>
    <col min="11782" max="11782" width="10" style="76" customWidth="1"/>
    <col min="11783" max="11783" width="4.7265625" style="76" customWidth="1"/>
    <col min="11784" max="11784" width="10.26953125" style="76" customWidth="1"/>
    <col min="11785" max="11785" width="18" style="76" customWidth="1"/>
    <col min="11786" max="11787" width="0" style="76" hidden="1" customWidth="1"/>
    <col min="11788" max="11788" width="16.7265625" style="76" customWidth="1"/>
    <col min="11789" max="11789" width="16.81640625" style="76" customWidth="1"/>
    <col min="11790" max="11790" width="16.54296875" style="76" customWidth="1"/>
    <col min="11791" max="11791" width="18.453125" style="76" customWidth="1"/>
    <col min="11792" max="11792" width="16.1796875" style="76" customWidth="1"/>
    <col min="11793" max="11793" width="11.26953125" style="76" customWidth="1"/>
    <col min="11794" max="11794" width="11.453125" style="76"/>
    <col min="11795" max="11795" width="15" style="76" bestFit="1" customWidth="1"/>
    <col min="11796" max="12032" width="11.453125" style="76"/>
    <col min="12033" max="12033" width="22" style="76" customWidth="1"/>
    <col min="12034" max="12034" width="12.26953125" style="76" customWidth="1"/>
    <col min="12035" max="12035" width="35.26953125" style="76" customWidth="1"/>
    <col min="12036" max="12036" width="17.453125" style="76" customWidth="1"/>
    <col min="12037" max="12037" width="15.453125" style="76" customWidth="1"/>
    <col min="12038" max="12038" width="10" style="76" customWidth="1"/>
    <col min="12039" max="12039" width="4.7265625" style="76" customWidth="1"/>
    <col min="12040" max="12040" width="10.26953125" style="76" customWidth="1"/>
    <col min="12041" max="12041" width="18" style="76" customWidth="1"/>
    <col min="12042" max="12043" width="0" style="76" hidden="1" customWidth="1"/>
    <col min="12044" max="12044" width="16.7265625" style="76" customWidth="1"/>
    <col min="12045" max="12045" width="16.81640625" style="76" customWidth="1"/>
    <col min="12046" max="12046" width="16.54296875" style="76" customWidth="1"/>
    <col min="12047" max="12047" width="18.453125" style="76" customWidth="1"/>
    <col min="12048" max="12048" width="16.1796875" style="76" customWidth="1"/>
    <col min="12049" max="12049" width="11.26953125" style="76" customWidth="1"/>
    <col min="12050" max="12050" width="11.453125" style="76"/>
    <col min="12051" max="12051" width="15" style="76" bestFit="1" customWidth="1"/>
    <col min="12052" max="12288" width="11.453125" style="76"/>
    <col min="12289" max="12289" width="22" style="76" customWidth="1"/>
    <col min="12290" max="12290" width="12.26953125" style="76" customWidth="1"/>
    <col min="12291" max="12291" width="35.26953125" style="76" customWidth="1"/>
    <col min="12292" max="12292" width="17.453125" style="76" customWidth="1"/>
    <col min="12293" max="12293" width="15.453125" style="76" customWidth="1"/>
    <col min="12294" max="12294" width="10" style="76" customWidth="1"/>
    <col min="12295" max="12295" width="4.7265625" style="76" customWidth="1"/>
    <col min="12296" max="12296" width="10.26953125" style="76" customWidth="1"/>
    <col min="12297" max="12297" width="18" style="76" customWidth="1"/>
    <col min="12298" max="12299" width="0" style="76" hidden="1" customWidth="1"/>
    <col min="12300" max="12300" width="16.7265625" style="76" customWidth="1"/>
    <col min="12301" max="12301" width="16.81640625" style="76" customWidth="1"/>
    <col min="12302" max="12302" width="16.54296875" style="76" customWidth="1"/>
    <col min="12303" max="12303" width="18.453125" style="76" customWidth="1"/>
    <col min="12304" max="12304" width="16.1796875" style="76" customWidth="1"/>
    <col min="12305" max="12305" width="11.26953125" style="76" customWidth="1"/>
    <col min="12306" max="12306" width="11.453125" style="76"/>
    <col min="12307" max="12307" width="15" style="76" bestFit="1" customWidth="1"/>
    <col min="12308" max="12544" width="11.453125" style="76"/>
    <col min="12545" max="12545" width="22" style="76" customWidth="1"/>
    <col min="12546" max="12546" width="12.26953125" style="76" customWidth="1"/>
    <col min="12547" max="12547" width="35.26953125" style="76" customWidth="1"/>
    <col min="12548" max="12548" width="17.453125" style="76" customWidth="1"/>
    <col min="12549" max="12549" width="15.453125" style="76" customWidth="1"/>
    <col min="12550" max="12550" width="10" style="76" customWidth="1"/>
    <col min="12551" max="12551" width="4.7265625" style="76" customWidth="1"/>
    <col min="12552" max="12552" width="10.26953125" style="76" customWidth="1"/>
    <col min="12553" max="12553" width="18" style="76" customWidth="1"/>
    <col min="12554" max="12555" width="0" style="76" hidden="1" customWidth="1"/>
    <col min="12556" max="12556" width="16.7265625" style="76" customWidth="1"/>
    <col min="12557" max="12557" width="16.81640625" style="76" customWidth="1"/>
    <col min="12558" max="12558" width="16.54296875" style="76" customWidth="1"/>
    <col min="12559" max="12559" width="18.453125" style="76" customWidth="1"/>
    <col min="12560" max="12560" width="16.1796875" style="76" customWidth="1"/>
    <col min="12561" max="12561" width="11.26953125" style="76" customWidth="1"/>
    <col min="12562" max="12562" width="11.453125" style="76"/>
    <col min="12563" max="12563" width="15" style="76" bestFit="1" customWidth="1"/>
    <col min="12564" max="12800" width="11.453125" style="76"/>
    <col min="12801" max="12801" width="22" style="76" customWidth="1"/>
    <col min="12802" max="12802" width="12.26953125" style="76" customWidth="1"/>
    <col min="12803" max="12803" width="35.26953125" style="76" customWidth="1"/>
    <col min="12804" max="12804" width="17.453125" style="76" customWidth="1"/>
    <col min="12805" max="12805" width="15.453125" style="76" customWidth="1"/>
    <col min="12806" max="12806" width="10" style="76" customWidth="1"/>
    <col min="12807" max="12807" width="4.7265625" style="76" customWidth="1"/>
    <col min="12808" max="12808" width="10.26953125" style="76" customWidth="1"/>
    <col min="12809" max="12809" width="18" style="76" customWidth="1"/>
    <col min="12810" max="12811" width="0" style="76" hidden="1" customWidth="1"/>
    <col min="12812" max="12812" width="16.7265625" style="76" customWidth="1"/>
    <col min="12813" max="12813" width="16.81640625" style="76" customWidth="1"/>
    <col min="12814" max="12814" width="16.54296875" style="76" customWidth="1"/>
    <col min="12815" max="12815" width="18.453125" style="76" customWidth="1"/>
    <col min="12816" max="12816" width="16.1796875" style="76" customWidth="1"/>
    <col min="12817" max="12817" width="11.26953125" style="76" customWidth="1"/>
    <col min="12818" max="12818" width="11.453125" style="76"/>
    <col min="12819" max="12819" width="15" style="76" bestFit="1" customWidth="1"/>
    <col min="12820" max="13056" width="11.453125" style="76"/>
    <col min="13057" max="13057" width="22" style="76" customWidth="1"/>
    <col min="13058" max="13058" width="12.26953125" style="76" customWidth="1"/>
    <col min="13059" max="13059" width="35.26953125" style="76" customWidth="1"/>
    <col min="13060" max="13060" width="17.453125" style="76" customWidth="1"/>
    <col min="13061" max="13061" width="15.453125" style="76" customWidth="1"/>
    <col min="13062" max="13062" width="10" style="76" customWidth="1"/>
    <col min="13063" max="13063" width="4.7265625" style="76" customWidth="1"/>
    <col min="13064" max="13064" width="10.26953125" style="76" customWidth="1"/>
    <col min="13065" max="13065" width="18" style="76" customWidth="1"/>
    <col min="13066" max="13067" width="0" style="76" hidden="1" customWidth="1"/>
    <col min="13068" max="13068" width="16.7265625" style="76" customWidth="1"/>
    <col min="13069" max="13069" width="16.81640625" style="76" customWidth="1"/>
    <col min="13070" max="13070" width="16.54296875" style="76" customWidth="1"/>
    <col min="13071" max="13071" width="18.453125" style="76" customWidth="1"/>
    <col min="13072" max="13072" width="16.1796875" style="76" customWidth="1"/>
    <col min="13073" max="13073" width="11.26953125" style="76" customWidth="1"/>
    <col min="13074" max="13074" width="11.453125" style="76"/>
    <col min="13075" max="13075" width="15" style="76" bestFit="1" customWidth="1"/>
    <col min="13076" max="13312" width="11.453125" style="76"/>
    <col min="13313" max="13313" width="22" style="76" customWidth="1"/>
    <col min="13314" max="13314" width="12.26953125" style="76" customWidth="1"/>
    <col min="13315" max="13315" width="35.26953125" style="76" customWidth="1"/>
    <col min="13316" max="13316" width="17.453125" style="76" customWidth="1"/>
    <col min="13317" max="13317" width="15.453125" style="76" customWidth="1"/>
    <col min="13318" max="13318" width="10" style="76" customWidth="1"/>
    <col min="13319" max="13319" width="4.7265625" style="76" customWidth="1"/>
    <col min="13320" max="13320" width="10.26953125" style="76" customWidth="1"/>
    <col min="13321" max="13321" width="18" style="76" customWidth="1"/>
    <col min="13322" max="13323" width="0" style="76" hidden="1" customWidth="1"/>
    <col min="13324" max="13324" width="16.7265625" style="76" customWidth="1"/>
    <col min="13325" max="13325" width="16.81640625" style="76" customWidth="1"/>
    <col min="13326" max="13326" width="16.54296875" style="76" customWidth="1"/>
    <col min="13327" max="13327" width="18.453125" style="76" customWidth="1"/>
    <col min="13328" max="13328" width="16.1796875" style="76" customWidth="1"/>
    <col min="13329" max="13329" width="11.26953125" style="76" customWidth="1"/>
    <col min="13330" max="13330" width="11.453125" style="76"/>
    <col min="13331" max="13331" width="15" style="76" bestFit="1" customWidth="1"/>
    <col min="13332" max="13568" width="11.453125" style="76"/>
    <col min="13569" max="13569" width="22" style="76" customWidth="1"/>
    <col min="13570" max="13570" width="12.26953125" style="76" customWidth="1"/>
    <col min="13571" max="13571" width="35.26953125" style="76" customWidth="1"/>
    <col min="13572" max="13572" width="17.453125" style="76" customWidth="1"/>
    <col min="13573" max="13573" width="15.453125" style="76" customWidth="1"/>
    <col min="13574" max="13574" width="10" style="76" customWidth="1"/>
    <col min="13575" max="13575" width="4.7265625" style="76" customWidth="1"/>
    <col min="13576" max="13576" width="10.26953125" style="76" customWidth="1"/>
    <col min="13577" max="13577" width="18" style="76" customWidth="1"/>
    <col min="13578" max="13579" width="0" style="76" hidden="1" customWidth="1"/>
    <col min="13580" max="13580" width="16.7265625" style="76" customWidth="1"/>
    <col min="13581" max="13581" width="16.81640625" style="76" customWidth="1"/>
    <col min="13582" max="13582" width="16.54296875" style="76" customWidth="1"/>
    <col min="13583" max="13583" width="18.453125" style="76" customWidth="1"/>
    <col min="13584" max="13584" width="16.1796875" style="76" customWidth="1"/>
    <col min="13585" max="13585" width="11.26953125" style="76" customWidth="1"/>
    <col min="13586" max="13586" width="11.453125" style="76"/>
    <col min="13587" max="13587" width="15" style="76" bestFit="1" customWidth="1"/>
    <col min="13588" max="13824" width="11.453125" style="76"/>
    <col min="13825" max="13825" width="22" style="76" customWidth="1"/>
    <col min="13826" max="13826" width="12.26953125" style="76" customWidth="1"/>
    <col min="13827" max="13827" width="35.26953125" style="76" customWidth="1"/>
    <col min="13828" max="13828" width="17.453125" style="76" customWidth="1"/>
    <col min="13829" max="13829" width="15.453125" style="76" customWidth="1"/>
    <col min="13830" max="13830" width="10" style="76" customWidth="1"/>
    <col min="13831" max="13831" width="4.7265625" style="76" customWidth="1"/>
    <col min="13832" max="13832" width="10.26953125" style="76" customWidth="1"/>
    <col min="13833" max="13833" width="18" style="76" customWidth="1"/>
    <col min="13834" max="13835" width="0" style="76" hidden="1" customWidth="1"/>
    <col min="13836" max="13836" width="16.7265625" style="76" customWidth="1"/>
    <col min="13837" max="13837" width="16.81640625" style="76" customWidth="1"/>
    <col min="13838" max="13838" width="16.54296875" style="76" customWidth="1"/>
    <col min="13839" max="13839" width="18.453125" style="76" customWidth="1"/>
    <col min="13840" max="13840" width="16.1796875" style="76" customWidth="1"/>
    <col min="13841" max="13841" width="11.26953125" style="76" customWidth="1"/>
    <col min="13842" max="13842" width="11.453125" style="76"/>
    <col min="13843" max="13843" width="15" style="76" bestFit="1" customWidth="1"/>
    <col min="13844" max="14080" width="11.453125" style="76"/>
    <col min="14081" max="14081" width="22" style="76" customWidth="1"/>
    <col min="14082" max="14082" width="12.26953125" style="76" customWidth="1"/>
    <col min="14083" max="14083" width="35.26953125" style="76" customWidth="1"/>
    <col min="14084" max="14084" width="17.453125" style="76" customWidth="1"/>
    <col min="14085" max="14085" width="15.453125" style="76" customWidth="1"/>
    <col min="14086" max="14086" width="10" style="76" customWidth="1"/>
    <col min="14087" max="14087" width="4.7265625" style="76" customWidth="1"/>
    <col min="14088" max="14088" width="10.26953125" style="76" customWidth="1"/>
    <col min="14089" max="14089" width="18" style="76" customWidth="1"/>
    <col min="14090" max="14091" width="0" style="76" hidden="1" customWidth="1"/>
    <col min="14092" max="14092" width="16.7265625" style="76" customWidth="1"/>
    <col min="14093" max="14093" width="16.81640625" style="76" customWidth="1"/>
    <col min="14094" max="14094" width="16.54296875" style="76" customWidth="1"/>
    <col min="14095" max="14095" width="18.453125" style="76" customWidth="1"/>
    <col min="14096" max="14096" width="16.1796875" style="76" customWidth="1"/>
    <col min="14097" max="14097" width="11.26953125" style="76" customWidth="1"/>
    <col min="14098" max="14098" width="11.453125" style="76"/>
    <col min="14099" max="14099" width="15" style="76" bestFit="1" customWidth="1"/>
    <col min="14100" max="14336" width="11.453125" style="76"/>
    <col min="14337" max="14337" width="22" style="76" customWidth="1"/>
    <col min="14338" max="14338" width="12.26953125" style="76" customWidth="1"/>
    <col min="14339" max="14339" width="35.26953125" style="76" customWidth="1"/>
    <col min="14340" max="14340" width="17.453125" style="76" customWidth="1"/>
    <col min="14341" max="14341" width="15.453125" style="76" customWidth="1"/>
    <col min="14342" max="14342" width="10" style="76" customWidth="1"/>
    <col min="14343" max="14343" width="4.7265625" style="76" customWidth="1"/>
    <col min="14344" max="14344" width="10.26953125" style="76" customWidth="1"/>
    <col min="14345" max="14345" width="18" style="76" customWidth="1"/>
    <col min="14346" max="14347" width="0" style="76" hidden="1" customWidth="1"/>
    <col min="14348" max="14348" width="16.7265625" style="76" customWidth="1"/>
    <col min="14349" max="14349" width="16.81640625" style="76" customWidth="1"/>
    <col min="14350" max="14350" width="16.54296875" style="76" customWidth="1"/>
    <col min="14351" max="14351" width="18.453125" style="76" customWidth="1"/>
    <col min="14352" max="14352" width="16.1796875" style="76" customWidth="1"/>
    <col min="14353" max="14353" width="11.26953125" style="76" customWidth="1"/>
    <col min="14354" max="14354" width="11.453125" style="76"/>
    <col min="14355" max="14355" width="15" style="76" bestFit="1" customWidth="1"/>
    <col min="14356" max="14592" width="11.453125" style="76"/>
    <col min="14593" max="14593" width="22" style="76" customWidth="1"/>
    <col min="14594" max="14594" width="12.26953125" style="76" customWidth="1"/>
    <col min="14595" max="14595" width="35.26953125" style="76" customWidth="1"/>
    <col min="14596" max="14596" width="17.453125" style="76" customWidth="1"/>
    <col min="14597" max="14597" width="15.453125" style="76" customWidth="1"/>
    <col min="14598" max="14598" width="10" style="76" customWidth="1"/>
    <col min="14599" max="14599" width="4.7265625" style="76" customWidth="1"/>
    <col min="14600" max="14600" width="10.26953125" style="76" customWidth="1"/>
    <col min="14601" max="14601" width="18" style="76" customWidth="1"/>
    <col min="14602" max="14603" width="0" style="76" hidden="1" customWidth="1"/>
    <col min="14604" max="14604" width="16.7265625" style="76" customWidth="1"/>
    <col min="14605" max="14605" width="16.81640625" style="76" customWidth="1"/>
    <col min="14606" max="14606" width="16.54296875" style="76" customWidth="1"/>
    <col min="14607" max="14607" width="18.453125" style="76" customWidth="1"/>
    <col min="14608" max="14608" width="16.1796875" style="76" customWidth="1"/>
    <col min="14609" max="14609" width="11.26953125" style="76" customWidth="1"/>
    <col min="14610" max="14610" width="11.453125" style="76"/>
    <col min="14611" max="14611" width="15" style="76" bestFit="1" customWidth="1"/>
    <col min="14612" max="14848" width="11.453125" style="76"/>
    <col min="14849" max="14849" width="22" style="76" customWidth="1"/>
    <col min="14850" max="14850" width="12.26953125" style="76" customWidth="1"/>
    <col min="14851" max="14851" width="35.26953125" style="76" customWidth="1"/>
    <col min="14852" max="14852" width="17.453125" style="76" customWidth="1"/>
    <col min="14853" max="14853" width="15.453125" style="76" customWidth="1"/>
    <col min="14854" max="14854" width="10" style="76" customWidth="1"/>
    <col min="14855" max="14855" width="4.7265625" style="76" customWidth="1"/>
    <col min="14856" max="14856" width="10.26953125" style="76" customWidth="1"/>
    <col min="14857" max="14857" width="18" style="76" customWidth="1"/>
    <col min="14858" max="14859" width="0" style="76" hidden="1" customWidth="1"/>
    <col min="14860" max="14860" width="16.7265625" style="76" customWidth="1"/>
    <col min="14861" max="14861" width="16.81640625" style="76" customWidth="1"/>
    <col min="14862" max="14862" width="16.54296875" style="76" customWidth="1"/>
    <col min="14863" max="14863" width="18.453125" style="76" customWidth="1"/>
    <col min="14864" max="14864" width="16.1796875" style="76" customWidth="1"/>
    <col min="14865" max="14865" width="11.26953125" style="76" customWidth="1"/>
    <col min="14866" max="14866" width="11.453125" style="76"/>
    <col min="14867" max="14867" width="15" style="76" bestFit="1" customWidth="1"/>
    <col min="14868" max="15104" width="11.453125" style="76"/>
    <col min="15105" max="15105" width="22" style="76" customWidth="1"/>
    <col min="15106" max="15106" width="12.26953125" style="76" customWidth="1"/>
    <col min="15107" max="15107" width="35.26953125" style="76" customWidth="1"/>
    <col min="15108" max="15108" width="17.453125" style="76" customWidth="1"/>
    <col min="15109" max="15109" width="15.453125" style="76" customWidth="1"/>
    <col min="15110" max="15110" width="10" style="76" customWidth="1"/>
    <col min="15111" max="15111" width="4.7265625" style="76" customWidth="1"/>
    <col min="15112" max="15112" width="10.26953125" style="76" customWidth="1"/>
    <col min="15113" max="15113" width="18" style="76" customWidth="1"/>
    <col min="15114" max="15115" width="0" style="76" hidden="1" customWidth="1"/>
    <col min="15116" max="15116" width="16.7265625" style="76" customWidth="1"/>
    <col min="15117" max="15117" width="16.81640625" style="76" customWidth="1"/>
    <col min="15118" max="15118" width="16.54296875" style="76" customWidth="1"/>
    <col min="15119" max="15119" width="18.453125" style="76" customWidth="1"/>
    <col min="15120" max="15120" width="16.1796875" style="76" customWidth="1"/>
    <col min="15121" max="15121" width="11.26953125" style="76" customWidth="1"/>
    <col min="15122" max="15122" width="11.453125" style="76"/>
    <col min="15123" max="15123" width="15" style="76" bestFit="1" customWidth="1"/>
    <col min="15124" max="15360" width="11.453125" style="76"/>
    <col min="15361" max="15361" width="22" style="76" customWidth="1"/>
    <col min="15362" max="15362" width="12.26953125" style="76" customWidth="1"/>
    <col min="15363" max="15363" width="35.26953125" style="76" customWidth="1"/>
    <col min="15364" max="15364" width="17.453125" style="76" customWidth="1"/>
    <col min="15365" max="15365" width="15.453125" style="76" customWidth="1"/>
    <col min="15366" max="15366" width="10" style="76" customWidth="1"/>
    <col min="15367" max="15367" width="4.7265625" style="76" customWidth="1"/>
    <col min="15368" max="15368" width="10.26953125" style="76" customWidth="1"/>
    <col min="15369" max="15369" width="18" style="76" customWidth="1"/>
    <col min="15370" max="15371" width="0" style="76" hidden="1" customWidth="1"/>
    <col min="15372" max="15372" width="16.7265625" style="76" customWidth="1"/>
    <col min="15373" max="15373" width="16.81640625" style="76" customWidth="1"/>
    <col min="15374" max="15374" width="16.54296875" style="76" customWidth="1"/>
    <col min="15375" max="15375" width="18.453125" style="76" customWidth="1"/>
    <col min="15376" max="15376" width="16.1796875" style="76" customWidth="1"/>
    <col min="15377" max="15377" width="11.26953125" style="76" customWidth="1"/>
    <col min="15378" max="15378" width="11.453125" style="76"/>
    <col min="15379" max="15379" width="15" style="76" bestFit="1" customWidth="1"/>
    <col min="15380" max="15616" width="11.453125" style="76"/>
    <col min="15617" max="15617" width="22" style="76" customWidth="1"/>
    <col min="15618" max="15618" width="12.26953125" style="76" customWidth="1"/>
    <col min="15619" max="15619" width="35.26953125" style="76" customWidth="1"/>
    <col min="15620" max="15620" width="17.453125" style="76" customWidth="1"/>
    <col min="15621" max="15621" width="15.453125" style="76" customWidth="1"/>
    <col min="15622" max="15622" width="10" style="76" customWidth="1"/>
    <col min="15623" max="15623" width="4.7265625" style="76" customWidth="1"/>
    <col min="15624" max="15624" width="10.26953125" style="76" customWidth="1"/>
    <col min="15625" max="15625" width="18" style="76" customWidth="1"/>
    <col min="15626" max="15627" width="0" style="76" hidden="1" customWidth="1"/>
    <col min="15628" max="15628" width="16.7265625" style="76" customWidth="1"/>
    <col min="15629" max="15629" width="16.81640625" style="76" customWidth="1"/>
    <col min="15630" max="15630" width="16.54296875" style="76" customWidth="1"/>
    <col min="15631" max="15631" width="18.453125" style="76" customWidth="1"/>
    <col min="15632" max="15632" width="16.1796875" style="76" customWidth="1"/>
    <col min="15633" max="15633" width="11.26953125" style="76" customWidth="1"/>
    <col min="15634" max="15634" width="11.453125" style="76"/>
    <col min="15635" max="15635" width="15" style="76" bestFit="1" customWidth="1"/>
    <col min="15636" max="15872" width="11.453125" style="76"/>
    <col min="15873" max="15873" width="22" style="76" customWidth="1"/>
    <col min="15874" max="15874" width="12.26953125" style="76" customWidth="1"/>
    <col min="15875" max="15875" width="35.26953125" style="76" customWidth="1"/>
    <col min="15876" max="15876" width="17.453125" style="76" customWidth="1"/>
    <col min="15877" max="15877" width="15.453125" style="76" customWidth="1"/>
    <col min="15878" max="15878" width="10" style="76" customWidth="1"/>
    <col min="15879" max="15879" width="4.7265625" style="76" customWidth="1"/>
    <col min="15880" max="15880" width="10.26953125" style="76" customWidth="1"/>
    <col min="15881" max="15881" width="18" style="76" customWidth="1"/>
    <col min="15882" max="15883" width="0" style="76" hidden="1" customWidth="1"/>
    <col min="15884" max="15884" width="16.7265625" style="76" customWidth="1"/>
    <col min="15885" max="15885" width="16.81640625" style="76" customWidth="1"/>
    <col min="15886" max="15886" width="16.54296875" style="76" customWidth="1"/>
    <col min="15887" max="15887" width="18.453125" style="76" customWidth="1"/>
    <col min="15888" max="15888" width="16.1796875" style="76" customWidth="1"/>
    <col min="15889" max="15889" width="11.26953125" style="76" customWidth="1"/>
    <col min="15890" max="15890" width="11.453125" style="76"/>
    <col min="15891" max="15891" width="15" style="76" bestFit="1" customWidth="1"/>
    <col min="15892" max="16128" width="11.453125" style="76"/>
    <col min="16129" max="16129" width="22" style="76" customWidth="1"/>
    <col min="16130" max="16130" width="12.26953125" style="76" customWidth="1"/>
    <col min="16131" max="16131" width="35.26953125" style="76" customWidth="1"/>
    <col min="16132" max="16132" width="17.453125" style="76" customWidth="1"/>
    <col min="16133" max="16133" width="15.453125" style="76" customWidth="1"/>
    <col min="16134" max="16134" width="10" style="76" customWidth="1"/>
    <col min="16135" max="16135" width="4.7265625" style="76" customWidth="1"/>
    <col min="16136" max="16136" width="10.26953125" style="76" customWidth="1"/>
    <col min="16137" max="16137" width="18" style="76" customWidth="1"/>
    <col min="16138" max="16139" width="0" style="76" hidden="1" customWidth="1"/>
    <col min="16140" max="16140" width="16.7265625" style="76" customWidth="1"/>
    <col min="16141" max="16141" width="16.81640625" style="76" customWidth="1"/>
    <col min="16142" max="16142" width="16.54296875" style="76" customWidth="1"/>
    <col min="16143" max="16143" width="18.453125" style="76" customWidth="1"/>
    <col min="16144" max="16144" width="16.1796875" style="76" customWidth="1"/>
    <col min="16145" max="16145" width="11.26953125" style="76" customWidth="1"/>
    <col min="16146" max="16146" width="11.453125" style="76"/>
    <col min="16147" max="16147" width="15" style="76" bestFit="1" customWidth="1"/>
    <col min="16148" max="16384" width="11.453125" style="76"/>
  </cols>
  <sheetData>
    <row r="1" spans="2:19" ht="13" x14ac:dyDescent="0.3">
      <c r="B1" s="491" t="s">
        <v>0</v>
      </c>
      <c r="C1" s="491"/>
      <c r="D1" s="491"/>
      <c r="E1" s="491"/>
      <c r="F1" s="491"/>
      <c r="G1" s="491"/>
      <c r="H1" s="491"/>
      <c r="I1" s="491"/>
      <c r="J1" s="491"/>
      <c r="K1" s="491"/>
      <c r="L1" s="491"/>
      <c r="M1" s="491"/>
      <c r="N1" s="491"/>
      <c r="O1" s="491"/>
      <c r="P1" s="491"/>
      <c r="Q1" s="491"/>
    </row>
    <row r="2" spans="2:19" x14ac:dyDescent="0.2">
      <c r="B2" s="492" t="s">
        <v>561</v>
      </c>
      <c r="C2" s="492"/>
      <c r="D2" s="492"/>
      <c r="E2" s="492"/>
      <c r="F2" s="492"/>
      <c r="G2" s="492"/>
      <c r="H2" s="492"/>
      <c r="I2" s="492"/>
      <c r="J2" s="492"/>
      <c r="K2" s="492"/>
      <c r="L2" s="492"/>
      <c r="M2" s="492"/>
      <c r="N2" s="492"/>
      <c r="O2" s="492"/>
      <c r="P2" s="492"/>
      <c r="Q2" s="492"/>
    </row>
    <row r="3" spans="2:19" x14ac:dyDescent="0.2">
      <c r="B3" s="76" t="s">
        <v>562</v>
      </c>
    </row>
    <row r="4" spans="2:19" ht="10.5" x14ac:dyDescent="0.25">
      <c r="B4" s="217" t="s">
        <v>563</v>
      </c>
      <c r="C4" s="218"/>
      <c r="D4" s="219"/>
      <c r="E4" s="4"/>
      <c r="F4" s="219"/>
      <c r="G4" s="76"/>
      <c r="H4" s="76"/>
      <c r="I4" s="220"/>
      <c r="J4" s="76"/>
      <c r="K4" s="76"/>
      <c r="L4" s="1"/>
      <c r="M4" s="76"/>
      <c r="O4" s="76"/>
      <c r="P4" s="76"/>
      <c r="Q4" s="76"/>
    </row>
    <row r="5" spans="2:19" ht="10.5" x14ac:dyDescent="0.25">
      <c r="B5" s="221" t="s">
        <v>564</v>
      </c>
      <c r="C5" s="218"/>
      <c r="D5" s="219"/>
      <c r="E5" s="4"/>
      <c r="F5" s="219"/>
      <c r="G5" s="76"/>
      <c r="H5" s="222"/>
      <c r="I5" s="220"/>
      <c r="J5" s="76"/>
      <c r="K5" s="76"/>
      <c r="L5" s="13"/>
      <c r="M5" s="9"/>
      <c r="O5" s="77"/>
      <c r="P5" s="76"/>
      <c r="Q5" s="76"/>
    </row>
    <row r="6" spans="2:19" ht="10.5" thickBot="1" x14ac:dyDescent="0.25">
      <c r="B6" s="218"/>
      <c r="C6" s="218"/>
      <c r="D6" s="219"/>
      <c r="E6" s="4"/>
      <c r="F6" s="219"/>
      <c r="G6" s="76"/>
      <c r="H6" s="76"/>
      <c r="I6" s="77"/>
      <c r="J6" s="76"/>
      <c r="K6" s="76"/>
      <c r="L6" s="1"/>
      <c r="M6" s="76"/>
      <c r="O6" s="77"/>
      <c r="P6" s="76"/>
      <c r="Q6" s="76"/>
    </row>
    <row r="7" spans="2:19" ht="23.25" customHeight="1" thickBot="1" x14ac:dyDescent="0.25">
      <c r="B7" s="493" t="s">
        <v>4</v>
      </c>
      <c r="C7" s="494"/>
      <c r="D7" s="495" t="s">
        <v>5</v>
      </c>
      <c r="E7" s="498" t="s">
        <v>565</v>
      </c>
      <c r="F7" s="499"/>
      <c r="G7" s="499"/>
      <c r="H7" s="500"/>
      <c r="I7" s="501" t="s">
        <v>566</v>
      </c>
      <c r="J7" s="503" t="s">
        <v>567</v>
      </c>
      <c r="K7" s="504"/>
      <c r="L7" s="498" t="s">
        <v>568</v>
      </c>
      <c r="M7" s="507"/>
      <c r="N7" s="507"/>
      <c r="O7" s="508"/>
      <c r="P7" s="509" t="s">
        <v>569</v>
      </c>
      <c r="Q7" s="510"/>
    </row>
    <row r="8" spans="2:19" s="14" customFormat="1" ht="36.75" customHeight="1" thickBot="1" x14ac:dyDescent="0.3">
      <c r="B8" s="511" t="s">
        <v>10</v>
      </c>
      <c r="C8" s="516" t="s">
        <v>11</v>
      </c>
      <c r="D8" s="496"/>
      <c r="E8" s="517" t="s">
        <v>12</v>
      </c>
      <c r="F8" s="518"/>
      <c r="G8" s="518" t="s">
        <v>13</v>
      </c>
      <c r="H8" s="519"/>
      <c r="I8" s="502"/>
      <c r="J8" s="505"/>
      <c r="K8" s="506"/>
      <c r="L8" s="520" t="s">
        <v>570</v>
      </c>
      <c r="M8" s="521"/>
      <c r="N8" s="520" t="s">
        <v>571</v>
      </c>
      <c r="O8" s="521"/>
      <c r="P8" s="522" t="s">
        <v>572</v>
      </c>
      <c r="Q8" s="523"/>
    </row>
    <row r="9" spans="2:19" s="221" customFormat="1" ht="21.5" thickBot="1" x14ac:dyDescent="0.3">
      <c r="B9" s="511"/>
      <c r="C9" s="516"/>
      <c r="D9" s="497"/>
      <c r="E9" s="223" t="s">
        <v>21</v>
      </c>
      <c r="F9" s="24" t="s">
        <v>22</v>
      </c>
      <c r="G9" s="24" t="s">
        <v>21</v>
      </c>
      <c r="H9" s="224" t="s">
        <v>22</v>
      </c>
      <c r="I9" s="502"/>
      <c r="J9" s="225" t="s">
        <v>23</v>
      </c>
      <c r="K9" s="226" t="s">
        <v>24</v>
      </c>
      <c r="L9" s="21" t="s">
        <v>23</v>
      </c>
      <c r="M9" s="24" t="s">
        <v>24</v>
      </c>
      <c r="N9" s="227" t="s">
        <v>23</v>
      </c>
      <c r="O9" s="24" t="s">
        <v>573</v>
      </c>
      <c r="P9" s="24" t="s">
        <v>24</v>
      </c>
      <c r="Q9" s="228" t="s">
        <v>574</v>
      </c>
    </row>
    <row r="10" spans="2:19" s="221" customFormat="1" ht="10.5" x14ac:dyDescent="0.25">
      <c r="B10" s="229">
        <v>1</v>
      </c>
      <c r="C10" s="26" t="s">
        <v>575</v>
      </c>
      <c r="D10" s="28">
        <f>+D11+D26</f>
        <v>124795887234</v>
      </c>
      <c r="E10" s="28">
        <f>+E13+E26</f>
        <v>30801653812</v>
      </c>
      <c r="F10" s="230">
        <f t="shared" ref="F10:H11" si="0">+F11</f>
        <v>0</v>
      </c>
      <c r="G10" s="230">
        <f t="shared" si="0"/>
        <v>0</v>
      </c>
      <c r="H10" s="230">
        <f t="shared" si="0"/>
        <v>0</v>
      </c>
      <c r="I10" s="231">
        <f>+I11+I26</f>
        <v>155597541046</v>
      </c>
      <c r="J10" s="26"/>
      <c r="K10" s="26"/>
      <c r="L10" s="28">
        <f>+L11+L26</f>
        <v>14516994663</v>
      </c>
      <c r="M10" s="28">
        <f>+M11+M26</f>
        <v>156191386813.64999</v>
      </c>
      <c r="N10" s="28">
        <f>+N11+N26</f>
        <v>14771855055</v>
      </c>
      <c r="O10" s="28">
        <f>+O11+O26</f>
        <v>155108348134.64999</v>
      </c>
      <c r="P10" s="28">
        <f>+P11+P26</f>
        <v>1083038679</v>
      </c>
      <c r="Q10" s="232">
        <f t="shared" ref="Q10:Q35" si="1">O10/I10</f>
        <v>0.99685603700378922</v>
      </c>
    </row>
    <row r="11" spans="2:19" s="221" customFormat="1" ht="10.5" x14ac:dyDescent="0.25">
      <c r="B11" s="33">
        <v>1.1000000000000001</v>
      </c>
      <c r="C11" s="34" t="s">
        <v>576</v>
      </c>
      <c r="D11" s="37">
        <f>+D12</f>
        <v>124143887234</v>
      </c>
      <c r="E11" s="37">
        <f>+E12</f>
        <v>27190362164</v>
      </c>
      <c r="F11" s="233">
        <f t="shared" si="0"/>
        <v>0</v>
      </c>
      <c r="G11" s="233">
        <f t="shared" si="0"/>
        <v>0</v>
      </c>
      <c r="H11" s="233">
        <f t="shared" si="0"/>
        <v>0</v>
      </c>
      <c r="I11" s="234">
        <f>+I12</f>
        <v>151334249398</v>
      </c>
      <c r="J11" s="37"/>
      <c r="K11" s="37"/>
      <c r="L11" s="37">
        <f t="shared" ref="L11:P12" si="2">+L12</f>
        <v>14152830750</v>
      </c>
      <c r="M11" s="37">
        <f t="shared" si="2"/>
        <v>152377142539</v>
      </c>
      <c r="N11" s="37">
        <f t="shared" si="2"/>
        <v>14407691142</v>
      </c>
      <c r="O11" s="37">
        <f t="shared" si="2"/>
        <v>151294103860</v>
      </c>
      <c r="P11" s="37">
        <f t="shared" si="2"/>
        <v>1083038679</v>
      </c>
      <c r="Q11" s="235">
        <f t="shared" si="1"/>
        <v>0.99973472272033792</v>
      </c>
    </row>
    <row r="12" spans="2:19" s="221" customFormat="1" ht="10.5" x14ac:dyDescent="0.25">
      <c r="B12" s="41" t="s">
        <v>577</v>
      </c>
      <c r="C12" s="34" t="s">
        <v>578</v>
      </c>
      <c r="D12" s="37">
        <f>+D13</f>
        <v>124143887234</v>
      </c>
      <c r="E12" s="37">
        <f>+E13</f>
        <v>27190362164</v>
      </c>
      <c r="F12" s="236">
        <f t="shared" ref="F12:H13" si="3">+F13+F14+F15</f>
        <v>0</v>
      </c>
      <c r="G12" s="236">
        <f t="shared" si="3"/>
        <v>0</v>
      </c>
      <c r="H12" s="236">
        <f t="shared" si="3"/>
        <v>0</v>
      </c>
      <c r="I12" s="234">
        <f>+I13</f>
        <v>151334249398</v>
      </c>
      <c r="J12" s="59"/>
      <c r="K12" s="59"/>
      <c r="L12" s="37">
        <f t="shared" si="2"/>
        <v>14152830750</v>
      </c>
      <c r="M12" s="37">
        <f t="shared" si="2"/>
        <v>152377142539</v>
      </c>
      <c r="N12" s="37">
        <f t="shared" si="2"/>
        <v>14407691142</v>
      </c>
      <c r="O12" s="37">
        <f t="shared" si="2"/>
        <v>151294103860</v>
      </c>
      <c r="P12" s="37">
        <f t="shared" si="2"/>
        <v>1083038679</v>
      </c>
      <c r="Q12" s="235">
        <f t="shared" si="1"/>
        <v>0.99973472272033792</v>
      </c>
    </row>
    <row r="13" spans="2:19" ht="10.5" x14ac:dyDescent="0.25">
      <c r="B13" s="41" t="s">
        <v>579</v>
      </c>
      <c r="C13" s="34" t="s">
        <v>580</v>
      </c>
      <c r="D13" s="37">
        <f>+D14+D21</f>
        <v>124143887234</v>
      </c>
      <c r="E13" s="37">
        <f>+E14+E21</f>
        <v>27190362164</v>
      </c>
      <c r="F13" s="236">
        <f t="shared" si="3"/>
        <v>0</v>
      </c>
      <c r="G13" s="236">
        <f t="shared" si="3"/>
        <v>0</v>
      </c>
      <c r="H13" s="236">
        <f t="shared" si="3"/>
        <v>0</v>
      </c>
      <c r="I13" s="234">
        <f t="shared" ref="I13:I25" si="4">+D13+E13-F13+G13-H13</f>
        <v>151334249398</v>
      </c>
      <c r="J13" s="59"/>
      <c r="K13" s="59"/>
      <c r="L13" s="37">
        <f>+L14+L21</f>
        <v>14152830750</v>
      </c>
      <c r="M13" s="37">
        <f>+M14+M21</f>
        <v>152377142539</v>
      </c>
      <c r="N13" s="37">
        <f>+N14+N21</f>
        <v>14407691142</v>
      </c>
      <c r="O13" s="37">
        <f>+O14+O21</f>
        <v>151294103860</v>
      </c>
      <c r="P13" s="37">
        <f>+P14</f>
        <v>1083038679</v>
      </c>
      <c r="Q13" s="235">
        <f t="shared" si="1"/>
        <v>0.99973472272033792</v>
      </c>
    </row>
    <row r="14" spans="2:19" ht="10.5" x14ac:dyDescent="0.25">
      <c r="B14" s="41" t="s">
        <v>581</v>
      </c>
      <c r="C14" s="34" t="s">
        <v>582</v>
      </c>
      <c r="D14" s="37">
        <f>SUM(D15:D19)</f>
        <v>121219439826</v>
      </c>
      <c r="E14" s="37">
        <f>SUM(E15:E20)</f>
        <v>22839850184</v>
      </c>
      <c r="F14" s="237">
        <v>0</v>
      </c>
      <c r="G14" s="237">
        <v>0</v>
      </c>
      <c r="H14" s="237">
        <v>0</v>
      </c>
      <c r="I14" s="37">
        <f>SUM(I15:K20)</f>
        <v>144059290010</v>
      </c>
      <c r="J14" s="61"/>
      <c r="K14" s="61"/>
      <c r="L14" s="37">
        <f>SUM(L15:L20)</f>
        <v>13472647685</v>
      </c>
      <c r="M14" s="37">
        <f>SUM(M15:M20)</f>
        <v>144870755600</v>
      </c>
      <c r="N14" s="37">
        <f>SUM(N15:N20)</f>
        <v>13727508077</v>
      </c>
      <c r="O14" s="37">
        <f>SUM(O15:O20)</f>
        <v>143787716921</v>
      </c>
      <c r="P14" s="37">
        <f>SUM(P15:P20)</f>
        <v>1083038679</v>
      </c>
      <c r="Q14" s="238">
        <f t="shared" si="1"/>
        <v>0.99811485195448935</v>
      </c>
    </row>
    <row r="15" spans="2:19" x14ac:dyDescent="0.2">
      <c r="B15" s="42" t="s">
        <v>583</v>
      </c>
      <c r="C15" s="43" t="s">
        <v>584</v>
      </c>
      <c r="D15" s="36">
        <v>120064439826</v>
      </c>
      <c r="E15" s="237">
        <f>11525841306+7604833020</f>
        <v>19130674326</v>
      </c>
      <c r="F15" s="237">
        <v>0</v>
      </c>
      <c r="G15" s="237">
        <v>0</v>
      </c>
      <c r="H15" s="237">
        <v>0</v>
      </c>
      <c r="I15" s="239">
        <f t="shared" si="4"/>
        <v>139195114152</v>
      </c>
      <c r="J15" s="61"/>
      <c r="K15" s="61"/>
      <c r="L15" s="36">
        <v>12065115289</v>
      </c>
      <c r="M15" s="36">
        <v>138866243029</v>
      </c>
      <c r="N15" s="36">
        <v>12065115289</v>
      </c>
      <c r="O15" s="36">
        <v>138833556539</v>
      </c>
      <c r="P15" s="36">
        <v>32686490</v>
      </c>
      <c r="Q15" s="238">
        <f t="shared" si="1"/>
        <v>0.99740251218440623</v>
      </c>
      <c r="S15" s="240"/>
    </row>
    <row r="16" spans="2:19" x14ac:dyDescent="0.2">
      <c r="B16" s="42" t="s">
        <v>585</v>
      </c>
      <c r="C16" s="43" t="s">
        <v>586</v>
      </c>
      <c r="D16" s="36">
        <v>150000000</v>
      </c>
      <c r="E16" s="237">
        <v>0</v>
      </c>
      <c r="F16" s="237">
        <v>0</v>
      </c>
      <c r="G16" s="237">
        <v>0</v>
      </c>
      <c r="H16" s="237">
        <v>0</v>
      </c>
      <c r="I16" s="239">
        <f t="shared" si="4"/>
        <v>150000000</v>
      </c>
      <c r="J16" s="61"/>
      <c r="K16" s="61"/>
      <c r="L16" s="36">
        <v>12742442</v>
      </c>
      <c r="M16" s="36">
        <v>169637726</v>
      </c>
      <c r="N16" s="36">
        <v>12742442</v>
      </c>
      <c r="O16" s="36">
        <v>169637726</v>
      </c>
      <c r="P16" s="36">
        <v>0</v>
      </c>
      <c r="Q16" s="238">
        <f t="shared" si="1"/>
        <v>1.1309181733333333</v>
      </c>
    </row>
    <row r="17" spans="2:22" ht="10.5" x14ac:dyDescent="0.25">
      <c r="B17" s="42" t="s">
        <v>587</v>
      </c>
      <c r="C17" s="43" t="s">
        <v>588</v>
      </c>
      <c r="D17" s="36">
        <v>1000000000</v>
      </c>
      <c r="E17" s="237">
        <v>649650346</v>
      </c>
      <c r="F17" s="241">
        <f>+F19+F21+F22+F23</f>
        <v>0</v>
      </c>
      <c r="G17" s="241">
        <f>+G19+G21+G22+G23</f>
        <v>0</v>
      </c>
      <c r="H17" s="241">
        <f>+H19+H21+H22+H23</f>
        <v>0</v>
      </c>
      <c r="I17" s="239">
        <f t="shared" si="4"/>
        <v>1649650346</v>
      </c>
      <c r="J17" s="59"/>
      <c r="K17" s="59"/>
      <c r="L17" s="36">
        <v>1394789954</v>
      </c>
      <c r="M17" s="36">
        <v>2700002535</v>
      </c>
      <c r="N17" s="36">
        <v>1649650346</v>
      </c>
      <c r="O17" s="36">
        <v>1649650346</v>
      </c>
      <c r="P17" s="36">
        <v>1050352189</v>
      </c>
      <c r="Q17" s="235">
        <f t="shared" si="1"/>
        <v>1</v>
      </c>
    </row>
    <row r="18" spans="2:22" ht="10.5" x14ac:dyDescent="0.25">
      <c r="B18" s="42" t="s">
        <v>589</v>
      </c>
      <c r="C18" s="43" t="s">
        <v>590</v>
      </c>
      <c r="D18" s="36">
        <v>1000000</v>
      </c>
      <c r="E18" s="237">
        <v>0</v>
      </c>
      <c r="F18" s="241">
        <f>+F21+F22+F23+F24</f>
        <v>0</v>
      </c>
      <c r="G18" s="241">
        <f>+G21+G22+G23+G24</f>
        <v>0</v>
      </c>
      <c r="H18" s="241">
        <f>+H21+H22+H23+H24</f>
        <v>0</v>
      </c>
      <c r="I18" s="239">
        <f t="shared" si="4"/>
        <v>1000000</v>
      </c>
      <c r="J18" s="59"/>
      <c r="K18" s="59"/>
      <c r="L18" s="36">
        <v>0</v>
      </c>
      <c r="M18" s="36">
        <v>70038804</v>
      </c>
      <c r="N18" s="36">
        <v>0</v>
      </c>
      <c r="O18" s="36">
        <v>70038804</v>
      </c>
      <c r="P18" s="36">
        <v>0</v>
      </c>
      <c r="Q18" s="235">
        <f t="shared" si="1"/>
        <v>70.038803999999999</v>
      </c>
    </row>
    <row r="19" spans="2:22" ht="10.5" x14ac:dyDescent="0.25">
      <c r="B19" s="42" t="s">
        <v>591</v>
      </c>
      <c r="C19" s="43" t="s">
        <v>592</v>
      </c>
      <c r="D19" s="36">
        <v>4000000</v>
      </c>
      <c r="E19" s="241">
        <v>0</v>
      </c>
      <c r="F19" s="241">
        <v>0</v>
      </c>
      <c r="G19" s="241">
        <v>0</v>
      </c>
      <c r="H19" s="241">
        <v>0</v>
      </c>
      <c r="I19" s="239">
        <f t="shared" si="4"/>
        <v>4000000</v>
      </c>
      <c r="J19" s="59"/>
      <c r="K19" s="59"/>
      <c r="L19" s="36">
        <v>0</v>
      </c>
      <c r="M19" s="36">
        <v>5307994</v>
      </c>
      <c r="N19" s="36">
        <v>0</v>
      </c>
      <c r="O19" s="36">
        <v>5307994</v>
      </c>
      <c r="P19" s="36">
        <v>0</v>
      </c>
      <c r="Q19" s="238">
        <f t="shared" si="1"/>
        <v>1.3269985</v>
      </c>
    </row>
    <row r="20" spans="2:22" ht="10.5" x14ac:dyDescent="0.25">
      <c r="B20" s="42" t="s">
        <v>593</v>
      </c>
      <c r="C20" s="43" t="s">
        <v>594</v>
      </c>
      <c r="D20" s="36">
        <v>0</v>
      </c>
      <c r="E20" s="241">
        <v>3059525512</v>
      </c>
      <c r="F20" s="241"/>
      <c r="G20" s="241"/>
      <c r="H20" s="241"/>
      <c r="I20" s="239">
        <f t="shared" si="4"/>
        <v>3059525512</v>
      </c>
      <c r="J20" s="59"/>
      <c r="K20" s="59"/>
      <c r="L20" s="36">
        <v>0</v>
      </c>
      <c r="M20" s="36">
        <v>3059525512</v>
      </c>
      <c r="N20" s="36">
        <v>0</v>
      </c>
      <c r="O20" s="36">
        <v>3059525512</v>
      </c>
      <c r="P20" s="36">
        <v>0</v>
      </c>
      <c r="Q20" s="238"/>
    </row>
    <row r="21" spans="2:22" s="221" customFormat="1" ht="10.5" x14ac:dyDescent="0.25">
      <c r="B21" s="41" t="s">
        <v>595</v>
      </c>
      <c r="C21" s="34" t="s">
        <v>596</v>
      </c>
      <c r="D21" s="37">
        <f>SUM(D22:D25)</f>
        <v>2924447408</v>
      </c>
      <c r="E21" s="37">
        <f>SUM(E22:E25)</f>
        <v>4350511980</v>
      </c>
      <c r="F21" s="236">
        <v>0</v>
      </c>
      <c r="G21" s="236">
        <v>0</v>
      </c>
      <c r="H21" s="236">
        <v>0</v>
      </c>
      <c r="I21" s="37">
        <f>SUM(I22:I25)</f>
        <v>7274959388</v>
      </c>
      <c r="J21" s="59"/>
      <c r="K21" s="59"/>
      <c r="L21" s="37">
        <f>SUM(L22:L25)</f>
        <v>680183065</v>
      </c>
      <c r="M21" s="37">
        <f>SUM(M22:M25)</f>
        <v>7506386939</v>
      </c>
      <c r="N21" s="37">
        <f>SUM(N22:N25)</f>
        <v>680183065</v>
      </c>
      <c r="O21" s="37">
        <f>SUM(O22:O25)</f>
        <v>7506386939</v>
      </c>
      <c r="P21" s="37">
        <f>SUM(P22:P25)</f>
        <v>0</v>
      </c>
      <c r="Q21" s="235">
        <f t="shared" si="1"/>
        <v>1.0318115248013258</v>
      </c>
    </row>
    <row r="22" spans="2:22" x14ac:dyDescent="0.2">
      <c r="B22" s="42" t="s">
        <v>597</v>
      </c>
      <c r="C22" s="43" t="s">
        <v>598</v>
      </c>
      <c r="D22" s="36">
        <v>2916447408</v>
      </c>
      <c r="E22" s="61">
        <f>1196368452+3154143528</f>
        <v>4350511980</v>
      </c>
      <c r="F22" s="241">
        <v>0</v>
      </c>
      <c r="G22" s="241">
        <v>0</v>
      </c>
      <c r="H22" s="241">
        <v>0</v>
      </c>
      <c r="I22" s="239">
        <f t="shared" si="4"/>
        <v>7266959388</v>
      </c>
      <c r="J22" s="61"/>
      <c r="K22" s="61"/>
      <c r="L22" s="36">
        <v>677499066</v>
      </c>
      <c r="M22" s="36">
        <v>7478973390</v>
      </c>
      <c r="N22" s="36">
        <v>677499066</v>
      </c>
      <c r="O22" s="36">
        <v>7478973390</v>
      </c>
      <c r="P22" s="36">
        <v>0</v>
      </c>
      <c r="Q22" s="238">
        <f t="shared" si="1"/>
        <v>1.0291750635554811</v>
      </c>
    </row>
    <row r="23" spans="2:22" x14ac:dyDescent="0.2">
      <c r="B23" s="42" t="s">
        <v>599</v>
      </c>
      <c r="C23" s="43" t="s">
        <v>586</v>
      </c>
      <c r="D23" s="36">
        <v>6000000</v>
      </c>
      <c r="E23" s="61">
        <v>0</v>
      </c>
      <c r="F23" s="61">
        <v>0</v>
      </c>
      <c r="G23" s="61">
        <v>0</v>
      </c>
      <c r="H23" s="61">
        <v>0</v>
      </c>
      <c r="I23" s="239">
        <f t="shared" si="4"/>
        <v>6000000</v>
      </c>
      <c r="J23" s="61"/>
      <c r="K23" s="61"/>
      <c r="L23" s="36">
        <v>2683999</v>
      </c>
      <c r="M23" s="36">
        <v>27413549</v>
      </c>
      <c r="N23" s="36">
        <v>2683999</v>
      </c>
      <c r="O23" s="36">
        <v>27413549</v>
      </c>
      <c r="P23" s="36">
        <v>0</v>
      </c>
      <c r="Q23" s="238">
        <f t="shared" si="1"/>
        <v>4.568924833333333</v>
      </c>
    </row>
    <row r="24" spans="2:22" x14ac:dyDescent="0.2">
      <c r="B24" s="42" t="s">
        <v>600</v>
      </c>
      <c r="C24" s="43" t="s">
        <v>588</v>
      </c>
      <c r="D24" s="36">
        <v>1000000</v>
      </c>
      <c r="E24" s="61">
        <v>0</v>
      </c>
      <c r="F24" s="61">
        <v>0</v>
      </c>
      <c r="G24" s="61">
        <v>0</v>
      </c>
      <c r="H24" s="61">
        <v>0</v>
      </c>
      <c r="I24" s="239">
        <f t="shared" si="4"/>
        <v>1000000</v>
      </c>
      <c r="J24" s="61"/>
      <c r="K24" s="61"/>
      <c r="L24" s="36">
        <v>0</v>
      </c>
      <c r="M24" s="36">
        <v>0</v>
      </c>
      <c r="N24" s="36">
        <v>0</v>
      </c>
      <c r="O24" s="36">
        <v>0</v>
      </c>
      <c r="P24" s="36">
        <v>0</v>
      </c>
      <c r="Q24" s="238">
        <f t="shared" si="1"/>
        <v>0</v>
      </c>
    </row>
    <row r="25" spans="2:22" x14ac:dyDescent="0.2">
      <c r="B25" s="42" t="s">
        <v>601</v>
      </c>
      <c r="C25" s="43" t="s">
        <v>592</v>
      </c>
      <c r="D25" s="36">
        <v>1000000</v>
      </c>
      <c r="E25" s="61">
        <v>0</v>
      </c>
      <c r="F25" s="61">
        <v>0</v>
      </c>
      <c r="G25" s="61">
        <v>0</v>
      </c>
      <c r="H25" s="61">
        <v>0</v>
      </c>
      <c r="I25" s="239">
        <f t="shared" si="4"/>
        <v>1000000</v>
      </c>
      <c r="J25" s="61"/>
      <c r="K25" s="61"/>
      <c r="L25" s="36">
        <v>0</v>
      </c>
      <c r="M25" s="36">
        <v>0</v>
      </c>
      <c r="N25" s="36">
        <v>0</v>
      </c>
      <c r="O25" s="36">
        <v>0</v>
      </c>
      <c r="P25" s="36">
        <v>0</v>
      </c>
      <c r="Q25" s="238">
        <f t="shared" si="1"/>
        <v>0</v>
      </c>
    </row>
    <row r="26" spans="2:22" s="221" customFormat="1" ht="10.5" x14ac:dyDescent="0.25">
      <c r="B26" s="33">
        <v>1.2</v>
      </c>
      <c r="C26" s="34" t="s">
        <v>602</v>
      </c>
      <c r="D26" s="37">
        <f>+D27</f>
        <v>652000000</v>
      </c>
      <c r="E26" s="37">
        <f>+E27</f>
        <v>3611291648</v>
      </c>
      <c r="F26" s="59">
        <v>0</v>
      </c>
      <c r="G26" s="59">
        <v>0</v>
      </c>
      <c r="H26" s="59">
        <v>0</v>
      </c>
      <c r="I26" s="37">
        <f>+I27</f>
        <v>4263291648</v>
      </c>
      <c r="J26" s="59"/>
      <c r="K26" s="59"/>
      <c r="L26" s="37">
        <f t="shared" ref="L26:P27" si="5">+L27</f>
        <v>364163913</v>
      </c>
      <c r="M26" s="37">
        <f t="shared" si="5"/>
        <v>3814244274.6500001</v>
      </c>
      <c r="N26" s="37">
        <f t="shared" si="5"/>
        <v>364163913</v>
      </c>
      <c r="O26" s="37">
        <f t="shared" si="5"/>
        <v>3814244274.6500001</v>
      </c>
      <c r="P26" s="37">
        <f t="shared" si="5"/>
        <v>0</v>
      </c>
      <c r="Q26" s="235">
        <f t="shared" si="1"/>
        <v>0.89467120468742567</v>
      </c>
    </row>
    <row r="27" spans="2:22" ht="10.5" x14ac:dyDescent="0.25">
      <c r="B27" s="41" t="s">
        <v>603</v>
      </c>
      <c r="C27" s="34" t="s">
        <v>604</v>
      </c>
      <c r="D27" s="37">
        <f>+D28</f>
        <v>652000000</v>
      </c>
      <c r="E27" s="37">
        <f>+E28</f>
        <v>3611291648</v>
      </c>
      <c r="F27" s="59">
        <v>0</v>
      </c>
      <c r="G27" s="59">
        <v>0</v>
      </c>
      <c r="H27" s="59">
        <v>0</v>
      </c>
      <c r="I27" s="37">
        <f>+I28+I35</f>
        <v>4263291648</v>
      </c>
      <c r="J27" s="242"/>
      <c r="K27" s="242"/>
      <c r="L27" s="37">
        <f>+L28+L35</f>
        <v>364163913</v>
      </c>
      <c r="M27" s="37">
        <f>+M28+M35</f>
        <v>3814244274.6500001</v>
      </c>
      <c r="N27" s="37">
        <f>+N28+N35</f>
        <v>364163913</v>
      </c>
      <c r="O27" s="37">
        <f>+O28+O35</f>
        <v>3814244274.6500001</v>
      </c>
      <c r="P27" s="37">
        <f t="shared" si="5"/>
        <v>0</v>
      </c>
      <c r="Q27" s="235">
        <f t="shared" si="1"/>
        <v>0.89467120468742567</v>
      </c>
      <c r="R27" s="243"/>
      <c r="S27" s="83"/>
      <c r="T27" s="216"/>
      <c r="U27" s="83"/>
      <c r="V27" s="83"/>
    </row>
    <row r="28" spans="2:22" s="221" customFormat="1" ht="10.5" x14ac:dyDescent="0.25">
      <c r="B28" s="41" t="s">
        <v>605</v>
      </c>
      <c r="C28" s="34" t="s">
        <v>606</v>
      </c>
      <c r="D28" s="37">
        <f>SUM(D29:D32)</f>
        <v>652000000</v>
      </c>
      <c r="E28" s="59">
        <f>SUM(E29:E35)</f>
        <v>3611291648</v>
      </c>
      <c r="F28" s="59">
        <v>0</v>
      </c>
      <c r="G28" s="59">
        <v>0</v>
      </c>
      <c r="H28" s="59">
        <v>0</v>
      </c>
      <c r="I28" s="37">
        <f>SUM(I29:I34)</f>
        <v>1896431977</v>
      </c>
      <c r="J28" s="59"/>
      <c r="K28" s="59"/>
      <c r="L28" s="37">
        <f>SUM(L29:L34)</f>
        <v>47190029</v>
      </c>
      <c r="M28" s="37">
        <f>SUM(M29:M34)</f>
        <v>1447384603.6500001</v>
      </c>
      <c r="N28" s="37">
        <f>SUM(N29:N34)</f>
        <v>47190029</v>
      </c>
      <c r="O28" s="37">
        <f>SUM(O29:O34)</f>
        <v>1447384603.6500001</v>
      </c>
      <c r="P28" s="37">
        <f>SUM(P29:P34)</f>
        <v>0</v>
      </c>
      <c r="Q28" s="235">
        <f t="shared" si="1"/>
        <v>0.76321461629203491</v>
      </c>
      <c r="S28" s="221" t="s">
        <v>607</v>
      </c>
    </row>
    <row r="29" spans="2:22" x14ac:dyDescent="0.2">
      <c r="B29" s="42" t="s">
        <v>608</v>
      </c>
      <c r="C29" s="43" t="s">
        <v>609</v>
      </c>
      <c r="D29" s="36">
        <v>620000000</v>
      </c>
      <c r="E29" s="61">
        <v>0</v>
      </c>
      <c r="F29" s="61">
        <v>0</v>
      </c>
      <c r="G29" s="61">
        <v>0</v>
      </c>
      <c r="H29" s="61">
        <v>0</v>
      </c>
      <c r="I29" s="239">
        <f t="shared" ref="I29:I35" si="6">+D29+E29-F29+G29-H29</f>
        <v>620000000</v>
      </c>
      <c r="J29" s="61"/>
      <c r="K29" s="61"/>
      <c r="L29" s="36">
        <v>25232910</v>
      </c>
      <c r="M29" s="36">
        <v>128651006.65000001</v>
      </c>
      <c r="N29" s="36">
        <v>25232910</v>
      </c>
      <c r="O29" s="36">
        <v>128651006.65000001</v>
      </c>
      <c r="P29" s="36">
        <v>0</v>
      </c>
      <c r="Q29" s="238">
        <f t="shared" si="1"/>
        <v>0.20750162362903227</v>
      </c>
      <c r="R29" s="77">
        <f>+O32+O31</f>
        <v>34775751</v>
      </c>
    </row>
    <row r="30" spans="2:22" x14ac:dyDescent="0.2">
      <c r="B30" s="42" t="s">
        <v>610</v>
      </c>
      <c r="C30" s="43" t="s">
        <v>611</v>
      </c>
      <c r="D30" s="36">
        <v>13500000</v>
      </c>
      <c r="E30" s="61">
        <v>0</v>
      </c>
      <c r="F30" s="61">
        <v>0</v>
      </c>
      <c r="G30" s="61">
        <v>0</v>
      </c>
      <c r="H30" s="61">
        <v>0</v>
      </c>
      <c r="I30" s="239">
        <f t="shared" si="6"/>
        <v>13500000</v>
      </c>
      <c r="J30" s="61"/>
      <c r="K30" s="61"/>
      <c r="L30" s="36">
        <v>3359211</v>
      </c>
      <c r="M30" s="36">
        <v>39525869</v>
      </c>
      <c r="N30" s="36">
        <v>3359211</v>
      </c>
      <c r="O30" s="36">
        <v>39525869</v>
      </c>
      <c r="P30" s="36">
        <v>0</v>
      </c>
      <c r="Q30" s="238">
        <f>O30/I30</f>
        <v>2.927842148148148</v>
      </c>
    </row>
    <row r="31" spans="2:22" x14ac:dyDescent="0.2">
      <c r="B31" s="42" t="s">
        <v>612</v>
      </c>
      <c r="C31" s="43" t="s">
        <v>613</v>
      </c>
      <c r="D31" s="36">
        <v>14500000</v>
      </c>
      <c r="E31" s="61">
        <v>0</v>
      </c>
      <c r="F31" s="61">
        <v>0</v>
      </c>
      <c r="G31" s="61">
        <v>0</v>
      </c>
      <c r="H31" s="61">
        <v>0</v>
      </c>
      <c r="I31" s="239">
        <f t="shared" si="6"/>
        <v>14500000</v>
      </c>
      <c r="J31" s="61"/>
      <c r="K31" s="61"/>
      <c r="L31" s="36">
        <v>15941737</v>
      </c>
      <c r="M31" s="36">
        <v>25165074</v>
      </c>
      <c r="N31" s="36">
        <v>15941737</v>
      </c>
      <c r="O31" s="36">
        <v>25165074</v>
      </c>
      <c r="P31" s="36">
        <v>0</v>
      </c>
      <c r="Q31" s="238">
        <f>O31/I31</f>
        <v>1.7355223448275863</v>
      </c>
    </row>
    <row r="32" spans="2:22" x14ac:dyDescent="0.2">
      <c r="B32" s="42" t="s">
        <v>614</v>
      </c>
      <c r="C32" s="43" t="s">
        <v>615</v>
      </c>
      <c r="D32" s="36">
        <v>4000000</v>
      </c>
      <c r="E32" s="61">
        <v>0</v>
      </c>
      <c r="F32" s="61">
        <v>0</v>
      </c>
      <c r="G32" s="61">
        <v>0</v>
      </c>
      <c r="H32" s="61">
        <v>0</v>
      </c>
      <c r="I32" s="239">
        <f t="shared" si="6"/>
        <v>4000000</v>
      </c>
      <c r="J32" s="61"/>
      <c r="K32" s="61"/>
      <c r="L32" s="36">
        <v>2656171</v>
      </c>
      <c r="M32" s="36">
        <v>9610677</v>
      </c>
      <c r="N32" s="36">
        <v>2656171</v>
      </c>
      <c r="O32" s="36">
        <v>9610677</v>
      </c>
      <c r="P32" s="36">
        <v>0</v>
      </c>
      <c r="Q32" s="238">
        <f t="shared" si="1"/>
        <v>2.4026692500000002</v>
      </c>
    </row>
    <row r="33" spans="2:17" x14ac:dyDescent="0.2">
      <c r="B33" s="50" t="s">
        <v>616</v>
      </c>
      <c r="C33" s="58" t="s">
        <v>617</v>
      </c>
      <c r="D33" s="36">
        <v>0</v>
      </c>
      <c r="E33" s="36">
        <v>923899073</v>
      </c>
      <c r="F33" s="61">
        <v>0</v>
      </c>
      <c r="G33" s="61">
        <v>0</v>
      </c>
      <c r="H33" s="61">
        <v>0</v>
      </c>
      <c r="I33" s="239">
        <f t="shared" si="6"/>
        <v>923899073</v>
      </c>
      <c r="J33" s="61"/>
      <c r="K33" s="61"/>
      <c r="L33" s="36">
        <v>0</v>
      </c>
      <c r="M33" s="36">
        <v>923899073</v>
      </c>
      <c r="N33" s="36">
        <v>0</v>
      </c>
      <c r="O33" s="36">
        <v>923899073</v>
      </c>
      <c r="P33" s="36">
        <v>0</v>
      </c>
      <c r="Q33" s="238">
        <f t="shared" si="1"/>
        <v>1</v>
      </c>
    </row>
    <row r="34" spans="2:17" x14ac:dyDescent="0.2">
      <c r="B34" s="50" t="s">
        <v>618</v>
      </c>
      <c r="C34" s="58" t="s">
        <v>619</v>
      </c>
      <c r="D34" s="36">
        <v>0</v>
      </c>
      <c r="E34" s="36">
        <v>320532904</v>
      </c>
      <c r="F34" s="61">
        <v>0</v>
      </c>
      <c r="G34" s="61">
        <v>0</v>
      </c>
      <c r="H34" s="61">
        <v>0</v>
      </c>
      <c r="I34" s="239">
        <f t="shared" si="6"/>
        <v>320532904</v>
      </c>
      <c r="J34" s="61"/>
      <c r="K34" s="61"/>
      <c r="L34" s="36">
        <v>0</v>
      </c>
      <c r="M34" s="36">
        <v>320532904</v>
      </c>
      <c r="N34" s="36">
        <v>0</v>
      </c>
      <c r="O34" s="36">
        <v>320532904</v>
      </c>
      <c r="P34" s="36">
        <v>0</v>
      </c>
      <c r="Q34" s="238">
        <f t="shared" si="1"/>
        <v>1</v>
      </c>
    </row>
    <row r="35" spans="2:17" ht="10.5" thickBot="1" x14ac:dyDescent="0.25">
      <c r="B35" s="63" t="s">
        <v>620</v>
      </c>
      <c r="C35" s="64" t="s">
        <v>621</v>
      </c>
      <c r="D35" s="68">
        <v>0</v>
      </c>
      <c r="E35" s="66">
        <f>710372405+758448946+581064436+316973884</f>
        <v>2366859671</v>
      </c>
      <c r="F35" s="66">
        <v>0</v>
      </c>
      <c r="G35" s="66">
        <v>0</v>
      </c>
      <c r="H35" s="66">
        <v>0</v>
      </c>
      <c r="I35" s="244">
        <f t="shared" si="6"/>
        <v>2366859671</v>
      </c>
      <c r="J35" s="66"/>
      <c r="K35" s="66"/>
      <c r="L35" s="68">
        <v>316973884</v>
      </c>
      <c r="M35" s="68">
        <v>2366859671</v>
      </c>
      <c r="N35" s="68">
        <v>316973884</v>
      </c>
      <c r="O35" s="68">
        <v>2366859671</v>
      </c>
      <c r="P35" s="68">
        <v>0</v>
      </c>
      <c r="Q35" s="245">
        <f t="shared" si="1"/>
        <v>1</v>
      </c>
    </row>
    <row r="41" spans="2:17" s="216" customFormat="1" ht="15" customHeight="1" x14ac:dyDescent="0.25">
      <c r="C41" s="246" t="s">
        <v>187</v>
      </c>
      <c r="D41" s="247"/>
      <c r="E41" s="512" t="s">
        <v>188</v>
      </c>
      <c r="F41" s="512"/>
      <c r="G41" s="512"/>
      <c r="H41" s="512"/>
      <c r="I41" s="512"/>
      <c r="J41" s="247"/>
      <c r="K41" s="247"/>
      <c r="L41" s="80"/>
      <c r="M41" s="247"/>
      <c r="N41" s="513" t="s">
        <v>189</v>
      </c>
      <c r="O41" s="513"/>
      <c r="P41" s="513"/>
      <c r="Q41" s="513"/>
    </row>
    <row r="42" spans="2:17" s="216" customFormat="1" ht="15" customHeight="1" x14ac:dyDescent="0.2">
      <c r="C42" s="248" t="s">
        <v>190</v>
      </c>
      <c r="D42" s="83"/>
      <c r="E42" s="514" t="s">
        <v>191</v>
      </c>
      <c r="F42" s="514"/>
      <c r="G42" s="514"/>
      <c r="H42" s="514"/>
      <c r="I42" s="514"/>
      <c r="J42" s="83"/>
      <c r="K42" s="83"/>
      <c r="L42" s="72"/>
      <c r="M42" s="83"/>
      <c r="N42" s="515" t="s">
        <v>192</v>
      </c>
      <c r="O42" s="515"/>
      <c r="P42" s="515"/>
      <c r="Q42" s="515"/>
    </row>
  </sheetData>
  <mergeCells count="20">
    <mergeCell ref="E41:I41"/>
    <mergeCell ref="N41:Q41"/>
    <mergeCell ref="E42:I42"/>
    <mergeCell ref="N42:Q42"/>
    <mergeCell ref="C8:C9"/>
    <mergeCell ref="E8:F8"/>
    <mergeCell ref="G8:H8"/>
    <mergeCell ref="L8:M8"/>
    <mergeCell ref="N8:O8"/>
    <mergeCell ref="P8:Q8"/>
    <mergeCell ref="B1:Q1"/>
    <mergeCell ref="B2:Q2"/>
    <mergeCell ref="B7:C7"/>
    <mergeCell ref="D7:D9"/>
    <mergeCell ref="E7:H7"/>
    <mergeCell ref="I7:I9"/>
    <mergeCell ref="J7:K8"/>
    <mergeCell ref="L7:O7"/>
    <mergeCell ref="P7:Q7"/>
    <mergeCell ref="B8:B9"/>
  </mergeCells>
  <printOptions horizontalCentered="1" verticalCentered="1"/>
  <pageMargins left="0.79" right="0.23622047244094491" top="0.74803149606299213" bottom="0.74803149606299213" header="0.31496062992125984" footer="0.31496062992125984"/>
  <pageSetup paperSize="5" scale="6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U158"/>
  <sheetViews>
    <sheetView tabSelected="1" zoomScaleNormal="100" zoomScalePageLayoutView="106" workbookViewId="0">
      <pane ySplit="3" topLeftCell="A4" activePane="bottomLeft" state="frozen"/>
      <selection activeCell="A3" sqref="A3"/>
      <selection pane="bottomLeft" sqref="A1:C1"/>
    </sheetView>
  </sheetViews>
  <sheetFormatPr baseColWidth="10" defaultColWidth="11.453125" defaultRowHeight="13.5" customHeight="1" x14ac:dyDescent="0.2"/>
  <cols>
    <col min="1" max="1" width="20.54296875" style="418" customWidth="1"/>
    <col min="2" max="3" width="5.54296875" style="419" customWidth="1"/>
    <col min="4" max="4" width="28.1796875" style="421" customWidth="1"/>
    <col min="5" max="5" width="17.453125" style="434" customWidth="1"/>
    <col min="6" max="6" width="15.453125" style="444" customWidth="1"/>
    <col min="7" max="7" width="16.453125" style="434" customWidth="1"/>
    <col min="8" max="9" width="15.453125" style="445" customWidth="1"/>
    <col min="10" max="10" width="16" style="445" customWidth="1"/>
    <col min="11" max="11" width="16.54296875" style="446" customWidth="1"/>
    <col min="12" max="12" width="17.54296875" style="447" customWidth="1"/>
    <col min="13" max="13" width="16.453125" style="446" customWidth="1"/>
    <col min="14" max="18" width="16.453125" style="434" customWidth="1"/>
    <col min="19" max="19" width="14.453125" style="434" customWidth="1"/>
    <col min="20" max="21" width="15.453125" style="434" customWidth="1"/>
    <col min="22" max="16384" width="11.453125" style="390"/>
  </cols>
  <sheetData>
    <row r="1" spans="1:21" s="370" customFormat="1" ht="13.5" customHeight="1" thickBot="1" x14ac:dyDescent="0.3">
      <c r="A1" s="668" t="s">
        <v>734</v>
      </c>
      <c r="B1" s="669"/>
      <c r="C1" s="670"/>
      <c r="D1" s="369" t="s">
        <v>735</v>
      </c>
      <c r="E1" s="671" t="s">
        <v>2</v>
      </c>
      <c r="F1" s="671"/>
      <c r="G1" s="671"/>
      <c r="H1" s="671"/>
      <c r="I1" s="671"/>
      <c r="J1" s="671"/>
      <c r="K1" s="671"/>
      <c r="L1" s="671"/>
      <c r="M1" s="671"/>
      <c r="N1" s="671"/>
      <c r="O1" s="671"/>
      <c r="P1" s="671"/>
      <c r="Q1" s="671"/>
      <c r="R1" s="671"/>
      <c r="S1" s="671"/>
      <c r="T1" s="671"/>
      <c r="U1" s="672"/>
    </row>
    <row r="2" spans="1:21" s="370" customFormat="1" ht="16.5" customHeight="1" x14ac:dyDescent="0.25">
      <c r="A2" s="673" t="s">
        <v>4</v>
      </c>
      <c r="B2" s="674"/>
      <c r="C2" s="674"/>
      <c r="D2" s="674"/>
      <c r="E2" s="675" t="s">
        <v>5</v>
      </c>
      <c r="F2" s="678" t="s">
        <v>6</v>
      </c>
      <c r="G2" s="678"/>
      <c r="H2" s="678"/>
      <c r="I2" s="678"/>
      <c r="J2" s="675" t="s">
        <v>7</v>
      </c>
      <c r="K2" s="679"/>
      <c r="L2" s="680"/>
      <c r="M2" s="680"/>
      <c r="N2" s="680"/>
      <c r="O2" s="680"/>
      <c r="P2" s="680"/>
      <c r="Q2" s="680"/>
      <c r="R2" s="681"/>
      <c r="S2" s="682" t="s">
        <v>9</v>
      </c>
      <c r="T2" s="682"/>
      <c r="U2" s="683"/>
    </row>
    <row r="3" spans="1:21" s="370" customFormat="1" ht="19.5" customHeight="1" x14ac:dyDescent="0.25">
      <c r="A3" s="684" t="s">
        <v>10</v>
      </c>
      <c r="B3" s="659" t="s">
        <v>736</v>
      </c>
      <c r="C3" s="659" t="s">
        <v>737</v>
      </c>
      <c r="D3" s="657" t="s">
        <v>11</v>
      </c>
      <c r="E3" s="676"/>
      <c r="F3" s="676" t="s">
        <v>12</v>
      </c>
      <c r="G3" s="676"/>
      <c r="H3" s="691" t="s">
        <v>13</v>
      </c>
      <c r="I3" s="691"/>
      <c r="J3" s="676"/>
      <c r="K3" s="691" t="s">
        <v>14</v>
      </c>
      <c r="L3" s="691"/>
      <c r="M3" s="691" t="s">
        <v>15</v>
      </c>
      <c r="N3" s="691"/>
      <c r="O3" s="691" t="s">
        <v>16</v>
      </c>
      <c r="P3" s="691"/>
      <c r="Q3" s="691" t="s">
        <v>738</v>
      </c>
      <c r="R3" s="691"/>
      <c r="S3" s="693" t="s">
        <v>18</v>
      </c>
      <c r="T3" s="693" t="s">
        <v>19</v>
      </c>
      <c r="U3" s="687" t="s">
        <v>20</v>
      </c>
    </row>
    <row r="4" spans="1:21" s="370" customFormat="1" ht="18.75" customHeight="1" thickBot="1" x14ac:dyDescent="0.3">
      <c r="A4" s="685"/>
      <c r="B4" s="686"/>
      <c r="C4" s="686"/>
      <c r="D4" s="690"/>
      <c r="E4" s="677"/>
      <c r="F4" s="371" t="s">
        <v>427</v>
      </c>
      <c r="G4" s="372" t="s">
        <v>428</v>
      </c>
      <c r="H4" s="372" t="s">
        <v>21</v>
      </c>
      <c r="I4" s="372" t="s">
        <v>22</v>
      </c>
      <c r="J4" s="677"/>
      <c r="K4" s="372" t="s">
        <v>23</v>
      </c>
      <c r="L4" s="372" t="s">
        <v>24</v>
      </c>
      <c r="M4" s="372" t="s">
        <v>23</v>
      </c>
      <c r="N4" s="372" t="s">
        <v>24</v>
      </c>
      <c r="O4" s="372" t="s">
        <v>23</v>
      </c>
      <c r="P4" s="372" t="s">
        <v>24</v>
      </c>
      <c r="Q4" s="372" t="s">
        <v>23</v>
      </c>
      <c r="R4" s="372" t="s">
        <v>24</v>
      </c>
      <c r="S4" s="694"/>
      <c r="T4" s="694"/>
      <c r="U4" s="688" t="s">
        <v>20</v>
      </c>
    </row>
    <row r="5" spans="1:21" s="381" customFormat="1" ht="13.5" customHeight="1" x14ac:dyDescent="0.25">
      <c r="A5" s="373">
        <v>2</v>
      </c>
      <c r="B5" s="374">
        <v>1</v>
      </c>
      <c r="C5" s="375" t="s">
        <v>739</v>
      </c>
      <c r="D5" s="376" t="s">
        <v>26</v>
      </c>
      <c r="E5" s="377">
        <v>166069371611</v>
      </c>
      <c r="F5" s="378">
        <v>54352711271</v>
      </c>
      <c r="G5" s="378">
        <f>+O6+O109+O116</f>
        <v>805421809</v>
      </c>
      <c r="H5" s="377">
        <v>81376952686</v>
      </c>
      <c r="I5" s="377">
        <v>81376952686</v>
      </c>
      <c r="J5" s="377">
        <v>220422082882</v>
      </c>
      <c r="K5" s="377">
        <v>3111940099</v>
      </c>
      <c r="L5" s="377">
        <v>209688353470</v>
      </c>
      <c r="M5" s="377">
        <v>2065555301</v>
      </c>
      <c r="N5" s="377">
        <v>207797780122</v>
      </c>
      <c r="O5" s="377">
        <v>805421809</v>
      </c>
      <c r="P5" s="377">
        <v>133465039696.41235</v>
      </c>
      <c r="Q5" s="377">
        <v>1532209360</v>
      </c>
      <c r="R5" s="377">
        <v>131637880897.99992</v>
      </c>
      <c r="S5" s="379">
        <v>1890573348</v>
      </c>
      <c r="T5" s="379">
        <v>74335488872.587646</v>
      </c>
      <c r="U5" s="380">
        <v>1835095113.4124298</v>
      </c>
    </row>
    <row r="6" spans="1:21" ht="13.5" customHeight="1" x14ac:dyDescent="0.25">
      <c r="A6" s="382" t="s">
        <v>740</v>
      </c>
      <c r="B6" s="383">
        <v>2</v>
      </c>
      <c r="C6" s="384" t="s">
        <v>739</v>
      </c>
      <c r="D6" s="385" t="s">
        <v>741</v>
      </c>
      <c r="E6" s="386">
        <v>11261797732</v>
      </c>
      <c r="F6" s="387">
        <v>2924997676</v>
      </c>
      <c r="G6" s="387">
        <v>0</v>
      </c>
      <c r="H6" s="386">
        <v>4088471000</v>
      </c>
      <c r="I6" s="386">
        <v>4088471000</v>
      </c>
      <c r="J6" s="386">
        <v>13636795408</v>
      </c>
      <c r="K6" s="386">
        <v>859513119</v>
      </c>
      <c r="L6" s="386">
        <v>11987881250</v>
      </c>
      <c r="M6" s="386">
        <v>841082325</v>
      </c>
      <c r="N6" s="386">
        <v>11766566791</v>
      </c>
      <c r="O6" s="386">
        <v>226439548</v>
      </c>
      <c r="P6" s="386">
        <v>8171487541</v>
      </c>
      <c r="Q6" s="386">
        <v>206220581</v>
      </c>
      <c r="R6" s="386">
        <v>7960981328</v>
      </c>
      <c r="S6" s="388">
        <v>221314459</v>
      </c>
      <c r="T6" s="388">
        <v>3597827697</v>
      </c>
      <c r="U6" s="389">
        <v>213244965</v>
      </c>
    </row>
    <row r="7" spans="1:21" s="381" customFormat="1" ht="13.5" customHeight="1" x14ac:dyDescent="0.25">
      <c r="A7" s="382" t="s">
        <v>742</v>
      </c>
      <c r="B7" s="383">
        <v>3</v>
      </c>
      <c r="C7" s="384" t="s">
        <v>739</v>
      </c>
      <c r="D7" s="385" t="s">
        <v>29</v>
      </c>
      <c r="E7" s="386">
        <v>2549800000</v>
      </c>
      <c r="F7" s="387">
        <v>0</v>
      </c>
      <c r="G7" s="387">
        <v>0</v>
      </c>
      <c r="H7" s="386">
        <v>0</v>
      </c>
      <c r="I7" s="386">
        <v>0</v>
      </c>
      <c r="J7" s="386">
        <v>2549800000</v>
      </c>
      <c r="K7" s="386">
        <v>243399596</v>
      </c>
      <c r="L7" s="386">
        <v>1767504001</v>
      </c>
      <c r="M7" s="386">
        <v>215219541</v>
      </c>
      <c r="N7" s="386">
        <v>1725157422</v>
      </c>
      <c r="O7" s="386">
        <v>182574744</v>
      </c>
      <c r="P7" s="386">
        <v>1690595863</v>
      </c>
      <c r="Q7" s="386">
        <v>19143961</v>
      </c>
      <c r="R7" s="386">
        <v>1523173959</v>
      </c>
      <c r="S7" s="388">
        <v>42346579</v>
      </c>
      <c r="T7" s="388">
        <v>37310006</v>
      </c>
      <c r="U7" s="389">
        <v>170160656</v>
      </c>
    </row>
    <row r="8" spans="1:21" ht="13.5" customHeight="1" x14ac:dyDescent="0.25">
      <c r="A8" s="382" t="s">
        <v>743</v>
      </c>
      <c r="B8" s="383">
        <v>4</v>
      </c>
      <c r="C8" s="384" t="s">
        <v>739</v>
      </c>
      <c r="D8" s="385" t="s">
        <v>744</v>
      </c>
      <c r="E8" s="386">
        <v>2549800000</v>
      </c>
      <c r="F8" s="387">
        <v>0</v>
      </c>
      <c r="G8" s="387">
        <v>0</v>
      </c>
      <c r="H8" s="386">
        <v>0</v>
      </c>
      <c r="I8" s="386">
        <v>0</v>
      </c>
      <c r="J8" s="386">
        <v>2549800000</v>
      </c>
      <c r="K8" s="386">
        <v>243399596</v>
      </c>
      <c r="L8" s="386">
        <v>1767504001</v>
      </c>
      <c r="M8" s="386">
        <v>215219541</v>
      </c>
      <c r="N8" s="386">
        <v>1725157422</v>
      </c>
      <c r="O8" s="386">
        <v>182574744</v>
      </c>
      <c r="P8" s="386">
        <v>1690595863</v>
      </c>
      <c r="Q8" s="386">
        <v>19143961</v>
      </c>
      <c r="R8" s="386">
        <v>1523173959</v>
      </c>
      <c r="S8" s="388">
        <v>42346579</v>
      </c>
      <c r="T8" s="388">
        <v>37310006</v>
      </c>
      <c r="U8" s="389">
        <v>170160656</v>
      </c>
    </row>
    <row r="9" spans="1:21" ht="13.5" customHeight="1" x14ac:dyDescent="0.25">
      <c r="A9" s="382" t="s">
        <v>745</v>
      </c>
      <c r="B9" s="383">
        <v>5</v>
      </c>
      <c r="C9" s="384" t="s">
        <v>746</v>
      </c>
      <c r="D9" s="385" t="s">
        <v>747</v>
      </c>
      <c r="E9" s="386">
        <v>1659604210</v>
      </c>
      <c r="F9" s="387">
        <v>0</v>
      </c>
      <c r="G9" s="387">
        <v>0</v>
      </c>
      <c r="H9" s="386">
        <v>0</v>
      </c>
      <c r="I9" s="386">
        <v>0</v>
      </c>
      <c r="J9" s="386">
        <v>1659604210</v>
      </c>
      <c r="K9" s="386">
        <v>129064280</v>
      </c>
      <c r="L9" s="386">
        <v>1287149641</v>
      </c>
      <c r="M9" s="386">
        <v>129243825</v>
      </c>
      <c r="N9" s="386">
        <v>1276602421</v>
      </c>
      <c r="O9" s="386">
        <v>113441898</v>
      </c>
      <c r="P9" s="386">
        <v>1263582740</v>
      </c>
      <c r="Q9" s="386">
        <v>10248372</v>
      </c>
      <c r="R9" s="386">
        <v>1155265802</v>
      </c>
      <c r="S9" s="388">
        <v>10547220</v>
      </c>
      <c r="T9" s="388">
        <v>18506880</v>
      </c>
      <c r="U9" s="389">
        <v>108316938</v>
      </c>
    </row>
    <row r="10" spans="1:21" s="391" customFormat="1" ht="13.5" customHeight="1" x14ac:dyDescent="0.25">
      <c r="A10" s="382" t="s">
        <v>748</v>
      </c>
      <c r="B10" s="383">
        <v>7</v>
      </c>
      <c r="C10" s="384" t="s">
        <v>746</v>
      </c>
      <c r="D10" s="385" t="s">
        <v>749</v>
      </c>
      <c r="E10" s="386">
        <v>1314024800</v>
      </c>
      <c r="F10" s="387">
        <v>0</v>
      </c>
      <c r="G10" s="387">
        <v>0</v>
      </c>
      <c r="H10" s="386">
        <v>0</v>
      </c>
      <c r="I10" s="386">
        <v>0</v>
      </c>
      <c r="J10" s="386">
        <v>1314024800</v>
      </c>
      <c r="K10" s="386">
        <v>101084545</v>
      </c>
      <c r="L10" s="386">
        <v>1154534582</v>
      </c>
      <c r="M10" s="386">
        <v>101084545</v>
      </c>
      <c r="N10" s="386">
        <v>1144741452</v>
      </c>
      <c r="O10" s="386">
        <v>101084545</v>
      </c>
      <c r="P10" s="386">
        <v>1127258345</v>
      </c>
      <c r="Q10" s="386">
        <v>0</v>
      </c>
      <c r="R10" s="386">
        <v>1043656907</v>
      </c>
      <c r="S10" s="388">
        <v>9793130</v>
      </c>
      <c r="T10" s="388">
        <v>17483107</v>
      </c>
      <c r="U10" s="389">
        <v>83601438</v>
      </c>
    </row>
    <row r="11" spans="1:21" s="399" customFormat="1" ht="13.5" customHeight="1" x14ac:dyDescent="0.25">
      <c r="A11" s="392" t="s">
        <v>750</v>
      </c>
      <c r="B11" s="393">
        <v>8</v>
      </c>
      <c r="C11" s="394" t="s">
        <v>746</v>
      </c>
      <c r="D11" s="395" t="s">
        <v>751</v>
      </c>
      <c r="E11" s="396">
        <v>1259688980</v>
      </c>
      <c r="F11" s="387">
        <v>0</v>
      </c>
      <c r="G11" s="387"/>
      <c r="H11" s="396">
        <v>0</v>
      </c>
      <c r="I11" s="396">
        <v>0</v>
      </c>
      <c r="J11" s="396">
        <v>1259688980</v>
      </c>
      <c r="K11" s="396">
        <v>101084545</v>
      </c>
      <c r="L11" s="396">
        <v>1143858449</v>
      </c>
      <c r="M11" s="396">
        <v>101084545</v>
      </c>
      <c r="N11" s="396">
        <v>1134065319</v>
      </c>
      <c r="O11" s="396">
        <v>101084545</v>
      </c>
      <c r="P11" s="396">
        <v>1116582212</v>
      </c>
      <c r="Q11" s="396">
        <v>0</v>
      </c>
      <c r="R11" s="396">
        <v>1032980774</v>
      </c>
      <c r="S11" s="397">
        <v>9793130</v>
      </c>
      <c r="T11" s="397">
        <v>17483107</v>
      </c>
      <c r="U11" s="398">
        <v>83601438</v>
      </c>
    </row>
    <row r="12" spans="1:21" s="399" customFormat="1" ht="13.5" customHeight="1" x14ac:dyDescent="0.2">
      <c r="A12" s="392" t="s">
        <v>752</v>
      </c>
      <c r="B12" s="393">
        <v>8</v>
      </c>
      <c r="C12" s="394" t="s">
        <v>746</v>
      </c>
      <c r="D12" s="395" t="s">
        <v>753</v>
      </c>
      <c r="E12" s="396">
        <v>54335820</v>
      </c>
      <c r="F12" s="400">
        <v>0</v>
      </c>
      <c r="G12" s="400"/>
      <c r="H12" s="396">
        <v>0</v>
      </c>
      <c r="I12" s="396">
        <v>0</v>
      </c>
      <c r="J12" s="396">
        <v>54335820</v>
      </c>
      <c r="K12" s="396">
        <v>0</v>
      </c>
      <c r="L12" s="396">
        <v>10676133</v>
      </c>
      <c r="M12" s="396">
        <v>0</v>
      </c>
      <c r="N12" s="396">
        <v>10676133</v>
      </c>
      <c r="O12" s="396">
        <v>0</v>
      </c>
      <c r="P12" s="396">
        <v>10676133</v>
      </c>
      <c r="Q12" s="396">
        <v>0</v>
      </c>
      <c r="R12" s="396">
        <v>10676133</v>
      </c>
      <c r="S12" s="397">
        <v>0</v>
      </c>
      <c r="T12" s="397">
        <v>0</v>
      </c>
      <c r="U12" s="398">
        <v>0</v>
      </c>
    </row>
    <row r="13" spans="1:21" s="381" customFormat="1" ht="13.5" customHeight="1" x14ac:dyDescent="0.25">
      <c r="A13" s="382" t="s">
        <v>754</v>
      </c>
      <c r="B13" s="383">
        <v>7</v>
      </c>
      <c r="C13" s="384" t="s">
        <v>746</v>
      </c>
      <c r="D13" s="385" t="s">
        <v>755</v>
      </c>
      <c r="E13" s="386">
        <v>78289310</v>
      </c>
      <c r="F13" s="387">
        <v>0</v>
      </c>
      <c r="G13" s="387">
        <v>0</v>
      </c>
      <c r="H13" s="386">
        <v>0</v>
      </c>
      <c r="I13" s="386">
        <v>0</v>
      </c>
      <c r="J13" s="386">
        <v>78289310</v>
      </c>
      <c r="K13" s="386">
        <v>1184022</v>
      </c>
      <c r="L13" s="386">
        <v>63041882</v>
      </c>
      <c r="M13" s="386">
        <v>1363567</v>
      </c>
      <c r="N13" s="386">
        <v>63041882</v>
      </c>
      <c r="O13" s="386">
        <v>390697</v>
      </c>
      <c r="P13" s="386">
        <v>62069012</v>
      </c>
      <c r="Q13" s="386">
        <v>390697</v>
      </c>
      <c r="R13" s="386">
        <v>62069012</v>
      </c>
      <c r="S13" s="388">
        <v>0</v>
      </c>
      <c r="T13" s="388">
        <v>972870</v>
      </c>
      <c r="U13" s="389">
        <v>0</v>
      </c>
    </row>
    <row r="14" spans="1:21" ht="13.5" customHeight="1" x14ac:dyDescent="0.25">
      <c r="A14" s="392" t="s">
        <v>756</v>
      </c>
      <c r="B14" s="393">
        <v>8</v>
      </c>
      <c r="C14" s="394" t="s">
        <v>746</v>
      </c>
      <c r="D14" s="395" t="s">
        <v>757</v>
      </c>
      <c r="E14" s="396">
        <v>73066400</v>
      </c>
      <c r="F14" s="387">
        <v>0</v>
      </c>
      <c r="G14" s="387"/>
      <c r="H14" s="396">
        <v>0</v>
      </c>
      <c r="I14" s="396">
        <v>0</v>
      </c>
      <c r="J14" s="396">
        <v>73066400</v>
      </c>
      <c r="K14" s="396">
        <v>1184022</v>
      </c>
      <c r="L14" s="396">
        <v>63041882</v>
      </c>
      <c r="M14" s="396">
        <v>1363567</v>
      </c>
      <c r="N14" s="396">
        <v>63041882</v>
      </c>
      <c r="O14" s="396">
        <v>390697</v>
      </c>
      <c r="P14" s="396">
        <v>62069012</v>
      </c>
      <c r="Q14" s="396">
        <v>390697</v>
      </c>
      <c r="R14" s="396">
        <v>62069012</v>
      </c>
      <c r="S14" s="397">
        <v>0</v>
      </c>
      <c r="T14" s="397">
        <v>972870</v>
      </c>
      <c r="U14" s="398">
        <v>0</v>
      </c>
    </row>
    <row r="15" spans="1:21" ht="13.5" customHeight="1" x14ac:dyDescent="0.2">
      <c r="A15" s="392" t="s">
        <v>758</v>
      </c>
      <c r="B15" s="393">
        <v>8</v>
      </c>
      <c r="C15" s="394" t="s">
        <v>746</v>
      </c>
      <c r="D15" s="401" t="s">
        <v>759</v>
      </c>
      <c r="E15" s="396">
        <v>5222910</v>
      </c>
      <c r="F15" s="400">
        <v>0</v>
      </c>
      <c r="G15" s="400"/>
      <c r="H15" s="396">
        <v>0</v>
      </c>
      <c r="I15" s="396">
        <v>0</v>
      </c>
      <c r="J15" s="396">
        <v>5222910</v>
      </c>
      <c r="K15" s="396">
        <v>0</v>
      </c>
      <c r="L15" s="396">
        <v>0</v>
      </c>
      <c r="M15" s="396">
        <v>0</v>
      </c>
      <c r="N15" s="396">
        <v>0</v>
      </c>
      <c r="O15" s="396">
        <v>0</v>
      </c>
      <c r="P15" s="396">
        <v>0</v>
      </c>
      <c r="Q15" s="396">
        <v>0</v>
      </c>
      <c r="R15" s="396">
        <v>0</v>
      </c>
      <c r="S15" s="397">
        <v>0</v>
      </c>
      <c r="T15" s="397">
        <v>0</v>
      </c>
      <c r="U15" s="398">
        <v>0</v>
      </c>
    </row>
    <row r="16" spans="1:21" s="381" customFormat="1" ht="13.5" customHeight="1" x14ac:dyDescent="0.25">
      <c r="A16" s="382" t="s">
        <v>760</v>
      </c>
      <c r="B16" s="383">
        <v>7</v>
      </c>
      <c r="C16" s="384" t="s">
        <v>746</v>
      </c>
      <c r="D16" s="385" t="s">
        <v>761</v>
      </c>
      <c r="E16" s="386">
        <v>37571930</v>
      </c>
      <c r="F16" s="387">
        <v>0</v>
      </c>
      <c r="G16" s="387">
        <v>0</v>
      </c>
      <c r="H16" s="386">
        <v>0</v>
      </c>
      <c r="I16" s="386">
        <v>0</v>
      </c>
      <c r="J16" s="386">
        <v>37571930</v>
      </c>
      <c r="K16" s="386">
        <v>8942079</v>
      </c>
      <c r="L16" s="386">
        <v>30213242</v>
      </c>
      <c r="M16" s="386">
        <v>8942079</v>
      </c>
      <c r="N16" s="386">
        <v>29459152</v>
      </c>
      <c r="O16" s="386">
        <v>7210765</v>
      </c>
      <c r="P16" s="386">
        <v>34946351</v>
      </c>
      <c r="Q16" s="386">
        <v>1731314</v>
      </c>
      <c r="R16" s="386">
        <v>22248387</v>
      </c>
      <c r="S16" s="388">
        <v>754090</v>
      </c>
      <c r="T16" s="388">
        <v>0</v>
      </c>
      <c r="U16" s="389">
        <v>12697964</v>
      </c>
    </row>
    <row r="17" spans="1:21" ht="13.5" customHeight="1" x14ac:dyDescent="0.25">
      <c r="A17" s="392" t="s">
        <v>762</v>
      </c>
      <c r="B17" s="393">
        <v>8</v>
      </c>
      <c r="C17" s="394" t="s">
        <v>746</v>
      </c>
      <c r="D17" s="395" t="s">
        <v>763</v>
      </c>
      <c r="E17" s="396">
        <v>36533200</v>
      </c>
      <c r="F17" s="387">
        <v>0</v>
      </c>
      <c r="G17" s="387"/>
      <c r="H17" s="396">
        <v>0</v>
      </c>
      <c r="I17" s="396">
        <v>0</v>
      </c>
      <c r="J17" s="396">
        <v>36533200</v>
      </c>
      <c r="K17" s="396">
        <v>8942079</v>
      </c>
      <c r="L17" s="396">
        <v>29510193</v>
      </c>
      <c r="M17" s="396">
        <v>8942079</v>
      </c>
      <c r="N17" s="396">
        <v>28756103</v>
      </c>
      <c r="O17" s="396">
        <v>1723566</v>
      </c>
      <c r="P17" s="396">
        <v>28756103</v>
      </c>
      <c r="Q17" s="396">
        <v>1731314</v>
      </c>
      <c r="R17" s="396">
        <v>21545338</v>
      </c>
      <c r="S17" s="397">
        <v>754090</v>
      </c>
      <c r="T17" s="397">
        <v>0</v>
      </c>
      <c r="U17" s="398">
        <v>7210765</v>
      </c>
    </row>
    <row r="18" spans="1:21" ht="13.5" customHeight="1" x14ac:dyDescent="0.2">
      <c r="A18" s="392" t="s">
        <v>764</v>
      </c>
      <c r="B18" s="393">
        <v>8</v>
      </c>
      <c r="C18" s="394" t="s">
        <v>739</v>
      </c>
      <c r="D18" s="395" t="s">
        <v>765</v>
      </c>
      <c r="E18" s="396">
        <v>1038730</v>
      </c>
      <c r="F18" s="400">
        <v>0</v>
      </c>
      <c r="G18" s="400"/>
      <c r="H18" s="396">
        <v>0</v>
      </c>
      <c r="I18" s="396">
        <v>0</v>
      </c>
      <c r="J18" s="396">
        <v>1038730</v>
      </c>
      <c r="K18" s="396">
        <v>0</v>
      </c>
      <c r="L18" s="396">
        <v>703049</v>
      </c>
      <c r="M18" s="396">
        <v>0</v>
      </c>
      <c r="N18" s="396">
        <v>703049</v>
      </c>
      <c r="O18" s="396">
        <v>0</v>
      </c>
      <c r="P18" s="396">
        <v>703049</v>
      </c>
      <c r="Q18" s="396">
        <v>0</v>
      </c>
      <c r="R18" s="396">
        <v>703049</v>
      </c>
      <c r="S18" s="397">
        <v>0</v>
      </c>
      <c r="T18" s="397">
        <v>0</v>
      </c>
      <c r="U18" s="398">
        <v>0</v>
      </c>
    </row>
    <row r="19" spans="1:21" ht="13.5" customHeight="1" x14ac:dyDescent="0.25">
      <c r="A19" s="382" t="s">
        <v>766</v>
      </c>
      <c r="B19" s="383">
        <v>7</v>
      </c>
      <c r="C19" s="384" t="s">
        <v>746</v>
      </c>
      <c r="D19" s="385" t="s">
        <v>767</v>
      </c>
      <c r="E19" s="386">
        <v>229718170</v>
      </c>
      <c r="F19" s="387">
        <v>0</v>
      </c>
      <c r="G19" s="387">
        <v>0</v>
      </c>
      <c r="H19" s="386">
        <v>0</v>
      </c>
      <c r="I19" s="386">
        <v>0</v>
      </c>
      <c r="J19" s="386">
        <v>229718170</v>
      </c>
      <c r="K19" s="386">
        <v>17853634</v>
      </c>
      <c r="L19" s="386">
        <v>39359935</v>
      </c>
      <c r="M19" s="386">
        <v>17853634</v>
      </c>
      <c r="N19" s="386">
        <v>39359935</v>
      </c>
      <c r="O19" s="386">
        <v>4755891</v>
      </c>
      <c r="P19" s="386">
        <v>39309032</v>
      </c>
      <c r="Q19" s="386">
        <v>8126361</v>
      </c>
      <c r="R19" s="386">
        <v>27291496</v>
      </c>
      <c r="S19" s="388">
        <v>0</v>
      </c>
      <c r="T19" s="388">
        <v>50903</v>
      </c>
      <c r="U19" s="389">
        <v>12017536</v>
      </c>
    </row>
    <row r="20" spans="1:21" s="381" customFormat="1" ht="13.5" customHeight="1" x14ac:dyDescent="0.25">
      <c r="A20" s="382" t="s">
        <v>768</v>
      </c>
      <c r="B20" s="383">
        <v>8</v>
      </c>
      <c r="C20" s="384" t="s">
        <v>746</v>
      </c>
      <c r="D20" s="385" t="s">
        <v>769</v>
      </c>
      <c r="E20" s="386">
        <v>151955540</v>
      </c>
      <c r="F20" s="387">
        <v>0</v>
      </c>
      <c r="G20" s="387">
        <v>0</v>
      </c>
      <c r="H20" s="386">
        <v>0</v>
      </c>
      <c r="I20" s="386">
        <v>0</v>
      </c>
      <c r="J20" s="386">
        <v>151955540</v>
      </c>
      <c r="K20" s="386">
        <v>8092610</v>
      </c>
      <c r="L20" s="386">
        <v>9713385</v>
      </c>
      <c r="M20" s="386">
        <v>8092610</v>
      </c>
      <c r="N20" s="386">
        <v>9713385</v>
      </c>
      <c r="O20" s="386">
        <v>1065829</v>
      </c>
      <c r="P20" s="386">
        <v>9662482</v>
      </c>
      <c r="Q20" s="386">
        <v>5471855</v>
      </c>
      <c r="R20" s="386">
        <v>7092630</v>
      </c>
      <c r="S20" s="388">
        <v>0</v>
      </c>
      <c r="T20" s="388">
        <v>50903</v>
      </c>
      <c r="U20" s="389">
        <v>2569852</v>
      </c>
    </row>
    <row r="21" spans="1:21" ht="13.5" customHeight="1" x14ac:dyDescent="0.25">
      <c r="A21" s="392" t="s">
        <v>770</v>
      </c>
      <c r="B21" s="393">
        <v>9</v>
      </c>
      <c r="C21" s="394" t="s">
        <v>746</v>
      </c>
      <c r="D21" s="395" t="s">
        <v>771</v>
      </c>
      <c r="E21" s="396">
        <v>141085450</v>
      </c>
      <c r="F21" s="387">
        <v>0</v>
      </c>
      <c r="G21" s="387"/>
      <c r="H21" s="396">
        <v>0</v>
      </c>
      <c r="I21" s="396">
        <v>0</v>
      </c>
      <c r="J21" s="396">
        <v>141085450</v>
      </c>
      <c r="K21" s="396">
        <v>8092610</v>
      </c>
      <c r="L21" s="396">
        <v>9713385</v>
      </c>
      <c r="M21" s="396">
        <v>8092610</v>
      </c>
      <c r="N21" s="396">
        <v>9713385</v>
      </c>
      <c r="O21" s="396">
        <v>1065829</v>
      </c>
      <c r="P21" s="396">
        <v>9662482</v>
      </c>
      <c r="Q21" s="396">
        <v>5471855</v>
      </c>
      <c r="R21" s="396">
        <v>7092630</v>
      </c>
      <c r="S21" s="397">
        <v>0</v>
      </c>
      <c r="T21" s="397">
        <v>50903</v>
      </c>
      <c r="U21" s="398">
        <v>2569852</v>
      </c>
    </row>
    <row r="22" spans="1:21" ht="13.5" customHeight="1" x14ac:dyDescent="0.2">
      <c r="A22" s="392" t="s">
        <v>772</v>
      </c>
      <c r="B22" s="393">
        <v>9</v>
      </c>
      <c r="C22" s="394" t="s">
        <v>746</v>
      </c>
      <c r="D22" s="395" t="s">
        <v>773</v>
      </c>
      <c r="E22" s="396">
        <v>10870090</v>
      </c>
      <c r="F22" s="400">
        <v>0</v>
      </c>
      <c r="G22" s="400"/>
      <c r="H22" s="396">
        <v>0</v>
      </c>
      <c r="I22" s="396">
        <v>0</v>
      </c>
      <c r="J22" s="396">
        <v>10870090</v>
      </c>
      <c r="K22" s="396">
        <v>0</v>
      </c>
      <c r="L22" s="396">
        <v>0</v>
      </c>
      <c r="M22" s="396">
        <v>0</v>
      </c>
      <c r="N22" s="396">
        <v>0</v>
      </c>
      <c r="O22" s="396">
        <v>0</v>
      </c>
      <c r="P22" s="396">
        <v>0</v>
      </c>
      <c r="Q22" s="396">
        <v>0</v>
      </c>
      <c r="R22" s="396">
        <v>0</v>
      </c>
      <c r="S22" s="397">
        <v>0</v>
      </c>
      <c r="T22" s="397">
        <v>0</v>
      </c>
      <c r="U22" s="398">
        <v>0</v>
      </c>
    </row>
    <row r="23" spans="1:21" s="381" customFormat="1" ht="13.5" customHeight="1" x14ac:dyDescent="0.25">
      <c r="A23" s="382" t="s">
        <v>774</v>
      </c>
      <c r="B23" s="383">
        <v>8</v>
      </c>
      <c r="C23" s="384" t="s">
        <v>746</v>
      </c>
      <c r="D23" s="385" t="s">
        <v>775</v>
      </c>
      <c r="E23" s="386">
        <v>77762630</v>
      </c>
      <c r="F23" s="387">
        <v>0</v>
      </c>
      <c r="G23" s="387">
        <v>0</v>
      </c>
      <c r="H23" s="386">
        <v>0</v>
      </c>
      <c r="I23" s="386">
        <v>0</v>
      </c>
      <c r="J23" s="386">
        <v>77762630</v>
      </c>
      <c r="K23" s="386">
        <v>9761024</v>
      </c>
      <c r="L23" s="386">
        <v>29646550</v>
      </c>
      <c r="M23" s="386">
        <v>9761024</v>
      </c>
      <c r="N23" s="386">
        <v>29646550</v>
      </c>
      <c r="O23" s="386">
        <v>3690062</v>
      </c>
      <c r="P23" s="386">
        <v>29646550</v>
      </c>
      <c r="Q23" s="386">
        <v>2654506</v>
      </c>
      <c r="R23" s="386">
        <v>20198866</v>
      </c>
      <c r="S23" s="388">
        <v>0</v>
      </c>
      <c r="T23" s="388">
        <v>0</v>
      </c>
      <c r="U23" s="389">
        <v>9447684</v>
      </c>
    </row>
    <row r="24" spans="1:21" ht="13.5" customHeight="1" x14ac:dyDescent="0.25">
      <c r="A24" s="392" t="s">
        <v>776</v>
      </c>
      <c r="B24" s="393">
        <v>9</v>
      </c>
      <c r="C24" s="394" t="s">
        <v>746</v>
      </c>
      <c r="D24" s="395" t="s">
        <v>777</v>
      </c>
      <c r="E24" s="396">
        <v>73066400</v>
      </c>
      <c r="F24" s="387">
        <v>0</v>
      </c>
      <c r="G24" s="387"/>
      <c r="H24" s="396">
        <v>0</v>
      </c>
      <c r="I24" s="396">
        <v>0</v>
      </c>
      <c r="J24" s="396">
        <v>73066400</v>
      </c>
      <c r="K24" s="396">
        <v>9761024</v>
      </c>
      <c r="L24" s="396">
        <v>29646550</v>
      </c>
      <c r="M24" s="396">
        <v>9761024</v>
      </c>
      <c r="N24" s="396">
        <v>29646550</v>
      </c>
      <c r="O24" s="396">
        <v>3690062</v>
      </c>
      <c r="P24" s="396">
        <v>29646550</v>
      </c>
      <c r="Q24" s="396">
        <v>2654506</v>
      </c>
      <c r="R24" s="396">
        <v>20198866</v>
      </c>
      <c r="S24" s="397">
        <v>0</v>
      </c>
      <c r="T24" s="397">
        <v>0</v>
      </c>
      <c r="U24" s="398">
        <v>9447684</v>
      </c>
    </row>
    <row r="25" spans="1:21" ht="13.5" customHeight="1" x14ac:dyDescent="0.2">
      <c r="A25" s="392" t="s">
        <v>778</v>
      </c>
      <c r="B25" s="393">
        <v>9</v>
      </c>
      <c r="C25" s="394" t="s">
        <v>739</v>
      </c>
      <c r="D25" s="395" t="s">
        <v>779</v>
      </c>
      <c r="E25" s="396">
        <v>4696230</v>
      </c>
      <c r="F25" s="400">
        <v>0</v>
      </c>
      <c r="G25" s="400"/>
      <c r="H25" s="396">
        <v>0</v>
      </c>
      <c r="I25" s="396">
        <v>0</v>
      </c>
      <c r="J25" s="396">
        <v>4696230</v>
      </c>
      <c r="K25" s="396">
        <v>0</v>
      </c>
      <c r="L25" s="396">
        <v>0</v>
      </c>
      <c r="M25" s="396">
        <v>0</v>
      </c>
      <c r="N25" s="396">
        <v>0</v>
      </c>
      <c r="O25" s="396">
        <v>0</v>
      </c>
      <c r="P25" s="396">
        <v>0</v>
      </c>
      <c r="Q25" s="396">
        <v>0</v>
      </c>
      <c r="R25" s="396">
        <v>0</v>
      </c>
      <c r="S25" s="397">
        <v>0</v>
      </c>
      <c r="T25" s="397">
        <v>0</v>
      </c>
      <c r="U25" s="398">
        <v>0</v>
      </c>
    </row>
    <row r="26" spans="1:21" ht="13.5" customHeight="1" x14ac:dyDescent="0.25">
      <c r="A26" s="382" t="s">
        <v>780</v>
      </c>
      <c r="B26" s="383">
        <v>5</v>
      </c>
      <c r="C26" s="384" t="s">
        <v>746</v>
      </c>
      <c r="D26" s="385" t="s">
        <v>781</v>
      </c>
      <c r="E26" s="386">
        <v>762603380</v>
      </c>
      <c r="F26" s="387">
        <v>0</v>
      </c>
      <c r="G26" s="387">
        <v>0</v>
      </c>
      <c r="H26" s="386">
        <v>0</v>
      </c>
      <c r="I26" s="386">
        <v>0</v>
      </c>
      <c r="J26" s="386">
        <v>762603380</v>
      </c>
      <c r="K26" s="386">
        <v>99211896</v>
      </c>
      <c r="L26" s="386">
        <v>431884556</v>
      </c>
      <c r="M26" s="386">
        <v>68468537</v>
      </c>
      <c r="N26" s="386">
        <v>400085197</v>
      </c>
      <c r="O26" s="386">
        <v>58542376</v>
      </c>
      <c r="P26" s="386">
        <v>384414976</v>
      </c>
      <c r="Q26" s="386">
        <v>7187409</v>
      </c>
      <c r="R26" s="386">
        <v>335809309</v>
      </c>
      <c r="S26" s="388">
        <v>31799359</v>
      </c>
      <c r="T26" s="388">
        <v>12931469</v>
      </c>
      <c r="U26" s="389">
        <v>51344419</v>
      </c>
    </row>
    <row r="27" spans="1:21" s="381" customFormat="1" ht="13.5" customHeight="1" x14ac:dyDescent="0.25">
      <c r="A27" s="382" t="s">
        <v>782</v>
      </c>
      <c r="B27" s="383">
        <v>6</v>
      </c>
      <c r="C27" s="384" t="s">
        <v>746</v>
      </c>
      <c r="D27" s="402" t="s">
        <v>783</v>
      </c>
      <c r="E27" s="386">
        <v>196432830</v>
      </c>
      <c r="F27" s="387">
        <v>0</v>
      </c>
      <c r="G27" s="387">
        <v>0</v>
      </c>
      <c r="H27" s="386">
        <v>0</v>
      </c>
      <c r="I27" s="386">
        <v>0</v>
      </c>
      <c r="J27" s="386">
        <v>196432830</v>
      </c>
      <c r="K27" s="386">
        <v>45134359</v>
      </c>
      <c r="L27" s="386">
        <v>178425059</v>
      </c>
      <c r="M27" s="386">
        <v>14391000</v>
      </c>
      <c r="N27" s="386">
        <v>146627500</v>
      </c>
      <c r="O27" s="386">
        <v>14044500</v>
      </c>
      <c r="P27" s="386">
        <v>145184100</v>
      </c>
      <c r="Q27" s="386">
        <v>346500</v>
      </c>
      <c r="R27" s="386">
        <v>132583000</v>
      </c>
      <c r="S27" s="388">
        <v>31797559</v>
      </c>
      <c r="T27" s="388">
        <v>1443400</v>
      </c>
      <c r="U27" s="389">
        <v>12601100</v>
      </c>
    </row>
    <row r="28" spans="1:21" ht="13.5" customHeight="1" x14ac:dyDescent="0.25">
      <c r="A28" s="392" t="s">
        <v>784</v>
      </c>
      <c r="B28" s="393">
        <v>7</v>
      </c>
      <c r="C28" s="394" t="s">
        <v>746</v>
      </c>
      <c r="D28" s="401" t="s">
        <v>785</v>
      </c>
      <c r="E28" s="396">
        <v>177618650</v>
      </c>
      <c r="F28" s="387">
        <v>0</v>
      </c>
      <c r="G28" s="387"/>
      <c r="H28" s="396">
        <v>0</v>
      </c>
      <c r="I28" s="396">
        <v>0</v>
      </c>
      <c r="J28" s="396">
        <v>177618650</v>
      </c>
      <c r="K28" s="396">
        <v>45134359</v>
      </c>
      <c r="L28" s="396">
        <v>177617659</v>
      </c>
      <c r="M28" s="396">
        <v>14391000</v>
      </c>
      <c r="N28" s="396">
        <v>145820100</v>
      </c>
      <c r="O28" s="396">
        <v>14044500</v>
      </c>
      <c r="P28" s="396">
        <v>144376700</v>
      </c>
      <c r="Q28" s="396">
        <v>346500</v>
      </c>
      <c r="R28" s="396">
        <v>131775600</v>
      </c>
      <c r="S28" s="397">
        <v>31797559</v>
      </c>
      <c r="T28" s="397">
        <v>1443400</v>
      </c>
      <c r="U28" s="398">
        <v>12601100</v>
      </c>
    </row>
    <row r="29" spans="1:21" ht="13.5" customHeight="1" x14ac:dyDescent="0.2">
      <c r="A29" s="392" t="s">
        <v>786</v>
      </c>
      <c r="B29" s="393">
        <v>7</v>
      </c>
      <c r="C29" s="394" t="s">
        <v>746</v>
      </c>
      <c r="D29" s="401" t="s">
        <v>787</v>
      </c>
      <c r="E29" s="396">
        <v>18814180</v>
      </c>
      <c r="F29" s="400">
        <v>0</v>
      </c>
      <c r="G29" s="400"/>
      <c r="H29" s="396">
        <v>0</v>
      </c>
      <c r="I29" s="396">
        <v>0</v>
      </c>
      <c r="J29" s="396">
        <v>18814180</v>
      </c>
      <c r="K29" s="396">
        <v>0</v>
      </c>
      <c r="L29" s="396">
        <v>807400</v>
      </c>
      <c r="M29" s="396">
        <v>0</v>
      </c>
      <c r="N29" s="396">
        <v>807400</v>
      </c>
      <c r="O29" s="396">
        <v>0</v>
      </c>
      <c r="P29" s="396">
        <v>807400</v>
      </c>
      <c r="Q29" s="396">
        <v>0</v>
      </c>
      <c r="R29" s="396">
        <v>807400</v>
      </c>
      <c r="S29" s="397">
        <v>0</v>
      </c>
      <c r="T29" s="397">
        <v>0</v>
      </c>
      <c r="U29" s="398">
        <v>0</v>
      </c>
    </row>
    <row r="30" spans="1:21" s="381" customFormat="1" ht="13.5" customHeight="1" x14ac:dyDescent="0.25">
      <c r="A30" s="382" t="s">
        <v>788</v>
      </c>
      <c r="B30" s="383">
        <v>6</v>
      </c>
      <c r="C30" s="384" t="s">
        <v>746</v>
      </c>
      <c r="D30" s="402" t="s">
        <v>789</v>
      </c>
      <c r="E30" s="386">
        <v>143047960</v>
      </c>
      <c r="F30" s="387">
        <v>0</v>
      </c>
      <c r="G30" s="387"/>
      <c r="H30" s="386">
        <v>0</v>
      </c>
      <c r="I30" s="386">
        <v>0</v>
      </c>
      <c r="J30" s="386">
        <v>143047960</v>
      </c>
      <c r="K30" s="386">
        <v>10193800</v>
      </c>
      <c r="L30" s="386">
        <v>104482100</v>
      </c>
      <c r="M30" s="386">
        <v>10193800</v>
      </c>
      <c r="N30" s="386">
        <v>104482100</v>
      </c>
      <c r="O30" s="386">
        <v>9948300</v>
      </c>
      <c r="P30" s="386">
        <v>102461100</v>
      </c>
      <c r="Q30" s="386">
        <v>245500</v>
      </c>
      <c r="R30" s="386">
        <v>93533800</v>
      </c>
      <c r="S30" s="388">
        <v>0</v>
      </c>
      <c r="T30" s="388">
        <v>2021000</v>
      </c>
      <c r="U30" s="389">
        <v>8927300</v>
      </c>
    </row>
    <row r="31" spans="1:21" ht="13.5" customHeight="1" x14ac:dyDescent="0.25">
      <c r="A31" s="392" t="s">
        <v>790</v>
      </c>
      <c r="B31" s="393">
        <v>7</v>
      </c>
      <c r="C31" s="394" t="s">
        <v>746</v>
      </c>
      <c r="D31" s="401" t="s">
        <v>791</v>
      </c>
      <c r="E31" s="396">
        <v>130510050</v>
      </c>
      <c r="F31" s="387">
        <v>0</v>
      </c>
      <c r="G31" s="387"/>
      <c r="H31" s="396">
        <v>0</v>
      </c>
      <c r="I31" s="396">
        <v>0</v>
      </c>
      <c r="J31" s="396">
        <v>130510050</v>
      </c>
      <c r="K31" s="396">
        <v>10193800</v>
      </c>
      <c r="L31" s="396">
        <v>103910000</v>
      </c>
      <c r="M31" s="396">
        <v>10193800</v>
      </c>
      <c r="N31" s="396">
        <v>103910000</v>
      </c>
      <c r="O31" s="396">
        <v>9948300</v>
      </c>
      <c r="P31" s="396">
        <v>101889000</v>
      </c>
      <c r="Q31" s="396">
        <v>245500</v>
      </c>
      <c r="R31" s="396">
        <v>92961700</v>
      </c>
      <c r="S31" s="397">
        <v>0</v>
      </c>
      <c r="T31" s="397">
        <v>2021000</v>
      </c>
      <c r="U31" s="398">
        <v>8927300</v>
      </c>
    </row>
    <row r="32" spans="1:21" ht="13.5" customHeight="1" x14ac:dyDescent="0.2">
      <c r="A32" s="392" t="s">
        <v>792</v>
      </c>
      <c r="B32" s="393">
        <v>7</v>
      </c>
      <c r="C32" s="394" t="s">
        <v>746</v>
      </c>
      <c r="D32" s="395" t="s">
        <v>793</v>
      </c>
      <c r="E32" s="396">
        <v>12537910</v>
      </c>
      <c r="F32" s="400">
        <v>0</v>
      </c>
      <c r="G32" s="400"/>
      <c r="H32" s="396">
        <v>0</v>
      </c>
      <c r="I32" s="396">
        <v>0</v>
      </c>
      <c r="J32" s="396">
        <v>12537910</v>
      </c>
      <c r="K32" s="396">
        <v>0</v>
      </c>
      <c r="L32" s="396">
        <v>572100</v>
      </c>
      <c r="M32" s="396">
        <v>0</v>
      </c>
      <c r="N32" s="396">
        <v>572100</v>
      </c>
      <c r="O32" s="396">
        <v>0</v>
      </c>
      <c r="P32" s="396">
        <v>572100</v>
      </c>
      <c r="Q32" s="396">
        <v>0</v>
      </c>
      <c r="R32" s="396">
        <v>572100</v>
      </c>
      <c r="S32" s="397">
        <v>0</v>
      </c>
      <c r="T32" s="397">
        <v>0</v>
      </c>
      <c r="U32" s="398">
        <v>0</v>
      </c>
    </row>
    <row r="33" spans="1:21" s="381" customFormat="1" ht="13.5" customHeight="1" x14ac:dyDescent="0.25">
      <c r="A33" s="382" t="s">
        <v>794</v>
      </c>
      <c r="B33" s="383">
        <v>6</v>
      </c>
      <c r="C33" s="384" t="s">
        <v>746</v>
      </c>
      <c r="D33" s="385" t="s">
        <v>795</v>
      </c>
      <c r="E33" s="386">
        <v>227918680</v>
      </c>
      <c r="F33" s="387">
        <v>0</v>
      </c>
      <c r="G33" s="387"/>
      <c r="H33" s="386">
        <v>0</v>
      </c>
      <c r="I33" s="386">
        <v>0</v>
      </c>
      <c r="J33" s="386">
        <v>227918680</v>
      </c>
      <c r="K33" s="386">
        <v>33129237</v>
      </c>
      <c r="L33" s="386">
        <v>34980697</v>
      </c>
      <c r="M33" s="386">
        <v>33129237</v>
      </c>
      <c r="N33" s="386">
        <v>34980697</v>
      </c>
      <c r="O33" s="386">
        <v>26808728</v>
      </c>
      <c r="P33" s="386">
        <v>26808728</v>
      </c>
      <c r="Q33" s="386">
        <v>6320509</v>
      </c>
      <c r="R33" s="386">
        <v>6320509</v>
      </c>
      <c r="S33" s="388">
        <v>0</v>
      </c>
      <c r="T33" s="388">
        <v>8171969</v>
      </c>
      <c r="U33" s="389">
        <v>20488219</v>
      </c>
    </row>
    <row r="34" spans="1:21" ht="13.5" customHeight="1" x14ac:dyDescent="0.25">
      <c r="A34" s="392" t="s">
        <v>796</v>
      </c>
      <c r="B34" s="393">
        <v>7</v>
      </c>
      <c r="C34" s="394" t="s">
        <v>746</v>
      </c>
      <c r="D34" s="395" t="s">
        <v>797</v>
      </c>
      <c r="E34" s="396">
        <v>209104500</v>
      </c>
      <c r="F34" s="387">
        <v>0</v>
      </c>
      <c r="G34" s="387"/>
      <c r="H34" s="396">
        <v>0</v>
      </c>
      <c r="I34" s="396">
        <v>0</v>
      </c>
      <c r="J34" s="396">
        <v>209104500</v>
      </c>
      <c r="K34" s="396">
        <v>33129237</v>
      </c>
      <c r="L34" s="396">
        <v>34980697</v>
      </c>
      <c r="M34" s="396">
        <v>33129237</v>
      </c>
      <c r="N34" s="396">
        <v>34980697</v>
      </c>
      <c r="O34" s="396">
        <v>26808728</v>
      </c>
      <c r="P34" s="396">
        <v>26808728</v>
      </c>
      <c r="Q34" s="396">
        <v>6320509</v>
      </c>
      <c r="R34" s="396">
        <v>6320509</v>
      </c>
      <c r="S34" s="397">
        <v>0</v>
      </c>
      <c r="T34" s="397">
        <v>8171969</v>
      </c>
      <c r="U34" s="398">
        <v>20488219</v>
      </c>
    </row>
    <row r="35" spans="1:21" ht="13.5" customHeight="1" x14ac:dyDescent="0.2">
      <c r="A35" s="392" t="s">
        <v>798</v>
      </c>
      <c r="B35" s="393">
        <v>7</v>
      </c>
      <c r="C35" s="394" t="s">
        <v>746</v>
      </c>
      <c r="D35" s="395" t="s">
        <v>799</v>
      </c>
      <c r="E35" s="396">
        <v>18814180</v>
      </c>
      <c r="F35" s="400">
        <v>0</v>
      </c>
      <c r="G35" s="400"/>
      <c r="H35" s="396">
        <v>0</v>
      </c>
      <c r="I35" s="396">
        <v>0</v>
      </c>
      <c r="J35" s="396">
        <v>18814180</v>
      </c>
      <c r="K35" s="396">
        <v>0</v>
      </c>
      <c r="L35" s="396">
        <v>0</v>
      </c>
      <c r="M35" s="396">
        <v>0</v>
      </c>
      <c r="N35" s="396">
        <v>0</v>
      </c>
      <c r="O35" s="396">
        <v>0</v>
      </c>
      <c r="P35" s="396">
        <v>0</v>
      </c>
      <c r="Q35" s="396">
        <v>0</v>
      </c>
      <c r="R35" s="396">
        <v>0</v>
      </c>
      <c r="S35" s="397">
        <v>0</v>
      </c>
      <c r="T35" s="397">
        <v>0</v>
      </c>
      <c r="U35" s="398">
        <v>0</v>
      </c>
    </row>
    <row r="36" spans="1:21" s="381" customFormat="1" ht="13.5" customHeight="1" x14ac:dyDescent="0.25">
      <c r="A36" s="382" t="s">
        <v>800</v>
      </c>
      <c r="B36" s="383">
        <v>6</v>
      </c>
      <c r="C36" s="384" t="s">
        <v>746</v>
      </c>
      <c r="D36" s="402" t="s">
        <v>801</v>
      </c>
      <c r="E36" s="386">
        <v>78289310</v>
      </c>
      <c r="F36" s="387">
        <v>0</v>
      </c>
      <c r="G36" s="387"/>
      <c r="H36" s="386">
        <v>0</v>
      </c>
      <c r="I36" s="386">
        <v>0</v>
      </c>
      <c r="J36" s="386">
        <v>78289310</v>
      </c>
      <c r="K36" s="386">
        <v>4490900</v>
      </c>
      <c r="L36" s="386">
        <v>47457900</v>
      </c>
      <c r="M36" s="386">
        <v>4490900</v>
      </c>
      <c r="N36" s="386">
        <v>47457900</v>
      </c>
      <c r="O36" s="386">
        <v>4375400</v>
      </c>
      <c r="P36" s="386">
        <v>47038200</v>
      </c>
      <c r="Q36" s="386">
        <v>115500</v>
      </c>
      <c r="R36" s="386">
        <v>43082500</v>
      </c>
      <c r="S36" s="388">
        <v>0</v>
      </c>
      <c r="T36" s="388">
        <v>419700</v>
      </c>
      <c r="U36" s="389">
        <v>3955700</v>
      </c>
    </row>
    <row r="37" spans="1:21" ht="13.5" customHeight="1" x14ac:dyDescent="0.25">
      <c r="A37" s="392" t="s">
        <v>802</v>
      </c>
      <c r="B37" s="393">
        <v>7</v>
      </c>
      <c r="C37" s="394" t="s">
        <v>746</v>
      </c>
      <c r="D37" s="401" t="s">
        <v>803</v>
      </c>
      <c r="E37" s="396">
        <v>73066400</v>
      </c>
      <c r="F37" s="387">
        <v>0</v>
      </c>
      <c r="G37" s="387"/>
      <c r="H37" s="396">
        <v>0</v>
      </c>
      <c r="I37" s="396">
        <v>0</v>
      </c>
      <c r="J37" s="396">
        <v>73066400</v>
      </c>
      <c r="K37" s="396">
        <v>4490900</v>
      </c>
      <c r="L37" s="396">
        <v>43115500</v>
      </c>
      <c r="M37" s="396">
        <v>4490900</v>
      </c>
      <c r="N37" s="396">
        <v>43115500</v>
      </c>
      <c r="O37" s="396">
        <v>4375400</v>
      </c>
      <c r="P37" s="396">
        <v>42695800</v>
      </c>
      <c r="Q37" s="396">
        <v>115500</v>
      </c>
      <c r="R37" s="396">
        <v>38740100</v>
      </c>
      <c r="S37" s="397">
        <v>0</v>
      </c>
      <c r="T37" s="397">
        <v>419700</v>
      </c>
      <c r="U37" s="398">
        <v>3955700</v>
      </c>
    </row>
    <row r="38" spans="1:21" ht="13.5" customHeight="1" x14ac:dyDescent="0.2">
      <c r="A38" s="392" t="s">
        <v>804</v>
      </c>
      <c r="B38" s="393">
        <v>7</v>
      </c>
      <c r="C38" s="394" t="s">
        <v>746</v>
      </c>
      <c r="D38" s="395" t="s">
        <v>805</v>
      </c>
      <c r="E38" s="396">
        <v>5222910</v>
      </c>
      <c r="F38" s="400">
        <v>0</v>
      </c>
      <c r="G38" s="400"/>
      <c r="H38" s="396">
        <v>0</v>
      </c>
      <c r="I38" s="396">
        <v>0</v>
      </c>
      <c r="J38" s="396">
        <v>5222910</v>
      </c>
      <c r="K38" s="396">
        <v>0</v>
      </c>
      <c r="L38" s="396">
        <v>4342400</v>
      </c>
      <c r="M38" s="396">
        <v>0</v>
      </c>
      <c r="N38" s="396">
        <v>4342400</v>
      </c>
      <c r="O38" s="396">
        <v>0</v>
      </c>
      <c r="P38" s="396">
        <v>4342400</v>
      </c>
      <c r="Q38" s="396">
        <v>0</v>
      </c>
      <c r="R38" s="396">
        <v>4342400</v>
      </c>
      <c r="S38" s="397">
        <v>0</v>
      </c>
      <c r="T38" s="397">
        <v>0</v>
      </c>
      <c r="U38" s="398">
        <v>0</v>
      </c>
    </row>
    <row r="39" spans="1:21" s="381" customFormat="1" ht="13.5" customHeight="1" x14ac:dyDescent="0.25">
      <c r="A39" s="382" t="s">
        <v>806</v>
      </c>
      <c r="B39" s="383">
        <v>6</v>
      </c>
      <c r="C39" s="384" t="s">
        <v>746</v>
      </c>
      <c r="D39" s="402" t="s">
        <v>807</v>
      </c>
      <c r="E39" s="386">
        <v>16251840</v>
      </c>
      <c r="F39" s="387">
        <v>0</v>
      </c>
      <c r="G39" s="387"/>
      <c r="H39" s="386">
        <v>0</v>
      </c>
      <c r="I39" s="386">
        <v>0</v>
      </c>
      <c r="J39" s="386">
        <v>16251840</v>
      </c>
      <c r="K39" s="386">
        <v>650500</v>
      </c>
      <c r="L39" s="386">
        <v>7146800</v>
      </c>
      <c r="M39" s="386">
        <v>650500</v>
      </c>
      <c r="N39" s="386">
        <v>7145000</v>
      </c>
      <c r="O39" s="386">
        <v>635400</v>
      </c>
      <c r="P39" s="386">
        <v>6859100</v>
      </c>
      <c r="Q39" s="386">
        <v>15100</v>
      </c>
      <c r="R39" s="386">
        <v>6366300</v>
      </c>
      <c r="S39" s="388">
        <v>1800</v>
      </c>
      <c r="T39" s="388">
        <v>285900</v>
      </c>
      <c r="U39" s="389">
        <v>492800</v>
      </c>
    </row>
    <row r="40" spans="1:21" ht="13.5" customHeight="1" x14ac:dyDescent="0.25">
      <c r="A40" s="392" t="s">
        <v>808</v>
      </c>
      <c r="B40" s="393">
        <v>7</v>
      </c>
      <c r="C40" s="394" t="s">
        <v>746</v>
      </c>
      <c r="D40" s="401" t="s">
        <v>809</v>
      </c>
      <c r="E40" s="396">
        <v>15622750</v>
      </c>
      <c r="F40" s="387">
        <v>0</v>
      </c>
      <c r="G40" s="387"/>
      <c r="H40" s="396">
        <v>0</v>
      </c>
      <c r="I40" s="396">
        <v>0</v>
      </c>
      <c r="J40" s="396">
        <v>15622750</v>
      </c>
      <c r="K40" s="396">
        <v>650500</v>
      </c>
      <c r="L40" s="396">
        <v>6580500</v>
      </c>
      <c r="M40" s="396">
        <v>650500</v>
      </c>
      <c r="N40" s="396">
        <v>6578700</v>
      </c>
      <c r="O40" s="396">
        <v>635400</v>
      </c>
      <c r="P40" s="396">
        <v>6292800</v>
      </c>
      <c r="Q40" s="396">
        <v>15100</v>
      </c>
      <c r="R40" s="396">
        <v>5800000</v>
      </c>
      <c r="S40" s="397">
        <v>1800</v>
      </c>
      <c r="T40" s="397">
        <v>285900</v>
      </c>
      <c r="U40" s="398">
        <v>492800</v>
      </c>
    </row>
    <row r="41" spans="1:21" ht="13.5" customHeight="1" x14ac:dyDescent="0.2">
      <c r="A41" s="392" t="s">
        <v>810</v>
      </c>
      <c r="B41" s="393">
        <v>7</v>
      </c>
      <c r="C41" s="394" t="s">
        <v>746</v>
      </c>
      <c r="D41" s="395" t="s">
        <v>811</v>
      </c>
      <c r="E41" s="396">
        <v>629090</v>
      </c>
      <c r="F41" s="400">
        <v>0</v>
      </c>
      <c r="G41" s="400"/>
      <c r="H41" s="396">
        <v>0</v>
      </c>
      <c r="I41" s="396">
        <v>0</v>
      </c>
      <c r="J41" s="396">
        <v>629090</v>
      </c>
      <c r="K41" s="396">
        <v>0</v>
      </c>
      <c r="L41" s="396">
        <v>566300</v>
      </c>
      <c r="M41" s="396">
        <v>0</v>
      </c>
      <c r="N41" s="396">
        <v>566300</v>
      </c>
      <c r="O41" s="396">
        <v>0</v>
      </c>
      <c r="P41" s="396">
        <v>566300</v>
      </c>
      <c r="Q41" s="396">
        <v>0</v>
      </c>
      <c r="R41" s="396">
        <v>566300</v>
      </c>
      <c r="S41" s="397">
        <v>0</v>
      </c>
      <c r="T41" s="397">
        <v>0</v>
      </c>
      <c r="U41" s="398">
        <v>0</v>
      </c>
    </row>
    <row r="42" spans="1:21" s="381" customFormat="1" ht="13.5" customHeight="1" x14ac:dyDescent="0.25">
      <c r="A42" s="382" t="s">
        <v>812</v>
      </c>
      <c r="B42" s="383">
        <v>6</v>
      </c>
      <c r="C42" s="384" t="s">
        <v>746</v>
      </c>
      <c r="D42" s="385" t="s">
        <v>813</v>
      </c>
      <c r="E42" s="386">
        <v>55813450</v>
      </c>
      <c r="F42" s="387">
        <v>0</v>
      </c>
      <c r="G42" s="387"/>
      <c r="H42" s="386">
        <v>0</v>
      </c>
      <c r="I42" s="386">
        <v>0</v>
      </c>
      <c r="J42" s="386">
        <v>55813450</v>
      </c>
      <c r="K42" s="386">
        <v>3367700</v>
      </c>
      <c r="L42" s="386">
        <v>35658700</v>
      </c>
      <c r="M42" s="386">
        <v>3367700</v>
      </c>
      <c r="N42" s="386">
        <v>35658700</v>
      </c>
      <c r="O42" s="386">
        <v>3281100</v>
      </c>
      <c r="P42" s="386">
        <v>35279300</v>
      </c>
      <c r="Q42" s="386">
        <v>86600</v>
      </c>
      <c r="R42" s="386">
        <v>32377600</v>
      </c>
      <c r="S42" s="388">
        <v>0</v>
      </c>
      <c r="T42" s="388">
        <v>379400</v>
      </c>
      <c r="U42" s="389">
        <v>2901700</v>
      </c>
    </row>
    <row r="43" spans="1:21" ht="13.5" customHeight="1" x14ac:dyDescent="0.25">
      <c r="A43" s="392" t="s">
        <v>814</v>
      </c>
      <c r="B43" s="393">
        <v>7</v>
      </c>
      <c r="C43" s="394" t="s">
        <v>746</v>
      </c>
      <c r="D43" s="395" t="s">
        <v>815</v>
      </c>
      <c r="E43" s="396">
        <v>52155950</v>
      </c>
      <c r="F43" s="387">
        <v>0</v>
      </c>
      <c r="G43" s="387"/>
      <c r="H43" s="396">
        <v>0</v>
      </c>
      <c r="I43" s="396">
        <v>0</v>
      </c>
      <c r="J43" s="396">
        <v>52155950</v>
      </c>
      <c r="K43" s="396">
        <v>3367700</v>
      </c>
      <c r="L43" s="396">
        <v>35456700</v>
      </c>
      <c r="M43" s="396">
        <v>3367700</v>
      </c>
      <c r="N43" s="396">
        <v>35456700</v>
      </c>
      <c r="O43" s="396">
        <v>3281100</v>
      </c>
      <c r="P43" s="396">
        <v>35077300</v>
      </c>
      <c r="Q43" s="396">
        <v>86600</v>
      </c>
      <c r="R43" s="396">
        <v>32175600</v>
      </c>
      <c r="S43" s="397">
        <v>0</v>
      </c>
      <c r="T43" s="397">
        <v>379400</v>
      </c>
      <c r="U43" s="398">
        <v>2901700</v>
      </c>
    </row>
    <row r="44" spans="1:21" ht="13.5" customHeight="1" x14ac:dyDescent="0.2">
      <c r="A44" s="392" t="s">
        <v>816</v>
      </c>
      <c r="B44" s="393">
        <v>7</v>
      </c>
      <c r="C44" s="394" t="s">
        <v>746</v>
      </c>
      <c r="D44" s="395" t="s">
        <v>817</v>
      </c>
      <c r="E44" s="396">
        <v>3657500</v>
      </c>
      <c r="F44" s="400">
        <v>0</v>
      </c>
      <c r="G44" s="400"/>
      <c r="H44" s="396">
        <v>0</v>
      </c>
      <c r="I44" s="396">
        <v>0</v>
      </c>
      <c r="J44" s="396">
        <v>3657500</v>
      </c>
      <c r="K44" s="396">
        <v>0</v>
      </c>
      <c r="L44" s="396">
        <v>202000</v>
      </c>
      <c r="M44" s="396">
        <v>0</v>
      </c>
      <c r="N44" s="396">
        <v>202000</v>
      </c>
      <c r="O44" s="396">
        <v>0</v>
      </c>
      <c r="P44" s="396">
        <v>202000</v>
      </c>
      <c r="Q44" s="396">
        <v>0</v>
      </c>
      <c r="R44" s="396">
        <v>202000</v>
      </c>
      <c r="S44" s="397">
        <v>0</v>
      </c>
      <c r="T44" s="397">
        <v>0</v>
      </c>
      <c r="U44" s="398">
        <v>0</v>
      </c>
    </row>
    <row r="45" spans="1:21" s="381" customFormat="1" ht="13.5" customHeight="1" x14ac:dyDescent="0.25">
      <c r="A45" s="382" t="s">
        <v>818</v>
      </c>
      <c r="B45" s="383">
        <v>6</v>
      </c>
      <c r="C45" s="384" t="s">
        <v>746</v>
      </c>
      <c r="D45" s="385" t="s">
        <v>819</v>
      </c>
      <c r="E45" s="386">
        <v>44849310</v>
      </c>
      <c r="F45" s="387">
        <v>0</v>
      </c>
      <c r="G45" s="387">
        <v>0</v>
      </c>
      <c r="H45" s="386">
        <v>0</v>
      </c>
      <c r="I45" s="386">
        <v>0</v>
      </c>
      <c r="J45" s="386">
        <v>44849310</v>
      </c>
      <c r="K45" s="386">
        <v>2245400</v>
      </c>
      <c r="L45" s="386">
        <v>23733300</v>
      </c>
      <c r="M45" s="386">
        <v>2245400</v>
      </c>
      <c r="N45" s="386">
        <v>23733300</v>
      </c>
      <c r="O45" s="386">
        <v>2187700</v>
      </c>
      <c r="P45" s="386">
        <v>23523200</v>
      </c>
      <c r="Q45" s="386">
        <v>57700</v>
      </c>
      <c r="R45" s="386">
        <v>21545600</v>
      </c>
      <c r="S45" s="388">
        <v>0</v>
      </c>
      <c r="T45" s="388">
        <v>210100</v>
      </c>
      <c r="U45" s="389">
        <v>1977600</v>
      </c>
    </row>
    <row r="46" spans="1:21" ht="13.5" customHeight="1" x14ac:dyDescent="0.25">
      <c r="A46" s="392" t="s">
        <v>820</v>
      </c>
      <c r="B46" s="393">
        <v>7</v>
      </c>
      <c r="C46" s="394" t="s">
        <v>746</v>
      </c>
      <c r="D46" s="395" t="s">
        <v>821</v>
      </c>
      <c r="E46" s="396">
        <v>41820900</v>
      </c>
      <c r="F46" s="387">
        <v>0</v>
      </c>
      <c r="G46" s="387"/>
      <c r="H46" s="396">
        <v>0</v>
      </c>
      <c r="I46" s="396">
        <v>0</v>
      </c>
      <c r="J46" s="396">
        <v>41820900</v>
      </c>
      <c r="K46" s="396">
        <v>2245400</v>
      </c>
      <c r="L46" s="396">
        <v>21561600</v>
      </c>
      <c r="M46" s="396">
        <v>2245400</v>
      </c>
      <c r="N46" s="396">
        <v>21561600</v>
      </c>
      <c r="O46" s="396">
        <v>2187700</v>
      </c>
      <c r="P46" s="396">
        <v>21351500</v>
      </c>
      <c r="Q46" s="396">
        <v>57700</v>
      </c>
      <c r="R46" s="396">
        <v>19373900</v>
      </c>
      <c r="S46" s="397">
        <v>0</v>
      </c>
      <c r="T46" s="397">
        <v>210100</v>
      </c>
      <c r="U46" s="398">
        <v>1977600</v>
      </c>
    </row>
    <row r="47" spans="1:21" ht="13.5" customHeight="1" x14ac:dyDescent="0.2">
      <c r="A47" s="392" t="s">
        <v>822</v>
      </c>
      <c r="B47" s="393">
        <v>7</v>
      </c>
      <c r="C47" s="394" t="s">
        <v>746</v>
      </c>
      <c r="D47" s="395" t="s">
        <v>823</v>
      </c>
      <c r="E47" s="396">
        <v>3028410</v>
      </c>
      <c r="F47" s="400">
        <v>0</v>
      </c>
      <c r="G47" s="400"/>
      <c r="H47" s="396">
        <v>0</v>
      </c>
      <c r="I47" s="396">
        <v>0</v>
      </c>
      <c r="J47" s="396">
        <v>3028410</v>
      </c>
      <c r="K47" s="396">
        <v>0</v>
      </c>
      <c r="L47" s="396">
        <v>2171700</v>
      </c>
      <c r="M47" s="396">
        <v>0</v>
      </c>
      <c r="N47" s="396">
        <v>2171700</v>
      </c>
      <c r="O47" s="396">
        <v>0</v>
      </c>
      <c r="P47" s="396">
        <v>2171700</v>
      </c>
      <c r="Q47" s="396">
        <v>0</v>
      </c>
      <c r="R47" s="396">
        <v>2171700</v>
      </c>
      <c r="S47" s="397">
        <v>0</v>
      </c>
      <c r="T47" s="397">
        <v>0</v>
      </c>
      <c r="U47" s="398">
        <v>0</v>
      </c>
    </row>
    <row r="48" spans="1:21" s="381" customFormat="1" ht="13.5" customHeight="1" x14ac:dyDescent="0.25">
      <c r="A48" s="382" t="s">
        <v>824</v>
      </c>
      <c r="B48" s="383">
        <v>6</v>
      </c>
      <c r="C48" s="384" t="s">
        <v>746</v>
      </c>
      <c r="D48" s="385" t="s">
        <v>825</v>
      </c>
      <c r="E48" s="386">
        <v>0</v>
      </c>
      <c r="F48" s="387">
        <v>0</v>
      </c>
      <c r="G48" s="387"/>
      <c r="H48" s="386">
        <v>0</v>
      </c>
      <c r="I48" s="386">
        <v>0</v>
      </c>
      <c r="J48" s="386">
        <v>0</v>
      </c>
      <c r="K48" s="386">
        <v>0</v>
      </c>
      <c r="L48" s="386">
        <v>0</v>
      </c>
      <c r="M48" s="386">
        <v>0</v>
      </c>
      <c r="N48" s="386">
        <v>0</v>
      </c>
      <c r="O48" s="386">
        <v>0</v>
      </c>
      <c r="P48" s="386">
        <v>0</v>
      </c>
      <c r="Q48" s="386">
        <v>0</v>
      </c>
      <c r="R48" s="386">
        <v>0</v>
      </c>
      <c r="S48" s="388">
        <v>0</v>
      </c>
      <c r="T48" s="388">
        <v>0</v>
      </c>
      <c r="U48" s="389">
        <v>0</v>
      </c>
    </row>
    <row r="49" spans="1:21" ht="13.5" customHeight="1" x14ac:dyDescent="0.25">
      <c r="A49" s="392" t="s">
        <v>826</v>
      </c>
      <c r="B49" s="393">
        <v>7</v>
      </c>
      <c r="C49" s="394" t="s">
        <v>746</v>
      </c>
      <c r="D49" s="395" t="s">
        <v>827</v>
      </c>
      <c r="E49" s="396">
        <v>0</v>
      </c>
      <c r="F49" s="387">
        <v>0</v>
      </c>
      <c r="G49" s="387"/>
      <c r="H49" s="396">
        <v>0</v>
      </c>
      <c r="I49" s="396">
        <v>0</v>
      </c>
      <c r="J49" s="396">
        <v>0</v>
      </c>
      <c r="K49" s="396">
        <v>0</v>
      </c>
      <c r="L49" s="396">
        <v>0</v>
      </c>
      <c r="M49" s="396">
        <v>0</v>
      </c>
      <c r="N49" s="396">
        <v>0</v>
      </c>
      <c r="O49" s="396">
        <v>0</v>
      </c>
      <c r="P49" s="396">
        <v>0</v>
      </c>
      <c r="Q49" s="396">
        <v>0</v>
      </c>
      <c r="R49" s="396">
        <v>0</v>
      </c>
      <c r="S49" s="397">
        <v>0</v>
      </c>
      <c r="T49" s="397">
        <v>0</v>
      </c>
      <c r="U49" s="398">
        <v>0</v>
      </c>
    </row>
    <row r="50" spans="1:21" ht="13.5" customHeight="1" x14ac:dyDescent="0.2">
      <c r="A50" s="392" t="s">
        <v>828</v>
      </c>
      <c r="B50" s="393">
        <v>7</v>
      </c>
      <c r="C50" s="394" t="s">
        <v>746</v>
      </c>
      <c r="D50" s="395" t="s">
        <v>829</v>
      </c>
      <c r="E50" s="396">
        <v>0</v>
      </c>
      <c r="F50" s="400">
        <v>0</v>
      </c>
      <c r="G50" s="400"/>
      <c r="H50" s="396">
        <v>0</v>
      </c>
      <c r="I50" s="396">
        <v>0</v>
      </c>
      <c r="J50" s="396">
        <v>0</v>
      </c>
      <c r="K50" s="396">
        <v>0</v>
      </c>
      <c r="L50" s="396">
        <v>0</v>
      </c>
      <c r="M50" s="396">
        <v>0</v>
      </c>
      <c r="N50" s="396">
        <v>0</v>
      </c>
      <c r="O50" s="396">
        <v>0</v>
      </c>
      <c r="P50" s="396">
        <v>0</v>
      </c>
      <c r="Q50" s="396">
        <v>0</v>
      </c>
      <c r="R50" s="396">
        <v>0</v>
      </c>
      <c r="S50" s="397">
        <v>0</v>
      </c>
      <c r="T50" s="397">
        <v>0</v>
      </c>
      <c r="U50" s="398">
        <v>0</v>
      </c>
    </row>
    <row r="51" spans="1:21" s="381" customFormat="1" ht="13.5" customHeight="1" x14ac:dyDescent="0.25">
      <c r="A51" s="382" t="s">
        <v>830</v>
      </c>
      <c r="B51" s="383">
        <v>6</v>
      </c>
      <c r="C51" s="384" t="s">
        <v>746</v>
      </c>
      <c r="D51" s="402" t="s">
        <v>831</v>
      </c>
      <c r="E51" s="386">
        <v>0</v>
      </c>
      <c r="F51" s="387">
        <v>0</v>
      </c>
      <c r="G51" s="387"/>
      <c r="H51" s="386">
        <v>0</v>
      </c>
      <c r="I51" s="386">
        <v>0</v>
      </c>
      <c r="J51" s="386">
        <v>0</v>
      </c>
      <c r="K51" s="386">
        <v>0</v>
      </c>
      <c r="L51" s="386">
        <v>0</v>
      </c>
      <c r="M51" s="386">
        <v>0</v>
      </c>
      <c r="N51" s="386">
        <v>0</v>
      </c>
      <c r="O51" s="386">
        <v>0</v>
      </c>
      <c r="P51" s="386">
        <v>0</v>
      </c>
      <c r="Q51" s="386">
        <v>0</v>
      </c>
      <c r="R51" s="386">
        <v>0</v>
      </c>
      <c r="S51" s="388">
        <v>0</v>
      </c>
      <c r="T51" s="388">
        <v>0</v>
      </c>
      <c r="U51" s="389">
        <v>0</v>
      </c>
    </row>
    <row r="52" spans="1:21" ht="13.5" customHeight="1" x14ac:dyDescent="0.25">
      <c r="A52" s="392" t="s">
        <v>832</v>
      </c>
      <c r="B52" s="393">
        <v>7</v>
      </c>
      <c r="C52" s="394" t="s">
        <v>746</v>
      </c>
      <c r="D52" s="401" t="s">
        <v>833</v>
      </c>
      <c r="E52" s="396">
        <v>0</v>
      </c>
      <c r="F52" s="387">
        <v>0</v>
      </c>
      <c r="G52" s="387"/>
      <c r="H52" s="396">
        <v>0</v>
      </c>
      <c r="I52" s="396">
        <v>0</v>
      </c>
      <c r="J52" s="396">
        <v>0</v>
      </c>
      <c r="K52" s="396">
        <v>0</v>
      </c>
      <c r="L52" s="396">
        <v>0</v>
      </c>
      <c r="M52" s="396">
        <v>0</v>
      </c>
      <c r="N52" s="396">
        <v>0</v>
      </c>
      <c r="O52" s="396">
        <v>0</v>
      </c>
      <c r="P52" s="396">
        <v>0</v>
      </c>
      <c r="Q52" s="396">
        <v>0</v>
      </c>
      <c r="R52" s="396">
        <v>0</v>
      </c>
      <c r="S52" s="397">
        <v>0</v>
      </c>
      <c r="T52" s="397">
        <v>0</v>
      </c>
      <c r="U52" s="398">
        <v>0</v>
      </c>
    </row>
    <row r="53" spans="1:21" ht="13.5" customHeight="1" x14ac:dyDescent="0.2">
      <c r="A53" s="392" t="s">
        <v>834</v>
      </c>
      <c r="B53" s="393">
        <v>7</v>
      </c>
      <c r="C53" s="394" t="s">
        <v>739</v>
      </c>
      <c r="D53" s="395" t="s">
        <v>835</v>
      </c>
      <c r="E53" s="396">
        <v>0</v>
      </c>
      <c r="F53" s="400">
        <v>0</v>
      </c>
      <c r="G53" s="400"/>
      <c r="H53" s="396">
        <v>0</v>
      </c>
      <c r="I53" s="396">
        <v>0</v>
      </c>
      <c r="J53" s="396">
        <v>0</v>
      </c>
      <c r="K53" s="396">
        <v>0</v>
      </c>
      <c r="L53" s="396">
        <v>0</v>
      </c>
      <c r="M53" s="396">
        <v>0</v>
      </c>
      <c r="N53" s="396">
        <v>0</v>
      </c>
      <c r="O53" s="396">
        <v>0</v>
      </c>
      <c r="P53" s="396">
        <v>0</v>
      </c>
      <c r="Q53" s="396">
        <v>0</v>
      </c>
      <c r="R53" s="396">
        <v>0</v>
      </c>
      <c r="S53" s="397">
        <v>0</v>
      </c>
      <c r="T53" s="397">
        <v>0</v>
      </c>
      <c r="U53" s="398">
        <v>0</v>
      </c>
    </row>
    <row r="54" spans="1:21" ht="13.5" customHeight="1" x14ac:dyDescent="0.25">
      <c r="A54" s="382" t="s">
        <v>836</v>
      </c>
      <c r="B54" s="383">
        <v>5</v>
      </c>
      <c r="C54" s="384" t="s">
        <v>739</v>
      </c>
      <c r="D54" s="385" t="s">
        <v>837</v>
      </c>
      <c r="E54" s="386">
        <v>127592410</v>
      </c>
      <c r="F54" s="387">
        <v>0</v>
      </c>
      <c r="G54" s="387">
        <v>0</v>
      </c>
      <c r="H54" s="386">
        <v>0</v>
      </c>
      <c r="I54" s="386">
        <v>0</v>
      </c>
      <c r="J54" s="386">
        <v>127592410</v>
      </c>
      <c r="K54" s="386">
        <v>15123420</v>
      </c>
      <c r="L54" s="386">
        <v>48469804</v>
      </c>
      <c r="M54" s="386">
        <v>17507179</v>
      </c>
      <c r="N54" s="386">
        <v>48469804</v>
      </c>
      <c r="O54" s="386">
        <v>10590470</v>
      </c>
      <c r="P54" s="386">
        <v>42598147</v>
      </c>
      <c r="Q54" s="386">
        <v>1708180</v>
      </c>
      <c r="R54" s="386">
        <v>32098848</v>
      </c>
      <c r="S54" s="388">
        <v>0</v>
      </c>
      <c r="T54" s="388">
        <v>5871657</v>
      </c>
      <c r="U54" s="389">
        <v>10499299</v>
      </c>
    </row>
    <row r="55" spans="1:21" ht="13.5" customHeight="1" x14ac:dyDescent="0.25">
      <c r="A55" s="382" t="s">
        <v>838</v>
      </c>
      <c r="B55" s="383">
        <v>6</v>
      </c>
      <c r="C55" s="384" t="s">
        <v>746</v>
      </c>
      <c r="D55" s="385" t="s">
        <v>767</v>
      </c>
      <c r="E55" s="386">
        <v>127592410</v>
      </c>
      <c r="F55" s="387">
        <v>0</v>
      </c>
      <c r="G55" s="387">
        <v>0</v>
      </c>
      <c r="H55" s="386">
        <v>0</v>
      </c>
      <c r="I55" s="386">
        <v>0</v>
      </c>
      <c r="J55" s="386">
        <v>127592410</v>
      </c>
      <c r="K55" s="386">
        <v>15123420</v>
      </c>
      <c r="L55" s="386">
        <v>48469804</v>
      </c>
      <c r="M55" s="386">
        <v>17507179</v>
      </c>
      <c r="N55" s="386">
        <v>48469804</v>
      </c>
      <c r="O55" s="386">
        <v>10590470</v>
      </c>
      <c r="P55" s="386">
        <v>42598147</v>
      </c>
      <c r="Q55" s="386">
        <v>1708180</v>
      </c>
      <c r="R55" s="386">
        <v>32098848</v>
      </c>
      <c r="S55" s="388">
        <v>0</v>
      </c>
      <c r="T55" s="388">
        <v>5871657</v>
      </c>
      <c r="U55" s="389">
        <v>10499299</v>
      </c>
    </row>
    <row r="56" spans="1:21" s="381" customFormat="1" ht="13.5" customHeight="1" x14ac:dyDescent="0.25">
      <c r="A56" s="382" t="s">
        <v>839</v>
      </c>
      <c r="B56" s="383">
        <v>7</v>
      </c>
      <c r="C56" s="384" t="s">
        <v>746</v>
      </c>
      <c r="D56" s="385" t="s">
        <v>198</v>
      </c>
      <c r="E56" s="386">
        <v>89437370</v>
      </c>
      <c r="F56" s="387">
        <v>0</v>
      </c>
      <c r="G56" s="387">
        <v>0</v>
      </c>
      <c r="H56" s="386">
        <v>0</v>
      </c>
      <c r="I56" s="386">
        <v>0</v>
      </c>
      <c r="J56" s="386">
        <v>89437370</v>
      </c>
      <c r="K56" s="386">
        <v>9261220</v>
      </c>
      <c r="L56" s="386">
        <v>35103621</v>
      </c>
      <c r="M56" s="386">
        <v>9261220</v>
      </c>
      <c r="N56" s="386">
        <v>35103621</v>
      </c>
      <c r="O56" s="386">
        <v>9261220</v>
      </c>
      <c r="P56" s="386">
        <v>35103621</v>
      </c>
      <c r="Q56" s="386">
        <v>0</v>
      </c>
      <c r="R56" s="386">
        <v>25842401</v>
      </c>
      <c r="S56" s="388">
        <v>0</v>
      </c>
      <c r="T56" s="388">
        <v>0</v>
      </c>
      <c r="U56" s="389">
        <v>9261220</v>
      </c>
    </row>
    <row r="57" spans="1:21" ht="13.5" customHeight="1" x14ac:dyDescent="0.25">
      <c r="A57" s="392" t="s">
        <v>840</v>
      </c>
      <c r="B57" s="393">
        <v>7</v>
      </c>
      <c r="C57" s="394" t="s">
        <v>746</v>
      </c>
      <c r="D57" s="395" t="s">
        <v>841</v>
      </c>
      <c r="E57" s="396">
        <v>83161100</v>
      </c>
      <c r="F57" s="387">
        <v>0</v>
      </c>
      <c r="G57" s="387"/>
      <c r="H57" s="396">
        <v>0</v>
      </c>
      <c r="I57" s="396">
        <v>0</v>
      </c>
      <c r="J57" s="396">
        <v>83161100</v>
      </c>
      <c r="K57" s="396">
        <v>9261220</v>
      </c>
      <c r="L57" s="396">
        <v>35103621</v>
      </c>
      <c r="M57" s="396">
        <v>9261220</v>
      </c>
      <c r="N57" s="396">
        <v>35103621</v>
      </c>
      <c r="O57" s="396">
        <v>9261220</v>
      </c>
      <c r="P57" s="396">
        <v>35103621</v>
      </c>
      <c r="Q57" s="396">
        <v>0</v>
      </c>
      <c r="R57" s="396">
        <v>25842401</v>
      </c>
      <c r="S57" s="397">
        <v>0</v>
      </c>
      <c r="T57" s="397">
        <v>0</v>
      </c>
      <c r="U57" s="398">
        <v>9261220</v>
      </c>
    </row>
    <row r="58" spans="1:21" ht="13.5" customHeight="1" x14ac:dyDescent="0.2">
      <c r="A58" s="392" t="s">
        <v>842</v>
      </c>
      <c r="B58" s="393">
        <v>7</v>
      </c>
      <c r="C58" s="394" t="s">
        <v>746</v>
      </c>
      <c r="D58" s="395" t="s">
        <v>843</v>
      </c>
      <c r="E58" s="396">
        <v>6276270</v>
      </c>
      <c r="F58" s="400">
        <v>0</v>
      </c>
      <c r="G58" s="400"/>
      <c r="H58" s="396">
        <v>0</v>
      </c>
      <c r="I58" s="396">
        <v>0</v>
      </c>
      <c r="J58" s="396">
        <v>6276270</v>
      </c>
      <c r="K58" s="396">
        <v>0</v>
      </c>
      <c r="L58" s="396">
        <v>0</v>
      </c>
      <c r="M58" s="396">
        <v>0</v>
      </c>
      <c r="N58" s="396">
        <v>0</v>
      </c>
      <c r="O58" s="396">
        <v>0</v>
      </c>
      <c r="P58" s="396">
        <v>0</v>
      </c>
      <c r="Q58" s="396">
        <v>0</v>
      </c>
      <c r="R58" s="396">
        <v>0</v>
      </c>
      <c r="S58" s="397">
        <v>0</v>
      </c>
      <c r="T58" s="397">
        <v>0</v>
      </c>
      <c r="U58" s="398">
        <v>0</v>
      </c>
    </row>
    <row r="59" spans="1:21" s="381" customFormat="1" ht="13.5" customHeight="1" x14ac:dyDescent="0.25">
      <c r="A59" s="382" t="s">
        <v>844</v>
      </c>
      <c r="B59" s="383">
        <v>7</v>
      </c>
      <c r="C59" s="384" t="s">
        <v>746</v>
      </c>
      <c r="D59" s="402" t="s">
        <v>845</v>
      </c>
      <c r="E59" s="386">
        <v>26781260</v>
      </c>
      <c r="F59" s="387">
        <v>0</v>
      </c>
      <c r="G59" s="387">
        <v>0</v>
      </c>
      <c r="H59" s="386">
        <v>0</v>
      </c>
      <c r="I59" s="386">
        <v>0</v>
      </c>
      <c r="J59" s="386">
        <v>26781260</v>
      </c>
      <c r="K59" s="386">
        <v>4649572</v>
      </c>
      <c r="L59" s="386">
        <v>9683144</v>
      </c>
      <c r="M59" s="386">
        <v>7033331</v>
      </c>
      <c r="N59" s="386">
        <v>9683144</v>
      </c>
      <c r="O59" s="386">
        <v>1161674</v>
      </c>
      <c r="P59" s="386">
        <v>3811487</v>
      </c>
      <c r="Q59" s="386">
        <v>1378406</v>
      </c>
      <c r="R59" s="386">
        <v>3811487</v>
      </c>
      <c r="S59" s="388">
        <v>0</v>
      </c>
      <c r="T59" s="388">
        <v>5871657</v>
      </c>
      <c r="U59" s="389">
        <v>0</v>
      </c>
    </row>
    <row r="60" spans="1:21" ht="13.5" customHeight="1" x14ac:dyDescent="0.25">
      <c r="A60" s="392" t="s">
        <v>846</v>
      </c>
      <c r="B60" s="393">
        <v>7</v>
      </c>
      <c r="C60" s="394" t="s">
        <v>746</v>
      </c>
      <c r="D60" s="401" t="s">
        <v>847</v>
      </c>
      <c r="E60" s="396">
        <v>26678850</v>
      </c>
      <c r="F60" s="387">
        <v>0</v>
      </c>
      <c r="G60" s="387"/>
      <c r="H60" s="396">
        <v>0</v>
      </c>
      <c r="I60" s="396">
        <v>0</v>
      </c>
      <c r="J60" s="396">
        <v>26678850</v>
      </c>
      <c r="K60" s="396">
        <v>4649572</v>
      </c>
      <c r="L60" s="396">
        <v>9683144</v>
      </c>
      <c r="M60" s="396">
        <v>7033331</v>
      </c>
      <c r="N60" s="396">
        <v>9683144</v>
      </c>
      <c r="O60" s="396">
        <v>1161674</v>
      </c>
      <c r="P60" s="396">
        <v>3811487</v>
      </c>
      <c r="Q60" s="396">
        <v>1378406</v>
      </c>
      <c r="R60" s="396">
        <v>3811487</v>
      </c>
      <c r="S60" s="397">
        <v>0</v>
      </c>
      <c r="T60" s="397">
        <v>5871657</v>
      </c>
      <c r="U60" s="398">
        <v>0</v>
      </c>
    </row>
    <row r="61" spans="1:21" ht="13.5" customHeight="1" x14ac:dyDescent="0.2">
      <c r="A61" s="392" t="s">
        <v>848</v>
      </c>
      <c r="B61" s="393">
        <v>7</v>
      </c>
      <c r="C61" s="394" t="s">
        <v>746</v>
      </c>
      <c r="D61" s="401" t="s">
        <v>849</v>
      </c>
      <c r="E61" s="396">
        <v>102410</v>
      </c>
      <c r="F61" s="400">
        <v>0</v>
      </c>
      <c r="G61" s="400"/>
      <c r="H61" s="396">
        <v>0</v>
      </c>
      <c r="I61" s="396">
        <v>0</v>
      </c>
      <c r="J61" s="396">
        <v>102410</v>
      </c>
      <c r="K61" s="396">
        <v>0</v>
      </c>
      <c r="L61" s="396">
        <v>0</v>
      </c>
      <c r="M61" s="396">
        <v>0</v>
      </c>
      <c r="N61" s="396">
        <v>0</v>
      </c>
      <c r="O61" s="396">
        <v>0</v>
      </c>
      <c r="P61" s="396">
        <v>0</v>
      </c>
      <c r="Q61" s="396">
        <v>0</v>
      </c>
      <c r="R61" s="396">
        <v>0</v>
      </c>
      <c r="S61" s="397">
        <v>0</v>
      </c>
      <c r="T61" s="397">
        <v>0</v>
      </c>
      <c r="U61" s="398">
        <v>0</v>
      </c>
    </row>
    <row r="62" spans="1:21" s="381" customFormat="1" ht="13.5" customHeight="1" x14ac:dyDescent="0.25">
      <c r="A62" s="382" t="s">
        <v>850</v>
      </c>
      <c r="B62" s="383">
        <v>7</v>
      </c>
      <c r="C62" s="384" t="s">
        <v>746</v>
      </c>
      <c r="D62" s="402" t="s">
        <v>851</v>
      </c>
      <c r="E62" s="386">
        <v>11373780</v>
      </c>
      <c r="F62" s="387">
        <v>0</v>
      </c>
      <c r="G62" s="387">
        <v>0</v>
      </c>
      <c r="H62" s="386">
        <v>0</v>
      </c>
      <c r="I62" s="386">
        <v>0</v>
      </c>
      <c r="J62" s="386">
        <v>11373780</v>
      </c>
      <c r="K62" s="386">
        <v>1212628</v>
      </c>
      <c r="L62" s="386">
        <v>3683039</v>
      </c>
      <c r="M62" s="386">
        <v>1212628</v>
      </c>
      <c r="N62" s="386">
        <v>3683039</v>
      </c>
      <c r="O62" s="386">
        <v>167576</v>
      </c>
      <c r="P62" s="386">
        <v>3683039</v>
      </c>
      <c r="Q62" s="386">
        <v>329774</v>
      </c>
      <c r="R62" s="386">
        <v>2444960</v>
      </c>
      <c r="S62" s="388">
        <v>0</v>
      </c>
      <c r="T62" s="388">
        <v>0</v>
      </c>
      <c r="U62" s="389">
        <v>1238079</v>
      </c>
    </row>
    <row r="63" spans="1:21" ht="13.5" customHeight="1" x14ac:dyDescent="0.25">
      <c r="A63" s="392" t="s">
        <v>852</v>
      </c>
      <c r="B63" s="393">
        <v>7</v>
      </c>
      <c r="C63" s="394" t="s">
        <v>746</v>
      </c>
      <c r="D63" s="401" t="s">
        <v>853</v>
      </c>
      <c r="E63" s="396">
        <v>10335050</v>
      </c>
      <c r="F63" s="387">
        <v>0</v>
      </c>
      <c r="G63" s="387"/>
      <c r="H63" s="396">
        <v>0</v>
      </c>
      <c r="I63" s="396">
        <v>0</v>
      </c>
      <c r="J63" s="396">
        <v>10335050</v>
      </c>
      <c r="K63" s="396">
        <v>1212628</v>
      </c>
      <c r="L63" s="396">
        <v>3683039</v>
      </c>
      <c r="M63" s="396">
        <v>1212628</v>
      </c>
      <c r="N63" s="396">
        <v>3683039</v>
      </c>
      <c r="O63" s="396">
        <v>167576</v>
      </c>
      <c r="P63" s="396">
        <v>3683039</v>
      </c>
      <c r="Q63" s="396">
        <v>329774</v>
      </c>
      <c r="R63" s="396">
        <v>2444960</v>
      </c>
      <c r="S63" s="397">
        <v>0</v>
      </c>
      <c r="T63" s="397">
        <v>0</v>
      </c>
      <c r="U63" s="398">
        <v>1238079</v>
      </c>
    </row>
    <row r="64" spans="1:21" ht="13.5" customHeight="1" x14ac:dyDescent="0.2">
      <c r="A64" s="392" t="s">
        <v>854</v>
      </c>
      <c r="B64" s="393">
        <v>7</v>
      </c>
      <c r="C64" s="394" t="s">
        <v>739</v>
      </c>
      <c r="D64" s="395" t="s">
        <v>855</v>
      </c>
      <c r="E64" s="396">
        <v>1038730</v>
      </c>
      <c r="F64" s="400">
        <v>0</v>
      </c>
      <c r="G64" s="400"/>
      <c r="H64" s="396">
        <v>0</v>
      </c>
      <c r="I64" s="396">
        <v>0</v>
      </c>
      <c r="J64" s="396">
        <v>1038730</v>
      </c>
      <c r="K64" s="396">
        <v>0</v>
      </c>
      <c r="L64" s="396">
        <v>0</v>
      </c>
      <c r="M64" s="396">
        <v>0</v>
      </c>
      <c r="N64" s="396">
        <v>0</v>
      </c>
      <c r="O64" s="396">
        <v>0</v>
      </c>
      <c r="P64" s="396">
        <v>0</v>
      </c>
      <c r="Q64" s="396">
        <v>0</v>
      </c>
      <c r="R64" s="396">
        <v>0</v>
      </c>
      <c r="S64" s="397">
        <v>0</v>
      </c>
      <c r="T64" s="397">
        <v>0</v>
      </c>
      <c r="U64" s="398">
        <v>0</v>
      </c>
    </row>
    <row r="65" spans="1:21" ht="13.5" customHeight="1" x14ac:dyDescent="0.25">
      <c r="A65" s="382" t="s">
        <v>856</v>
      </c>
      <c r="B65" s="383">
        <v>3</v>
      </c>
      <c r="C65" s="384" t="s">
        <v>739</v>
      </c>
      <c r="D65" s="385" t="s">
        <v>857</v>
      </c>
      <c r="E65" s="386">
        <v>7966963018</v>
      </c>
      <c r="F65" s="387">
        <v>2894997676</v>
      </c>
      <c r="G65" s="387">
        <v>0</v>
      </c>
      <c r="H65" s="386">
        <v>4045400000</v>
      </c>
      <c r="I65" s="386">
        <v>4016500000</v>
      </c>
      <c r="J65" s="386">
        <v>10340860694</v>
      </c>
      <c r="K65" s="386">
        <v>616113523</v>
      </c>
      <c r="L65" s="386">
        <v>9561692244</v>
      </c>
      <c r="M65" s="386">
        <v>625862784</v>
      </c>
      <c r="N65" s="386">
        <v>9482724364</v>
      </c>
      <c r="O65" s="386">
        <v>43864804</v>
      </c>
      <c r="P65" s="386">
        <v>5922206673</v>
      </c>
      <c r="Q65" s="386">
        <v>187076620</v>
      </c>
      <c r="R65" s="386">
        <v>5879122364</v>
      </c>
      <c r="S65" s="388">
        <v>78967880</v>
      </c>
      <c r="T65" s="388">
        <v>3560517691</v>
      </c>
      <c r="U65" s="389">
        <v>43084309</v>
      </c>
    </row>
    <row r="66" spans="1:21" ht="13.5" customHeight="1" x14ac:dyDescent="0.25">
      <c r="A66" s="382" t="s">
        <v>858</v>
      </c>
      <c r="B66" s="383">
        <v>4</v>
      </c>
      <c r="C66" s="384" t="s">
        <v>739</v>
      </c>
      <c r="D66" s="385" t="s">
        <v>859</v>
      </c>
      <c r="E66" s="386">
        <v>7966963018</v>
      </c>
      <c r="F66" s="387">
        <v>2894997676</v>
      </c>
      <c r="G66" s="387">
        <v>0</v>
      </c>
      <c r="H66" s="386">
        <v>4045400000</v>
      </c>
      <c r="I66" s="386">
        <v>4016500000</v>
      </c>
      <c r="J66" s="386">
        <v>10340860694</v>
      </c>
      <c r="K66" s="386">
        <v>616113523</v>
      </c>
      <c r="L66" s="386">
        <v>9561692244</v>
      </c>
      <c r="M66" s="386">
        <v>625862784</v>
      </c>
      <c r="N66" s="386">
        <v>9482724364</v>
      </c>
      <c r="O66" s="386">
        <v>43864804</v>
      </c>
      <c r="P66" s="386">
        <v>5922206673</v>
      </c>
      <c r="Q66" s="386">
        <v>187076620</v>
      </c>
      <c r="R66" s="386">
        <v>5879122364</v>
      </c>
      <c r="S66" s="388">
        <v>78967880</v>
      </c>
      <c r="T66" s="388">
        <v>3560517691</v>
      </c>
      <c r="U66" s="389">
        <v>43084309</v>
      </c>
    </row>
    <row r="67" spans="1:21" ht="13.5" customHeight="1" x14ac:dyDescent="0.25">
      <c r="A67" s="382" t="s">
        <v>860</v>
      </c>
      <c r="B67" s="383">
        <v>5</v>
      </c>
      <c r="C67" s="384" t="s">
        <v>746</v>
      </c>
      <c r="D67" s="385" t="s">
        <v>861</v>
      </c>
      <c r="E67" s="386">
        <v>310818438</v>
      </c>
      <c r="F67" s="387">
        <v>0</v>
      </c>
      <c r="G67" s="387">
        <v>0</v>
      </c>
      <c r="H67" s="386">
        <v>191000000</v>
      </c>
      <c r="I67" s="386">
        <v>155000000</v>
      </c>
      <c r="J67" s="386">
        <v>416818438</v>
      </c>
      <c r="K67" s="386">
        <v>10000000</v>
      </c>
      <c r="L67" s="386">
        <v>265765212</v>
      </c>
      <c r="M67" s="386">
        <v>10000000</v>
      </c>
      <c r="N67" s="386">
        <v>265765212</v>
      </c>
      <c r="O67" s="386">
        <v>0</v>
      </c>
      <c r="P67" s="386">
        <v>183624898</v>
      </c>
      <c r="Q67" s="386">
        <v>4834402</v>
      </c>
      <c r="R67" s="386">
        <v>183624898</v>
      </c>
      <c r="S67" s="388">
        <v>0</v>
      </c>
      <c r="T67" s="388">
        <v>82140314</v>
      </c>
      <c r="U67" s="389">
        <v>0</v>
      </c>
    </row>
    <row r="68" spans="1:21" s="381" customFormat="1" ht="13.5" customHeight="1" x14ac:dyDescent="0.25">
      <c r="A68" s="382" t="s">
        <v>862</v>
      </c>
      <c r="B68" s="383">
        <v>6</v>
      </c>
      <c r="C68" s="384" t="s">
        <v>746</v>
      </c>
      <c r="D68" s="385" t="s">
        <v>863</v>
      </c>
      <c r="E68" s="386">
        <v>310818438</v>
      </c>
      <c r="F68" s="387">
        <v>0</v>
      </c>
      <c r="G68" s="387">
        <v>0</v>
      </c>
      <c r="H68" s="386">
        <v>191000000</v>
      </c>
      <c r="I68" s="386">
        <v>155000000</v>
      </c>
      <c r="J68" s="386">
        <v>416818438</v>
      </c>
      <c r="K68" s="386">
        <v>10000000</v>
      </c>
      <c r="L68" s="386">
        <v>265765212</v>
      </c>
      <c r="M68" s="386">
        <v>10000000</v>
      </c>
      <c r="N68" s="386">
        <v>265765212</v>
      </c>
      <c r="O68" s="386">
        <v>0</v>
      </c>
      <c r="P68" s="386">
        <v>183624898</v>
      </c>
      <c r="Q68" s="386">
        <v>4834402</v>
      </c>
      <c r="R68" s="386">
        <v>183624898</v>
      </c>
      <c r="S68" s="388">
        <v>0</v>
      </c>
      <c r="T68" s="388">
        <v>82140314</v>
      </c>
      <c r="U68" s="389">
        <v>0</v>
      </c>
    </row>
    <row r="69" spans="1:21" ht="13.5" customHeight="1" x14ac:dyDescent="0.25">
      <c r="A69" s="392" t="s">
        <v>864</v>
      </c>
      <c r="B69" s="393">
        <v>7</v>
      </c>
      <c r="C69" s="394" t="s">
        <v>746</v>
      </c>
      <c r="D69" s="395" t="s">
        <v>865</v>
      </c>
      <c r="E69" s="396">
        <v>157281619</v>
      </c>
      <c r="F69" s="387">
        <v>0</v>
      </c>
      <c r="G69" s="387"/>
      <c r="H69" s="396">
        <v>23000000</v>
      </c>
      <c r="I69" s="396">
        <v>132000000</v>
      </c>
      <c r="J69" s="396">
        <v>88281619</v>
      </c>
      <c r="K69" s="396">
        <v>0</v>
      </c>
      <c r="L69" s="396">
        <v>33891200</v>
      </c>
      <c r="M69" s="396">
        <v>0</v>
      </c>
      <c r="N69" s="396">
        <v>33891200</v>
      </c>
      <c r="O69" s="396">
        <v>0</v>
      </c>
      <c r="P69" s="396">
        <v>0</v>
      </c>
      <c r="Q69" s="396">
        <v>0</v>
      </c>
      <c r="R69" s="396">
        <v>0</v>
      </c>
      <c r="S69" s="397">
        <v>0</v>
      </c>
      <c r="T69" s="397">
        <v>33891200</v>
      </c>
      <c r="U69" s="398">
        <v>0</v>
      </c>
    </row>
    <row r="70" spans="1:21" ht="13.5" customHeight="1" x14ac:dyDescent="0.2">
      <c r="A70" s="392" t="s">
        <v>866</v>
      </c>
      <c r="B70" s="393">
        <v>7</v>
      </c>
      <c r="C70" s="394" t="s">
        <v>739</v>
      </c>
      <c r="D70" s="395" t="s">
        <v>861</v>
      </c>
      <c r="E70" s="396">
        <v>153536819</v>
      </c>
      <c r="F70" s="400">
        <v>0</v>
      </c>
      <c r="G70" s="400"/>
      <c r="H70" s="396">
        <v>168000000</v>
      </c>
      <c r="I70" s="396">
        <v>23000000</v>
      </c>
      <c r="J70" s="396">
        <v>328536819</v>
      </c>
      <c r="K70" s="396">
        <v>10000000</v>
      </c>
      <c r="L70" s="396">
        <v>231874012</v>
      </c>
      <c r="M70" s="396">
        <v>10000000</v>
      </c>
      <c r="N70" s="396">
        <v>231874012</v>
      </c>
      <c r="O70" s="396">
        <v>0</v>
      </c>
      <c r="P70" s="396">
        <v>183624898</v>
      </c>
      <c r="Q70" s="396">
        <v>4834402</v>
      </c>
      <c r="R70" s="396">
        <v>183624898</v>
      </c>
      <c r="S70" s="397">
        <v>0</v>
      </c>
      <c r="T70" s="397">
        <v>48249114</v>
      </c>
      <c r="U70" s="398">
        <v>0</v>
      </c>
    </row>
    <row r="71" spans="1:21" ht="13.5" customHeight="1" x14ac:dyDescent="0.25">
      <c r="A71" s="382" t="s">
        <v>867</v>
      </c>
      <c r="B71" s="383">
        <v>5</v>
      </c>
      <c r="C71" s="384" t="s">
        <v>746</v>
      </c>
      <c r="D71" s="385" t="s">
        <v>868</v>
      </c>
      <c r="E71" s="386">
        <v>7656144580</v>
      </c>
      <c r="F71" s="387">
        <v>2894997676</v>
      </c>
      <c r="G71" s="387">
        <v>0</v>
      </c>
      <c r="H71" s="386">
        <v>3854400000</v>
      </c>
      <c r="I71" s="386">
        <v>3861500000</v>
      </c>
      <c r="J71" s="386">
        <v>9924042256</v>
      </c>
      <c r="K71" s="386">
        <v>606113523</v>
      </c>
      <c r="L71" s="386">
        <v>9295927032</v>
      </c>
      <c r="M71" s="386">
        <v>615862784</v>
      </c>
      <c r="N71" s="386">
        <v>9216959152</v>
      </c>
      <c r="O71" s="386">
        <v>43864804</v>
      </c>
      <c r="P71" s="386">
        <v>5738581775</v>
      </c>
      <c r="Q71" s="386">
        <v>182242218</v>
      </c>
      <c r="R71" s="386">
        <v>5695497466</v>
      </c>
      <c r="S71" s="388">
        <v>78967880</v>
      </c>
      <c r="T71" s="388">
        <v>3478377377</v>
      </c>
      <c r="U71" s="389">
        <v>43084309</v>
      </c>
    </row>
    <row r="72" spans="1:21" s="381" customFormat="1" ht="13.5" customHeight="1" x14ac:dyDescent="0.25">
      <c r="A72" s="382" t="s">
        <v>869</v>
      </c>
      <c r="B72" s="383">
        <v>6</v>
      </c>
      <c r="C72" s="384" t="s">
        <v>746</v>
      </c>
      <c r="D72" s="385" t="s">
        <v>870</v>
      </c>
      <c r="E72" s="386">
        <v>478166047</v>
      </c>
      <c r="F72" s="387">
        <v>0</v>
      </c>
      <c r="G72" s="387">
        <v>0</v>
      </c>
      <c r="H72" s="386">
        <v>252400000</v>
      </c>
      <c r="I72" s="386">
        <v>23500000</v>
      </c>
      <c r="J72" s="386">
        <v>707066047</v>
      </c>
      <c r="K72" s="386">
        <v>86598067</v>
      </c>
      <c r="L72" s="386">
        <v>602796003</v>
      </c>
      <c r="M72" s="386">
        <v>86478967</v>
      </c>
      <c r="N72" s="386">
        <v>602301329</v>
      </c>
      <c r="O72" s="386">
        <v>32147161</v>
      </c>
      <c r="P72" s="386">
        <v>387033477</v>
      </c>
      <c r="Q72" s="386">
        <v>114000</v>
      </c>
      <c r="R72" s="386">
        <v>354663616</v>
      </c>
      <c r="S72" s="388">
        <v>494674</v>
      </c>
      <c r="T72" s="388">
        <v>215267852</v>
      </c>
      <c r="U72" s="389">
        <v>32369861</v>
      </c>
    </row>
    <row r="73" spans="1:21" ht="13.5" customHeight="1" x14ac:dyDescent="0.25">
      <c r="A73" s="392" t="s">
        <v>871</v>
      </c>
      <c r="B73" s="393">
        <v>7</v>
      </c>
      <c r="C73" s="394" t="s">
        <v>746</v>
      </c>
      <c r="D73" s="395" t="s">
        <v>872</v>
      </c>
      <c r="E73" s="396">
        <v>83514637</v>
      </c>
      <c r="F73" s="387">
        <v>0</v>
      </c>
      <c r="G73" s="387"/>
      <c r="H73" s="396">
        <v>23900000</v>
      </c>
      <c r="I73" s="396">
        <v>0</v>
      </c>
      <c r="J73" s="396">
        <v>107414637</v>
      </c>
      <c r="K73" s="396">
        <v>23877806</v>
      </c>
      <c r="L73" s="396">
        <v>107392443</v>
      </c>
      <c r="M73" s="396">
        <v>23877806</v>
      </c>
      <c r="N73" s="396">
        <v>107392443</v>
      </c>
      <c r="O73" s="396">
        <v>0</v>
      </c>
      <c r="P73" s="396">
        <v>32000000</v>
      </c>
      <c r="Q73" s="396">
        <v>0</v>
      </c>
      <c r="R73" s="396">
        <v>32000000</v>
      </c>
      <c r="S73" s="397">
        <v>0</v>
      </c>
      <c r="T73" s="397">
        <v>75392443</v>
      </c>
      <c r="U73" s="398">
        <v>0</v>
      </c>
    </row>
    <row r="74" spans="1:21" ht="13.5" customHeight="1" x14ac:dyDescent="0.25">
      <c r="A74" s="392" t="s">
        <v>873</v>
      </c>
      <c r="B74" s="393">
        <v>7</v>
      </c>
      <c r="C74" s="394" t="s">
        <v>746</v>
      </c>
      <c r="D74" s="395" t="s">
        <v>321</v>
      </c>
      <c r="E74" s="396">
        <v>40703957</v>
      </c>
      <c r="F74" s="387">
        <v>0</v>
      </c>
      <c r="G74" s="387"/>
      <c r="H74" s="396">
        <v>100000000</v>
      </c>
      <c r="I74" s="396">
        <v>0</v>
      </c>
      <c r="J74" s="396">
        <v>140703957</v>
      </c>
      <c r="K74" s="396">
        <v>30340000</v>
      </c>
      <c r="L74" s="396">
        <v>110959164</v>
      </c>
      <c r="M74" s="396">
        <v>30340000</v>
      </c>
      <c r="N74" s="396">
        <v>110959164</v>
      </c>
      <c r="O74" s="396">
        <v>0</v>
      </c>
      <c r="P74" s="396">
        <v>28096379</v>
      </c>
      <c r="Q74" s="396">
        <v>0</v>
      </c>
      <c r="R74" s="396">
        <v>28096379</v>
      </c>
      <c r="S74" s="397">
        <v>0</v>
      </c>
      <c r="T74" s="397">
        <v>82862785</v>
      </c>
      <c r="U74" s="398">
        <v>0</v>
      </c>
    </row>
    <row r="75" spans="1:21" ht="13.5" customHeight="1" x14ac:dyDescent="0.25">
      <c r="A75" s="392" t="s">
        <v>874</v>
      </c>
      <c r="B75" s="393">
        <v>7</v>
      </c>
      <c r="C75" s="394" t="s">
        <v>746</v>
      </c>
      <c r="D75" s="395" t="s">
        <v>304</v>
      </c>
      <c r="E75" s="396">
        <v>316689826</v>
      </c>
      <c r="F75" s="387">
        <v>0</v>
      </c>
      <c r="G75" s="387"/>
      <c r="H75" s="396">
        <v>50000000</v>
      </c>
      <c r="I75" s="396">
        <v>23500000</v>
      </c>
      <c r="J75" s="396">
        <v>343189826</v>
      </c>
      <c r="K75" s="396">
        <v>30556261</v>
      </c>
      <c r="L75" s="396">
        <v>316216796</v>
      </c>
      <c r="M75" s="396">
        <v>30449161</v>
      </c>
      <c r="N75" s="396">
        <v>316042122</v>
      </c>
      <c r="O75" s="396">
        <v>30449161</v>
      </c>
      <c r="P75" s="396">
        <v>298652673</v>
      </c>
      <c r="Q75" s="396">
        <v>0</v>
      </c>
      <c r="R75" s="396">
        <v>268203512</v>
      </c>
      <c r="S75" s="397">
        <v>174674</v>
      </c>
      <c r="T75" s="397">
        <v>17389449</v>
      </c>
      <c r="U75" s="398">
        <v>30449161</v>
      </c>
    </row>
    <row r="76" spans="1:21" ht="13.5" customHeight="1" x14ac:dyDescent="0.2">
      <c r="A76" s="392" t="s">
        <v>875</v>
      </c>
      <c r="B76" s="393">
        <v>7</v>
      </c>
      <c r="C76" s="394" t="s">
        <v>746</v>
      </c>
      <c r="D76" s="395" t="s">
        <v>876</v>
      </c>
      <c r="E76" s="396">
        <v>37257627</v>
      </c>
      <c r="F76" s="400">
        <v>0</v>
      </c>
      <c r="G76" s="400"/>
      <c r="H76" s="396">
        <v>78500000</v>
      </c>
      <c r="I76" s="396">
        <v>0</v>
      </c>
      <c r="J76" s="396">
        <v>115757627</v>
      </c>
      <c r="K76" s="396">
        <v>1824000</v>
      </c>
      <c r="L76" s="396">
        <v>68227600</v>
      </c>
      <c r="M76" s="396">
        <v>1812000</v>
      </c>
      <c r="N76" s="396">
        <v>67907600</v>
      </c>
      <c r="O76" s="396">
        <v>1698000</v>
      </c>
      <c r="P76" s="396">
        <v>28284425</v>
      </c>
      <c r="Q76" s="396">
        <v>114000</v>
      </c>
      <c r="R76" s="396">
        <v>26363725</v>
      </c>
      <c r="S76" s="397">
        <v>320000</v>
      </c>
      <c r="T76" s="397">
        <v>39623175</v>
      </c>
      <c r="U76" s="398">
        <v>1920700</v>
      </c>
    </row>
    <row r="77" spans="1:21" s="381" customFormat="1" ht="13.5" customHeight="1" x14ac:dyDescent="0.25">
      <c r="A77" s="382" t="s">
        <v>877</v>
      </c>
      <c r="B77" s="383">
        <v>6</v>
      </c>
      <c r="C77" s="384" t="s">
        <v>746</v>
      </c>
      <c r="D77" s="385" t="s">
        <v>878</v>
      </c>
      <c r="E77" s="386">
        <v>161139235</v>
      </c>
      <c r="F77" s="387">
        <v>150000000</v>
      </c>
      <c r="G77" s="387">
        <v>0</v>
      </c>
      <c r="H77" s="386">
        <v>0</v>
      </c>
      <c r="I77" s="386">
        <v>50000000</v>
      </c>
      <c r="J77" s="386">
        <v>261139235</v>
      </c>
      <c r="K77" s="386">
        <v>6211725</v>
      </c>
      <c r="L77" s="386">
        <v>200806104</v>
      </c>
      <c r="M77" s="386">
        <v>6211725</v>
      </c>
      <c r="N77" s="386">
        <v>198806104</v>
      </c>
      <c r="O77" s="386">
        <v>0</v>
      </c>
      <c r="P77" s="386">
        <v>124522507</v>
      </c>
      <c r="Q77" s="386">
        <v>0</v>
      </c>
      <c r="R77" s="386">
        <v>124522507</v>
      </c>
      <c r="S77" s="388">
        <v>2000000</v>
      </c>
      <c r="T77" s="388">
        <v>74283597</v>
      </c>
      <c r="U77" s="389">
        <v>0</v>
      </c>
    </row>
    <row r="78" spans="1:21" ht="13.5" customHeight="1" x14ac:dyDescent="0.2">
      <c r="A78" s="392" t="s">
        <v>879</v>
      </c>
      <c r="B78" s="393">
        <v>7</v>
      </c>
      <c r="C78" s="394" t="s">
        <v>746</v>
      </c>
      <c r="D78" s="395" t="s">
        <v>880</v>
      </c>
      <c r="E78" s="396">
        <v>28874661</v>
      </c>
      <c r="F78" s="400">
        <v>0</v>
      </c>
      <c r="G78" s="400"/>
      <c r="H78" s="396">
        <v>0</v>
      </c>
      <c r="I78" s="396">
        <v>0</v>
      </c>
      <c r="J78" s="396">
        <v>28874661</v>
      </c>
      <c r="K78" s="396">
        <v>0</v>
      </c>
      <c r="L78" s="396">
        <v>23081940</v>
      </c>
      <c r="M78" s="396">
        <v>0</v>
      </c>
      <c r="N78" s="396">
        <v>23081940</v>
      </c>
      <c r="O78" s="396">
        <v>0</v>
      </c>
      <c r="P78" s="396">
        <v>22525440</v>
      </c>
      <c r="Q78" s="396">
        <v>0</v>
      </c>
      <c r="R78" s="396">
        <v>22525440</v>
      </c>
      <c r="S78" s="397">
        <v>0</v>
      </c>
      <c r="T78" s="397">
        <v>556500</v>
      </c>
      <c r="U78" s="398">
        <v>0</v>
      </c>
    </row>
    <row r="79" spans="1:21" ht="13.5" customHeight="1" x14ac:dyDescent="0.2">
      <c r="A79" s="392" t="s">
        <v>881</v>
      </c>
      <c r="B79" s="393">
        <v>7</v>
      </c>
      <c r="C79" s="394" t="s">
        <v>746</v>
      </c>
      <c r="D79" s="395" t="s">
        <v>882</v>
      </c>
      <c r="E79" s="396">
        <v>132264574</v>
      </c>
      <c r="F79" s="400">
        <v>150000000</v>
      </c>
      <c r="G79" s="400"/>
      <c r="H79" s="396">
        <v>0</v>
      </c>
      <c r="I79" s="396">
        <v>50000000</v>
      </c>
      <c r="J79" s="396">
        <v>232264574</v>
      </c>
      <c r="K79" s="396">
        <v>6211725</v>
      </c>
      <c r="L79" s="396">
        <v>177724164</v>
      </c>
      <c r="M79" s="396">
        <v>6211725</v>
      </c>
      <c r="N79" s="396">
        <v>175724164</v>
      </c>
      <c r="O79" s="396">
        <v>0</v>
      </c>
      <c r="P79" s="396">
        <v>101997067</v>
      </c>
      <c r="Q79" s="396">
        <v>0</v>
      </c>
      <c r="R79" s="396">
        <v>101997067</v>
      </c>
      <c r="S79" s="397">
        <v>2000000</v>
      </c>
      <c r="T79" s="397">
        <v>73727097</v>
      </c>
      <c r="U79" s="398">
        <v>0</v>
      </c>
    </row>
    <row r="80" spans="1:21" ht="13.5" customHeight="1" x14ac:dyDescent="0.25">
      <c r="A80" s="382" t="s">
        <v>883</v>
      </c>
      <c r="B80" s="383">
        <v>6</v>
      </c>
      <c r="C80" s="394" t="s">
        <v>746</v>
      </c>
      <c r="D80" s="385" t="s">
        <v>884</v>
      </c>
      <c r="E80" s="386">
        <v>6896906453</v>
      </c>
      <c r="F80" s="387">
        <v>2744997676</v>
      </c>
      <c r="G80" s="387">
        <v>0</v>
      </c>
      <c r="H80" s="386">
        <v>3577000000</v>
      </c>
      <c r="I80" s="386">
        <v>3778000000</v>
      </c>
      <c r="J80" s="386">
        <v>8820904129</v>
      </c>
      <c r="K80" s="386">
        <v>509681695</v>
      </c>
      <c r="L80" s="386">
        <v>8396741139</v>
      </c>
      <c r="M80" s="386">
        <v>519500606</v>
      </c>
      <c r="N80" s="386">
        <v>8322157805</v>
      </c>
      <c r="O80" s="386">
        <v>10784456</v>
      </c>
      <c r="P80" s="386">
        <v>5173106404</v>
      </c>
      <c r="Q80" s="386">
        <v>181521024</v>
      </c>
      <c r="R80" s="386">
        <v>5163106404</v>
      </c>
      <c r="S80" s="388">
        <v>74583334</v>
      </c>
      <c r="T80" s="388">
        <v>3149051401</v>
      </c>
      <c r="U80" s="389">
        <v>10000000</v>
      </c>
    </row>
    <row r="81" spans="1:21" s="381" customFormat="1" ht="13.5" customHeight="1" x14ac:dyDescent="0.25">
      <c r="A81" s="382" t="s">
        <v>885</v>
      </c>
      <c r="B81" s="383">
        <v>7</v>
      </c>
      <c r="C81" s="384" t="s">
        <v>746</v>
      </c>
      <c r="D81" s="385" t="s">
        <v>886</v>
      </c>
      <c r="E81" s="386">
        <v>5896895914</v>
      </c>
      <c r="F81" s="387">
        <v>2403497676</v>
      </c>
      <c r="G81" s="387">
        <v>0</v>
      </c>
      <c r="H81" s="386">
        <v>870000000</v>
      </c>
      <c r="I81" s="386">
        <v>3200000000</v>
      </c>
      <c r="J81" s="386">
        <v>5350393590</v>
      </c>
      <c r="K81" s="386">
        <v>217786418</v>
      </c>
      <c r="L81" s="386">
        <v>5106788655</v>
      </c>
      <c r="M81" s="386">
        <v>219355330</v>
      </c>
      <c r="N81" s="386">
        <v>5066455321</v>
      </c>
      <c r="O81" s="386">
        <v>784456</v>
      </c>
      <c r="P81" s="386">
        <v>3504264519</v>
      </c>
      <c r="Q81" s="386">
        <v>181521024</v>
      </c>
      <c r="R81" s="386">
        <v>3504264519</v>
      </c>
      <c r="S81" s="388">
        <v>40333334</v>
      </c>
      <c r="T81" s="388">
        <v>1562190802</v>
      </c>
      <c r="U81" s="389">
        <v>0</v>
      </c>
    </row>
    <row r="82" spans="1:21" ht="13.5" customHeight="1" x14ac:dyDescent="0.2">
      <c r="A82" s="392" t="s">
        <v>887</v>
      </c>
      <c r="B82" s="393">
        <v>8</v>
      </c>
      <c r="C82" s="394" t="s">
        <v>746</v>
      </c>
      <c r="D82" s="395" t="s">
        <v>888</v>
      </c>
      <c r="E82" s="396">
        <v>4624935465</v>
      </c>
      <c r="F82" s="400">
        <v>1581912141</v>
      </c>
      <c r="G82" s="400"/>
      <c r="H82" s="396">
        <v>870000000</v>
      </c>
      <c r="I82" s="396">
        <v>2000000000</v>
      </c>
      <c r="J82" s="396">
        <v>5036847606</v>
      </c>
      <c r="K82" s="396">
        <v>199786418</v>
      </c>
      <c r="L82" s="396">
        <v>4928464472</v>
      </c>
      <c r="M82" s="396">
        <v>201355330</v>
      </c>
      <c r="N82" s="396">
        <v>4888131138</v>
      </c>
      <c r="O82" s="396">
        <v>784456</v>
      </c>
      <c r="P82" s="396">
        <v>3415285206</v>
      </c>
      <c r="Q82" s="396">
        <v>181521024</v>
      </c>
      <c r="R82" s="396">
        <v>3415285206</v>
      </c>
      <c r="S82" s="397">
        <v>40333334</v>
      </c>
      <c r="T82" s="397">
        <v>1472845932</v>
      </c>
      <c r="U82" s="398">
        <v>0</v>
      </c>
    </row>
    <row r="83" spans="1:21" ht="13.5" customHeight="1" x14ac:dyDescent="0.2">
      <c r="A83" s="392" t="s">
        <v>889</v>
      </c>
      <c r="B83" s="393">
        <v>8</v>
      </c>
      <c r="C83" s="394" t="s">
        <v>746</v>
      </c>
      <c r="D83" s="401" t="s">
        <v>890</v>
      </c>
      <c r="E83" s="396">
        <v>1271960449</v>
      </c>
      <c r="F83" s="400">
        <v>821585535</v>
      </c>
      <c r="G83" s="400"/>
      <c r="H83" s="396">
        <v>0</v>
      </c>
      <c r="I83" s="396">
        <v>1200000000</v>
      </c>
      <c r="J83" s="396">
        <v>313545984</v>
      </c>
      <c r="K83" s="396">
        <v>18000000</v>
      </c>
      <c r="L83" s="396">
        <v>178324183</v>
      </c>
      <c r="M83" s="396">
        <v>18000000</v>
      </c>
      <c r="N83" s="396">
        <v>178324183</v>
      </c>
      <c r="O83" s="396">
        <v>0</v>
      </c>
      <c r="P83" s="396">
        <v>88979313</v>
      </c>
      <c r="Q83" s="396">
        <v>0</v>
      </c>
      <c r="R83" s="396">
        <v>88979313</v>
      </c>
      <c r="S83" s="397">
        <v>0</v>
      </c>
      <c r="T83" s="397">
        <v>89344870</v>
      </c>
      <c r="U83" s="398">
        <v>0</v>
      </c>
    </row>
    <row r="84" spans="1:21" s="381" customFormat="1" ht="13.5" customHeight="1" x14ac:dyDescent="0.25">
      <c r="A84" s="382" t="s">
        <v>891</v>
      </c>
      <c r="B84" s="383">
        <v>7</v>
      </c>
      <c r="C84" s="384" t="s">
        <v>746</v>
      </c>
      <c r="D84" s="385" t="s">
        <v>892</v>
      </c>
      <c r="E84" s="386">
        <v>72064555</v>
      </c>
      <c r="F84" s="387">
        <v>300000000</v>
      </c>
      <c r="G84" s="387">
        <v>0</v>
      </c>
      <c r="H84" s="386">
        <v>2430000000</v>
      </c>
      <c r="I84" s="386">
        <v>350000000</v>
      </c>
      <c r="J84" s="386">
        <v>2452064555</v>
      </c>
      <c r="K84" s="386">
        <v>231705333</v>
      </c>
      <c r="L84" s="386">
        <v>2346274666</v>
      </c>
      <c r="M84" s="386">
        <v>229955332</v>
      </c>
      <c r="N84" s="386">
        <v>2312024666</v>
      </c>
      <c r="O84" s="386">
        <v>0</v>
      </c>
      <c r="P84" s="386">
        <v>1232958916</v>
      </c>
      <c r="Q84" s="386">
        <v>0</v>
      </c>
      <c r="R84" s="386">
        <v>1232958916</v>
      </c>
      <c r="S84" s="388">
        <v>34250000</v>
      </c>
      <c r="T84" s="388">
        <v>1079065750</v>
      </c>
      <c r="U84" s="389">
        <v>0</v>
      </c>
    </row>
    <row r="85" spans="1:21" ht="13.5" customHeight="1" x14ac:dyDescent="0.25">
      <c r="A85" s="392" t="s">
        <v>893</v>
      </c>
      <c r="B85" s="393">
        <v>8</v>
      </c>
      <c r="C85" s="394" t="s">
        <v>746</v>
      </c>
      <c r="D85" s="395" t="s">
        <v>894</v>
      </c>
      <c r="E85" s="396">
        <v>47094186</v>
      </c>
      <c r="F85" s="387">
        <v>200000000</v>
      </c>
      <c r="G85" s="387"/>
      <c r="H85" s="396">
        <v>2300000000</v>
      </c>
      <c r="I85" s="396">
        <v>300000000</v>
      </c>
      <c r="J85" s="396">
        <v>2247094186</v>
      </c>
      <c r="K85" s="396">
        <v>225105333</v>
      </c>
      <c r="L85" s="396">
        <v>2181624666</v>
      </c>
      <c r="M85" s="396">
        <v>223355332</v>
      </c>
      <c r="N85" s="396">
        <v>2151574666</v>
      </c>
      <c r="O85" s="396">
        <v>0</v>
      </c>
      <c r="P85" s="396">
        <v>1145331465</v>
      </c>
      <c r="Q85" s="396">
        <v>0</v>
      </c>
      <c r="R85" s="396">
        <v>1145331465</v>
      </c>
      <c r="S85" s="397">
        <v>30050000</v>
      </c>
      <c r="T85" s="397">
        <v>1006243201</v>
      </c>
      <c r="U85" s="398">
        <v>0</v>
      </c>
    </row>
    <row r="86" spans="1:21" ht="13.5" customHeight="1" x14ac:dyDescent="0.25">
      <c r="A86" s="392" t="s">
        <v>895</v>
      </c>
      <c r="B86" s="393">
        <v>8</v>
      </c>
      <c r="C86" s="394" t="s">
        <v>746</v>
      </c>
      <c r="D86" s="395" t="s">
        <v>896</v>
      </c>
      <c r="E86" s="396">
        <v>24970369</v>
      </c>
      <c r="F86" s="387">
        <v>100000000</v>
      </c>
      <c r="G86" s="387"/>
      <c r="H86" s="396">
        <v>130000000</v>
      </c>
      <c r="I86" s="396">
        <v>50000000</v>
      </c>
      <c r="J86" s="396">
        <v>204970369</v>
      </c>
      <c r="K86" s="396">
        <v>6600000</v>
      </c>
      <c r="L86" s="396">
        <v>164650000</v>
      </c>
      <c r="M86" s="396">
        <v>6600000</v>
      </c>
      <c r="N86" s="396">
        <v>160450000</v>
      </c>
      <c r="O86" s="396">
        <v>0</v>
      </c>
      <c r="P86" s="396">
        <v>87627451</v>
      </c>
      <c r="Q86" s="396">
        <v>0</v>
      </c>
      <c r="R86" s="396">
        <v>87627451</v>
      </c>
      <c r="S86" s="397">
        <v>4200000</v>
      </c>
      <c r="T86" s="397">
        <v>72822549</v>
      </c>
      <c r="U86" s="398">
        <v>0</v>
      </c>
    </row>
    <row r="87" spans="1:21" ht="13.5" customHeight="1" x14ac:dyDescent="0.25">
      <c r="A87" s="392" t="s">
        <v>897</v>
      </c>
      <c r="B87" s="393">
        <v>7</v>
      </c>
      <c r="C87" s="394" t="s">
        <v>746</v>
      </c>
      <c r="D87" s="395" t="s">
        <v>898</v>
      </c>
      <c r="E87" s="396">
        <v>21423135</v>
      </c>
      <c r="F87" s="387">
        <v>0</v>
      </c>
      <c r="G87" s="387"/>
      <c r="H87" s="396">
        <v>20000000</v>
      </c>
      <c r="I87" s="396">
        <v>0</v>
      </c>
      <c r="J87" s="396">
        <v>41423135</v>
      </c>
      <c r="K87" s="396">
        <v>10000000</v>
      </c>
      <c r="L87" s="396">
        <v>23307509</v>
      </c>
      <c r="M87" s="396">
        <v>20000000</v>
      </c>
      <c r="N87" s="396">
        <v>23307509</v>
      </c>
      <c r="O87" s="396">
        <v>10000000</v>
      </c>
      <c r="P87" s="396">
        <v>12335635</v>
      </c>
      <c r="Q87" s="396">
        <v>0</v>
      </c>
      <c r="R87" s="396">
        <v>2335635</v>
      </c>
      <c r="S87" s="397">
        <v>0</v>
      </c>
      <c r="T87" s="397">
        <v>10971874</v>
      </c>
      <c r="U87" s="398">
        <v>10000000</v>
      </c>
    </row>
    <row r="88" spans="1:21" ht="13.5" customHeight="1" x14ac:dyDescent="0.25">
      <c r="A88" s="392" t="s">
        <v>899</v>
      </c>
      <c r="B88" s="393">
        <v>7</v>
      </c>
      <c r="C88" s="394" t="s">
        <v>746</v>
      </c>
      <c r="D88" s="395" t="s">
        <v>900</v>
      </c>
      <c r="E88" s="396">
        <v>93609786</v>
      </c>
      <c r="F88" s="387">
        <v>0</v>
      </c>
      <c r="G88" s="387"/>
      <c r="H88" s="396">
        <v>30000000</v>
      </c>
      <c r="I88" s="396">
        <v>0</v>
      </c>
      <c r="J88" s="396">
        <v>123609786</v>
      </c>
      <c r="K88" s="396">
        <v>29595492</v>
      </c>
      <c r="L88" s="396">
        <v>118381968</v>
      </c>
      <c r="M88" s="396">
        <v>29595492</v>
      </c>
      <c r="N88" s="396">
        <v>118381968</v>
      </c>
      <c r="O88" s="396">
        <v>0</v>
      </c>
      <c r="P88" s="396">
        <v>49190559</v>
      </c>
      <c r="Q88" s="396">
        <v>0</v>
      </c>
      <c r="R88" s="396">
        <v>49190559</v>
      </c>
      <c r="S88" s="397">
        <v>0</v>
      </c>
      <c r="T88" s="397">
        <v>69191409</v>
      </c>
      <c r="U88" s="398">
        <v>0</v>
      </c>
    </row>
    <row r="89" spans="1:21" ht="13.5" customHeight="1" x14ac:dyDescent="0.25">
      <c r="A89" s="392" t="s">
        <v>901</v>
      </c>
      <c r="B89" s="393">
        <v>7</v>
      </c>
      <c r="C89" s="394" t="s">
        <v>746</v>
      </c>
      <c r="D89" s="395" t="s">
        <v>902</v>
      </c>
      <c r="E89" s="396">
        <v>0</v>
      </c>
      <c r="F89" s="387">
        <v>0</v>
      </c>
      <c r="G89" s="387"/>
      <c r="H89" s="396">
        <v>0</v>
      </c>
      <c r="I89" s="396">
        <v>0</v>
      </c>
      <c r="J89" s="396">
        <v>0</v>
      </c>
      <c r="K89" s="396">
        <v>0</v>
      </c>
      <c r="L89" s="396">
        <v>0</v>
      </c>
      <c r="M89" s="396">
        <v>0</v>
      </c>
      <c r="N89" s="396">
        <v>0</v>
      </c>
      <c r="O89" s="396">
        <v>0</v>
      </c>
      <c r="P89" s="396">
        <v>0</v>
      </c>
      <c r="Q89" s="396">
        <v>0</v>
      </c>
      <c r="R89" s="396">
        <v>0</v>
      </c>
      <c r="S89" s="397">
        <v>0</v>
      </c>
      <c r="T89" s="397">
        <v>0</v>
      </c>
      <c r="U89" s="398">
        <v>0</v>
      </c>
    </row>
    <row r="90" spans="1:21" ht="13.5" customHeight="1" x14ac:dyDescent="0.25">
      <c r="A90" s="392" t="s">
        <v>903</v>
      </c>
      <c r="B90" s="393">
        <v>7</v>
      </c>
      <c r="C90" s="394" t="s">
        <v>746</v>
      </c>
      <c r="D90" s="395" t="s">
        <v>904</v>
      </c>
      <c r="E90" s="396">
        <v>63002116</v>
      </c>
      <c r="F90" s="387">
        <v>0</v>
      </c>
      <c r="G90" s="387"/>
      <c r="H90" s="396">
        <v>0</v>
      </c>
      <c r="I90" s="396">
        <v>43000000</v>
      </c>
      <c r="J90" s="396">
        <v>20002116</v>
      </c>
      <c r="K90" s="396">
        <v>0</v>
      </c>
      <c r="L90" s="396">
        <v>0</v>
      </c>
      <c r="M90" s="396">
        <v>0</v>
      </c>
      <c r="N90" s="396">
        <v>0</v>
      </c>
      <c r="O90" s="396">
        <v>0</v>
      </c>
      <c r="P90" s="396">
        <v>0</v>
      </c>
      <c r="Q90" s="396">
        <v>0</v>
      </c>
      <c r="R90" s="396">
        <v>0</v>
      </c>
      <c r="S90" s="397">
        <v>0</v>
      </c>
      <c r="T90" s="397">
        <v>0</v>
      </c>
      <c r="U90" s="398">
        <v>0</v>
      </c>
    </row>
    <row r="91" spans="1:21" ht="13.5" customHeight="1" x14ac:dyDescent="0.25">
      <c r="A91" s="392" t="s">
        <v>905</v>
      </c>
      <c r="B91" s="393">
        <v>7</v>
      </c>
      <c r="C91" s="394" t="s">
        <v>746</v>
      </c>
      <c r="D91" s="395" t="s">
        <v>906</v>
      </c>
      <c r="E91" s="396">
        <v>100000000</v>
      </c>
      <c r="F91" s="387">
        <v>0</v>
      </c>
      <c r="G91" s="387"/>
      <c r="H91" s="396">
        <v>185000000</v>
      </c>
      <c r="I91" s="396">
        <v>0</v>
      </c>
      <c r="J91" s="396">
        <v>285000000</v>
      </c>
      <c r="K91" s="396">
        <v>0</v>
      </c>
      <c r="L91" s="396">
        <v>254919601</v>
      </c>
      <c r="M91" s="396">
        <v>0</v>
      </c>
      <c r="N91" s="396">
        <v>254919601</v>
      </c>
      <c r="O91" s="396">
        <v>0</v>
      </c>
      <c r="P91" s="396">
        <v>175788060</v>
      </c>
      <c r="Q91" s="396">
        <v>0</v>
      </c>
      <c r="R91" s="396">
        <v>175788060</v>
      </c>
      <c r="S91" s="397">
        <v>0</v>
      </c>
      <c r="T91" s="397">
        <v>79131541</v>
      </c>
      <c r="U91" s="398">
        <v>0</v>
      </c>
    </row>
    <row r="92" spans="1:21" ht="13.5" customHeight="1" x14ac:dyDescent="0.2">
      <c r="A92" s="392" t="s">
        <v>907</v>
      </c>
      <c r="B92" s="393">
        <v>7</v>
      </c>
      <c r="C92" s="394" t="s">
        <v>746</v>
      </c>
      <c r="D92" s="395" t="s">
        <v>908</v>
      </c>
      <c r="E92" s="396">
        <v>83514637</v>
      </c>
      <c r="F92" s="400">
        <v>0</v>
      </c>
      <c r="G92" s="400"/>
      <c r="H92" s="396">
        <v>5000000</v>
      </c>
      <c r="I92" s="396">
        <v>0</v>
      </c>
      <c r="J92" s="396">
        <v>88514637</v>
      </c>
      <c r="K92" s="396">
        <v>5969452</v>
      </c>
      <c r="L92" s="396">
        <v>88272915</v>
      </c>
      <c r="M92" s="396">
        <v>5969452</v>
      </c>
      <c r="N92" s="396">
        <v>88272915</v>
      </c>
      <c r="O92" s="396">
        <v>0</v>
      </c>
      <c r="P92" s="396">
        <v>49682199</v>
      </c>
      <c r="Q92" s="396">
        <v>0</v>
      </c>
      <c r="R92" s="396">
        <v>49682199</v>
      </c>
      <c r="S92" s="397">
        <v>0</v>
      </c>
      <c r="T92" s="397">
        <v>38590716</v>
      </c>
      <c r="U92" s="398">
        <v>0</v>
      </c>
    </row>
    <row r="93" spans="1:21" ht="13.5" customHeight="1" x14ac:dyDescent="0.2">
      <c r="A93" s="392" t="s">
        <v>909</v>
      </c>
      <c r="B93" s="393">
        <v>7</v>
      </c>
      <c r="C93" s="394" t="s">
        <v>746</v>
      </c>
      <c r="D93" s="395" t="s">
        <v>294</v>
      </c>
      <c r="E93" s="396">
        <v>565464869</v>
      </c>
      <c r="F93" s="400">
        <v>40000000</v>
      </c>
      <c r="G93" s="400"/>
      <c r="H93" s="396">
        <v>36000000</v>
      </c>
      <c r="I93" s="396">
        <v>185000000</v>
      </c>
      <c r="J93" s="396">
        <v>456464869</v>
      </c>
      <c r="K93" s="396">
        <v>14625000</v>
      </c>
      <c r="L93" s="396">
        <v>455805000</v>
      </c>
      <c r="M93" s="396">
        <v>14625000</v>
      </c>
      <c r="N93" s="396">
        <v>455805000</v>
      </c>
      <c r="O93" s="396">
        <v>0</v>
      </c>
      <c r="P93" s="396">
        <v>147886516</v>
      </c>
      <c r="Q93" s="396">
        <v>0</v>
      </c>
      <c r="R93" s="396">
        <v>147886516</v>
      </c>
      <c r="S93" s="397">
        <v>0</v>
      </c>
      <c r="T93" s="397">
        <v>307918484</v>
      </c>
      <c r="U93" s="398">
        <v>0</v>
      </c>
    </row>
    <row r="94" spans="1:21" ht="13.5" customHeight="1" x14ac:dyDescent="0.2">
      <c r="A94" s="392" t="s">
        <v>910</v>
      </c>
      <c r="B94" s="393">
        <v>7</v>
      </c>
      <c r="C94" s="394" t="s">
        <v>746</v>
      </c>
      <c r="D94" s="395" t="s">
        <v>911</v>
      </c>
      <c r="E94" s="396">
        <v>931441</v>
      </c>
      <c r="F94" s="400">
        <v>1500000</v>
      </c>
      <c r="G94" s="400"/>
      <c r="H94" s="396">
        <v>1000000</v>
      </c>
      <c r="I94" s="396">
        <v>0</v>
      </c>
      <c r="J94" s="396">
        <v>3431441</v>
      </c>
      <c r="K94" s="396">
        <v>0</v>
      </c>
      <c r="L94" s="396">
        <v>2990825</v>
      </c>
      <c r="M94" s="396">
        <v>0</v>
      </c>
      <c r="N94" s="396">
        <v>2990825</v>
      </c>
      <c r="O94" s="396">
        <v>0</v>
      </c>
      <c r="P94" s="396">
        <v>1000000</v>
      </c>
      <c r="Q94" s="396">
        <v>0</v>
      </c>
      <c r="R94" s="396">
        <v>1000000</v>
      </c>
      <c r="S94" s="397">
        <v>0</v>
      </c>
      <c r="T94" s="397">
        <v>1990825</v>
      </c>
      <c r="U94" s="398">
        <v>0</v>
      </c>
    </row>
    <row r="95" spans="1:21" s="381" customFormat="1" ht="13.5" customHeight="1" x14ac:dyDescent="0.25">
      <c r="A95" s="382" t="s">
        <v>912</v>
      </c>
      <c r="B95" s="383">
        <v>6</v>
      </c>
      <c r="C95" s="384" t="s">
        <v>746</v>
      </c>
      <c r="D95" s="385" t="s">
        <v>913</v>
      </c>
      <c r="E95" s="386">
        <v>82231461</v>
      </c>
      <c r="F95" s="387">
        <v>0</v>
      </c>
      <c r="G95" s="387">
        <v>0</v>
      </c>
      <c r="H95" s="386">
        <v>5000000</v>
      </c>
      <c r="I95" s="386">
        <v>5000000</v>
      </c>
      <c r="J95" s="386">
        <v>82231461</v>
      </c>
      <c r="K95" s="386">
        <v>2183650</v>
      </c>
      <c r="L95" s="386">
        <v>66994693</v>
      </c>
      <c r="M95" s="386">
        <v>2183650</v>
      </c>
      <c r="N95" s="386">
        <v>66994693</v>
      </c>
      <c r="O95" s="386">
        <v>0</v>
      </c>
      <c r="P95" s="386">
        <v>35611022</v>
      </c>
      <c r="Q95" s="386">
        <v>0</v>
      </c>
      <c r="R95" s="386">
        <v>35611022</v>
      </c>
      <c r="S95" s="388">
        <v>0</v>
      </c>
      <c r="T95" s="388">
        <v>31383671</v>
      </c>
      <c r="U95" s="389">
        <v>0</v>
      </c>
    </row>
    <row r="96" spans="1:21" ht="13.5" customHeight="1" x14ac:dyDescent="0.25">
      <c r="A96" s="392" t="s">
        <v>914</v>
      </c>
      <c r="B96" s="393">
        <v>7</v>
      </c>
      <c r="C96" s="394" t="s">
        <v>746</v>
      </c>
      <c r="D96" s="395" t="s">
        <v>296</v>
      </c>
      <c r="E96" s="396">
        <v>39385190</v>
      </c>
      <c r="F96" s="387">
        <v>0</v>
      </c>
      <c r="G96" s="387"/>
      <c r="H96" s="396">
        <v>0</v>
      </c>
      <c r="I96" s="396">
        <v>0</v>
      </c>
      <c r="J96" s="396">
        <v>39385190</v>
      </c>
      <c r="K96" s="396">
        <v>2183650</v>
      </c>
      <c r="L96" s="396">
        <v>29628693</v>
      </c>
      <c r="M96" s="396">
        <v>2183650</v>
      </c>
      <c r="N96" s="396">
        <v>29628693</v>
      </c>
      <c r="O96" s="396">
        <v>0</v>
      </c>
      <c r="P96" s="396">
        <v>19461022</v>
      </c>
      <c r="Q96" s="396">
        <v>0</v>
      </c>
      <c r="R96" s="396">
        <v>19461022</v>
      </c>
      <c r="S96" s="397">
        <v>0</v>
      </c>
      <c r="T96" s="397">
        <v>10167671</v>
      </c>
      <c r="U96" s="398">
        <v>0</v>
      </c>
    </row>
    <row r="97" spans="1:21" ht="13.5" customHeight="1" x14ac:dyDescent="0.25">
      <c r="A97" s="392" t="s">
        <v>915</v>
      </c>
      <c r="B97" s="393">
        <v>7</v>
      </c>
      <c r="C97" s="394" t="s">
        <v>746</v>
      </c>
      <c r="D97" s="395" t="s">
        <v>916</v>
      </c>
      <c r="E97" s="396">
        <v>37257627</v>
      </c>
      <c r="F97" s="387">
        <v>0</v>
      </c>
      <c r="G97" s="387"/>
      <c r="H97" s="396">
        <v>0</v>
      </c>
      <c r="I97" s="396">
        <v>5000000</v>
      </c>
      <c r="J97" s="396">
        <v>32257627</v>
      </c>
      <c r="K97" s="396">
        <v>0</v>
      </c>
      <c r="L97" s="396">
        <v>28279500</v>
      </c>
      <c r="M97" s="396">
        <v>0</v>
      </c>
      <c r="N97" s="396">
        <v>28279500</v>
      </c>
      <c r="O97" s="396">
        <v>0</v>
      </c>
      <c r="P97" s="396">
        <v>15988500</v>
      </c>
      <c r="Q97" s="396">
        <v>0</v>
      </c>
      <c r="R97" s="396">
        <v>15988500</v>
      </c>
      <c r="S97" s="397">
        <v>0</v>
      </c>
      <c r="T97" s="397">
        <v>12291000</v>
      </c>
      <c r="U97" s="398">
        <v>0</v>
      </c>
    </row>
    <row r="98" spans="1:21" ht="13.5" customHeight="1" x14ac:dyDescent="0.2">
      <c r="A98" s="392" t="s">
        <v>917</v>
      </c>
      <c r="B98" s="393">
        <v>7</v>
      </c>
      <c r="C98" s="394" t="s">
        <v>746</v>
      </c>
      <c r="D98" s="395" t="s">
        <v>918</v>
      </c>
      <c r="E98" s="396">
        <v>5588644</v>
      </c>
      <c r="F98" s="400">
        <v>0</v>
      </c>
      <c r="G98" s="400"/>
      <c r="H98" s="396">
        <v>5000000</v>
      </c>
      <c r="I98" s="396">
        <v>0</v>
      </c>
      <c r="J98" s="396">
        <v>10588644</v>
      </c>
      <c r="K98" s="396">
        <v>0</v>
      </c>
      <c r="L98" s="396">
        <v>9086500</v>
      </c>
      <c r="M98" s="396">
        <v>0</v>
      </c>
      <c r="N98" s="396">
        <v>9086500</v>
      </c>
      <c r="O98" s="396">
        <v>0</v>
      </c>
      <c r="P98" s="396">
        <v>161500</v>
      </c>
      <c r="Q98" s="396">
        <v>0</v>
      </c>
      <c r="R98" s="396">
        <v>161500</v>
      </c>
      <c r="S98" s="397">
        <v>0</v>
      </c>
      <c r="T98" s="397">
        <v>8925000</v>
      </c>
      <c r="U98" s="398">
        <v>0</v>
      </c>
    </row>
    <row r="99" spans="1:21" s="381" customFormat="1" ht="13.5" customHeight="1" x14ac:dyDescent="0.25">
      <c r="A99" s="382" t="s">
        <v>919</v>
      </c>
      <c r="B99" s="383">
        <v>6</v>
      </c>
      <c r="C99" s="384" t="s">
        <v>746</v>
      </c>
      <c r="D99" s="385" t="s">
        <v>920</v>
      </c>
      <c r="E99" s="386">
        <v>37701384</v>
      </c>
      <c r="F99" s="387">
        <v>0</v>
      </c>
      <c r="G99" s="387">
        <v>0</v>
      </c>
      <c r="H99" s="386">
        <v>20000000</v>
      </c>
      <c r="I99" s="386">
        <v>5000000</v>
      </c>
      <c r="J99" s="386">
        <v>52701384</v>
      </c>
      <c r="K99" s="386">
        <v>1438386</v>
      </c>
      <c r="L99" s="386">
        <v>28589093</v>
      </c>
      <c r="M99" s="386">
        <v>1487836</v>
      </c>
      <c r="N99" s="386">
        <v>26699221</v>
      </c>
      <c r="O99" s="386">
        <v>933187</v>
      </c>
      <c r="P99" s="386">
        <v>18308365</v>
      </c>
      <c r="Q99" s="386">
        <v>607194</v>
      </c>
      <c r="R99" s="386">
        <v>17593917</v>
      </c>
      <c r="S99" s="388">
        <v>1889872</v>
      </c>
      <c r="T99" s="388">
        <v>8390856</v>
      </c>
      <c r="U99" s="389">
        <v>714448</v>
      </c>
    </row>
    <row r="100" spans="1:21" ht="13.5" customHeight="1" x14ac:dyDescent="0.2">
      <c r="A100" s="392" t="s">
        <v>921</v>
      </c>
      <c r="B100" s="393">
        <v>7</v>
      </c>
      <c r="C100" s="394" t="s">
        <v>739</v>
      </c>
      <c r="D100" s="395" t="s">
        <v>922</v>
      </c>
      <c r="E100" s="396">
        <v>37701384</v>
      </c>
      <c r="F100" s="400">
        <v>0</v>
      </c>
      <c r="G100" s="400"/>
      <c r="H100" s="396">
        <v>20000000</v>
      </c>
      <c r="I100" s="396">
        <v>5000000</v>
      </c>
      <c r="J100" s="396">
        <v>52701384</v>
      </c>
      <c r="K100" s="396">
        <v>1438386</v>
      </c>
      <c r="L100" s="396">
        <v>28589093</v>
      </c>
      <c r="M100" s="396">
        <v>1487836</v>
      </c>
      <c r="N100" s="396">
        <v>26699221</v>
      </c>
      <c r="O100" s="396">
        <v>933187</v>
      </c>
      <c r="P100" s="396">
        <v>18308365</v>
      </c>
      <c r="Q100" s="396">
        <v>607194</v>
      </c>
      <c r="R100" s="396">
        <v>17593917</v>
      </c>
      <c r="S100" s="397">
        <v>1889872</v>
      </c>
      <c r="T100" s="397">
        <v>8390856</v>
      </c>
      <c r="U100" s="398">
        <v>714448</v>
      </c>
    </row>
    <row r="101" spans="1:21" ht="13.5" customHeight="1" x14ac:dyDescent="0.25">
      <c r="A101" s="382" t="s">
        <v>923</v>
      </c>
      <c r="B101" s="383">
        <v>3</v>
      </c>
      <c r="C101" s="384" t="s">
        <v>739</v>
      </c>
      <c r="D101" s="385" t="s">
        <v>924</v>
      </c>
      <c r="E101" s="386">
        <v>745034714</v>
      </c>
      <c r="F101" s="387">
        <v>30000000</v>
      </c>
      <c r="G101" s="387">
        <v>0</v>
      </c>
      <c r="H101" s="386">
        <v>43071000</v>
      </c>
      <c r="I101" s="386">
        <v>71971000</v>
      </c>
      <c r="J101" s="386">
        <v>746134714</v>
      </c>
      <c r="K101" s="386">
        <v>0</v>
      </c>
      <c r="L101" s="386">
        <v>658685005</v>
      </c>
      <c r="M101" s="386">
        <v>0</v>
      </c>
      <c r="N101" s="386">
        <v>558685005</v>
      </c>
      <c r="O101" s="386">
        <v>0</v>
      </c>
      <c r="P101" s="386">
        <v>558685005</v>
      </c>
      <c r="Q101" s="386">
        <v>0</v>
      </c>
      <c r="R101" s="386">
        <v>558685005</v>
      </c>
      <c r="S101" s="388">
        <v>100000000</v>
      </c>
      <c r="T101" s="388">
        <v>0</v>
      </c>
      <c r="U101" s="389">
        <v>0</v>
      </c>
    </row>
    <row r="102" spans="1:21" s="381" customFormat="1" ht="13.5" customHeight="1" x14ac:dyDescent="0.25">
      <c r="A102" s="382" t="s">
        <v>925</v>
      </c>
      <c r="B102" s="383">
        <v>4</v>
      </c>
      <c r="C102" s="384" t="s">
        <v>746</v>
      </c>
      <c r="D102" s="385" t="s">
        <v>926</v>
      </c>
      <c r="E102" s="386">
        <v>15000000</v>
      </c>
      <c r="F102" s="387">
        <v>0</v>
      </c>
      <c r="G102" s="387">
        <v>0</v>
      </c>
      <c r="H102" s="386">
        <v>0</v>
      </c>
      <c r="I102" s="386">
        <v>0</v>
      </c>
      <c r="J102" s="386">
        <v>15000000</v>
      </c>
      <c r="K102" s="386">
        <v>0</v>
      </c>
      <c r="L102" s="386">
        <v>0</v>
      </c>
      <c r="M102" s="386">
        <v>0</v>
      </c>
      <c r="N102" s="386">
        <v>0</v>
      </c>
      <c r="O102" s="386">
        <v>0</v>
      </c>
      <c r="P102" s="386">
        <v>0</v>
      </c>
      <c r="Q102" s="386">
        <v>0</v>
      </c>
      <c r="R102" s="386">
        <v>0</v>
      </c>
      <c r="S102" s="388">
        <v>0</v>
      </c>
      <c r="T102" s="388">
        <v>0</v>
      </c>
      <c r="U102" s="389">
        <v>0</v>
      </c>
    </row>
    <row r="103" spans="1:21" ht="13.5" customHeight="1" x14ac:dyDescent="0.2">
      <c r="A103" s="392" t="s">
        <v>927</v>
      </c>
      <c r="B103" s="393">
        <v>5</v>
      </c>
      <c r="C103" s="394" t="s">
        <v>739</v>
      </c>
      <c r="D103" s="395" t="s">
        <v>928</v>
      </c>
      <c r="E103" s="396">
        <v>15000000</v>
      </c>
      <c r="F103" s="400">
        <v>0</v>
      </c>
      <c r="G103" s="400"/>
      <c r="H103" s="396">
        <v>0</v>
      </c>
      <c r="I103" s="396">
        <v>0</v>
      </c>
      <c r="J103" s="396">
        <v>15000000</v>
      </c>
      <c r="K103" s="396">
        <v>0</v>
      </c>
      <c r="L103" s="396">
        <v>0</v>
      </c>
      <c r="M103" s="396">
        <v>0</v>
      </c>
      <c r="N103" s="396">
        <v>0</v>
      </c>
      <c r="O103" s="396">
        <v>0</v>
      </c>
      <c r="P103" s="396">
        <v>0</v>
      </c>
      <c r="Q103" s="396">
        <v>0</v>
      </c>
      <c r="R103" s="396">
        <v>0</v>
      </c>
      <c r="S103" s="397">
        <v>0</v>
      </c>
      <c r="T103" s="397">
        <v>0</v>
      </c>
      <c r="U103" s="398">
        <v>0</v>
      </c>
    </row>
    <row r="104" spans="1:21" s="381" customFormat="1" ht="13.5" customHeight="1" x14ac:dyDescent="0.25">
      <c r="A104" s="382" t="s">
        <v>929</v>
      </c>
      <c r="B104" s="383">
        <v>4</v>
      </c>
      <c r="C104" s="384" t="s">
        <v>746</v>
      </c>
      <c r="D104" s="385" t="s">
        <v>930</v>
      </c>
      <c r="E104" s="386">
        <v>48000000</v>
      </c>
      <c r="F104" s="387">
        <v>0</v>
      </c>
      <c r="G104" s="387">
        <v>0</v>
      </c>
      <c r="H104" s="386">
        <v>43071000</v>
      </c>
      <c r="I104" s="386">
        <v>0</v>
      </c>
      <c r="J104" s="386">
        <v>91071000</v>
      </c>
      <c r="K104" s="386">
        <v>0</v>
      </c>
      <c r="L104" s="386">
        <v>91070584</v>
      </c>
      <c r="M104" s="386">
        <v>0</v>
      </c>
      <c r="N104" s="386">
        <v>91070584</v>
      </c>
      <c r="O104" s="386">
        <v>0</v>
      </c>
      <c r="P104" s="386">
        <v>91070584</v>
      </c>
      <c r="Q104" s="386">
        <v>0</v>
      </c>
      <c r="R104" s="386">
        <v>91070584</v>
      </c>
      <c r="S104" s="388">
        <v>0</v>
      </c>
      <c r="T104" s="388">
        <v>0</v>
      </c>
      <c r="U104" s="389">
        <v>0</v>
      </c>
    </row>
    <row r="105" spans="1:21" ht="13.5" customHeight="1" x14ac:dyDescent="0.2">
      <c r="A105" s="392" t="s">
        <v>931</v>
      </c>
      <c r="B105" s="393">
        <v>5</v>
      </c>
      <c r="C105" s="394" t="s">
        <v>739</v>
      </c>
      <c r="D105" s="395" t="s">
        <v>932</v>
      </c>
      <c r="E105" s="396">
        <v>48000000</v>
      </c>
      <c r="F105" s="400">
        <v>0</v>
      </c>
      <c r="G105" s="400"/>
      <c r="H105" s="396">
        <v>43071000</v>
      </c>
      <c r="I105" s="396">
        <v>0</v>
      </c>
      <c r="J105" s="396">
        <v>91071000</v>
      </c>
      <c r="K105" s="396">
        <v>0</v>
      </c>
      <c r="L105" s="396">
        <v>91070584</v>
      </c>
      <c r="M105" s="396">
        <v>0</v>
      </c>
      <c r="N105" s="396">
        <v>91070584</v>
      </c>
      <c r="O105" s="396">
        <v>0</v>
      </c>
      <c r="P105" s="396">
        <v>91070584</v>
      </c>
      <c r="Q105" s="396">
        <v>0</v>
      </c>
      <c r="R105" s="396">
        <v>91070584</v>
      </c>
      <c r="S105" s="397">
        <v>0</v>
      </c>
      <c r="T105" s="397">
        <v>0</v>
      </c>
      <c r="U105" s="398">
        <v>0</v>
      </c>
    </row>
    <row r="106" spans="1:21" s="381" customFormat="1" ht="13.5" customHeight="1" x14ac:dyDescent="0.25">
      <c r="A106" s="382" t="s">
        <v>933</v>
      </c>
      <c r="B106" s="383">
        <v>4</v>
      </c>
      <c r="C106" s="384" t="s">
        <v>746</v>
      </c>
      <c r="D106" s="385" t="s">
        <v>934</v>
      </c>
      <c r="E106" s="386">
        <v>682034714</v>
      </c>
      <c r="F106" s="387">
        <v>30000000</v>
      </c>
      <c r="G106" s="387">
        <v>0</v>
      </c>
      <c r="H106" s="386">
        <v>0</v>
      </c>
      <c r="I106" s="386">
        <v>71971000</v>
      </c>
      <c r="J106" s="386">
        <v>640063714</v>
      </c>
      <c r="K106" s="386">
        <v>0</v>
      </c>
      <c r="L106" s="386">
        <v>567614421</v>
      </c>
      <c r="M106" s="386">
        <v>0</v>
      </c>
      <c r="N106" s="386">
        <v>467614421</v>
      </c>
      <c r="O106" s="386">
        <v>0</v>
      </c>
      <c r="P106" s="386">
        <v>467614421</v>
      </c>
      <c r="Q106" s="386">
        <v>0</v>
      </c>
      <c r="R106" s="386">
        <v>467614421</v>
      </c>
      <c r="S106" s="388">
        <v>100000000</v>
      </c>
      <c r="T106" s="388">
        <v>0</v>
      </c>
      <c r="U106" s="389">
        <v>0</v>
      </c>
    </row>
    <row r="107" spans="1:21" ht="13.5" customHeight="1" x14ac:dyDescent="0.25">
      <c r="A107" s="392" t="s">
        <v>935</v>
      </c>
      <c r="B107" s="393">
        <v>6</v>
      </c>
      <c r="C107" s="394" t="s">
        <v>746</v>
      </c>
      <c r="D107" s="395" t="s">
        <v>936</v>
      </c>
      <c r="E107" s="396">
        <v>632034714</v>
      </c>
      <c r="F107" s="400">
        <v>0</v>
      </c>
      <c r="G107" s="387"/>
      <c r="H107" s="396">
        <v>0</v>
      </c>
      <c r="I107" s="396">
        <v>71971000</v>
      </c>
      <c r="J107" s="396">
        <v>560063714</v>
      </c>
      <c r="K107" s="396">
        <v>0</v>
      </c>
      <c r="L107" s="396">
        <v>490518501</v>
      </c>
      <c r="M107" s="396">
        <v>0</v>
      </c>
      <c r="N107" s="396">
        <v>390518501</v>
      </c>
      <c r="O107" s="396">
        <v>0</v>
      </c>
      <c r="P107" s="396">
        <v>390518501</v>
      </c>
      <c r="Q107" s="396">
        <v>0</v>
      </c>
      <c r="R107" s="396">
        <v>390518501</v>
      </c>
      <c r="S107" s="397">
        <v>100000000</v>
      </c>
      <c r="T107" s="397">
        <v>0</v>
      </c>
      <c r="U107" s="398">
        <v>0</v>
      </c>
    </row>
    <row r="108" spans="1:21" ht="13.5" customHeight="1" x14ac:dyDescent="0.2">
      <c r="A108" s="392" t="s">
        <v>937</v>
      </c>
      <c r="B108" s="393">
        <v>6</v>
      </c>
      <c r="C108" s="394" t="s">
        <v>739</v>
      </c>
      <c r="D108" s="401" t="s">
        <v>938</v>
      </c>
      <c r="E108" s="396">
        <v>50000000</v>
      </c>
      <c r="F108" s="400">
        <v>30000000</v>
      </c>
      <c r="G108" s="400"/>
      <c r="H108" s="396">
        <v>0</v>
      </c>
      <c r="I108" s="396">
        <v>0</v>
      </c>
      <c r="J108" s="396">
        <v>80000000</v>
      </c>
      <c r="K108" s="396">
        <v>0</v>
      </c>
      <c r="L108" s="396">
        <v>77095920</v>
      </c>
      <c r="M108" s="396">
        <v>0</v>
      </c>
      <c r="N108" s="396">
        <v>77095920</v>
      </c>
      <c r="O108" s="396">
        <v>0</v>
      </c>
      <c r="P108" s="396">
        <v>77095920</v>
      </c>
      <c r="Q108" s="396">
        <v>0</v>
      </c>
      <c r="R108" s="396">
        <v>77095920</v>
      </c>
      <c r="S108" s="397">
        <v>0</v>
      </c>
      <c r="T108" s="397">
        <v>0</v>
      </c>
      <c r="U108" s="398">
        <v>0</v>
      </c>
    </row>
    <row r="109" spans="1:21" ht="13.5" customHeight="1" x14ac:dyDescent="0.25">
      <c r="A109" s="382" t="s">
        <v>939</v>
      </c>
      <c r="B109" s="383">
        <v>2</v>
      </c>
      <c r="C109" s="384" t="s">
        <v>739</v>
      </c>
      <c r="D109" s="385" t="s">
        <v>940</v>
      </c>
      <c r="E109" s="386">
        <v>11786542655</v>
      </c>
      <c r="F109" s="387">
        <v>398657143</v>
      </c>
      <c r="G109" s="387">
        <v>0</v>
      </c>
      <c r="H109" s="386">
        <v>0</v>
      </c>
      <c r="I109" s="386">
        <v>0</v>
      </c>
      <c r="J109" s="386">
        <v>12185199798</v>
      </c>
      <c r="K109" s="386">
        <v>10691429</v>
      </c>
      <c r="L109" s="386">
        <v>12060489789</v>
      </c>
      <c r="M109" s="386">
        <v>11174047</v>
      </c>
      <c r="N109" s="386">
        <v>12058378453</v>
      </c>
      <c r="O109" s="386">
        <v>10673429</v>
      </c>
      <c r="P109" s="386">
        <v>12040818499</v>
      </c>
      <c r="Q109" s="386">
        <v>0</v>
      </c>
      <c r="R109" s="386">
        <v>12030145070</v>
      </c>
      <c r="S109" s="388">
        <v>2111336</v>
      </c>
      <c r="T109" s="388">
        <v>17559954</v>
      </c>
      <c r="U109" s="389">
        <v>10673429</v>
      </c>
    </row>
    <row r="110" spans="1:21" ht="13.5" customHeight="1" x14ac:dyDescent="0.25">
      <c r="A110" s="382" t="s">
        <v>941</v>
      </c>
      <c r="B110" s="383">
        <v>3</v>
      </c>
      <c r="C110" s="384" t="s">
        <v>739</v>
      </c>
      <c r="D110" s="385" t="s">
        <v>942</v>
      </c>
      <c r="E110" s="386">
        <v>11786542655</v>
      </c>
      <c r="F110" s="387">
        <v>398657143</v>
      </c>
      <c r="G110" s="387">
        <v>0</v>
      </c>
      <c r="H110" s="386">
        <v>0</v>
      </c>
      <c r="I110" s="386">
        <v>0</v>
      </c>
      <c r="J110" s="386">
        <v>12185199798</v>
      </c>
      <c r="K110" s="386">
        <v>10691429</v>
      </c>
      <c r="L110" s="386">
        <v>12060489789</v>
      </c>
      <c r="M110" s="386">
        <v>11174047</v>
      </c>
      <c r="N110" s="386">
        <v>12058378453</v>
      </c>
      <c r="O110" s="386">
        <v>10673429</v>
      </c>
      <c r="P110" s="386">
        <v>12040818499</v>
      </c>
      <c r="Q110" s="386">
        <v>0</v>
      </c>
      <c r="R110" s="386">
        <v>12030145070</v>
      </c>
      <c r="S110" s="388">
        <v>2111336</v>
      </c>
      <c r="T110" s="388">
        <v>17559954</v>
      </c>
      <c r="U110" s="389">
        <v>10673429</v>
      </c>
    </row>
    <row r="111" spans="1:21" ht="13.5" customHeight="1" x14ac:dyDescent="0.25">
      <c r="A111" s="382" t="s">
        <v>943</v>
      </c>
      <c r="B111" s="383">
        <v>4</v>
      </c>
      <c r="C111" s="384" t="s">
        <v>746</v>
      </c>
      <c r="D111" s="385" t="s">
        <v>944</v>
      </c>
      <c r="E111" s="386">
        <v>11786542655</v>
      </c>
      <c r="F111" s="387">
        <v>398657143</v>
      </c>
      <c r="G111" s="387">
        <v>0</v>
      </c>
      <c r="H111" s="386">
        <v>0</v>
      </c>
      <c r="I111" s="386">
        <v>0</v>
      </c>
      <c r="J111" s="386">
        <v>12185199798</v>
      </c>
      <c r="K111" s="386">
        <v>10691429</v>
      </c>
      <c r="L111" s="386">
        <v>12060489789</v>
      </c>
      <c r="M111" s="386">
        <v>11174047</v>
      </c>
      <c r="N111" s="386">
        <v>12058378453</v>
      </c>
      <c r="O111" s="386">
        <v>10673429</v>
      </c>
      <c r="P111" s="386">
        <v>12040818499</v>
      </c>
      <c r="Q111" s="386">
        <v>0</v>
      </c>
      <c r="R111" s="386">
        <v>12030145070</v>
      </c>
      <c r="S111" s="388">
        <v>2111336</v>
      </c>
      <c r="T111" s="388">
        <v>17559954</v>
      </c>
      <c r="U111" s="389">
        <v>10673429</v>
      </c>
    </row>
    <row r="112" spans="1:21" s="381" customFormat="1" ht="13.5" customHeight="1" x14ac:dyDescent="0.25">
      <c r="A112" s="382" t="s">
        <v>945</v>
      </c>
      <c r="B112" s="383">
        <v>5</v>
      </c>
      <c r="C112" s="384" t="s">
        <v>746</v>
      </c>
      <c r="D112" s="385" t="s">
        <v>946</v>
      </c>
      <c r="E112" s="386">
        <v>11786542655</v>
      </c>
      <c r="F112" s="387">
        <v>398657143</v>
      </c>
      <c r="G112" s="387">
        <v>0</v>
      </c>
      <c r="H112" s="386">
        <v>0</v>
      </c>
      <c r="I112" s="386">
        <v>0</v>
      </c>
      <c r="J112" s="386">
        <v>12185199798</v>
      </c>
      <c r="K112" s="386">
        <v>10691429</v>
      </c>
      <c r="L112" s="386">
        <v>12060489789</v>
      </c>
      <c r="M112" s="386">
        <v>11174047</v>
      </c>
      <c r="N112" s="386">
        <v>12058378453</v>
      </c>
      <c r="O112" s="386">
        <v>10673429</v>
      </c>
      <c r="P112" s="386">
        <v>12040818499</v>
      </c>
      <c r="Q112" s="386">
        <v>0</v>
      </c>
      <c r="R112" s="386">
        <v>12030145070</v>
      </c>
      <c r="S112" s="388">
        <v>2111336</v>
      </c>
      <c r="T112" s="388">
        <v>17559954</v>
      </c>
      <c r="U112" s="389">
        <v>10673429</v>
      </c>
    </row>
    <row r="113" spans="1:21" s="381" customFormat="1" ht="13.5" customHeight="1" x14ac:dyDescent="0.25">
      <c r="A113" s="382" t="s">
        <v>947</v>
      </c>
      <c r="B113" s="383">
        <v>6</v>
      </c>
      <c r="C113" s="384" t="s">
        <v>746</v>
      </c>
      <c r="D113" s="402" t="s">
        <v>948</v>
      </c>
      <c r="E113" s="386">
        <v>11786542655</v>
      </c>
      <c r="F113" s="387">
        <v>398657143</v>
      </c>
      <c r="G113" s="387">
        <v>0</v>
      </c>
      <c r="H113" s="386">
        <v>0</v>
      </c>
      <c r="I113" s="386">
        <v>0</v>
      </c>
      <c r="J113" s="386">
        <v>12185199798</v>
      </c>
      <c r="K113" s="386">
        <v>10691429</v>
      </c>
      <c r="L113" s="386">
        <v>12060489789</v>
      </c>
      <c r="M113" s="386">
        <v>11174047</v>
      </c>
      <c r="N113" s="386">
        <v>12058378453</v>
      </c>
      <c r="O113" s="386">
        <v>10673429</v>
      </c>
      <c r="P113" s="386">
        <v>12040818499</v>
      </c>
      <c r="Q113" s="386">
        <v>0</v>
      </c>
      <c r="R113" s="386">
        <v>12030145070</v>
      </c>
      <c r="S113" s="388">
        <v>2111336</v>
      </c>
      <c r="T113" s="388">
        <v>17559954</v>
      </c>
      <c r="U113" s="389">
        <v>10673429</v>
      </c>
    </row>
    <row r="114" spans="1:21" ht="13.5" customHeight="1" x14ac:dyDescent="0.2">
      <c r="A114" s="392" t="s">
        <v>949</v>
      </c>
      <c r="B114" s="393">
        <v>7</v>
      </c>
      <c r="C114" s="394" t="s">
        <v>739</v>
      </c>
      <c r="D114" s="395" t="s">
        <v>950</v>
      </c>
      <c r="E114" s="396">
        <v>11707053512</v>
      </c>
      <c r="F114" s="400">
        <v>367604370</v>
      </c>
      <c r="G114" s="400"/>
      <c r="H114" s="396">
        <v>0</v>
      </c>
      <c r="I114" s="396">
        <v>0</v>
      </c>
      <c r="J114" s="396">
        <v>12074657882</v>
      </c>
      <c r="K114" s="396">
        <v>10691429</v>
      </c>
      <c r="L114" s="396">
        <v>12054493752</v>
      </c>
      <c r="M114" s="396">
        <v>11174047</v>
      </c>
      <c r="N114" s="396">
        <v>12052403816</v>
      </c>
      <c r="O114" s="396">
        <v>10673429</v>
      </c>
      <c r="P114" s="396">
        <v>12034843862</v>
      </c>
      <c r="Q114" s="396">
        <v>0</v>
      </c>
      <c r="R114" s="396">
        <v>12024170433</v>
      </c>
      <c r="S114" s="397">
        <v>2089936</v>
      </c>
      <c r="T114" s="397">
        <v>17559954</v>
      </c>
      <c r="U114" s="398">
        <v>10673429</v>
      </c>
    </row>
    <row r="115" spans="1:21" ht="13.5" customHeight="1" x14ac:dyDescent="0.2">
      <c r="A115" s="392" t="s">
        <v>951</v>
      </c>
      <c r="B115" s="393">
        <v>7</v>
      </c>
      <c r="C115" s="394" t="s">
        <v>739</v>
      </c>
      <c r="D115" s="395" t="s">
        <v>952</v>
      </c>
      <c r="E115" s="396">
        <v>79489143</v>
      </c>
      <c r="F115" s="400">
        <v>31052773</v>
      </c>
      <c r="G115" s="400"/>
      <c r="H115" s="396">
        <v>0</v>
      </c>
      <c r="I115" s="396">
        <v>0</v>
      </c>
      <c r="J115" s="396">
        <v>110541916</v>
      </c>
      <c r="K115" s="396">
        <v>0</v>
      </c>
      <c r="L115" s="396">
        <v>5996037</v>
      </c>
      <c r="M115" s="396">
        <v>0</v>
      </c>
      <c r="N115" s="396">
        <v>5974637</v>
      </c>
      <c r="O115" s="396">
        <v>0</v>
      </c>
      <c r="P115" s="396">
        <v>5974637</v>
      </c>
      <c r="Q115" s="396">
        <v>0</v>
      </c>
      <c r="R115" s="396">
        <v>5974637</v>
      </c>
      <c r="S115" s="397">
        <v>21400</v>
      </c>
      <c r="T115" s="397">
        <v>0</v>
      </c>
      <c r="U115" s="398">
        <v>0</v>
      </c>
    </row>
    <row r="116" spans="1:21" s="381" customFormat="1" ht="13.5" customHeight="1" x14ac:dyDescent="0.25">
      <c r="A116" s="382" t="s">
        <v>953</v>
      </c>
      <c r="B116" s="383">
        <v>2</v>
      </c>
      <c r="C116" s="384" t="s">
        <v>746</v>
      </c>
      <c r="D116" s="385" t="s">
        <v>954</v>
      </c>
      <c r="E116" s="386">
        <v>143021031224</v>
      </c>
      <c r="F116" s="387">
        <v>51029056452</v>
      </c>
      <c r="G116" s="387">
        <v>0</v>
      </c>
      <c r="H116" s="386">
        <v>77288481686</v>
      </c>
      <c r="I116" s="386">
        <v>77288481686</v>
      </c>
      <c r="J116" s="386">
        <v>194600087676</v>
      </c>
      <c r="K116" s="386">
        <v>2241735551</v>
      </c>
      <c r="L116" s="386">
        <v>185639982431</v>
      </c>
      <c r="M116" s="386">
        <v>1213298929</v>
      </c>
      <c r="N116" s="386">
        <v>183972834878</v>
      </c>
      <c r="O116" s="386">
        <v>568308832</v>
      </c>
      <c r="P116" s="386">
        <v>113252733656.41235</v>
      </c>
      <c r="Q116" s="386">
        <v>1325988779</v>
      </c>
      <c r="R116" s="386">
        <v>111646754499.99992</v>
      </c>
      <c r="S116" s="388">
        <v>1667147553</v>
      </c>
      <c r="T116" s="388">
        <v>70720101221.587646</v>
      </c>
      <c r="U116" s="389">
        <v>1605979156.4124289</v>
      </c>
    </row>
    <row r="117" spans="1:21" s="381" customFormat="1" ht="13.5" customHeight="1" x14ac:dyDescent="0.25">
      <c r="A117" s="382" t="s">
        <v>955</v>
      </c>
      <c r="B117" s="383">
        <v>3</v>
      </c>
      <c r="C117" s="384" t="s">
        <v>746</v>
      </c>
      <c r="D117" s="385" t="s">
        <v>956</v>
      </c>
      <c r="E117" s="386">
        <v>143021031224</v>
      </c>
      <c r="F117" s="387">
        <v>51029056452</v>
      </c>
      <c r="G117" s="387">
        <v>0</v>
      </c>
      <c r="H117" s="386">
        <v>77288481686</v>
      </c>
      <c r="I117" s="386">
        <v>77288481686</v>
      </c>
      <c r="J117" s="386">
        <v>194600087676</v>
      </c>
      <c r="K117" s="386">
        <v>2241735551</v>
      </c>
      <c r="L117" s="386">
        <v>185639982431</v>
      </c>
      <c r="M117" s="386">
        <v>1213298929</v>
      </c>
      <c r="N117" s="386">
        <v>183972834878</v>
      </c>
      <c r="O117" s="386">
        <v>568308832</v>
      </c>
      <c r="P117" s="386">
        <v>113252733656.41235</v>
      </c>
      <c r="Q117" s="386">
        <v>1325988779</v>
      </c>
      <c r="R117" s="386">
        <v>111646754499.99992</v>
      </c>
      <c r="S117" s="388">
        <v>1667147553</v>
      </c>
      <c r="T117" s="388">
        <v>70720101221.587646</v>
      </c>
      <c r="U117" s="389">
        <v>1605979156.4124289</v>
      </c>
    </row>
    <row r="118" spans="1:21" s="381" customFormat="1" ht="13.5" customHeight="1" x14ac:dyDescent="0.25">
      <c r="A118" s="382" t="s">
        <v>957</v>
      </c>
      <c r="B118" s="383">
        <v>4</v>
      </c>
      <c r="C118" s="384" t="s">
        <v>746</v>
      </c>
      <c r="D118" s="385" t="s">
        <v>958</v>
      </c>
      <c r="E118" s="386">
        <v>143021031224</v>
      </c>
      <c r="F118" s="387">
        <v>51029056452</v>
      </c>
      <c r="G118" s="387">
        <v>0</v>
      </c>
      <c r="H118" s="386">
        <v>77288481686</v>
      </c>
      <c r="I118" s="386">
        <v>77288481686</v>
      </c>
      <c r="J118" s="386">
        <v>194600087676</v>
      </c>
      <c r="K118" s="386">
        <v>2241735551</v>
      </c>
      <c r="L118" s="386">
        <v>185639982431</v>
      </c>
      <c r="M118" s="386">
        <v>1213298929</v>
      </c>
      <c r="N118" s="386">
        <v>183972834878</v>
      </c>
      <c r="O118" s="386">
        <v>568308832</v>
      </c>
      <c r="P118" s="386">
        <v>113252733656.41235</v>
      </c>
      <c r="Q118" s="386">
        <v>1325988779</v>
      </c>
      <c r="R118" s="386">
        <v>111646754499.99992</v>
      </c>
      <c r="S118" s="388">
        <v>1667147553</v>
      </c>
      <c r="T118" s="388">
        <v>70720101221.587646</v>
      </c>
      <c r="U118" s="389">
        <v>1605979156.4124289</v>
      </c>
    </row>
    <row r="119" spans="1:21" s="381" customFormat="1" ht="13.5" customHeight="1" x14ac:dyDescent="0.25">
      <c r="A119" s="382" t="s">
        <v>959</v>
      </c>
      <c r="B119" s="383">
        <v>5</v>
      </c>
      <c r="C119" s="384" t="s">
        <v>746</v>
      </c>
      <c r="D119" s="385" t="s">
        <v>913</v>
      </c>
      <c r="E119" s="386">
        <v>143021031224</v>
      </c>
      <c r="F119" s="387">
        <v>51029056452</v>
      </c>
      <c r="G119" s="387">
        <v>0</v>
      </c>
      <c r="H119" s="386">
        <v>77288481686</v>
      </c>
      <c r="I119" s="386">
        <v>77288481686</v>
      </c>
      <c r="J119" s="386">
        <v>194600087676</v>
      </c>
      <c r="K119" s="386">
        <v>2241735551</v>
      </c>
      <c r="L119" s="386">
        <v>185639982431</v>
      </c>
      <c r="M119" s="386">
        <v>1213298929</v>
      </c>
      <c r="N119" s="386">
        <v>183972834878</v>
      </c>
      <c r="O119" s="386">
        <v>568308832</v>
      </c>
      <c r="P119" s="386">
        <v>113252733656.41235</v>
      </c>
      <c r="Q119" s="386">
        <v>1325988779</v>
      </c>
      <c r="R119" s="386">
        <v>111646754499.99992</v>
      </c>
      <c r="S119" s="388">
        <v>1667147553</v>
      </c>
      <c r="T119" s="388">
        <v>70720101221.587646</v>
      </c>
      <c r="U119" s="389">
        <v>1605979156.4124289</v>
      </c>
    </row>
    <row r="120" spans="1:21" s="381" customFormat="1" ht="13.5" customHeight="1" x14ac:dyDescent="0.25">
      <c r="A120" s="382" t="s">
        <v>960</v>
      </c>
      <c r="B120" s="383">
        <v>6</v>
      </c>
      <c r="C120" s="384" t="s">
        <v>746</v>
      </c>
      <c r="D120" s="385" t="s">
        <v>961</v>
      </c>
      <c r="E120" s="386">
        <v>135708030070</v>
      </c>
      <c r="F120" s="387">
        <v>44801524445</v>
      </c>
      <c r="G120" s="387">
        <v>0</v>
      </c>
      <c r="H120" s="386">
        <v>69535881186</v>
      </c>
      <c r="I120" s="386">
        <v>70107381686</v>
      </c>
      <c r="J120" s="386">
        <v>180488054015</v>
      </c>
      <c r="K120" s="386">
        <v>2013494145</v>
      </c>
      <c r="L120" s="386">
        <v>171542485875</v>
      </c>
      <c r="M120" s="386">
        <v>813542872</v>
      </c>
      <c r="N120" s="386">
        <v>169906155642</v>
      </c>
      <c r="O120" s="386">
        <v>459561886</v>
      </c>
      <c r="P120" s="386">
        <v>104888464064.2457</v>
      </c>
      <c r="Q120" s="386">
        <v>1194730402</v>
      </c>
      <c r="R120" s="386">
        <v>103321698690.33327</v>
      </c>
      <c r="S120" s="388">
        <v>1636330233</v>
      </c>
      <c r="T120" s="388">
        <v>65017691577.754303</v>
      </c>
      <c r="U120" s="389">
        <v>1566765373.9124289</v>
      </c>
    </row>
    <row r="121" spans="1:21" ht="13.5" customHeight="1" x14ac:dyDescent="0.25">
      <c r="A121" s="392" t="s">
        <v>962</v>
      </c>
      <c r="B121" s="393">
        <v>7</v>
      </c>
      <c r="C121" s="394" t="s">
        <v>746</v>
      </c>
      <c r="D121" s="395" t="s">
        <v>140</v>
      </c>
      <c r="E121" s="396">
        <v>17207614937</v>
      </c>
      <c r="F121" s="400">
        <v>5166076842</v>
      </c>
      <c r="G121" s="387"/>
      <c r="H121" s="396">
        <v>5151019818</v>
      </c>
      <c r="I121" s="396">
        <v>7005000500</v>
      </c>
      <c r="J121" s="396">
        <v>20519711097</v>
      </c>
      <c r="K121" s="396">
        <v>321077981</v>
      </c>
      <c r="L121" s="396">
        <v>20485403435</v>
      </c>
      <c r="M121" s="396">
        <v>144031561</v>
      </c>
      <c r="N121" s="396">
        <v>20304594173</v>
      </c>
      <c r="O121" s="396">
        <v>21912527</v>
      </c>
      <c r="P121" s="396">
        <v>12239193913.5133</v>
      </c>
      <c r="Q121" s="396">
        <v>21912527</v>
      </c>
      <c r="R121" s="396">
        <v>12239193913.5133</v>
      </c>
      <c r="S121" s="397">
        <v>180809262</v>
      </c>
      <c r="T121" s="397">
        <v>8065400259.4867001</v>
      </c>
      <c r="U121" s="398">
        <v>0</v>
      </c>
    </row>
    <row r="122" spans="1:21" ht="13.5" customHeight="1" x14ac:dyDescent="0.25">
      <c r="A122" s="392" t="s">
        <v>963</v>
      </c>
      <c r="B122" s="393">
        <v>7</v>
      </c>
      <c r="C122" s="394" t="s">
        <v>746</v>
      </c>
      <c r="D122" s="395" t="s">
        <v>142</v>
      </c>
      <c r="E122" s="396">
        <v>42049392323</v>
      </c>
      <c r="F122" s="400">
        <v>5836299597</v>
      </c>
      <c r="G122" s="387"/>
      <c r="H122" s="396">
        <v>17652579682</v>
      </c>
      <c r="I122" s="396">
        <v>15952000000</v>
      </c>
      <c r="J122" s="396">
        <v>49566271602</v>
      </c>
      <c r="K122" s="396">
        <v>120461993</v>
      </c>
      <c r="L122" s="396">
        <v>49364234957</v>
      </c>
      <c r="M122" s="396">
        <v>0</v>
      </c>
      <c r="N122" s="396">
        <v>49227472962</v>
      </c>
      <c r="O122" s="396">
        <v>16503708</v>
      </c>
      <c r="P122" s="396">
        <v>31465856964</v>
      </c>
      <c r="Q122" s="396">
        <v>969697492</v>
      </c>
      <c r="R122" s="396">
        <v>30771630516</v>
      </c>
      <c r="S122" s="397">
        <v>136761995</v>
      </c>
      <c r="T122" s="397">
        <v>17761615998</v>
      </c>
      <c r="U122" s="398">
        <v>694226448</v>
      </c>
    </row>
    <row r="123" spans="1:21" ht="13.5" customHeight="1" x14ac:dyDescent="0.25">
      <c r="A123" s="392" t="s">
        <v>964</v>
      </c>
      <c r="B123" s="393">
        <v>7</v>
      </c>
      <c r="C123" s="394" t="s">
        <v>746</v>
      </c>
      <c r="D123" s="395" t="s">
        <v>144</v>
      </c>
      <c r="E123" s="396">
        <v>22051300000</v>
      </c>
      <c r="F123" s="400">
        <v>250000000</v>
      </c>
      <c r="G123" s="387"/>
      <c r="H123" s="396">
        <v>6047551268</v>
      </c>
      <c r="I123" s="396">
        <v>11203000000</v>
      </c>
      <c r="J123" s="396">
        <v>17313851268</v>
      </c>
      <c r="K123" s="396">
        <v>0</v>
      </c>
      <c r="L123" s="396">
        <v>17411263150</v>
      </c>
      <c r="M123" s="396">
        <v>0</v>
      </c>
      <c r="N123" s="396">
        <v>17411263148</v>
      </c>
      <c r="O123" s="396">
        <v>0</v>
      </c>
      <c r="P123" s="396">
        <v>7012475990.6666698</v>
      </c>
      <c r="Q123" s="396">
        <v>0</v>
      </c>
      <c r="R123" s="396">
        <v>7012475990.6666698</v>
      </c>
      <c r="S123" s="397">
        <v>2</v>
      </c>
      <c r="T123" s="397">
        <v>10398787157.33333</v>
      </c>
      <c r="U123" s="398">
        <v>0</v>
      </c>
    </row>
    <row r="124" spans="1:21" ht="13.5" customHeight="1" x14ac:dyDescent="0.25">
      <c r="A124" s="392" t="s">
        <v>965</v>
      </c>
      <c r="B124" s="393">
        <v>7</v>
      </c>
      <c r="C124" s="394" t="s">
        <v>746</v>
      </c>
      <c r="D124" s="395" t="s">
        <v>146</v>
      </c>
      <c r="E124" s="396">
        <v>24400939813</v>
      </c>
      <c r="F124" s="400">
        <v>0</v>
      </c>
      <c r="G124" s="387"/>
      <c r="H124" s="396">
        <v>13058000000</v>
      </c>
      <c r="I124" s="396">
        <v>6934000000</v>
      </c>
      <c r="J124" s="396">
        <v>30524939813</v>
      </c>
      <c r="K124" s="396">
        <v>18179478</v>
      </c>
      <c r="L124" s="396">
        <v>30523197065</v>
      </c>
      <c r="M124" s="396">
        <v>18179478</v>
      </c>
      <c r="N124" s="396">
        <v>30523197062</v>
      </c>
      <c r="O124" s="396">
        <v>0</v>
      </c>
      <c r="P124" s="396">
        <v>17463382821</v>
      </c>
      <c r="Q124" s="396">
        <v>18179478</v>
      </c>
      <c r="R124" s="396">
        <v>17435506366.737602</v>
      </c>
      <c r="S124" s="397">
        <v>3</v>
      </c>
      <c r="T124" s="397">
        <v>13059814241</v>
      </c>
      <c r="U124" s="398">
        <v>27876454.262397766</v>
      </c>
    </row>
    <row r="125" spans="1:21" ht="13.5" customHeight="1" x14ac:dyDescent="0.25">
      <c r="A125" s="392" t="s">
        <v>966</v>
      </c>
      <c r="B125" s="393">
        <v>7</v>
      </c>
      <c r="C125" s="394" t="s">
        <v>746</v>
      </c>
      <c r="D125" s="395" t="s">
        <v>148</v>
      </c>
      <c r="E125" s="396">
        <v>6656859751</v>
      </c>
      <c r="F125" s="387">
        <v>0</v>
      </c>
      <c r="G125" s="387"/>
      <c r="H125" s="396">
        <v>1942000000</v>
      </c>
      <c r="I125" s="396">
        <v>1126000000</v>
      </c>
      <c r="J125" s="396">
        <v>8024859751</v>
      </c>
      <c r="K125" s="396">
        <v>217309257</v>
      </c>
      <c r="L125" s="396">
        <v>7561859800</v>
      </c>
      <c r="M125" s="396">
        <v>217309257</v>
      </c>
      <c r="N125" s="396">
        <v>7561859800</v>
      </c>
      <c r="O125" s="396">
        <v>88740734</v>
      </c>
      <c r="P125" s="396">
        <v>4161460596.3884001</v>
      </c>
      <c r="Q125" s="396">
        <v>88740734</v>
      </c>
      <c r="R125" s="396">
        <v>4161460596.3884001</v>
      </c>
      <c r="S125" s="397">
        <v>0</v>
      </c>
      <c r="T125" s="397">
        <v>3400399203.6115999</v>
      </c>
      <c r="U125" s="398">
        <v>0</v>
      </c>
    </row>
    <row r="126" spans="1:21" ht="13.5" customHeight="1" x14ac:dyDescent="0.25">
      <c r="A126" s="392" t="s">
        <v>967</v>
      </c>
      <c r="B126" s="393">
        <v>7</v>
      </c>
      <c r="C126" s="394" t="s">
        <v>746</v>
      </c>
      <c r="D126" s="395" t="s">
        <v>150</v>
      </c>
      <c r="E126" s="396">
        <v>10743825885</v>
      </c>
      <c r="F126" s="387">
        <v>21203264155</v>
      </c>
      <c r="G126" s="387"/>
      <c r="H126" s="396">
        <v>5150000000</v>
      </c>
      <c r="I126" s="396">
        <v>17335230950</v>
      </c>
      <c r="J126" s="396">
        <v>19609859090</v>
      </c>
      <c r="K126" s="396">
        <v>885031406</v>
      </c>
      <c r="L126" s="396">
        <v>19429832319</v>
      </c>
      <c r="M126" s="396">
        <v>0</v>
      </c>
      <c r="N126" s="396">
        <v>18544800913</v>
      </c>
      <c r="O126" s="396">
        <v>29644187</v>
      </c>
      <c r="P126" s="396">
        <v>9862212564.3333302</v>
      </c>
      <c r="Q126" s="396">
        <v>29644187</v>
      </c>
      <c r="R126" s="396">
        <v>9862212564.3332996</v>
      </c>
      <c r="S126" s="397">
        <v>885031406</v>
      </c>
      <c r="T126" s="397">
        <v>8682588348.6666698</v>
      </c>
      <c r="U126" s="398">
        <v>3.0517578125E-5</v>
      </c>
    </row>
    <row r="127" spans="1:21" ht="13.5" customHeight="1" x14ac:dyDescent="0.25">
      <c r="A127" s="392" t="s">
        <v>968</v>
      </c>
      <c r="B127" s="393">
        <v>7</v>
      </c>
      <c r="C127" s="394" t="s">
        <v>746</v>
      </c>
      <c r="D127" s="395" t="s">
        <v>152</v>
      </c>
      <c r="E127" s="396">
        <v>4221742544</v>
      </c>
      <c r="F127" s="387">
        <v>0</v>
      </c>
      <c r="G127" s="387"/>
      <c r="H127" s="396">
        <v>6932000000</v>
      </c>
      <c r="I127" s="396">
        <v>2030419818</v>
      </c>
      <c r="J127" s="396">
        <v>9123322726</v>
      </c>
      <c r="K127" s="396">
        <v>54354462</v>
      </c>
      <c r="L127" s="396">
        <v>9122089986</v>
      </c>
      <c r="M127" s="396">
        <v>36943007</v>
      </c>
      <c r="N127" s="396">
        <v>9051961148</v>
      </c>
      <c r="O127" s="396">
        <v>54354461</v>
      </c>
      <c r="P127" s="396">
        <v>8480426461.7666702</v>
      </c>
      <c r="Q127" s="396">
        <v>0</v>
      </c>
      <c r="R127" s="396">
        <v>7877218959.1166697</v>
      </c>
      <c r="S127" s="397">
        <v>70128838</v>
      </c>
      <c r="T127" s="397">
        <v>571534686.23332977</v>
      </c>
      <c r="U127" s="398">
        <v>603207502.65000057</v>
      </c>
    </row>
    <row r="128" spans="1:21" ht="13.5" customHeight="1" x14ac:dyDescent="0.25">
      <c r="A128" s="392" t="s">
        <v>969</v>
      </c>
      <c r="B128" s="393">
        <v>7</v>
      </c>
      <c r="C128" s="394" t="s">
        <v>746</v>
      </c>
      <c r="D128" s="395" t="s">
        <v>154</v>
      </c>
      <c r="E128" s="396">
        <v>6349025825</v>
      </c>
      <c r="F128" s="387">
        <v>0</v>
      </c>
      <c r="G128" s="387"/>
      <c r="H128" s="396">
        <v>960000000</v>
      </c>
      <c r="I128" s="396">
        <v>3849228211</v>
      </c>
      <c r="J128" s="396">
        <v>3459797614</v>
      </c>
      <c r="K128" s="396">
        <v>19699999</v>
      </c>
      <c r="L128" s="396">
        <v>3458842959</v>
      </c>
      <c r="M128" s="396">
        <v>19700000</v>
      </c>
      <c r="N128" s="396">
        <v>3458842959</v>
      </c>
      <c r="O128" s="396">
        <v>0</v>
      </c>
      <c r="P128" s="396">
        <v>2403562329.5706701</v>
      </c>
      <c r="Q128" s="396">
        <v>0</v>
      </c>
      <c r="R128" s="396">
        <v>2403562329.5706701</v>
      </c>
      <c r="S128" s="397">
        <v>0</v>
      </c>
      <c r="T128" s="397">
        <v>1055280629.4293299</v>
      </c>
      <c r="U128" s="398">
        <v>0</v>
      </c>
    </row>
    <row r="129" spans="1:21" ht="13.5" customHeight="1" x14ac:dyDescent="0.25">
      <c r="A129" s="392" t="s">
        <v>970</v>
      </c>
      <c r="B129" s="393">
        <v>7</v>
      </c>
      <c r="C129" s="394" t="s">
        <v>746</v>
      </c>
      <c r="D129" s="401" t="s">
        <v>399</v>
      </c>
      <c r="E129" s="396">
        <v>1307496605</v>
      </c>
      <c r="F129" s="387">
        <v>0</v>
      </c>
      <c r="G129" s="387"/>
      <c r="H129" s="396">
        <v>1260000000</v>
      </c>
      <c r="I129" s="396">
        <v>637000000</v>
      </c>
      <c r="J129" s="396">
        <v>1930496605</v>
      </c>
      <c r="K129" s="396">
        <v>108698000</v>
      </c>
      <c r="L129" s="396">
        <v>1929528500</v>
      </c>
      <c r="M129" s="396">
        <v>108698000</v>
      </c>
      <c r="N129" s="396">
        <v>1929528500</v>
      </c>
      <c r="O129" s="396">
        <v>838000</v>
      </c>
      <c r="P129" s="396">
        <v>814022467.66666698</v>
      </c>
      <c r="Q129" s="396">
        <v>43387017</v>
      </c>
      <c r="R129" s="396">
        <v>814022467.66666698</v>
      </c>
      <c r="S129" s="397">
        <v>0</v>
      </c>
      <c r="T129" s="397">
        <v>1115506032.333333</v>
      </c>
      <c r="U129" s="398">
        <v>0</v>
      </c>
    </row>
    <row r="130" spans="1:21" ht="13.5" customHeight="1" x14ac:dyDescent="0.25">
      <c r="A130" s="392" t="s">
        <v>971</v>
      </c>
      <c r="B130" s="393">
        <v>7</v>
      </c>
      <c r="C130" s="394" t="s">
        <v>746</v>
      </c>
      <c r="D130" s="395" t="s">
        <v>158</v>
      </c>
      <c r="E130" s="396">
        <v>394832387</v>
      </c>
      <c r="F130" s="387">
        <v>0</v>
      </c>
      <c r="G130" s="387"/>
      <c r="H130" s="396">
        <v>85000000</v>
      </c>
      <c r="I130" s="396">
        <v>91000000</v>
      </c>
      <c r="J130" s="396">
        <v>388832387</v>
      </c>
      <c r="K130" s="396">
        <v>15000000</v>
      </c>
      <c r="L130" s="396">
        <v>387906000</v>
      </c>
      <c r="M130" s="396">
        <v>15000000</v>
      </c>
      <c r="N130" s="396">
        <v>387906000</v>
      </c>
      <c r="O130" s="396">
        <v>0</v>
      </c>
      <c r="P130" s="396">
        <v>138229333.66666698</v>
      </c>
      <c r="Q130" s="396">
        <v>17055667</v>
      </c>
      <c r="R130" s="396">
        <v>138229333.66666701</v>
      </c>
      <c r="S130" s="397">
        <v>0</v>
      </c>
      <c r="T130" s="397">
        <v>249676666.33333302</v>
      </c>
      <c r="U130" s="398">
        <v>0</v>
      </c>
    </row>
    <row r="131" spans="1:21" ht="13.5" customHeight="1" x14ac:dyDescent="0.2">
      <c r="A131" s="392" t="s">
        <v>972</v>
      </c>
      <c r="B131" s="393">
        <v>7</v>
      </c>
      <c r="C131" s="394" t="s">
        <v>746</v>
      </c>
      <c r="D131" s="395" t="s">
        <v>551</v>
      </c>
      <c r="E131" s="396">
        <v>0</v>
      </c>
      <c r="F131" s="400">
        <v>0</v>
      </c>
      <c r="G131" s="400"/>
      <c r="H131" s="396">
        <v>531000000</v>
      </c>
      <c r="I131" s="396">
        <v>78000000</v>
      </c>
      <c r="J131" s="396">
        <v>455000000</v>
      </c>
      <c r="K131" s="396">
        <v>51052586</v>
      </c>
      <c r="L131" s="396">
        <v>452244533</v>
      </c>
      <c r="M131" s="396">
        <v>51052586</v>
      </c>
      <c r="N131" s="396">
        <v>443959423</v>
      </c>
      <c r="O131" s="396">
        <v>44939286</v>
      </c>
      <c r="P131" s="396">
        <v>348941955.33333302</v>
      </c>
      <c r="Q131" s="396">
        <v>6113300</v>
      </c>
      <c r="R131" s="396">
        <v>310115969.33333302</v>
      </c>
      <c r="S131" s="397">
        <v>8285110</v>
      </c>
      <c r="T131" s="397">
        <v>95017467.666666985</v>
      </c>
      <c r="U131" s="398">
        <v>38825986</v>
      </c>
    </row>
    <row r="132" spans="1:21" ht="13.5" customHeight="1" x14ac:dyDescent="0.25">
      <c r="A132" s="392" t="s">
        <v>973</v>
      </c>
      <c r="B132" s="393">
        <v>7</v>
      </c>
      <c r="C132" s="394" t="s">
        <v>746</v>
      </c>
      <c r="D132" s="395" t="s">
        <v>974</v>
      </c>
      <c r="E132" s="396">
        <v>0</v>
      </c>
      <c r="F132" s="387">
        <v>0</v>
      </c>
      <c r="G132" s="387"/>
      <c r="H132" s="396">
        <v>6864228211</v>
      </c>
      <c r="I132" s="396">
        <v>3862502207</v>
      </c>
      <c r="J132" s="396">
        <v>3001726004</v>
      </c>
      <c r="K132" s="396">
        <v>0</v>
      </c>
      <c r="L132" s="396">
        <v>2934983491</v>
      </c>
      <c r="M132" s="396">
        <v>0</v>
      </c>
      <c r="N132" s="396">
        <v>2579669874</v>
      </c>
      <c r="O132" s="396">
        <v>0</v>
      </c>
      <c r="P132" s="396">
        <v>2545929874.3400002</v>
      </c>
      <c r="Q132" s="396">
        <v>0</v>
      </c>
      <c r="R132" s="396">
        <v>2545929874.3400002</v>
      </c>
      <c r="S132" s="397">
        <v>355313617</v>
      </c>
      <c r="T132" s="397">
        <v>33739999.659999847</v>
      </c>
      <c r="U132" s="398">
        <v>0</v>
      </c>
    </row>
    <row r="133" spans="1:21" ht="13.5" customHeight="1" x14ac:dyDescent="0.25">
      <c r="A133" s="392" t="s">
        <v>975</v>
      </c>
      <c r="B133" s="393">
        <v>7</v>
      </c>
      <c r="C133" s="394" t="s">
        <v>746</v>
      </c>
      <c r="D133" s="395" t="s">
        <v>160</v>
      </c>
      <c r="E133" s="396">
        <v>325000000</v>
      </c>
      <c r="F133" s="387">
        <v>0</v>
      </c>
      <c r="G133" s="387"/>
      <c r="H133" s="396">
        <v>40000000</v>
      </c>
      <c r="I133" s="396">
        <v>4000000</v>
      </c>
      <c r="J133" s="396">
        <v>361000000</v>
      </c>
      <c r="K133" s="396">
        <v>0</v>
      </c>
      <c r="L133" s="396">
        <v>360000000</v>
      </c>
      <c r="M133" s="396">
        <v>0</v>
      </c>
      <c r="N133" s="396">
        <v>360000000</v>
      </c>
      <c r="O133" s="396">
        <v>0</v>
      </c>
      <c r="P133" s="396">
        <v>326471300</v>
      </c>
      <c r="Q133" s="396">
        <v>0</v>
      </c>
      <c r="R133" s="396">
        <v>326471300</v>
      </c>
      <c r="S133" s="397">
        <v>0</v>
      </c>
      <c r="T133" s="397">
        <v>33528700</v>
      </c>
      <c r="U133" s="398">
        <v>0</v>
      </c>
    </row>
    <row r="134" spans="1:21" ht="13.5" customHeight="1" x14ac:dyDescent="0.2">
      <c r="A134" s="392" t="s">
        <v>976</v>
      </c>
      <c r="B134" s="393">
        <v>7</v>
      </c>
      <c r="C134" s="394" t="s">
        <v>746</v>
      </c>
      <c r="D134" s="395" t="s">
        <v>977</v>
      </c>
      <c r="E134" s="396"/>
      <c r="F134" s="400">
        <v>0</v>
      </c>
      <c r="G134" s="400"/>
      <c r="H134" s="396">
        <v>3862502207</v>
      </c>
      <c r="I134" s="396">
        <v>0</v>
      </c>
      <c r="J134" s="396">
        <v>3862502207</v>
      </c>
      <c r="K134" s="396">
        <v>202628983</v>
      </c>
      <c r="L134" s="396">
        <v>3800158393</v>
      </c>
      <c r="M134" s="396">
        <v>202628983</v>
      </c>
      <c r="N134" s="396">
        <v>3800158393</v>
      </c>
      <c r="O134" s="396">
        <v>202628983</v>
      </c>
      <c r="P134" s="396">
        <v>3305356205</v>
      </c>
      <c r="Q134" s="396">
        <v>0</v>
      </c>
      <c r="R134" s="396">
        <v>3102727222</v>
      </c>
      <c r="S134" s="397">
        <v>0</v>
      </c>
      <c r="T134" s="397">
        <v>494802188</v>
      </c>
      <c r="U134" s="398">
        <v>202628983</v>
      </c>
    </row>
    <row r="135" spans="1:21" ht="13.5" customHeight="1" x14ac:dyDescent="0.25">
      <c r="A135" s="392" t="s">
        <v>978</v>
      </c>
      <c r="B135" s="393">
        <v>7</v>
      </c>
      <c r="C135" s="394" t="s">
        <v>746</v>
      </c>
      <c r="D135" s="395" t="s">
        <v>979</v>
      </c>
      <c r="E135" s="396"/>
      <c r="F135" s="387">
        <v>4320941287</v>
      </c>
      <c r="G135" s="387"/>
      <c r="H135" s="396">
        <v>0</v>
      </c>
      <c r="I135" s="396">
        <v>0</v>
      </c>
      <c r="J135" s="396">
        <v>4320941287</v>
      </c>
      <c r="K135" s="396">
        <v>0</v>
      </c>
      <c r="L135" s="396">
        <v>4320941287</v>
      </c>
      <c r="M135" s="396">
        <v>0</v>
      </c>
      <c r="N135" s="396">
        <v>4320941287</v>
      </c>
      <c r="O135" s="396">
        <v>0</v>
      </c>
      <c r="P135" s="396">
        <v>4320941287</v>
      </c>
      <c r="Q135" s="396">
        <v>0</v>
      </c>
      <c r="R135" s="396">
        <v>4320941287</v>
      </c>
      <c r="S135" s="397">
        <v>0</v>
      </c>
      <c r="T135" s="397">
        <v>0</v>
      </c>
      <c r="U135" s="398">
        <v>0</v>
      </c>
    </row>
    <row r="136" spans="1:21" ht="13.5" customHeight="1" x14ac:dyDescent="0.25">
      <c r="A136" s="392" t="s">
        <v>980</v>
      </c>
      <c r="B136" s="393">
        <v>7</v>
      </c>
      <c r="C136" s="394" t="s">
        <v>746</v>
      </c>
      <c r="D136" s="395" t="s">
        <v>981</v>
      </c>
      <c r="E136" s="396"/>
      <c r="F136" s="387">
        <v>8024942564</v>
      </c>
      <c r="G136" s="387"/>
      <c r="H136" s="396">
        <v>0</v>
      </c>
      <c r="I136" s="396">
        <v>0</v>
      </c>
      <c r="J136" s="396">
        <v>8024942564</v>
      </c>
      <c r="K136" s="396">
        <v>0</v>
      </c>
      <c r="L136" s="396">
        <v>0</v>
      </c>
      <c r="M136" s="396">
        <v>0</v>
      </c>
      <c r="N136" s="396">
        <v>0</v>
      </c>
      <c r="O136" s="396">
        <v>0</v>
      </c>
      <c r="P136" s="396">
        <v>0</v>
      </c>
      <c r="Q136" s="396">
        <v>0</v>
      </c>
      <c r="R136" s="396">
        <v>0</v>
      </c>
      <c r="S136" s="397">
        <v>0</v>
      </c>
      <c r="T136" s="397">
        <v>0</v>
      </c>
      <c r="U136" s="398">
        <v>0</v>
      </c>
    </row>
    <row r="137" spans="1:21" s="381" customFormat="1" ht="13.5" customHeight="1" x14ac:dyDescent="0.25">
      <c r="A137" s="382" t="s">
        <v>982</v>
      </c>
      <c r="B137" s="383">
        <v>6</v>
      </c>
      <c r="C137" s="384" t="s">
        <v>746</v>
      </c>
      <c r="D137" s="385" t="s">
        <v>983</v>
      </c>
      <c r="E137" s="386">
        <v>7313001154</v>
      </c>
      <c r="F137" s="387">
        <v>6227532007</v>
      </c>
      <c r="G137" s="387">
        <v>0</v>
      </c>
      <c r="H137" s="386">
        <v>7752600500</v>
      </c>
      <c r="I137" s="386">
        <v>7181100000</v>
      </c>
      <c r="J137" s="386">
        <v>14112033661</v>
      </c>
      <c r="K137" s="386">
        <v>228241406</v>
      </c>
      <c r="L137" s="386">
        <v>14097496556</v>
      </c>
      <c r="M137" s="386">
        <v>399756057</v>
      </c>
      <c r="N137" s="386">
        <v>14066679236</v>
      </c>
      <c r="O137" s="386">
        <v>108746946</v>
      </c>
      <c r="P137" s="386">
        <v>8364269592.1666632</v>
      </c>
      <c r="Q137" s="386">
        <v>131258377</v>
      </c>
      <c r="R137" s="386">
        <v>8325055809.6666632</v>
      </c>
      <c r="S137" s="388">
        <v>30817320</v>
      </c>
      <c r="T137" s="388">
        <v>5702409643.8333368</v>
      </c>
      <c r="U137" s="389">
        <v>39213782.5</v>
      </c>
    </row>
    <row r="138" spans="1:21" ht="13.5" customHeight="1" x14ac:dyDescent="0.25">
      <c r="A138" s="392" t="s">
        <v>984</v>
      </c>
      <c r="B138" s="393">
        <v>7</v>
      </c>
      <c r="C138" s="394" t="s">
        <v>746</v>
      </c>
      <c r="D138" s="395" t="s">
        <v>140</v>
      </c>
      <c r="E138" s="396">
        <v>925544568</v>
      </c>
      <c r="F138" s="387">
        <v>2185522922</v>
      </c>
      <c r="G138" s="387"/>
      <c r="H138" s="396">
        <v>147600500</v>
      </c>
      <c r="I138" s="396">
        <v>2302000000</v>
      </c>
      <c r="J138" s="396">
        <v>956667990</v>
      </c>
      <c r="K138" s="396">
        <v>18983611</v>
      </c>
      <c r="L138" s="396">
        <v>956487487</v>
      </c>
      <c r="M138" s="396">
        <v>18983611</v>
      </c>
      <c r="N138" s="396">
        <v>956095505</v>
      </c>
      <c r="O138" s="396">
        <v>5266202</v>
      </c>
      <c r="P138" s="396">
        <v>902445717</v>
      </c>
      <c r="Q138" s="396">
        <v>5266202</v>
      </c>
      <c r="R138" s="396">
        <v>902445716.5</v>
      </c>
      <c r="S138" s="397">
        <v>391982</v>
      </c>
      <c r="T138" s="397">
        <v>53649788</v>
      </c>
      <c r="U138" s="398">
        <v>0.5</v>
      </c>
    </row>
    <row r="139" spans="1:21" ht="13.5" customHeight="1" x14ac:dyDescent="0.25">
      <c r="A139" s="392" t="s">
        <v>985</v>
      </c>
      <c r="B139" s="393">
        <v>7</v>
      </c>
      <c r="C139" s="394" t="s">
        <v>746</v>
      </c>
      <c r="D139" s="395" t="s">
        <v>142</v>
      </c>
      <c r="E139" s="396">
        <v>2867985321</v>
      </c>
      <c r="F139" s="387">
        <v>2230522921</v>
      </c>
      <c r="G139" s="387"/>
      <c r="H139" s="396">
        <v>1280000000</v>
      </c>
      <c r="I139" s="396">
        <v>1922000000</v>
      </c>
      <c r="J139" s="396">
        <v>4446508242</v>
      </c>
      <c r="K139" s="396">
        <v>0</v>
      </c>
      <c r="L139" s="396">
        <v>4493025464</v>
      </c>
      <c r="M139" s="396">
        <v>0</v>
      </c>
      <c r="N139" s="396">
        <v>4490025464</v>
      </c>
      <c r="O139" s="396">
        <v>0</v>
      </c>
      <c r="P139" s="396">
        <v>3253810725.8333302</v>
      </c>
      <c r="Q139" s="396">
        <v>0</v>
      </c>
      <c r="R139" s="396">
        <v>3253810725.8333302</v>
      </c>
      <c r="S139" s="397">
        <v>3000000</v>
      </c>
      <c r="T139" s="397">
        <v>1236214738.1666698</v>
      </c>
      <c r="U139" s="398">
        <v>0</v>
      </c>
    </row>
    <row r="140" spans="1:21" ht="13.5" customHeight="1" x14ac:dyDescent="0.25">
      <c r="A140" s="392" t="s">
        <v>986</v>
      </c>
      <c r="B140" s="393">
        <v>7</v>
      </c>
      <c r="C140" s="394" t="s">
        <v>746</v>
      </c>
      <c r="D140" s="395" t="s">
        <v>144</v>
      </c>
      <c r="E140" s="396">
        <v>806033333</v>
      </c>
      <c r="F140" s="387">
        <v>45000000</v>
      </c>
      <c r="G140" s="387"/>
      <c r="H140" s="396">
        <v>945000000</v>
      </c>
      <c r="I140" s="396">
        <v>616000000</v>
      </c>
      <c r="J140" s="396">
        <v>1190033333</v>
      </c>
      <c r="K140" s="396">
        <v>0</v>
      </c>
      <c r="L140" s="396">
        <v>1166029453</v>
      </c>
      <c r="M140" s="396">
        <v>0</v>
      </c>
      <c r="N140" s="396">
        <v>1166029453</v>
      </c>
      <c r="O140" s="396">
        <v>0</v>
      </c>
      <c r="P140" s="396">
        <v>302201163</v>
      </c>
      <c r="Q140" s="396">
        <v>0</v>
      </c>
      <c r="R140" s="396">
        <v>302201163</v>
      </c>
      <c r="S140" s="397">
        <v>0</v>
      </c>
      <c r="T140" s="397">
        <v>863828290</v>
      </c>
      <c r="U140" s="398">
        <v>0</v>
      </c>
    </row>
    <row r="141" spans="1:21" ht="13.5" customHeight="1" x14ac:dyDescent="0.25">
      <c r="A141" s="392" t="s">
        <v>987</v>
      </c>
      <c r="B141" s="393">
        <v>7</v>
      </c>
      <c r="C141" s="394" t="s">
        <v>746</v>
      </c>
      <c r="D141" s="401" t="s">
        <v>146</v>
      </c>
      <c r="E141" s="396">
        <v>1045826340</v>
      </c>
      <c r="F141" s="387">
        <v>0</v>
      </c>
      <c r="G141" s="387"/>
      <c r="H141" s="396">
        <v>1400000000</v>
      </c>
      <c r="I141" s="396">
        <v>521100000</v>
      </c>
      <c r="J141" s="396">
        <v>1924726340</v>
      </c>
      <c r="K141" s="396">
        <v>0</v>
      </c>
      <c r="L141" s="396">
        <v>1923052904</v>
      </c>
      <c r="M141" s="396">
        <v>0</v>
      </c>
      <c r="N141" s="396">
        <v>1923052904</v>
      </c>
      <c r="O141" s="396">
        <v>0</v>
      </c>
      <c r="P141" s="396">
        <v>1066978046.333333</v>
      </c>
      <c r="Q141" s="396">
        <v>0</v>
      </c>
      <c r="R141" s="396">
        <v>1066978046.333333</v>
      </c>
      <c r="S141" s="397">
        <v>0</v>
      </c>
      <c r="T141" s="397">
        <v>856074857.66666698</v>
      </c>
      <c r="U141" s="398">
        <v>0</v>
      </c>
    </row>
    <row r="142" spans="1:21" ht="13.5" customHeight="1" x14ac:dyDescent="0.25">
      <c r="A142" s="392" t="s">
        <v>988</v>
      </c>
      <c r="B142" s="393">
        <v>7</v>
      </c>
      <c r="C142" s="394" t="s">
        <v>746</v>
      </c>
      <c r="D142" s="401" t="s">
        <v>148</v>
      </c>
      <c r="E142" s="396">
        <v>246082568</v>
      </c>
      <c r="F142" s="387">
        <v>0</v>
      </c>
      <c r="G142" s="387"/>
      <c r="H142" s="396">
        <v>177000000</v>
      </c>
      <c r="I142" s="396">
        <v>64000000</v>
      </c>
      <c r="J142" s="396">
        <v>369082568</v>
      </c>
      <c r="K142" s="396">
        <v>0</v>
      </c>
      <c r="L142" s="396">
        <v>382703578</v>
      </c>
      <c r="M142" s="396">
        <v>0</v>
      </c>
      <c r="N142" s="396">
        <v>369406151</v>
      </c>
      <c r="O142" s="396">
        <v>4624976</v>
      </c>
      <c r="P142" s="396">
        <v>269454076</v>
      </c>
      <c r="Q142" s="396">
        <v>4624976</v>
      </c>
      <c r="R142" s="396">
        <v>269454076</v>
      </c>
      <c r="S142" s="397">
        <v>13297427</v>
      </c>
      <c r="T142" s="397">
        <v>99952075</v>
      </c>
      <c r="U142" s="398">
        <v>0</v>
      </c>
    </row>
    <row r="143" spans="1:21" ht="13.5" customHeight="1" x14ac:dyDescent="0.25">
      <c r="A143" s="392" t="s">
        <v>989</v>
      </c>
      <c r="B143" s="393">
        <v>7</v>
      </c>
      <c r="C143" s="394" t="s">
        <v>746</v>
      </c>
      <c r="D143" s="395" t="s">
        <v>150</v>
      </c>
      <c r="E143" s="396">
        <v>672468333</v>
      </c>
      <c r="F143" s="387">
        <v>1766486164</v>
      </c>
      <c r="G143" s="387"/>
      <c r="H143" s="396">
        <v>249000000</v>
      </c>
      <c r="I143" s="396">
        <v>1681000000</v>
      </c>
      <c r="J143" s="396">
        <v>996954497</v>
      </c>
      <c r="K143" s="396">
        <v>89636444</v>
      </c>
      <c r="L143" s="396">
        <v>956914434</v>
      </c>
      <c r="M143" s="396">
        <v>89636444</v>
      </c>
      <c r="N143" s="396">
        <v>951914434</v>
      </c>
      <c r="O143" s="396">
        <v>0</v>
      </c>
      <c r="P143" s="396">
        <v>605334309.16666698</v>
      </c>
      <c r="Q143" s="396">
        <v>0</v>
      </c>
      <c r="R143" s="396">
        <v>605334309.16666698</v>
      </c>
      <c r="S143" s="397">
        <v>5000000</v>
      </c>
      <c r="T143" s="397">
        <v>346580124.83333302</v>
      </c>
      <c r="U143" s="398">
        <v>0</v>
      </c>
    </row>
    <row r="144" spans="1:21" ht="13.5" customHeight="1" x14ac:dyDescent="0.25">
      <c r="A144" s="392" t="s">
        <v>990</v>
      </c>
      <c r="B144" s="393">
        <v>7</v>
      </c>
      <c r="C144" s="394" t="s">
        <v>746</v>
      </c>
      <c r="D144" s="395" t="s">
        <v>152</v>
      </c>
      <c r="E144" s="396">
        <v>59300000</v>
      </c>
      <c r="F144" s="387">
        <v>0</v>
      </c>
      <c r="G144" s="387"/>
      <c r="H144" s="396">
        <v>130000000</v>
      </c>
      <c r="I144" s="396">
        <v>1000000</v>
      </c>
      <c r="J144" s="396">
        <v>188300000</v>
      </c>
      <c r="K144" s="396">
        <v>0</v>
      </c>
      <c r="L144" s="396">
        <v>186418230</v>
      </c>
      <c r="M144" s="396">
        <v>0</v>
      </c>
      <c r="N144" s="396">
        <v>186418230</v>
      </c>
      <c r="O144" s="396">
        <v>0</v>
      </c>
      <c r="P144" s="396">
        <v>186418230</v>
      </c>
      <c r="Q144" s="396">
        <v>0</v>
      </c>
      <c r="R144" s="396">
        <v>159028172</v>
      </c>
      <c r="S144" s="397">
        <v>0</v>
      </c>
      <c r="T144" s="397">
        <v>0</v>
      </c>
      <c r="U144" s="398">
        <v>27390058</v>
      </c>
    </row>
    <row r="145" spans="1:21" ht="13.5" customHeight="1" x14ac:dyDescent="0.25">
      <c r="A145" s="392" t="s">
        <v>991</v>
      </c>
      <c r="B145" s="393">
        <v>7</v>
      </c>
      <c r="C145" s="394" t="s">
        <v>746</v>
      </c>
      <c r="D145" s="401" t="s">
        <v>154</v>
      </c>
      <c r="E145" s="396">
        <v>189089289</v>
      </c>
      <c r="F145" s="387">
        <v>0</v>
      </c>
      <c r="G145" s="387"/>
      <c r="H145" s="396">
        <v>2250000000</v>
      </c>
      <c r="I145" s="396">
        <v>53500000</v>
      </c>
      <c r="J145" s="396">
        <v>2385589289</v>
      </c>
      <c r="K145" s="396">
        <v>300000</v>
      </c>
      <c r="L145" s="396">
        <v>2384313699</v>
      </c>
      <c r="M145" s="396">
        <v>300000</v>
      </c>
      <c r="N145" s="396">
        <v>2384313699</v>
      </c>
      <c r="O145" s="396">
        <v>0</v>
      </c>
      <c r="P145" s="396">
        <v>354790515.83333302</v>
      </c>
      <c r="Q145" s="396">
        <v>0</v>
      </c>
      <c r="R145" s="396">
        <v>354790515.83333302</v>
      </c>
      <c r="S145" s="397">
        <v>0</v>
      </c>
      <c r="T145" s="397">
        <v>2029523183.166667</v>
      </c>
      <c r="U145" s="398">
        <v>0</v>
      </c>
    </row>
    <row r="146" spans="1:21" ht="13.5" customHeight="1" x14ac:dyDescent="0.2">
      <c r="A146" s="392" t="s">
        <v>992</v>
      </c>
      <c r="B146" s="393">
        <v>7</v>
      </c>
      <c r="C146" s="394" t="s">
        <v>746</v>
      </c>
      <c r="D146" s="401" t="s">
        <v>180</v>
      </c>
      <c r="E146" s="396">
        <v>2273512</v>
      </c>
      <c r="F146" s="403">
        <v>0</v>
      </c>
      <c r="G146" s="400"/>
      <c r="H146" s="396">
        <v>0</v>
      </c>
      <c r="I146" s="396">
        <v>500000</v>
      </c>
      <c r="J146" s="396">
        <v>1773512</v>
      </c>
      <c r="K146" s="396">
        <v>0</v>
      </c>
      <c r="L146" s="396">
        <v>68000</v>
      </c>
      <c r="M146" s="396">
        <v>0</v>
      </c>
      <c r="N146" s="396">
        <v>68000</v>
      </c>
      <c r="O146" s="396">
        <v>0</v>
      </c>
      <c r="P146" s="396">
        <v>0</v>
      </c>
      <c r="Q146" s="396">
        <v>0</v>
      </c>
      <c r="R146" s="396">
        <v>0</v>
      </c>
      <c r="S146" s="397">
        <v>0</v>
      </c>
      <c r="T146" s="397">
        <v>68000</v>
      </c>
      <c r="U146" s="398">
        <v>0</v>
      </c>
    </row>
    <row r="147" spans="1:21" ht="13.5" customHeight="1" x14ac:dyDescent="0.2">
      <c r="A147" s="392" t="s">
        <v>993</v>
      </c>
      <c r="B147" s="393">
        <v>7</v>
      </c>
      <c r="C147" s="394" t="s">
        <v>746</v>
      </c>
      <c r="D147" s="401" t="s">
        <v>994</v>
      </c>
      <c r="E147" s="396">
        <v>290000000</v>
      </c>
      <c r="F147" s="403">
        <v>0</v>
      </c>
      <c r="G147" s="400"/>
      <c r="H147" s="396">
        <v>244000000</v>
      </c>
      <c r="I147" s="396">
        <v>20000000</v>
      </c>
      <c r="J147" s="396">
        <v>514000000</v>
      </c>
      <c r="K147" s="396">
        <v>31908358</v>
      </c>
      <c r="L147" s="396">
        <v>512860175</v>
      </c>
      <c r="M147" s="396">
        <v>95296341</v>
      </c>
      <c r="N147" s="396">
        <v>503732264</v>
      </c>
      <c r="O147" s="396">
        <v>11442775</v>
      </c>
      <c r="P147" s="396">
        <v>395340345</v>
      </c>
      <c r="Q147" s="396">
        <v>22049301</v>
      </c>
      <c r="R147" s="396">
        <v>383516621</v>
      </c>
      <c r="S147" s="397">
        <v>9127911</v>
      </c>
      <c r="T147" s="397">
        <v>108391919</v>
      </c>
      <c r="U147" s="398">
        <v>11823724</v>
      </c>
    </row>
    <row r="148" spans="1:21" ht="13.5" customHeight="1" x14ac:dyDescent="0.2">
      <c r="A148" s="404" t="s">
        <v>995</v>
      </c>
      <c r="B148" s="393">
        <v>7</v>
      </c>
      <c r="C148" s="394" t="s">
        <v>746</v>
      </c>
      <c r="D148" s="405" t="s">
        <v>417</v>
      </c>
      <c r="E148" s="400">
        <v>208397890</v>
      </c>
      <c r="F148" s="403">
        <v>0</v>
      </c>
      <c r="G148" s="400"/>
      <c r="H148" s="406">
        <v>930000000</v>
      </c>
      <c r="I148" s="406">
        <v>0</v>
      </c>
      <c r="J148" s="406">
        <v>1138397890</v>
      </c>
      <c r="K148" s="407">
        <v>87412993</v>
      </c>
      <c r="L148" s="400">
        <v>1135623132</v>
      </c>
      <c r="M148" s="407">
        <v>195539661</v>
      </c>
      <c r="N148" s="400">
        <v>1135623132</v>
      </c>
      <c r="O148" s="400">
        <v>87412993</v>
      </c>
      <c r="P148" s="400">
        <v>1027496464</v>
      </c>
      <c r="Q148" s="400">
        <v>99317898</v>
      </c>
      <c r="R148" s="400">
        <v>1027496464</v>
      </c>
      <c r="S148" s="397">
        <v>0</v>
      </c>
      <c r="T148" s="397">
        <v>108126668</v>
      </c>
      <c r="U148" s="398">
        <v>0</v>
      </c>
    </row>
    <row r="149" spans="1:21" ht="13.5" customHeight="1" x14ac:dyDescent="0.2">
      <c r="A149" s="404" t="s">
        <v>996</v>
      </c>
      <c r="B149" s="408">
        <v>7</v>
      </c>
      <c r="C149" s="394" t="s">
        <v>746</v>
      </c>
      <c r="D149" s="405" t="s">
        <v>158</v>
      </c>
      <c r="E149" s="400">
        <v>0</v>
      </c>
      <c r="F149" s="403">
        <v>0</v>
      </c>
      <c r="G149" s="400"/>
      <c r="H149" s="406">
        <v>0</v>
      </c>
      <c r="I149" s="406">
        <v>0</v>
      </c>
      <c r="J149" s="406">
        <v>0</v>
      </c>
      <c r="K149" s="407"/>
      <c r="L149" s="400"/>
      <c r="M149" s="407"/>
      <c r="N149" s="400"/>
      <c r="O149" s="400"/>
      <c r="P149" s="400"/>
      <c r="Q149" s="400"/>
      <c r="R149" s="400"/>
      <c r="S149" s="397">
        <v>0</v>
      </c>
      <c r="T149" s="397">
        <v>0</v>
      </c>
      <c r="U149" s="398">
        <v>0</v>
      </c>
    </row>
    <row r="150" spans="1:21" ht="13.5" customHeight="1" x14ac:dyDescent="0.2">
      <c r="A150" s="404" t="s">
        <v>997</v>
      </c>
      <c r="B150" s="408">
        <v>7</v>
      </c>
      <c r="C150" s="394" t="s">
        <v>746</v>
      </c>
      <c r="D150" s="405" t="s">
        <v>551</v>
      </c>
      <c r="E150" s="400">
        <v>0</v>
      </c>
      <c r="F150" s="403">
        <v>0</v>
      </c>
      <c r="G150" s="400"/>
      <c r="H150" s="406">
        <v>0</v>
      </c>
      <c r="I150" s="406">
        <v>0</v>
      </c>
      <c r="J150" s="406">
        <v>0</v>
      </c>
      <c r="K150" s="407"/>
      <c r="L150" s="396"/>
      <c r="M150" s="407"/>
      <c r="N150" s="400"/>
      <c r="O150" s="400"/>
      <c r="P150" s="400"/>
      <c r="Q150" s="400"/>
      <c r="R150" s="400"/>
      <c r="S150" s="397">
        <v>0</v>
      </c>
      <c r="T150" s="397">
        <v>0</v>
      </c>
      <c r="U150" s="398">
        <v>0</v>
      </c>
    </row>
    <row r="151" spans="1:21" ht="13.5" customHeight="1" thickBot="1" x14ac:dyDescent="0.25">
      <c r="A151" s="409" t="s">
        <v>998</v>
      </c>
      <c r="B151" s="410">
        <v>7</v>
      </c>
      <c r="C151" s="411" t="s">
        <v>746</v>
      </c>
      <c r="D151" s="412" t="s">
        <v>999</v>
      </c>
      <c r="E151" s="413">
        <v>0</v>
      </c>
      <c r="F151" s="414">
        <v>0</v>
      </c>
      <c r="G151" s="413"/>
      <c r="H151" s="415"/>
      <c r="I151" s="415"/>
      <c r="J151" s="415">
        <v>0</v>
      </c>
      <c r="K151" s="416"/>
      <c r="L151" s="413"/>
      <c r="M151" s="416"/>
      <c r="N151" s="413"/>
      <c r="O151" s="413"/>
      <c r="P151" s="413"/>
      <c r="Q151" s="413"/>
      <c r="R151" s="413"/>
      <c r="S151" s="413">
        <v>0</v>
      </c>
      <c r="T151" s="413">
        <v>0</v>
      </c>
      <c r="U151" s="417">
        <v>0</v>
      </c>
    </row>
    <row r="152" spans="1:21" ht="13.5" customHeight="1" x14ac:dyDescent="0.2">
      <c r="C152" s="420"/>
      <c r="E152" s="422"/>
      <c r="F152" s="423"/>
      <c r="G152" s="422"/>
      <c r="H152" s="424"/>
      <c r="I152" s="424"/>
      <c r="J152" s="424"/>
      <c r="K152" s="425"/>
      <c r="L152" s="422"/>
      <c r="M152" s="425"/>
      <c r="N152" s="422"/>
      <c r="O152" s="422"/>
      <c r="P152" s="422"/>
      <c r="Q152" s="422"/>
      <c r="R152" s="422"/>
      <c r="S152" s="422"/>
      <c r="T152" s="422"/>
      <c r="U152" s="422"/>
    </row>
    <row r="153" spans="1:21" ht="13.5" customHeight="1" x14ac:dyDescent="0.2">
      <c r="C153" s="420"/>
      <c r="E153" s="422"/>
      <c r="F153" s="423"/>
      <c r="G153" s="422"/>
      <c r="H153" s="424"/>
      <c r="I153" s="424"/>
      <c r="J153" s="424"/>
      <c r="K153" s="425"/>
      <c r="L153" s="422"/>
      <c r="M153" s="425"/>
      <c r="N153" s="422"/>
      <c r="O153" s="422"/>
      <c r="P153" s="422"/>
      <c r="Q153" s="422"/>
      <c r="R153" s="422"/>
      <c r="S153" s="422"/>
      <c r="T153" s="422"/>
      <c r="U153" s="422"/>
    </row>
    <row r="154" spans="1:21" ht="13.5" customHeight="1" x14ac:dyDescent="0.2">
      <c r="C154" s="420"/>
      <c r="E154" s="422"/>
      <c r="F154" s="423"/>
      <c r="G154" s="422"/>
      <c r="H154" s="424"/>
      <c r="I154" s="424"/>
      <c r="J154" s="424"/>
      <c r="K154" s="425"/>
      <c r="L154" s="422"/>
      <c r="M154" s="425"/>
      <c r="N154" s="422"/>
      <c r="O154" s="422"/>
      <c r="P154" s="422"/>
      <c r="Q154" s="422"/>
      <c r="R154" s="422"/>
      <c r="S154" s="422"/>
      <c r="T154" s="422"/>
      <c r="U154" s="422"/>
    </row>
    <row r="155" spans="1:21" ht="13.5" customHeight="1" x14ac:dyDescent="0.2">
      <c r="C155" s="420"/>
      <c r="E155" s="422"/>
      <c r="F155" s="423"/>
      <c r="G155" s="422"/>
      <c r="H155" s="424"/>
      <c r="I155" s="424"/>
      <c r="J155" s="424"/>
      <c r="K155" s="425"/>
      <c r="L155" s="422"/>
      <c r="M155" s="425"/>
      <c r="N155" s="422"/>
      <c r="O155" s="422"/>
      <c r="P155" s="422"/>
      <c r="Q155" s="422"/>
      <c r="R155" s="422"/>
      <c r="S155" s="422"/>
      <c r="T155" s="422"/>
      <c r="U155" s="422"/>
    </row>
    <row r="156" spans="1:21" ht="13.5" customHeight="1" x14ac:dyDescent="0.35">
      <c r="A156" s="426"/>
      <c r="B156" s="427"/>
      <c r="C156" s="427"/>
      <c r="D156" s="428"/>
      <c r="E156" s="429"/>
      <c r="F156" s="430"/>
      <c r="G156" s="429"/>
      <c r="H156" s="431"/>
      <c r="I156" s="431"/>
      <c r="J156" s="431"/>
      <c r="K156" s="432"/>
      <c r="L156" s="433"/>
      <c r="M156" s="432"/>
      <c r="N156" s="429"/>
      <c r="O156" s="429"/>
      <c r="P156" s="429"/>
      <c r="Q156" s="429"/>
      <c r="R156" s="429"/>
    </row>
    <row r="157" spans="1:21" ht="12.75" customHeight="1" x14ac:dyDescent="0.35">
      <c r="A157" s="426"/>
      <c r="B157" s="427"/>
      <c r="C157" s="427"/>
      <c r="D157" s="435" t="s">
        <v>187</v>
      </c>
      <c r="E157" s="436"/>
      <c r="F157" s="429"/>
      <c r="G157" s="437"/>
      <c r="H157" s="429"/>
      <c r="I157" s="429"/>
      <c r="J157" s="438" t="s">
        <v>556</v>
      </c>
      <c r="K157" s="438"/>
      <c r="L157" s="438"/>
      <c r="M157" s="429"/>
      <c r="N157" s="439"/>
      <c r="O157" s="429"/>
      <c r="P157" s="429"/>
      <c r="Q157" s="689" t="s">
        <v>557</v>
      </c>
      <c r="R157" s="689"/>
      <c r="S157" s="689"/>
    </row>
    <row r="158" spans="1:21" ht="13.5" customHeight="1" x14ac:dyDescent="0.35">
      <c r="A158" s="426"/>
      <c r="B158" s="427"/>
      <c r="C158" s="427"/>
      <c r="D158" s="440" t="s">
        <v>558</v>
      </c>
      <c r="E158" s="441"/>
      <c r="F158" s="429"/>
      <c r="G158" s="442"/>
      <c r="H158" s="429"/>
      <c r="I158" s="429"/>
      <c r="J158" s="443" t="s">
        <v>559</v>
      </c>
      <c r="K158" s="443"/>
      <c r="L158" s="443"/>
      <c r="M158" s="429"/>
      <c r="N158" s="441"/>
      <c r="O158" s="429"/>
      <c r="P158" s="429"/>
      <c r="Q158" s="692" t="s">
        <v>560</v>
      </c>
      <c r="R158" s="692"/>
      <c r="S158" s="692"/>
    </row>
  </sheetData>
  <autoFilter ref="A5:U151"/>
  <mergeCells count="23">
    <mergeCell ref="Q158:S158"/>
    <mergeCell ref="O3:P3"/>
    <mergeCell ref="Q3:R3"/>
    <mergeCell ref="S3:S4"/>
    <mergeCell ref="T3:T4"/>
    <mergeCell ref="Q157:S157"/>
    <mergeCell ref="C3:C4"/>
    <mergeCell ref="D3:D4"/>
    <mergeCell ref="F3:G3"/>
    <mergeCell ref="H3:I3"/>
    <mergeCell ref="K3:L3"/>
    <mergeCell ref="M3:N3"/>
    <mergeCell ref="A1:C1"/>
    <mergeCell ref="E1:U1"/>
    <mergeCell ref="A2:D2"/>
    <mergeCell ref="E2:E4"/>
    <mergeCell ref="F2:I2"/>
    <mergeCell ref="J2:J4"/>
    <mergeCell ref="K2:R2"/>
    <mergeCell ref="S2:U2"/>
    <mergeCell ref="A3:A4"/>
    <mergeCell ref="B3:B4"/>
    <mergeCell ref="U3:U4"/>
  </mergeCells>
  <printOptions horizontalCentered="1" verticalCentered="1"/>
  <pageMargins left="0.25" right="0.25" top="0.90094339622641506" bottom="0.63207547169811318" header="0.3" footer="0.3"/>
  <pageSetup paperSize="120" scale="71" fitToHeight="2" orientation="landscape" r:id="rId1"/>
  <headerFooter alignWithMargins="0">
    <oddHeader>&amp;L&amp;G&amp;C
&amp;R&amp;"Arial,Negrita"&amp;12EJECUCIÓN DE INGRESOS Y GASTOS
&amp;"Arial,Normal"&amp;10FO-GF-11
2021-08-24
V.01</oddHeader>
    <oddFooter>&amp;L&amp;G&amp;C&amp;G&amp;R&amp;P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9"/>
  <sheetViews>
    <sheetView workbookViewId="0">
      <pane xSplit="8" topLeftCell="I1" activePane="topRight" state="frozen"/>
      <selection pane="topRight" activeCell="F18" sqref="F18"/>
    </sheetView>
  </sheetViews>
  <sheetFormatPr baseColWidth="10" defaultRowHeight="10" x14ac:dyDescent="0.2"/>
  <cols>
    <col min="1" max="1" width="6.453125" style="1" customWidth="1"/>
    <col min="2" max="2" width="14" style="1" customWidth="1"/>
    <col min="3" max="3" width="17.81640625" style="1" customWidth="1"/>
    <col min="4" max="4" width="14.81640625" style="72" customWidth="1"/>
    <col min="5" max="5" width="13.7265625" style="72" customWidth="1"/>
    <col min="6" max="6" width="7" style="72" customWidth="1"/>
    <col min="7" max="7" width="13.453125" style="72" customWidth="1"/>
    <col min="8" max="8" width="13.54296875" style="72" customWidth="1"/>
    <col min="9" max="9" width="15.1796875" style="72" customWidth="1"/>
    <col min="10" max="10" width="15" style="73" customWidth="1"/>
    <col min="11" max="11" width="15" style="83" customWidth="1"/>
    <col min="12" max="12" width="16.453125" style="73" customWidth="1"/>
    <col min="13" max="13" width="14.81640625" style="72" customWidth="1"/>
    <col min="14" max="14" width="13.7265625" style="72" customWidth="1"/>
    <col min="15" max="15" width="14.81640625" style="72" customWidth="1"/>
    <col min="16" max="16" width="13.81640625" style="72" customWidth="1"/>
    <col min="17" max="17" width="14.81640625" style="84" customWidth="1"/>
    <col min="18" max="18" width="16.7265625" style="12" customWidth="1"/>
    <col min="19" max="19" width="14.54296875" style="12" customWidth="1"/>
    <col min="20" max="20" width="16" style="1" customWidth="1"/>
    <col min="21" max="21" width="13.26953125" style="1" bestFit="1" customWidth="1"/>
    <col min="22" max="256" width="11.453125" style="1"/>
    <col min="257" max="257" width="6.453125" style="1" customWidth="1"/>
    <col min="258" max="258" width="14" style="1" customWidth="1"/>
    <col min="259" max="259" width="17.81640625" style="1" customWidth="1"/>
    <col min="260" max="260" width="14.81640625" style="1" customWidth="1"/>
    <col min="261" max="261" width="13.7265625" style="1" customWidth="1"/>
    <col min="262" max="262" width="7" style="1" customWidth="1"/>
    <col min="263" max="263" width="13.453125" style="1" customWidth="1"/>
    <col min="264" max="264" width="13.54296875" style="1" customWidth="1"/>
    <col min="265" max="265" width="15.1796875" style="1" customWidth="1"/>
    <col min="266" max="267" width="15" style="1" customWidth="1"/>
    <col min="268" max="268" width="16.453125" style="1" customWidth="1"/>
    <col min="269" max="269" width="14.81640625" style="1" customWidth="1"/>
    <col min="270" max="270" width="13.7265625" style="1" customWidth="1"/>
    <col min="271" max="271" width="14.81640625" style="1" customWidth="1"/>
    <col min="272" max="272" width="13.81640625" style="1" customWidth="1"/>
    <col min="273" max="273" width="14.81640625" style="1" customWidth="1"/>
    <col min="274" max="274" width="16.7265625" style="1" customWidth="1"/>
    <col min="275" max="275" width="14.54296875" style="1" customWidth="1"/>
    <col min="276" max="276" width="16" style="1" customWidth="1"/>
    <col min="277" max="277" width="13.26953125" style="1" bestFit="1" customWidth="1"/>
    <col min="278" max="512" width="11.453125" style="1"/>
    <col min="513" max="513" width="6.453125" style="1" customWidth="1"/>
    <col min="514" max="514" width="14" style="1" customWidth="1"/>
    <col min="515" max="515" width="17.81640625" style="1" customWidth="1"/>
    <col min="516" max="516" width="14.81640625" style="1" customWidth="1"/>
    <col min="517" max="517" width="13.7265625" style="1" customWidth="1"/>
    <col min="518" max="518" width="7" style="1" customWidth="1"/>
    <col min="519" max="519" width="13.453125" style="1" customWidth="1"/>
    <col min="520" max="520" width="13.54296875" style="1" customWidth="1"/>
    <col min="521" max="521" width="15.1796875" style="1" customWidth="1"/>
    <col min="522" max="523" width="15" style="1" customWidth="1"/>
    <col min="524" max="524" width="16.453125" style="1" customWidth="1"/>
    <col min="525" max="525" width="14.81640625" style="1" customWidth="1"/>
    <col min="526" max="526" width="13.7265625" style="1" customWidth="1"/>
    <col min="527" max="527" width="14.81640625" style="1" customWidth="1"/>
    <col min="528" max="528" width="13.81640625" style="1" customWidth="1"/>
    <col min="529" max="529" width="14.81640625" style="1" customWidth="1"/>
    <col min="530" max="530" width="16.7265625" style="1" customWidth="1"/>
    <col min="531" max="531" width="14.54296875" style="1" customWidth="1"/>
    <col min="532" max="532" width="16" style="1" customWidth="1"/>
    <col min="533" max="533" width="13.26953125" style="1" bestFit="1" customWidth="1"/>
    <col min="534" max="768" width="11.453125" style="1"/>
    <col min="769" max="769" width="6.453125" style="1" customWidth="1"/>
    <col min="770" max="770" width="14" style="1" customWidth="1"/>
    <col min="771" max="771" width="17.81640625" style="1" customWidth="1"/>
    <col min="772" max="772" width="14.81640625" style="1" customWidth="1"/>
    <col min="773" max="773" width="13.7265625" style="1" customWidth="1"/>
    <col min="774" max="774" width="7" style="1" customWidth="1"/>
    <col min="775" max="775" width="13.453125" style="1" customWidth="1"/>
    <col min="776" max="776" width="13.54296875" style="1" customWidth="1"/>
    <col min="777" max="777" width="15.1796875" style="1" customWidth="1"/>
    <col min="778" max="779" width="15" style="1" customWidth="1"/>
    <col min="780" max="780" width="16.453125" style="1" customWidth="1"/>
    <col min="781" max="781" width="14.81640625" style="1" customWidth="1"/>
    <col min="782" max="782" width="13.7265625" style="1" customWidth="1"/>
    <col min="783" max="783" width="14.81640625" style="1" customWidth="1"/>
    <col min="784" max="784" width="13.81640625" style="1" customWidth="1"/>
    <col min="785" max="785" width="14.81640625" style="1" customWidth="1"/>
    <col min="786" max="786" width="16.7265625" style="1" customWidth="1"/>
    <col min="787" max="787" width="14.54296875" style="1" customWidth="1"/>
    <col min="788" max="788" width="16" style="1" customWidth="1"/>
    <col min="789" max="789" width="13.26953125" style="1" bestFit="1" customWidth="1"/>
    <col min="790" max="1024" width="11.453125" style="1"/>
    <col min="1025" max="1025" width="6.453125" style="1" customWidth="1"/>
    <col min="1026" max="1026" width="14" style="1" customWidth="1"/>
    <col min="1027" max="1027" width="17.81640625" style="1" customWidth="1"/>
    <col min="1028" max="1028" width="14.81640625" style="1" customWidth="1"/>
    <col min="1029" max="1029" width="13.7265625" style="1" customWidth="1"/>
    <col min="1030" max="1030" width="7" style="1" customWidth="1"/>
    <col min="1031" max="1031" width="13.453125" style="1" customWidth="1"/>
    <col min="1032" max="1032" width="13.54296875" style="1" customWidth="1"/>
    <col min="1033" max="1033" width="15.1796875" style="1" customWidth="1"/>
    <col min="1034" max="1035" width="15" style="1" customWidth="1"/>
    <col min="1036" max="1036" width="16.453125" style="1" customWidth="1"/>
    <col min="1037" max="1037" width="14.81640625" style="1" customWidth="1"/>
    <col min="1038" max="1038" width="13.7265625" style="1" customWidth="1"/>
    <col min="1039" max="1039" width="14.81640625" style="1" customWidth="1"/>
    <col min="1040" max="1040" width="13.81640625" style="1" customWidth="1"/>
    <col min="1041" max="1041" width="14.81640625" style="1" customWidth="1"/>
    <col min="1042" max="1042" width="16.7265625" style="1" customWidth="1"/>
    <col min="1043" max="1043" width="14.54296875" style="1" customWidth="1"/>
    <col min="1044" max="1044" width="16" style="1" customWidth="1"/>
    <col min="1045" max="1045" width="13.26953125" style="1" bestFit="1" customWidth="1"/>
    <col min="1046" max="1280" width="11.453125" style="1"/>
    <col min="1281" max="1281" width="6.453125" style="1" customWidth="1"/>
    <col min="1282" max="1282" width="14" style="1" customWidth="1"/>
    <col min="1283" max="1283" width="17.81640625" style="1" customWidth="1"/>
    <col min="1284" max="1284" width="14.81640625" style="1" customWidth="1"/>
    <col min="1285" max="1285" width="13.7265625" style="1" customWidth="1"/>
    <col min="1286" max="1286" width="7" style="1" customWidth="1"/>
    <col min="1287" max="1287" width="13.453125" style="1" customWidth="1"/>
    <col min="1288" max="1288" width="13.54296875" style="1" customWidth="1"/>
    <col min="1289" max="1289" width="15.1796875" style="1" customWidth="1"/>
    <col min="1290" max="1291" width="15" style="1" customWidth="1"/>
    <col min="1292" max="1292" width="16.453125" style="1" customWidth="1"/>
    <col min="1293" max="1293" width="14.81640625" style="1" customWidth="1"/>
    <col min="1294" max="1294" width="13.7265625" style="1" customWidth="1"/>
    <col min="1295" max="1295" width="14.81640625" style="1" customWidth="1"/>
    <col min="1296" max="1296" width="13.81640625" style="1" customWidth="1"/>
    <col min="1297" max="1297" width="14.81640625" style="1" customWidth="1"/>
    <col min="1298" max="1298" width="16.7265625" style="1" customWidth="1"/>
    <col min="1299" max="1299" width="14.54296875" style="1" customWidth="1"/>
    <col min="1300" max="1300" width="16" style="1" customWidth="1"/>
    <col min="1301" max="1301" width="13.26953125" style="1" bestFit="1" customWidth="1"/>
    <col min="1302" max="1536" width="11.453125" style="1"/>
    <col min="1537" max="1537" width="6.453125" style="1" customWidth="1"/>
    <col min="1538" max="1538" width="14" style="1" customWidth="1"/>
    <col min="1539" max="1539" width="17.81640625" style="1" customWidth="1"/>
    <col min="1540" max="1540" width="14.81640625" style="1" customWidth="1"/>
    <col min="1541" max="1541" width="13.7265625" style="1" customWidth="1"/>
    <col min="1542" max="1542" width="7" style="1" customWidth="1"/>
    <col min="1543" max="1543" width="13.453125" style="1" customWidth="1"/>
    <col min="1544" max="1544" width="13.54296875" style="1" customWidth="1"/>
    <col min="1545" max="1545" width="15.1796875" style="1" customWidth="1"/>
    <col min="1546" max="1547" width="15" style="1" customWidth="1"/>
    <col min="1548" max="1548" width="16.453125" style="1" customWidth="1"/>
    <col min="1549" max="1549" width="14.81640625" style="1" customWidth="1"/>
    <col min="1550" max="1550" width="13.7265625" style="1" customWidth="1"/>
    <col min="1551" max="1551" width="14.81640625" style="1" customWidth="1"/>
    <col min="1552" max="1552" width="13.81640625" style="1" customWidth="1"/>
    <col min="1553" max="1553" width="14.81640625" style="1" customWidth="1"/>
    <col min="1554" max="1554" width="16.7265625" style="1" customWidth="1"/>
    <col min="1555" max="1555" width="14.54296875" style="1" customWidth="1"/>
    <col min="1556" max="1556" width="16" style="1" customWidth="1"/>
    <col min="1557" max="1557" width="13.26953125" style="1" bestFit="1" customWidth="1"/>
    <col min="1558" max="1792" width="11.453125" style="1"/>
    <col min="1793" max="1793" width="6.453125" style="1" customWidth="1"/>
    <col min="1794" max="1794" width="14" style="1" customWidth="1"/>
    <col min="1795" max="1795" width="17.81640625" style="1" customWidth="1"/>
    <col min="1796" max="1796" width="14.81640625" style="1" customWidth="1"/>
    <col min="1797" max="1797" width="13.7265625" style="1" customWidth="1"/>
    <col min="1798" max="1798" width="7" style="1" customWidth="1"/>
    <col min="1799" max="1799" width="13.453125" style="1" customWidth="1"/>
    <col min="1800" max="1800" width="13.54296875" style="1" customWidth="1"/>
    <col min="1801" max="1801" width="15.1796875" style="1" customWidth="1"/>
    <col min="1802" max="1803" width="15" style="1" customWidth="1"/>
    <col min="1804" max="1804" width="16.453125" style="1" customWidth="1"/>
    <col min="1805" max="1805" width="14.81640625" style="1" customWidth="1"/>
    <col min="1806" max="1806" width="13.7265625" style="1" customWidth="1"/>
    <col min="1807" max="1807" width="14.81640625" style="1" customWidth="1"/>
    <col min="1808" max="1808" width="13.81640625" style="1" customWidth="1"/>
    <col min="1809" max="1809" width="14.81640625" style="1" customWidth="1"/>
    <col min="1810" max="1810" width="16.7265625" style="1" customWidth="1"/>
    <col min="1811" max="1811" width="14.54296875" style="1" customWidth="1"/>
    <col min="1812" max="1812" width="16" style="1" customWidth="1"/>
    <col min="1813" max="1813" width="13.26953125" style="1" bestFit="1" customWidth="1"/>
    <col min="1814" max="2048" width="11.453125" style="1"/>
    <col min="2049" max="2049" width="6.453125" style="1" customWidth="1"/>
    <col min="2050" max="2050" width="14" style="1" customWidth="1"/>
    <col min="2051" max="2051" width="17.81640625" style="1" customWidth="1"/>
    <col min="2052" max="2052" width="14.81640625" style="1" customWidth="1"/>
    <col min="2053" max="2053" width="13.7265625" style="1" customWidth="1"/>
    <col min="2054" max="2054" width="7" style="1" customWidth="1"/>
    <col min="2055" max="2055" width="13.453125" style="1" customWidth="1"/>
    <col min="2056" max="2056" width="13.54296875" style="1" customWidth="1"/>
    <col min="2057" max="2057" width="15.1796875" style="1" customWidth="1"/>
    <col min="2058" max="2059" width="15" style="1" customWidth="1"/>
    <col min="2060" max="2060" width="16.453125" style="1" customWidth="1"/>
    <col min="2061" max="2061" width="14.81640625" style="1" customWidth="1"/>
    <col min="2062" max="2062" width="13.7265625" style="1" customWidth="1"/>
    <col min="2063" max="2063" width="14.81640625" style="1" customWidth="1"/>
    <col min="2064" max="2064" width="13.81640625" style="1" customWidth="1"/>
    <col min="2065" max="2065" width="14.81640625" style="1" customWidth="1"/>
    <col min="2066" max="2066" width="16.7265625" style="1" customWidth="1"/>
    <col min="2067" max="2067" width="14.54296875" style="1" customWidth="1"/>
    <col min="2068" max="2068" width="16" style="1" customWidth="1"/>
    <col min="2069" max="2069" width="13.26953125" style="1" bestFit="1" customWidth="1"/>
    <col min="2070" max="2304" width="11.453125" style="1"/>
    <col min="2305" max="2305" width="6.453125" style="1" customWidth="1"/>
    <col min="2306" max="2306" width="14" style="1" customWidth="1"/>
    <col min="2307" max="2307" width="17.81640625" style="1" customWidth="1"/>
    <col min="2308" max="2308" width="14.81640625" style="1" customWidth="1"/>
    <col min="2309" max="2309" width="13.7265625" style="1" customWidth="1"/>
    <col min="2310" max="2310" width="7" style="1" customWidth="1"/>
    <col min="2311" max="2311" width="13.453125" style="1" customWidth="1"/>
    <col min="2312" max="2312" width="13.54296875" style="1" customWidth="1"/>
    <col min="2313" max="2313" width="15.1796875" style="1" customWidth="1"/>
    <col min="2314" max="2315" width="15" style="1" customWidth="1"/>
    <col min="2316" max="2316" width="16.453125" style="1" customWidth="1"/>
    <col min="2317" max="2317" width="14.81640625" style="1" customWidth="1"/>
    <col min="2318" max="2318" width="13.7265625" style="1" customWidth="1"/>
    <col min="2319" max="2319" width="14.81640625" style="1" customWidth="1"/>
    <col min="2320" max="2320" width="13.81640625" style="1" customWidth="1"/>
    <col min="2321" max="2321" width="14.81640625" style="1" customWidth="1"/>
    <col min="2322" max="2322" width="16.7265625" style="1" customWidth="1"/>
    <col min="2323" max="2323" width="14.54296875" style="1" customWidth="1"/>
    <col min="2324" max="2324" width="16" style="1" customWidth="1"/>
    <col min="2325" max="2325" width="13.26953125" style="1" bestFit="1" customWidth="1"/>
    <col min="2326" max="2560" width="11.453125" style="1"/>
    <col min="2561" max="2561" width="6.453125" style="1" customWidth="1"/>
    <col min="2562" max="2562" width="14" style="1" customWidth="1"/>
    <col min="2563" max="2563" width="17.81640625" style="1" customWidth="1"/>
    <col min="2564" max="2564" width="14.81640625" style="1" customWidth="1"/>
    <col min="2565" max="2565" width="13.7265625" style="1" customWidth="1"/>
    <col min="2566" max="2566" width="7" style="1" customWidth="1"/>
    <col min="2567" max="2567" width="13.453125" style="1" customWidth="1"/>
    <col min="2568" max="2568" width="13.54296875" style="1" customWidth="1"/>
    <col min="2569" max="2569" width="15.1796875" style="1" customWidth="1"/>
    <col min="2570" max="2571" width="15" style="1" customWidth="1"/>
    <col min="2572" max="2572" width="16.453125" style="1" customWidth="1"/>
    <col min="2573" max="2573" width="14.81640625" style="1" customWidth="1"/>
    <col min="2574" max="2574" width="13.7265625" style="1" customWidth="1"/>
    <col min="2575" max="2575" width="14.81640625" style="1" customWidth="1"/>
    <col min="2576" max="2576" width="13.81640625" style="1" customWidth="1"/>
    <col min="2577" max="2577" width="14.81640625" style="1" customWidth="1"/>
    <col min="2578" max="2578" width="16.7265625" style="1" customWidth="1"/>
    <col min="2579" max="2579" width="14.54296875" style="1" customWidth="1"/>
    <col min="2580" max="2580" width="16" style="1" customWidth="1"/>
    <col min="2581" max="2581" width="13.26953125" style="1" bestFit="1" customWidth="1"/>
    <col min="2582" max="2816" width="11.453125" style="1"/>
    <col min="2817" max="2817" width="6.453125" style="1" customWidth="1"/>
    <col min="2818" max="2818" width="14" style="1" customWidth="1"/>
    <col min="2819" max="2819" width="17.81640625" style="1" customWidth="1"/>
    <col min="2820" max="2820" width="14.81640625" style="1" customWidth="1"/>
    <col min="2821" max="2821" width="13.7265625" style="1" customWidth="1"/>
    <col min="2822" max="2822" width="7" style="1" customWidth="1"/>
    <col min="2823" max="2823" width="13.453125" style="1" customWidth="1"/>
    <col min="2824" max="2824" width="13.54296875" style="1" customWidth="1"/>
    <col min="2825" max="2825" width="15.1796875" style="1" customWidth="1"/>
    <col min="2826" max="2827" width="15" style="1" customWidth="1"/>
    <col min="2828" max="2828" width="16.453125" style="1" customWidth="1"/>
    <col min="2829" max="2829" width="14.81640625" style="1" customWidth="1"/>
    <col min="2830" max="2830" width="13.7265625" style="1" customWidth="1"/>
    <col min="2831" max="2831" width="14.81640625" style="1" customWidth="1"/>
    <col min="2832" max="2832" width="13.81640625" style="1" customWidth="1"/>
    <col min="2833" max="2833" width="14.81640625" style="1" customWidth="1"/>
    <col min="2834" max="2834" width="16.7265625" style="1" customWidth="1"/>
    <col min="2835" max="2835" width="14.54296875" style="1" customWidth="1"/>
    <col min="2836" max="2836" width="16" style="1" customWidth="1"/>
    <col min="2837" max="2837" width="13.26953125" style="1" bestFit="1" customWidth="1"/>
    <col min="2838" max="3072" width="11.453125" style="1"/>
    <col min="3073" max="3073" width="6.453125" style="1" customWidth="1"/>
    <col min="3074" max="3074" width="14" style="1" customWidth="1"/>
    <col min="3075" max="3075" width="17.81640625" style="1" customWidth="1"/>
    <col min="3076" max="3076" width="14.81640625" style="1" customWidth="1"/>
    <col min="3077" max="3077" width="13.7265625" style="1" customWidth="1"/>
    <col min="3078" max="3078" width="7" style="1" customWidth="1"/>
    <col min="3079" max="3079" width="13.453125" style="1" customWidth="1"/>
    <col min="3080" max="3080" width="13.54296875" style="1" customWidth="1"/>
    <col min="3081" max="3081" width="15.1796875" style="1" customWidth="1"/>
    <col min="3082" max="3083" width="15" style="1" customWidth="1"/>
    <col min="3084" max="3084" width="16.453125" style="1" customWidth="1"/>
    <col min="3085" max="3085" width="14.81640625" style="1" customWidth="1"/>
    <col min="3086" max="3086" width="13.7265625" style="1" customWidth="1"/>
    <col min="3087" max="3087" width="14.81640625" style="1" customWidth="1"/>
    <col min="3088" max="3088" width="13.81640625" style="1" customWidth="1"/>
    <col min="3089" max="3089" width="14.81640625" style="1" customWidth="1"/>
    <col min="3090" max="3090" width="16.7265625" style="1" customWidth="1"/>
    <col min="3091" max="3091" width="14.54296875" style="1" customWidth="1"/>
    <col min="3092" max="3092" width="16" style="1" customWidth="1"/>
    <col min="3093" max="3093" width="13.26953125" style="1" bestFit="1" customWidth="1"/>
    <col min="3094" max="3328" width="11.453125" style="1"/>
    <col min="3329" max="3329" width="6.453125" style="1" customWidth="1"/>
    <col min="3330" max="3330" width="14" style="1" customWidth="1"/>
    <col min="3331" max="3331" width="17.81640625" style="1" customWidth="1"/>
    <col min="3332" max="3332" width="14.81640625" style="1" customWidth="1"/>
    <col min="3333" max="3333" width="13.7265625" style="1" customWidth="1"/>
    <col min="3334" max="3334" width="7" style="1" customWidth="1"/>
    <col min="3335" max="3335" width="13.453125" style="1" customWidth="1"/>
    <col min="3336" max="3336" width="13.54296875" style="1" customWidth="1"/>
    <col min="3337" max="3337" width="15.1796875" style="1" customWidth="1"/>
    <col min="3338" max="3339" width="15" style="1" customWidth="1"/>
    <col min="3340" max="3340" width="16.453125" style="1" customWidth="1"/>
    <col min="3341" max="3341" width="14.81640625" style="1" customWidth="1"/>
    <col min="3342" max="3342" width="13.7265625" style="1" customWidth="1"/>
    <col min="3343" max="3343" width="14.81640625" style="1" customWidth="1"/>
    <col min="3344" max="3344" width="13.81640625" style="1" customWidth="1"/>
    <col min="3345" max="3345" width="14.81640625" style="1" customWidth="1"/>
    <col min="3346" max="3346" width="16.7265625" style="1" customWidth="1"/>
    <col min="3347" max="3347" width="14.54296875" style="1" customWidth="1"/>
    <col min="3348" max="3348" width="16" style="1" customWidth="1"/>
    <col min="3349" max="3349" width="13.26953125" style="1" bestFit="1" customWidth="1"/>
    <col min="3350" max="3584" width="11.453125" style="1"/>
    <col min="3585" max="3585" width="6.453125" style="1" customWidth="1"/>
    <col min="3586" max="3586" width="14" style="1" customWidth="1"/>
    <col min="3587" max="3587" width="17.81640625" style="1" customWidth="1"/>
    <col min="3588" max="3588" width="14.81640625" style="1" customWidth="1"/>
    <col min="3589" max="3589" width="13.7265625" style="1" customWidth="1"/>
    <col min="3590" max="3590" width="7" style="1" customWidth="1"/>
    <col min="3591" max="3591" width="13.453125" style="1" customWidth="1"/>
    <col min="3592" max="3592" width="13.54296875" style="1" customWidth="1"/>
    <col min="3593" max="3593" width="15.1796875" style="1" customWidth="1"/>
    <col min="3594" max="3595" width="15" style="1" customWidth="1"/>
    <col min="3596" max="3596" width="16.453125" style="1" customWidth="1"/>
    <col min="3597" max="3597" width="14.81640625" style="1" customWidth="1"/>
    <col min="3598" max="3598" width="13.7265625" style="1" customWidth="1"/>
    <col min="3599" max="3599" width="14.81640625" style="1" customWidth="1"/>
    <col min="3600" max="3600" width="13.81640625" style="1" customWidth="1"/>
    <col min="3601" max="3601" width="14.81640625" style="1" customWidth="1"/>
    <col min="3602" max="3602" width="16.7265625" style="1" customWidth="1"/>
    <col min="3603" max="3603" width="14.54296875" style="1" customWidth="1"/>
    <col min="3604" max="3604" width="16" style="1" customWidth="1"/>
    <col min="3605" max="3605" width="13.26953125" style="1" bestFit="1" customWidth="1"/>
    <col min="3606" max="3840" width="11.453125" style="1"/>
    <col min="3841" max="3841" width="6.453125" style="1" customWidth="1"/>
    <col min="3842" max="3842" width="14" style="1" customWidth="1"/>
    <col min="3843" max="3843" width="17.81640625" style="1" customWidth="1"/>
    <col min="3844" max="3844" width="14.81640625" style="1" customWidth="1"/>
    <col min="3845" max="3845" width="13.7265625" style="1" customWidth="1"/>
    <col min="3846" max="3846" width="7" style="1" customWidth="1"/>
    <col min="3847" max="3847" width="13.453125" style="1" customWidth="1"/>
    <col min="3848" max="3848" width="13.54296875" style="1" customWidth="1"/>
    <col min="3849" max="3849" width="15.1796875" style="1" customWidth="1"/>
    <col min="3850" max="3851" width="15" style="1" customWidth="1"/>
    <col min="3852" max="3852" width="16.453125" style="1" customWidth="1"/>
    <col min="3853" max="3853" width="14.81640625" style="1" customWidth="1"/>
    <col min="3854" max="3854" width="13.7265625" style="1" customWidth="1"/>
    <col min="3855" max="3855" width="14.81640625" style="1" customWidth="1"/>
    <col min="3856" max="3856" width="13.81640625" style="1" customWidth="1"/>
    <col min="3857" max="3857" width="14.81640625" style="1" customWidth="1"/>
    <col min="3858" max="3858" width="16.7265625" style="1" customWidth="1"/>
    <col min="3859" max="3859" width="14.54296875" style="1" customWidth="1"/>
    <col min="3860" max="3860" width="16" style="1" customWidth="1"/>
    <col min="3861" max="3861" width="13.26953125" style="1" bestFit="1" customWidth="1"/>
    <col min="3862" max="4096" width="11.453125" style="1"/>
    <col min="4097" max="4097" width="6.453125" style="1" customWidth="1"/>
    <col min="4098" max="4098" width="14" style="1" customWidth="1"/>
    <col min="4099" max="4099" width="17.81640625" style="1" customWidth="1"/>
    <col min="4100" max="4100" width="14.81640625" style="1" customWidth="1"/>
    <col min="4101" max="4101" width="13.7265625" style="1" customWidth="1"/>
    <col min="4102" max="4102" width="7" style="1" customWidth="1"/>
    <col min="4103" max="4103" width="13.453125" style="1" customWidth="1"/>
    <col min="4104" max="4104" width="13.54296875" style="1" customWidth="1"/>
    <col min="4105" max="4105" width="15.1796875" style="1" customWidth="1"/>
    <col min="4106" max="4107" width="15" style="1" customWidth="1"/>
    <col min="4108" max="4108" width="16.453125" style="1" customWidth="1"/>
    <col min="4109" max="4109" width="14.81640625" style="1" customWidth="1"/>
    <col min="4110" max="4110" width="13.7265625" style="1" customWidth="1"/>
    <col min="4111" max="4111" width="14.81640625" style="1" customWidth="1"/>
    <col min="4112" max="4112" width="13.81640625" style="1" customWidth="1"/>
    <col min="4113" max="4113" width="14.81640625" style="1" customWidth="1"/>
    <col min="4114" max="4114" width="16.7265625" style="1" customWidth="1"/>
    <col min="4115" max="4115" width="14.54296875" style="1" customWidth="1"/>
    <col min="4116" max="4116" width="16" style="1" customWidth="1"/>
    <col min="4117" max="4117" width="13.26953125" style="1" bestFit="1" customWidth="1"/>
    <col min="4118" max="4352" width="11.453125" style="1"/>
    <col min="4353" max="4353" width="6.453125" style="1" customWidth="1"/>
    <col min="4354" max="4354" width="14" style="1" customWidth="1"/>
    <col min="4355" max="4355" width="17.81640625" style="1" customWidth="1"/>
    <col min="4356" max="4356" width="14.81640625" style="1" customWidth="1"/>
    <col min="4357" max="4357" width="13.7265625" style="1" customWidth="1"/>
    <col min="4358" max="4358" width="7" style="1" customWidth="1"/>
    <col min="4359" max="4359" width="13.453125" style="1" customWidth="1"/>
    <col min="4360" max="4360" width="13.54296875" style="1" customWidth="1"/>
    <col min="4361" max="4361" width="15.1796875" style="1" customWidth="1"/>
    <col min="4362" max="4363" width="15" style="1" customWidth="1"/>
    <col min="4364" max="4364" width="16.453125" style="1" customWidth="1"/>
    <col min="4365" max="4365" width="14.81640625" style="1" customWidth="1"/>
    <col min="4366" max="4366" width="13.7265625" style="1" customWidth="1"/>
    <col min="4367" max="4367" width="14.81640625" style="1" customWidth="1"/>
    <col min="4368" max="4368" width="13.81640625" style="1" customWidth="1"/>
    <col min="4369" max="4369" width="14.81640625" style="1" customWidth="1"/>
    <col min="4370" max="4370" width="16.7265625" style="1" customWidth="1"/>
    <col min="4371" max="4371" width="14.54296875" style="1" customWidth="1"/>
    <col min="4372" max="4372" width="16" style="1" customWidth="1"/>
    <col min="4373" max="4373" width="13.26953125" style="1" bestFit="1" customWidth="1"/>
    <col min="4374" max="4608" width="11.453125" style="1"/>
    <col min="4609" max="4609" width="6.453125" style="1" customWidth="1"/>
    <col min="4610" max="4610" width="14" style="1" customWidth="1"/>
    <col min="4611" max="4611" width="17.81640625" style="1" customWidth="1"/>
    <col min="4612" max="4612" width="14.81640625" style="1" customWidth="1"/>
    <col min="4613" max="4613" width="13.7265625" style="1" customWidth="1"/>
    <col min="4614" max="4614" width="7" style="1" customWidth="1"/>
    <col min="4615" max="4615" width="13.453125" style="1" customWidth="1"/>
    <col min="4616" max="4616" width="13.54296875" style="1" customWidth="1"/>
    <col min="4617" max="4617" width="15.1796875" style="1" customWidth="1"/>
    <col min="4618" max="4619" width="15" style="1" customWidth="1"/>
    <col min="4620" max="4620" width="16.453125" style="1" customWidth="1"/>
    <col min="4621" max="4621" width="14.81640625" style="1" customWidth="1"/>
    <col min="4622" max="4622" width="13.7265625" style="1" customWidth="1"/>
    <col min="4623" max="4623" width="14.81640625" style="1" customWidth="1"/>
    <col min="4624" max="4624" width="13.81640625" style="1" customWidth="1"/>
    <col min="4625" max="4625" width="14.81640625" style="1" customWidth="1"/>
    <col min="4626" max="4626" width="16.7265625" style="1" customWidth="1"/>
    <col min="4627" max="4627" width="14.54296875" style="1" customWidth="1"/>
    <col min="4628" max="4628" width="16" style="1" customWidth="1"/>
    <col min="4629" max="4629" width="13.26953125" style="1" bestFit="1" customWidth="1"/>
    <col min="4630" max="4864" width="11.453125" style="1"/>
    <col min="4865" max="4865" width="6.453125" style="1" customWidth="1"/>
    <col min="4866" max="4866" width="14" style="1" customWidth="1"/>
    <col min="4867" max="4867" width="17.81640625" style="1" customWidth="1"/>
    <col min="4868" max="4868" width="14.81640625" style="1" customWidth="1"/>
    <col min="4869" max="4869" width="13.7265625" style="1" customWidth="1"/>
    <col min="4870" max="4870" width="7" style="1" customWidth="1"/>
    <col min="4871" max="4871" width="13.453125" style="1" customWidth="1"/>
    <col min="4872" max="4872" width="13.54296875" style="1" customWidth="1"/>
    <col min="4873" max="4873" width="15.1796875" style="1" customWidth="1"/>
    <col min="4874" max="4875" width="15" style="1" customWidth="1"/>
    <col min="4876" max="4876" width="16.453125" style="1" customWidth="1"/>
    <col min="4877" max="4877" width="14.81640625" style="1" customWidth="1"/>
    <col min="4878" max="4878" width="13.7265625" style="1" customWidth="1"/>
    <col min="4879" max="4879" width="14.81640625" style="1" customWidth="1"/>
    <col min="4880" max="4880" width="13.81640625" style="1" customWidth="1"/>
    <col min="4881" max="4881" width="14.81640625" style="1" customWidth="1"/>
    <col min="4882" max="4882" width="16.7265625" style="1" customWidth="1"/>
    <col min="4883" max="4883" width="14.54296875" style="1" customWidth="1"/>
    <col min="4884" max="4884" width="16" style="1" customWidth="1"/>
    <col min="4885" max="4885" width="13.26953125" style="1" bestFit="1" customWidth="1"/>
    <col min="4886" max="5120" width="11.453125" style="1"/>
    <col min="5121" max="5121" width="6.453125" style="1" customWidth="1"/>
    <col min="5122" max="5122" width="14" style="1" customWidth="1"/>
    <col min="5123" max="5123" width="17.81640625" style="1" customWidth="1"/>
    <col min="5124" max="5124" width="14.81640625" style="1" customWidth="1"/>
    <col min="5125" max="5125" width="13.7265625" style="1" customWidth="1"/>
    <col min="5126" max="5126" width="7" style="1" customWidth="1"/>
    <col min="5127" max="5127" width="13.453125" style="1" customWidth="1"/>
    <col min="5128" max="5128" width="13.54296875" style="1" customWidth="1"/>
    <col min="5129" max="5129" width="15.1796875" style="1" customWidth="1"/>
    <col min="5130" max="5131" width="15" style="1" customWidth="1"/>
    <col min="5132" max="5132" width="16.453125" style="1" customWidth="1"/>
    <col min="5133" max="5133" width="14.81640625" style="1" customWidth="1"/>
    <col min="5134" max="5134" width="13.7265625" style="1" customWidth="1"/>
    <col min="5135" max="5135" width="14.81640625" style="1" customWidth="1"/>
    <col min="5136" max="5136" width="13.81640625" style="1" customWidth="1"/>
    <col min="5137" max="5137" width="14.81640625" style="1" customWidth="1"/>
    <col min="5138" max="5138" width="16.7265625" style="1" customWidth="1"/>
    <col min="5139" max="5139" width="14.54296875" style="1" customWidth="1"/>
    <col min="5140" max="5140" width="16" style="1" customWidth="1"/>
    <col min="5141" max="5141" width="13.26953125" style="1" bestFit="1" customWidth="1"/>
    <col min="5142" max="5376" width="11.453125" style="1"/>
    <col min="5377" max="5377" width="6.453125" style="1" customWidth="1"/>
    <col min="5378" max="5378" width="14" style="1" customWidth="1"/>
    <col min="5379" max="5379" width="17.81640625" style="1" customWidth="1"/>
    <col min="5380" max="5380" width="14.81640625" style="1" customWidth="1"/>
    <col min="5381" max="5381" width="13.7265625" style="1" customWidth="1"/>
    <col min="5382" max="5382" width="7" style="1" customWidth="1"/>
    <col min="5383" max="5383" width="13.453125" style="1" customWidth="1"/>
    <col min="5384" max="5384" width="13.54296875" style="1" customWidth="1"/>
    <col min="5385" max="5385" width="15.1796875" style="1" customWidth="1"/>
    <col min="5386" max="5387" width="15" style="1" customWidth="1"/>
    <col min="5388" max="5388" width="16.453125" style="1" customWidth="1"/>
    <col min="5389" max="5389" width="14.81640625" style="1" customWidth="1"/>
    <col min="5390" max="5390" width="13.7265625" style="1" customWidth="1"/>
    <col min="5391" max="5391" width="14.81640625" style="1" customWidth="1"/>
    <col min="5392" max="5392" width="13.81640625" style="1" customWidth="1"/>
    <col min="5393" max="5393" width="14.81640625" style="1" customWidth="1"/>
    <col min="5394" max="5394" width="16.7265625" style="1" customWidth="1"/>
    <col min="5395" max="5395" width="14.54296875" style="1" customWidth="1"/>
    <col min="5396" max="5396" width="16" style="1" customWidth="1"/>
    <col min="5397" max="5397" width="13.26953125" style="1" bestFit="1" customWidth="1"/>
    <col min="5398" max="5632" width="11.453125" style="1"/>
    <col min="5633" max="5633" width="6.453125" style="1" customWidth="1"/>
    <col min="5634" max="5634" width="14" style="1" customWidth="1"/>
    <col min="5635" max="5635" width="17.81640625" style="1" customWidth="1"/>
    <col min="5636" max="5636" width="14.81640625" style="1" customWidth="1"/>
    <col min="5637" max="5637" width="13.7265625" style="1" customWidth="1"/>
    <col min="5638" max="5638" width="7" style="1" customWidth="1"/>
    <col min="5639" max="5639" width="13.453125" style="1" customWidth="1"/>
    <col min="5640" max="5640" width="13.54296875" style="1" customWidth="1"/>
    <col min="5641" max="5641" width="15.1796875" style="1" customWidth="1"/>
    <col min="5642" max="5643" width="15" style="1" customWidth="1"/>
    <col min="5644" max="5644" width="16.453125" style="1" customWidth="1"/>
    <col min="5645" max="5645" width="14.81640625" style="1" customWidth="1"/>
    <col min="5646" max="5646" width="13.7265625" style="1" customWidth="1"/>
    <col min="5647" max="5647" width="14.81640625" style="1" customWidth="1"/>
    <col min="5648" max="5648" width="13.81640625" style="1" customWidth="1"/>
    <col min="5649" max="5649" width="14.81640625" style="1" customWidth="1"/>
    <col min="5650" max="5650" width="16.7265625" style="1" customWidth="1"/>
    <col min="5651" max="5651" width="14.54296875" style="1" customWidth="1"/>
    <col min="5652" max="5652" width="16" style="1" customWidth="1"/>
    <col min="5653" max="5653" width="13.26953125" style="1" bestFit="1" customWidth="1"/>
    <col min="5654" max="5888" width="11.453125" style="1"/>
    <col min="5889" max="5889" width="6.453125" style="1" customWidth="1"/>
    <col min="5890" max="5890" width="14" style="1" customWidth="1"/>
    <col min="5891" max="5891" width="17.81640625" style="1" customWidth="1"/>
    <col min="5892" max="5892" width="14.81640625" style="1" customWidth="1"/>
    <col min="5893" max="5893" width="13.7265625" style="1" customWidth="1"/>
    <col min="5894" max="5894" width="7" style="1" customWidth="1"/>
    <col min="5895" max="5895" width="13.453125" style="1" customWidth="1"/>
    <col min="5896" max="5896" width="13.54296875" style="1" customWidth="1"/>
    <col min="5897" max="5897" width="15.1796875" style="1" customWidth="1"/>
    <col min="5898" max="5899" width="15" style="1" customWidth="1"/>
    <col min="5900" max="5900" width="16.453125" style="1" customWidth="1"/>
    <col min="5901" max="5901" width="14.81640625" style="1" customWidth="1"/>
    <col min="5902" max="5902" width="13.7265625" style="1" customWidth="1"/>
    <col min="5903" max="5903" width="14.81640625" style="1" customWidth="1"/>
    <col min="5904" max="5904" width="13.81640625" style="1" customWidth="1"/>
    <col min="5905" max="5905" width="14.81640625" style="1" customWidth="1"/>
    <col min="5906" max="5906" width="16.7265625" style="1" customWidth="1"/>
    <col min="5907" max="5907" width="14.54296875" style="1" customWidth="1"/>
    <col min="5908" max="5908" width="16" style="1" customWidth="1"/>
    <col min="5909" max="5909" width="13.26953125" style="1" bestFit="1" customWidth="1"/>
    <col min="5910" max="6144" width="11.453125" style="1"/>
    <col min="6145" max="6145" width="6.453125" style="1" customWidth="1"/>
    <col min="6146" max="6146" width="14" style="1" customWidth="1"/>
    <col min="6147" max="6147" width="17.81640625" style="1" customWidth="1"/>
    <col min="6148" max="6148" width="14.81640625" style="1" customWidth="1"/>
    <col min="6149" max="6149" width="13.7265625" style="1" customWidth="1"/>
    <col min="6150" max="6150" width="7" style="1" customWidth="1"/>
    <col min="6151" max="6151" width="13.453125" style="1" customWidth="1"/>
    <col min="6152" max="6152" width="13.54296875" style="1" customWidth="1"/>
    <col min="6153" max="6153" width="15.1796875" style="1" customWidth="1"/>
    <col min="6154" max="6155" width="15" style="1" customWidth="1"/>
    <col min="6156" max="6156" width="16.453125" style="1" customWidth="1"/>
    <col min="6157" max="6157" width="14.81640625" style="1" customWidth="1"/>
    <col min="6158" max="6158" width="13.7265625" style="1" customWidth="1"/>
    <col min="6159" max="6159" width="14.81640625" style="1" customWidth="1"/>
    <col min="6160" max="6160" width="13.81640625" style="1" customWidth="1"/>
    <col min="6161" max="6161" width="14.81640625" style="1" customWidth="1"/>
    <col min="6162" max="6162" width="16.7265625" style="1" customWidth="1"/>
    <col min="6163" max="6163" width="14.54296875" style="1" customWidth="1"/>
    <col min="6164" max="6164" width="16" style="1" customWidth="1"/>
    <col min="6165" max="6165" width="13.26953125" style="1" bestFit="1" customWidth="1"/>
    <col min="6166" max="6400" width="11.453125" style="1"/>
    <col min="6401" max="6401" width="6.453125" style="1" customWidth="1"/>
    <col min="6402" max="6402" width="14" style="1" customWidth="1"/>
    <col min="6403" max="6403" width="17.81640625" style="1" customWidth="1"/>
    <col min="6404" max="6404" width="14.81640625" style="1" customWidth="1"/>
    <col min="6405" max="6405" width="13.7265625" style="1" customWidth="1"/>
    <col min="6406" max="6406" width="7" style="1" customWidth="1"/>
    <col min="6407" max="6407" width="13.453125" style="1" customWidth="1"/>
    <col min="6408" max="6408" width="13.54296875" style="1" customWidth="1"/>
    <col min="6409" max="6409" width="15.1796875" style="1" customWidth="1"/>
    <col min="6410" max="6411" width="15" style="1" customWidth="1"/>
    <col min="6412" max="6412" width="16.453125" style="1" customWidth="1"/>
    <col min="6413" max="6413" width="14.81640625" style="1" customWidth="1"/>
    <col min="6414" max="6414" width="13.7265625" style="1" customWidth="1"/>
    <col min="6415" max="6415" width="14.81640625" style="1" customWidth="1"/>
    <col min="6416" max="6416" width="13.81640625" style="1" customWidth="1"/>
    <col min="6417" max="6417" width="14.81640625" style="1" customWidth="1"/>
    <col min="6418" max="6418" width="16.7265625" style="1" customWidth="1"/>
    <col min="6419" max="6419" width="14.54296875" style="1" customWidth="1"/>
    <col min="6420" max="6420" width="16" style="1" customWidth="1"/>
    <col min="6421" max="6421" width="13.26953125" style="1" bestFit="1" customWidth="1"/>
    <col min="6422" max="6656" width="11.453125" style="1"/>
    <col min="6657" max="6657" width="6.453125" style="1" customWidth="1"/>
    <col min="6658" max="6658" width="14" style="1" customWidth="1"/>
    <col min="6659" max="6659" width="17.81640625" style="1" customWidth="1"/>
    <col min="6660" max="6660" width="14.81640625" style="1" customWidth="1"/>
    <col min="6661" max="6661" width="13.7265625" style="1" customWidth="1"/>
    <col min="6662" max="6662" width="7" style="1" customWidth="1"/>
    <col min="6663" max="6663" width="13.453125" style="1" customWidth="1"/>
    <col min="6664" max="6664" width="13.54296875" style="1" customWidth="1"/>
    <col min="6665" max="6665" width="15.1796875" style="1" customWidth="1"/>
    <col min="6666" max="6667" width="15" style="1" customWidth="1"/>
    <col min="6668" max="6668" width="16.453125" style="1" customWidth="1"/>
    <col min="6669" max="6669" width="14.81640625" style="1" customWidth="1"/>
    <col min="6670" max="6670" width="13.7265625" style="1" customWidth="1"/>
    <col min="6671" max="6671" width="14.81640625" style="1" customWidth="1"/>
    <col min="6672" max="6672" width="13.81640625" style="1" customWidth="1"/>
    <col min="6673" max="6673" width="14.81640625" style="1" customWidth="1"/>
    <col min="6674" max="6674" width="16.7265625" style="1" customWidth="1"/>
    <col min="6675" max="6675" width="14.54296875" style="1" customWidth="1"/>
    <col min="6676" max="6676" width="16" style="1" customWidth="1"/>
    <col min="6677" max="6677" width="13.26953125" style="1" bestFit="1" customWidth="1"/>
    <col min="6678" max="6912" width="11.453125" style="1"/>
    <col min="6913" max="6913" width="6.453125" style="1" customWidth="1"/>
    <col min="6914" max="6914" width="14" style="1" customWidth="1"/>
    <col min="6915" max="6915" width="17.81640625" style="1" customWidth="1"/>
    <col min="6916" max="6916" width="14.81640625" style="1" customWidth="1"/>
    <col min="6917" max="6917" width="13.7265625" style="1" customWidth="1"/>
    <col min="6918" max="6918" width="7" style="1" customWidth="1"/>
    <col min="6919" max="6919" width="13.453125" style="1" customWidth="1"/>
    <col min="6920" max="6920" width="13.54296875" style="1" customWidth="1"/>
    <col min="6921" max="6921" width="15.1796875" style="1" customWidth="1"/>
    <col min="6922" max="6923" width="15" style="1" customWidth="1"/>
    <col min="6924" max="6924" width="16.453125" style="1" customWidth="1"/>
    <col min="6925" max="6925" width="14.81640625" style="1" customWidth="1"/>
    <col min="6926" max="6926" width="13.7265625" style="1" customWidth="1"/>
    <col min="6927" max="6927" width="14.81640625" style="1" customWidth="1"/>
    <col min="6928" max="6928" width="13.81640625" style="1" customWidth="1"/>
    <col min="6929" max="6929" width="14.81640625" style="1" customWidth="1"/>
    <col min="6930" max="6930" width="16.7265625" style="1" customWidth="1"/>
    <col min="6931" max="6931" width="14.54296875" style="1" customWidth="1"/>
    <col min="6932" max="6932" width="16" style="1" customWidth="1"/>
    <col min="6933" max="6933" width="13.26953125" style="1" bestFit="1" customWidth="1"/>
    <col min="6934" max="7168" width="11.453125" style="1"/>
    <col min="7169" max="7169" width="6.453125" style="1" customWidth="1"/>
    <col min="7170" max="7170" width="14" style="1" customWidth="1"/>
    <col min="7171" max="7171" width="17.81640625" style="1" customWidth="1"/>
    <col min="7172" max="7172" width="14.81640625" style="1" customWidth="1"/>
    <col min="7173" max="7173" width="13.7265625" style="1" customWidth="1"/>
    <col min="7174" max="7174" width="7" style="1" customWidth="1"/>
    <col min="7175" max="7175" width="13.453125" style="1" customWidth="1"/>
    <col min="7176" max="7176" width="13.54296875" style="1" customWidth="1"/>
    <col min="7177" max="7177" width="15.1796875" style="1" customWidth="1"/>
    <col min="7178" max="7179" width="15" style="1" customWidth="1"/>
    <col min="7180" max="7180" width="16.453125" style="1" customWidth="1"/>
    <col min="7181" max="7181" width="14.81640625" style="1" customWidth="1"/>
    <col min="7182" max="7182" width="13.7265625" style="1" customWidth="1"/>
    <col min="7183" max="7183" width="14.81640625" style="1" customWidth="1"/>
    <col min="7184" max="7184" width="13.81640625" style="1" customWidth="1"/>
    <col min="7185" max="7185" width="14.81640625" style="1" customWidth="1"/>
    <col min="7186" max="7186" width="16.7265625" style="1" customWidth="1"/>
    <col min="7187" max="7187" width="14.54296875" style="1" customWidth="1"/>
    <col min="7188" max="7188" width="16" style="1" customWidth="1"/>
    <col min="7189" max="7189" width="13.26953125" style="1" bestFit="1" customWidth="1"/>
    <col min="7190" max="7424" width="11.453125" style="1"/>
    <col min="7425" max="7425" width="6.453125" style="1" customWidth="1"/>
    <col min="7426" max="7426" width="14" style="1" customWidth="1"/>
    <col min="7427" max="7427" width="17.81640625" style="1" customWidth="1"/>
    <col min="7428" max="7428" width="14.81640625" style="1" customWidth="1"/>
    <col min="7429" max="7429" width="13.7265625" style="1" customWidth="1"/>
    <col min="7430" max="7430" width="7" style="1" customWidth="1"/>
    <col min="7431" max="7431" width="13.453125" style="1" customWidth="1"/>
    <col min="7432" max="7432" width="13.54296875" style="1" customWidth="1"/>
    <col min="7433" max="7433" width="15.1796875" style="1" customWidth="1"/>
    <col min="7434" max="7435" width="15" style="1" customWidth="1"/>
    <col min="7436" max="7436" width="16.453125" style="1" customWidth="1"/>
    <col min="7437" max="7437" width="14.81640625" style="1" customWidth="1"/>
    <col min="7438" max="7438" width="13.7265625" style="1" customWidth="1"/>
    <col min="7439" max="7439" width="14.81640625" style="1" customWidth="1"/>
    <col min="7440" max="7440" width="13.81640625" style="1" customWidth="1"/>
    <col min="7441" max="7441" width="14.81640625" style="1" customWidth="1"/>
    <col min="7442" max="7442" width="16.7265625" style="1" customWidth="1"/>
    <col min="7443" max="7443" width="14.54296875" style="1" customWidth="1"/>
    <col min="7444" max="7444" width="16" style="1" customWidth="1"/>
    <col min="7445" max="7445" width="13.26953125" style="1" bestFit="1" customWidth="1"/>
    <col min="7446" max="7680" width="11.453125" style="1"/>
    <col min="7681" max="7681" width="6.453125" style="1" customWidth="1"/>
    <col min="7682" max="7682" width="14" style="1" customWidth="1"/>
    <col min="7683" max="7683" width="17.81640625" style="1" customWidth="1"/>
    <col min="7684" max="7684" width="14.81640625" style="1" customWidth="1"/>
    <col min="7685" max="7685" width="13.7265625" style="1" customWidth="1"/>
    <col min="7686" max="7686" width="7" style="1" customWidth="1"/>
    <col min="7687" max="7687" width="13.453125" style="1" customWidth="1"/>
    <col min="7688" max="7688" width="13.54296875" style="1" customWidth="1"/>
    <col min="7689" max="7689" width="15.1796875" style="1" customWidth="1"/>
    <col min="7690" max="7691" width="15" style="1" customWidth="1"/>
    <col min="7692" max="7692" width="16.453125" style="1" customWidth="1"/>
    <col min="7693" max="7693" width="14.81640625" style="1" customWidth="1"/>
    <col min="7694" max="7694" width="13.7265625" style="1" customWidth="1"/>
    <col min="7695" max="7695" width="14.81640625" style="1" customWidth="1"/>
    <col min="7696" max="7696" width="13.81640625" style="1" customWidth="1"/>
    <col min="7697" max="7697" width="14.81640625" style="1" customWidth="1"/>
    <col min="7698" max="7698" width="16.7265625" style="1" customWidth="1"/>
    <col min="7699" max="7699" width="14.54296875" style="1" customWidth="1"/>
    <col min="7700" max="7700" width="16" style="1" customWidth="1"/>
    <col min="7701" max="7701" width="13.26953125" style="1" bestFit="1" customWidth="1"/>
    <col min="7702" max="7936" width="11.453125" style="1"/>
    <col min="7937" max="7937" width="6.453125" style="1" customWidth="1"/>
    <col min="7938" max="7938" width="14" style="1" customWidth="1"/>
    <col min="7939" max="7939" width="17.81640625" style="1" customWidth="1"/>
    <col min="7940" max="7940" width="14.81640625" style="1" customWidth="1"/>
    <col min="7941" max="7941" width="13.7265625" style="1" customWidth="1"/>
    <col min="7942" max="7942" width="7" style="1" customWidth="1"/>
    <col min="7943" max="7943" width="13.453125" style="1" customWidth="1"/>
    <col min="7944" max="7944" width="13.54296875" style="1" customWidth="1"/>
    <col min="7945" max="7945" width="15.1796875" style="1" customWidth="1"/>
    <col min="7946" max="7947" width="15" style="1" customWidth="1"/>
    <col min="7948" max="7948" width="16.453125" style="1" customWidth="1"/>
    <col min="7949" max="7949" width="14.81640625" style="1" customWidth="1"/>
    <col min="7950" max="7950" width="13.7265625" style="1" customWidth="1"/>
    <col min="7951" max="7951" width="14.81640625" style="1" customWidth="1"/>
    <col min="7952" max="7952" width="13.81640625" style="1" customWidth="1"/>
    <col min="7953" max="7953" width="14.81640625" style="1" customWidth="1"/>
    <col min="7954" max="7954" width="16.7265625" style="1" customWidth="1"/>
    <col min="7955" max="7955" width="14.54296875" style="1" customWidth="1"/>
    <col min="7956" max="7956" width="16" style="1" customWidth="1"/>
    <col min="7957" max="7957" width="13.26953125" style="1" bestFit="1" customWidth="1"/>
    <col min="7958" max="8192" width="11.453125" style="1"/>
    <col min="8193" max="8193" width="6.453125" style="1" customWidth="1"/>
    <col min="8194" max="8194" width="14" style="1" customWidth="1"/>
    <col min="8195" max="8195" width="17.81640625" style="1" customWidth="1"/>
    <col min="8196" max="8196" width="14.81640625" style="1" customWidth="1"/>
    <col min="8197" max="8197" width="13.7265625" style="1" customWidth="1"/>
    <col min="8198" max="8198" width="7" style="1" customWidth="1"/>
    <col min="8199" max="8199" width="13.453125" style="1" customWidth="1"/>
    <col min="8200" max="8200" width="13.54296875" style="1" customWidth="1"/>
    <col min="8201" max="8201" width="15.1796875" style="1" customWidth="1"/>
    <col min="8202" max="8203" width="15" style="1" customWidth="1"/>
    <col min="8204" max="8204" width="16.453125" style="1" customWidth="1"/>
    <col min="8205" max="8205" width="14.81640625" style="1" customWidth="1"/>
    <col min="8206" max="8206" width="13.7265625" style="1" customWidth="1"/>
    <col min="8207" max="8207" width="14.81640625" style="1" customWidth="1"/>
    <col min="8208" max="8208" width="13.81640625" style="1" customWidth="1"/>
    <col min="8209" max="8209" width="14.81640625" style="1" customWidth="1"/>
    <col min="8210" max="8210" width="16.7265625" style="1" customWidth="1"/>
    <col min="8211" max="8211" width="14.54296875" style="1" customWidth="1"/>
    <col min="8212" max="8212" width="16" style="1" customWidth="1"/>
    <col min="8213" max="8213" width="13.26953125" style="1" bestFit="1" customWidth="1"/>
    <col min="8214" max="8448" width="11.453125" style="1"/>
    <col min="8449" max="8449" width="6.453125" style="1" customWidth="1"/>
    <col min="8450" max="8450" width="14" style="1" customWidth="1"/>
    <col min="8451" max="8451" width="17.81640625" style="1" customWidth="1"/>
    <col min="8452" max="8452" width="14.81640625" style="1" customWidth="1"/>
    <col min="8453" max="8453" width="13.7265625" style="1" customWidth="1"/>
    <col min="8454" max="8454" width="7" style="1" customWidth="1"/>
    <col min="8455" max="8455" width="13.453125" style="1" customWidth="1"/>
    <col min="8456" max="8456" width="13.54296875" style="1" customWidth="1"/>
    <col min="8457" max="8457" width="15.1796875" style="1" customWidth="1"/>
    <col min="8458" max="8459" width="15" style="1" customWidth="1"/>
    <col min="8460" max="8460" width="16.453125" style="1" customWidth="1"/>
    <col min="8461" max="8461" width="14.81640625" style="1" customWidth="1"/>
    <col min="8462" max="8462" width="13.7265625" style="1" customWidth="1"/>
    <col min="8463" max="8463" width="14.81640625" style="1" customWidth="1"/>
    <col min="8464" max="8464" width="13.81640625" style="1" customWidth="1"/>
    <col min="8465" max="8465" width="14.81640625" style="1" customWidth="1"/>
    <col min="8466" max="8466" width="16.7265625" style="1" customWidth="1"/>
    <col min="8467" max="8467" width="14.54296875" style="1" customWidth="1"/>
    <col min="8468" max="8468" width="16" style="1" customWidth="1"/>
    <col min="8469" max="8469" width="13.26953125" style="1" bestFit="1" customWidth="1"/>
    <col min="8470" max="8704" width="11.453125" style="1"/>
    <col min="8705" max="8705" width="6.453125" style="1" customWidth="1"/>
    <col min="8706" max="8706" width="14" style="1" customWidth="1"/>
    <col min="8707" max="8707" width="17.81640625" style="1" customWidth="1"/>
    <col min="8708" max="8708" width="14.81640625" style="1" customWidth="1"/>
    <col min="8709" max="8709" width="13.7265625" style="1" customWidth="1"/>
    <col min="8710" max="8710" width="7" style="1" customWidth="1"/>
    <col min="8711" max="8711" width="13.453125" style="1" customWidth="1"/>
    <col min="8712" max="8712" width="13.54296875" style="1" customWidth="1"/>
    <col min="8713" max="8713" width="15.1796875" style="1" customWidth="1"/>
    <col min="8714" max="8715" width="15" style="1" customWidth="1"/>
    <col min="8716" max="8716" width="16.453125" style="1" customWidth="1"/>
    <col min="8717" max="8717" width="14.81640625" style="1" customWidth="1"/>
    <col min="8718" max="8718" width="13.7265625" style="1" customWidth="1"/>
    <col min="8719" max="8719" width="14.81640625" style="1" customWidth="1"/>
    <col min="8720" max="8720" width="13.81640625" style="1" customWidth="1"/>
    <col min="8721" max="8721" width="14.81640625" style="1" customWidth="1"/>
    <col min="8722" max="8722" width="16.7265625" style="1" customWidth="1"/>
    <col min="8723" max="8723" width="14.54296875" style="1" customWidth="1"/>
    <col min="8724" max="8724" width="16" style="1" customWidth="1"/>
    <col min="8725" max="8725" width="13.26953125" style="1" bestFit="1" customWidth="1"/>
    <col min="8726" max="8960" width="11.453125" style="1"/>
    <col min="8961" max="8961" width="6.453125" style="1" customWidth="1"/>
    <col min="8962" max="8962" width="14" style="1" customWidth="1"/>
    <col min="8963" max="8963" width="17.81640625" style="1" customWidth="1"/>
    <col min="8964" max="8964" width="14.81640625" style="1" customWidth="1"/>
    <col min="8965" max="8965" width="13.7265625" style="1" customWidth="1"/>
    <col min="8966" max="8966" width="7" style="1" customWidth="1"/>
    <col min="8967" max="8967" width="13.453125" style="1" customWidth="1"/>
    <col min="8968" max="8968" width="13.54296875" style="1" customWidth="1"/>
    <col min="8969" max="8969" width="15.1796875" style="1" customWidth="1"/>
    <col min="8970" max="8971" width="15" style="1" customWidth="1"/>
    <col min="8972" max="8972" width="16.453125" style="1" customWidth="1"/>
    <col min="8973" max="8973" width="14.81640625" style="1" customWidth="1"/>
    <col min="8974" max="8974" width="13.7265625" style="1" customWidth="1"/>
    <col min="8975" max="8975" width="14.81640625" style="1" customWidth="1"/>
    <col min="8976" max="8976" width="13.81640625" style="1" customWidth="1"/>
    <col min="8977" max="8977" width="14.81640625" style="1" customWidth="1"/>
    <col min="8978" max="8978" width="16.7265625" style="1" customWidth="1"/>
    <col min="8979" max="8979" width="14.54296875" style="1" customWidth="1"/>
    <col min="8980" max="8980" width="16" style="1" customWidth="1"/>
    <col min="8981" max="8981" width="13.26953125" style="1" bestFit="1" customWidth="1"/>
    <col min="8982" max="9216" width="11.453125" style="1"/>
    <col min="9217" max="9217" width="6.453125" style="1" customWidth="1"/>
    <col min="9218" max="9218" width="14" style="1" customWidth="1"/>
    <col min="9219" max="9219" width="17.81640625" style="1" customWidth="1"/>
    <col min="9220" max="9220" width="14.81640625" style="1" customWidth="1"/>
    <col min="9221" max="9221" width="13.7265625" style="1" customWidth="1"/>
    <col min="9222" max="9222" width="7" style="1" customWidth="1"/>
    <col min="9223" max="9223" width="13.453125" style="1" customWidth="1"/>
    <col min="9224" max="9224" width="13.54296875" style="1" customWidth="1"/>
    <col min="9225" max="9225" width="15.1796875" style="1" customWidth="1"/>
    <col min="9226" max="9227" width="15" style="1" customWidth="1"/>
    <col min="9228" max="9228" width="16.453125" style="1" customWidth="1"/>
    <col min="9229" max="9229" width="14.81640625" style="1" customWidth="1"/>
    <col min="9230" max="9230" width="13.7265625" style="1" customWidth="1"/>
    <col min="9231" max="9231" width="14.81640625" style="1" customWidth="1"/>
    <col min="9232" max="9232" width="13.81640625" style="1" customWidth="1"/>
    <col min="9233" max="9233" width="14.81640625" style="1" customWidth="1"/>
    <col min="9234" max="9234" width="16.7265625" style="1" customWidth="1"/>
    <col min="9235" max="9235" width="14.54296875" style="1" customWidth="1"/>
    <col min="9236" max="9236" width="16" style="1" customWidth="1"/>
    <col min="9237" max="9237" width="13.26953125" style="1" bestFit="1" customWidth="1"/>
    <col min="9238" max="9472" width="11.453125" style="1"/>
    <col min="9473" max="9473" width="6.453125" style="1" customWidth="1"/>
    <col min="9474" max="9474" width="14" style="1" customWidth="1"/>
    <col min="9475" max="9475" width="17.81640625" style="1" customWidth="1"/>
    <col min="9476" max="9476" width="14.81640625" style="1" customWidth="1"/>
    <col min="9477" max="9477" width="13.7265625" style="1" customWidth="1"/>
    <col min="9478" max="9478" width="7" style="1" customWidth="1"/>
    <col min="9479" max="9479" width="13.453125" style="1" customWidth="1"/>
    <col min="9480" max="9480" width="13.54296875" style="1" customWidth="1"/>
    <col min="9481" max="9481" width="15.1796875" style="1" customWidth="1"/>
    <col min="9482" max="9483" width="15" style="1" customWidth="1"/>
    <col min="9484" max="9484" width="16.453125" style="1" customWidth="1"/>
    <col min="9485" max="9485" width="14.81640625" style="1" customWidth="1"/>
    <col min="9486" max="9486" width="13.7265625" style="1" customWidth="1"/>
    <col min="9487" max="9487" width="14.81640625" style="1" customWidth="1"/>
    <col min="9488" max="9488" width="13.81640625" style="1" customWidth="1"/>
    <col min="9489" max="9489" width="14.81640625" style="1" customWidth="1"/>
    <col min="9490" max="9490" width="16.7265625" style="1" customWidth="1"/>
    <col min="9491" max="9491" width="14.54296875" style="1" customWidth="1"/>
    <col min="9492" max="9492" width="16" style="1" customWidth="1"/>
    <col min="9493" max="9493" width="13.26953125" style="1" bestFit="1" customWidth="1"/>
    <col min="9494" max="9728" width="11.453125" style="1"/>
    <col min="9729" max="9729" width="6.453125" style="1" customWidth="1"/>
    <col min="9730" max="9730" width="14" style="1" customWidth="1"/>
    <col min="9731" max="9731" width="17.81640625" style="1" customWidth="1"/>
    <col min="9732" max="9732" width="14.81640625" style="1" customWidth="1"/>
    <col min="9733" max="9733" width="13.7265625" style="1" customWidth="1"/>
    <col min="9734" max="9734" width="7" style="1" customWidth="1"/>
    <col min="9735" max="9735" width="13.453125" style="1" customWidth="1"/>
    <col min="9736" max="9736" width="13.54296875" style="1" customWidth="1"/>
    <col min="9737" max="9737" width="15.1796875" style="1" customWidth="1"/>
    <col min="9738" max="9739" width="15" style="1" customWidth="1"/>
    <col min="9740" max="9740" width="16.453125" style="1" customWidth="1"/>
    <col min="9741" max="9741" width="14.81640625" style="1" customWidth="1"/>
    <col min="9742" max="9742" width="13.7265625" style="1" customWidth="1"/>
    <col min="9743" max="9743" width="14.81640625" style="1" customWidth="1"/>
    <col min="9744" max="9744" width="13.81640625" style="1" customWidth="1"/>
    <col min="9745" max="9745" width="14.81640625" style="1" customWidth="1"/>
    <col min="9746" max="9746" width="16.7265625" style="1" customWidth="1"/>
    <col min="9747" max="9747" width="14.54296875" style="1" customWidth="1"/>
    <col min="9748" max="9748" width="16" style="1" customWidth="1"/>
    <col min="9749" max="9749" width="13.26953125" style="1" bestFit="1" customWidth="1"/>
    <col min="9750" max="9984" width="11.453125" style="1"/>
    <col min="9985" max="9985" width="6.453125" style="1" customWidth="1"/>
    <col min="9986" max="9986" width="14" style="1" customWidth="1"/>
    <col min="9987" max="9987" width="17.81640625" style="1" customWidth="1"/>
    <col min="9988" max="9988" width="14.81640625" style="1" customWidth="1"/>
    <col min="9989" max="9989" width="13.7265625" style="1" customWidth="1"/>
    <col min="9990" max="9990" width="7" style="1" customWidth="1"/>
    <col min="9991" max="9991" width="13.453125" style="1" customWidth="1"/>
    <col min="9992" max="9992" width="13.54296875" style="1" customWidth="1"/>
    <col min="9993" max="9993" width="15.1796875" style="1" customWidth="1"/>
    <col min="9994" max="9995" width="15" style="1" customWidth="1"/>
    <col min="9996" max="9996" width="16.453125" style="1" customWidth="1"/>
    <col min="9997" max="9997" width="14.81640625" style="1" customWidth="1"/>
    <col min="9998" max="9998" width="13.7265625" style="1" customWidth="1"/>
    <col min="9999" max="9999" width="14.81640625" style="1" customWidth="1"/>
    <col min="10000" max="10000" width="13.81640625" style="1" customWidth="1"/>
    <col min="10001" max="10001" width="14.81640625" style="1" customWidth="1"/>
    <col min="10002" max="10002" width="16.7265625" style="1" customWidth="1"/>
    <col min="10003" max="10003" width="14.54296875" style="1" customWidth="1"/>
    <col min="10004" max="10004" width="16" style="1" customWidth="1"/>
    <col min="10005" max="10005" width="13.26953125" style="1" bestFit="1" customWidth="1"/>
    <col min="10006" max="10240" width="11.453125" style="1"/>
    <col min="10241" max="10241" width="6.453125" style="1" customWidth="1"/>
    <col min="10242" max="10242" width="14" style="1" customWidth="1"/>
    <col min="10243" max="10243" width="17.81640625" style="1" customWidth="1"/>
    <col min="10244" max="10244" width="14.81640625" style="1" customWidth="1"/>
    <col min="10245" max="10245" width="13.7265625" style="1" customWidth="1"/>
    <col min="10246" max="10246" width="7" style="1" customWidth="1"/>
    <col min="10247" max="10247" width="13.453125" style="1" customWidth="1"/>
    <col min="10248" max="10248" width="13.54296875" style="1" customWidth="1"/>
    <col min="10249" max="10249" width="15.1796875" style="1" customWidth="1"/>
    <col min="10250" max="10251" width="15" style="1" customWidth="1"/>
    <col min="10252" max="10252" width="16.453125" style="1" customWidth="1"/>
    <col min="10253" max="10253" width="14.81640625" style="1" customWidth="1"/>
    <col min="10254" max="10254" width="13.7265625" style="1" customWidth="1"/>
    <col min="10255" max="10255" width="14.81640625" style="1" customWidth="1"/>
    <col min="10256" max="10256" width="13.81640625" style="1" customWidth="1"/>
    <col min="10257" max="10257" width="14.81640625" style="1" customWidth="1"/>
    <col min="10258" max="10258" width="16.7265625" style="1" customWidth="1"/>
    <col min="10259" max="10259" width="14.54296875" style="1" customWidth="1"/>
    <col min="10260" max="10260" width="16" style="1" customWidth="1"/>
    <col min="10261" max="10261" width="13.26953125" style="1" bestFit="1" customWidth="1"/>
    <col min="10262" max="10496" width="11.453125" style="1"/>
    <col min="10497" max="10497" width="6.453125" style="1" customWidth="1"/>
    <col min="10498" max="10498" width="14" style="1" customWidth="1"/>
    <col min="10499" max="10499" width="17.81640625" style="1" customWidth="1"/>
    <col min="10500" max="10500" width="14.81640625" style="1" customWidth="1"/>
    <col min="10501" max="10501" width="13.7265625" style="1" customWidth="1"/>
    <col min="10502" max="10502" width="7" style="1" customWidth="1"/>
    <col min="10503" max="10503" width="13.453125" style="1" customWidth="1"/>
    <col min="10504" max="10504" width="13.54296875" style="1" customWidth="1"/>
    <col min="10505" max="10505" width="15.1796875" style="1" customWidth="1"/>
    <col min="10506" max="10507" width="15" style="1" customWidth="1"/>
    <col min="10508" max="10508" width="16.453125" style="1" customWidth="1"/>
    <col min="10509" max="10509" width="14.81640625" style="1" customWidth="1"/>
    <col min="10510" max="10510" width="13.7265625" style="1" customWidth="1"/>
    <col min="10511" max="10511" width="14.81640625" style="1" customWidth="1"/>
    <col min="10512" max="10512" width="13.81640625" style="1" customWidth="1"/>
    <col min="10513" max="10513" width="14.81640625" style="1" customWidth="1"/>
    <col min="10514" max="10514" width="16.7265625" style="1" customWidth="1"/>
    <col min="10515" max="10515" width="14.54296875" style="1" customWidth="1"/>
    <col min="10516" max="10516" width="16" style="1" customWidth="1"/>
    <col min="10517" max="10517" width="13.26953125" style="1" bestFit="1" customWidth="1"/>
    <col min="10518" max="10752" width="11.453125" style="1"/>
    <col min="10753" max="10753" width="6.453125" style="1" customWidth="1"/>
    <col min="10754" max="10754" width="14" style="1" customWidth="1"/>
    <col min="10755" max="10755" width="17.81640625" style="1" customWidth="1"/>
    <col min="10756" max="10756" width="14.81640625" style="1" customWidth="1"/>
    <col min="10757" max="10757" width="13.7265625" style="1" customWidth="1"/>
    <col min="10758" max="10758" width="7" style="1" customWidth="1"/>
    <col min="10759" max="10759" width="13.453125" style="1" customWidth="1"/>
    <col min="10760" max="10760" width="13.54296875" style="1" customWidth="1"/>
    <col min="10761" max="10761" width="15.1796875" style="1" customWidth="1"/>
    <col min="10762" max="10763" width="15" style="1" customWidth="1"/>
    <col min="10764" max="10764" width="16.453125" style="1" customWidth="1"/>
    <col min="10765" max="10765" width="14.81640625" style="1" customWidth="1"/>
    <col min="10766" max="10766" width="13.7265625" style="1" customWidth="1"/>
    <col min="10767" max="10767" width="14.81640625" style="1" customWidth="1"/>
    <col min="10768" max="10768" width="13.81640625" style="1" customWidth="1"/>
    <col min="10769" max="10769" width="14.81640625" style="1" customWidth="1"/>
    <col min="10770" max="10770" width="16.7265625" style="1" customWidth="1"/>
    <col min="10771" max="10771" width="14.54296875" style="1" customWidth="1"/>
    <col min="10772" max="10772" width="16" style="1" customWidth="1"/>
    <col min="10773" max="10773" width="13.26953125" style="1" bestFit="1" customWidth="1"/>
    <col min="10774" max="11008" width="11.453125" style="1"/>
    <col min="11009" max="11009" width="6.453125" style="1" customWidth="1"/>
    <col min="11010" max="11010" width="14" style="1" customWidth="1"/>
    <col min="11011" max="11011" width="17.81640625" style="1" customWidth="1"/>
    <col min="11012" max="11012" width="14.81640625" style="1" customWidth="1"/>
    <col min="11013" max="11013" width="13.7265625" style="1" customWidth="1"/>
    <col min="11014" max="11014" width="7" style="1" customWidth="1"/>
    <col min="11015" max="11015" width="13.453125" style="1" customWidth="1"/>
    <col min="11016" max="11016" width="13.54296875" style="1" customWidth="1"/>
    <col min="11017" max="11017" width="15.1796875" style="1" customWidth="1"/>
    <col min="11018" max="11019" width="15" style="1" customWidth="1"/>
    <col min="11020" max="11020" width="16.453125" style="1" customWidth="1"/>
    <col min="11021" max="11021" width="14.81640625" style="1" customWidth="1"/>
    <col min="11022" max="11022" width="13.7265625" style="1" customWidth="1"/>
    <col min="11023" max="11023" width="14.81640625" style="1" customWidth="1"/>
    <col min="11024" max="11024" width="13.81640625" style="1" customWidth="1"/>
    <col min="11025" max="11025" width="14.81640625" style="1" customWidth="1"/>
    <col min="11026" max="11026" width="16.7265625" style="1" customWidth="1"/>
    <col min="11027" max="11027" width="14.54296875" style="1" customWidth="1"/>
    <col min="11028" max="11028" width="16" style="1" customWidth="1"/>
    <col min="11029" max="11029" width="13.26953125" style="1" bestFit="1" customWidth="1"/>
    <col min="11030" max="11264" width="11.453125" style="1"/>
    <col min="11265" max="11265" width="6.453125" style="1" customWidth="1"/>
    <col min="11266" max="11266" width="14" style="1" customWidth="1"/>
    <col min="11267" max="11267" width="17.81640625" style="1" customWidth="1"/>
    <col min="11268" max="11268" width="14.81640625" style="1" customWidth="1"/>
    <col min="11269" max="11269" width="13.7265625" style="1" customWidth="1"/>
    <col min="11270" max="11270" width="7" style="1" customWidth="1"/>
    <col min="11271" max="11271" width="13.453125" style="1" customWidth="1"/>
    <col min="11272" max="11272" width="13.54296875" style="1" customWidth="1"/>
    <col min="11273" max="11273" width="15.1796875" style="1" customWidth="1"/>
    <col min="11274" max="11275" width="15" style="1" customWidth="1"/>
    <col min="11276" max="11276" width="16.453125" style="1" customWidth="1"/>
    <col min="11277" max="11277" width="14.81640625" style="1" customWidth="1"/>
    <col min="11278" max="11278" width="13.7265625" style="1" customWidth="1"/>
    <col min="11279" max="11279" width="14.81640625" style="1" customWidth="1"/>
    <col min="11280" max="11280" width="13.81640625" style="1" customWidth="1"/>
    <col min="11281" max="11281" width="14.81640625" style="1" customWidth="1"/>
    <col min="11282" max="11282" width="16.7265625" style="1" customWidth="1"/>
    <col min="11283" max="11283" width="14.54296875" style="1" customWidth="1"/>
    <col min="11284" max="11284" width="16" style="1" customWidth="1"/>
    <col min="11285" max="11285" width="13.26953125" style="1" bestFit="1" customWidth="1"/>
    <col min="11286" max="11520" width="11.453125" style="1"/>
    <col min="11521" max="11521" width="6.453125" style="1" customWidth="1"/>
    <col min="11522" max="11522" width="14" style="1" customWidth="1"/>
    <col min="11523" max="11523" width="17.81640625" style="1" customWidth="1"/>
    <col min="11524" max="11524" width="14.81640625" style="1" customWidth="1"/>
    <col min="11525" max="11525" width="13.7265625" style="1" customWidth="1"/>
    <col min="11526" max="11526" width="7" style="1" customWidth="1"/>
    <col min="11527" max="11527" width="13.453125" style="1" customWidth="1"/>
    <col min="11528" max="11528" width="13.54296875" style="1" customWidth="1"/>
    <col min="11529" max="11529" width="15.1796875" style="1" customWidth="1"/>
    <col min="11530" max="11531" width="15" style="1" customWidth="1"/>
    <col min="11532" max="11532" width="16.453125" style="1" customWidth="1"/>
    <col min="11533" max="11533" width="14.81640625" style="1" customWidth="1"/>
    <col min="11534" max="11534" width="13.7265625" style="1" customWidth="1"/>
    <col min="11535" max="11535" width="14.81640625" style="1" customWidth="1"/>
    <col min="11536" max="11536" width="13.81640625" style="1" customWidth="1"/>
    <col min="11537" max="11537" width="14.81640625" style="1" customWidth="1"/>
    <col min="11538" max="11538" width="16.7265625" style="1" customWidth="1"/>
    <col min="11539" max="11539" width="14.54296875" style="1" customWidth="1"/>
    <col min="11540" max="11540" width="16" style="1" customWidth="1"/>
    <col min="11541" max="11541" width="13.26953125" style="1" bestFit="1" customWidth="1"/>
    <col min="11542" max="11776" width="11.453125" style="1"/>
    <col min="11777" max="11777" width="6.453125" style="1" customWidth="1"/>
    <col min="11778" max="11778" width="14" style="1" customWidth="1"/>
    <col min="11779" max="11779" width="17.81640625" style="1" customWidth="1"/>
    <col min="11780" max="11780" width="14.81640625" style="1" customWidth="1"/>
    <col min="11781" max="11781" width="13.7265625" style="1" customWidth="1"/>
    <col min="11782" max="11782" width="7" style="1" customWidth="1"/>
    <col min="11783" max="11783" width="13.453125" style="1" customWidth="1"/>
    <col min="11784" max="11784" width="13.54296875" style="1" customWidth="1"/>
    <col min="11785" max="11785" width="15.1796875" style="1" customWidth="1"/>
    <col min="11786" max="11787" width="15" style="1" customWidth="1"/>
    <col min="11788" max="11788" width="16.453125" style="1" customWidth="1"/>
    <col min="11789" max="11789" width="14.81640625" style="1" customWidth="1"/>
    <col min="11790" max="11790" width="13.7265625" style="1" customWidth="1"/>
    <col min="11791" max="11791" width="14.81640625" style="1" customWidth="1"/>
    <col min="11792" max="11792" width="13.81640625" style="1" customWidth="1"/>
    <col min="11793" max="11793" width="14.81640625" style="1" customWidth="1"/>
    <col min="11794" max="11794" width="16.7265625" style="1" customWidth="1"/>
    <col min="11795" max="11795" width="14.54296875" style="1" customWidth="1"/>
    <col min="11796" max="11796" width="16" style="1" customWidth="1"/>
    <col min="11797" max="11797" width="13.26953125" style="1" bestFit="1" customWidth="1"/>
    <col min="11798" max="12032" width="11.453125" style="1"/>
    <col min="12033" max="12033" width="6.453125" style="1" customWidth="1"/>
    <col min="12034" max="12034" width="14" style="1" customWidth="1"/>
    <col min="12035" max="12035" width="17.81640625" style="1" customWidth="1"/>
    <col min="12036" max="12036" width="14.81640625" style="1" customWidth="1"/>
    <col min="12037" max="12037" width="13.7265625" style="1" customWidth="1"/>
    <col min="12038" max="12038" width="7" style="1" customWidth="1"/>
    <col min="12039" max="12039" width="13.453125" style="1" customWidth="1"/>
    <col min="12040" max="12040" width="13.54296875" style="1" customWidth="1"/>
    <col min="12041" max="12041" width="15.1796875" style="1" customWidth="1"/>
    <col min="12042" max="12043" width="15" style="1" customWidth="1"/>
    <col min="12044" max="12044" width="16.453125" style="1" customWidth="1"/>
    <col min="12045" max="12045" width="14.81640625" style="1" customWidth="1"/>
    <col min="12046" max="12046" width="13.7265625" style="1" customWidth="1"/>
    <col min="12047" max="12047" width="14.81640625" style="1" customWidth="1"/>
    <col min="12048" max="12048" width="13.81640625" style="1" customWidth="1"/>
    <col min="12049" max="12049" width="14.81640625" style="1" customWidth="1"/>
    <col min="12050" max="12050" width="16.7265625" style="1" customWidth="1"/>
    <col min="12051" max="12051" width="14.54296875" style="1" customWidth="1"/>
    <col min="12052" max="12052" width="16" style="1" customWidth="1"/>
    <col min="12053" max="12053" width="13.26953125" style="1" bestFit="1" customWidth="1"/>
    <col min="12054" max="12288" width="11.453125" style="1"/>
    <col min="12289" max="12289" width="6.453125" style="1" customWidth="1"/>
    <col min="12290" max="12290" width="14" style="1" customWidth="1"/>
    <col min="12291" max="12291" width="17.81640625" style="1" customWidth="1"/>
    <col min="12292" max="12292" width="14.81640625" style="1" customWidth="1"/>
    <col min="12293" max="12293" width="13.7265625" style="1" customWidth="1"/>
    <col min="12294" max="12294" width="7" style="1" customWidth="1"/>
    <col min="12295" max="12295" width="13.453125" style="1" customWidth="1"/>
    <col min="12296" max="12296" width="13.54296875" style="1" customWidth="1"/>
    <col min="12297" max="12297" width="15.1796875" style="1" customWidth="1"/>
    <col min="12298" max="12299" width="15" style="1" customWidth="1"/>
    <col min="12300" max="12300" width="16.453125" style="1" customWidth="1"/>
    <col min="12301" max="12301" width="14.81640625" style="1" customWidth="1"/>
    <col min="12302" max="12302" width="13.7265625" style="1" customWidth="1"/>
    <col min="12303" max="12303" width="14.81640625" style="1" customWidth="1"/>
    <col min="12304" max="12304" width="13.81640625" style="1" customWidth="1"/>
    <col min="12305" max="12305" width="14.81640625" style="1" customWidth="1"/>
    <col min="12306" max="12306" width="16.7265625" style="1" customWidth="1"/>
    <col min="12307" max="12307" width="14.54296875" style="1" customWidth="1"/>
    <col min="12308" max="12308" width="16" style="1" customWidth="1"/>
    <col min="12309" max="12309" width="13.26953125" style="1" bestFit="1" customWidth="1"/>
    <col min="12310" max="12544" width="11.453125" style="1"/>
    <col min="12545" max="12545" width="6.453125" style="1" customWidth="1"/>
    <col min="12546" max="12546" width="14" style="1" customWidth="1"/>
    <col min="12547" max="12547" width="17.81640625" style="1" customWidth="1"/>
    <col min="12548" max="12548" width="14.81640625" style="1" customWidth="1"/>
    <col min="12549" max="12549" width="13.7265625" style="1" customWidth="1"/>
    <col min="12550" max="12550" width="7" style="1" customWidth="1"/>
    <col min="12551" max="12551" width="13.453125" style="1" customWidth="1"/>
    <col min="12552" max="12552" width="13.54296875" style="1" customWidth="1"/>
    <col min="12553" max="12553" width="15.1796875" style="1" customWidth="1"/>
    <col min="12554" max="12555" width="15" style="1" customWidth="1"/>
    <col min="12556" max="12556" width="16.453125" style="1" customWidth="1"/>
    <col min="12557" max="12557" width="14.81640625" style="1" customWidth="1"/>
    <col min="12558" max="12558" width="13.7265625" style="1" customWidth="1"/>
    <col min="12559" max="12559" width="14.81640625" style="1" customWidth="1"/>
    <col min="12560" max="12560" width="13.81640625" style="1" customWidth="1"/>
    <col min="12561" max="12561" width="14.81640625" style="1" customWidth="1"/>
    <col min="12562" max="12562" width="16.7265625" style="1" customWidth="1"/>
    <col min="12563" max="12563" width="14.54296875" style="1" customWidth="1"/>
    <col min="12564" max="12564" width="16" style="1" customWidth="1"/>
    <col min="12565" max="12565" width="13.26953125" style="1" bestFit="1" customWidth="1"/>
    <col min="12566" max="12800" width="11.453125" style="1"/>
    <col min="12801" max="12801" width="6.453125" style="1" customWidth="1"/>
    <col min="12802" max="12802" width="14" style="1" customWidth="1"/>
    <col min="12803" max="12803" width="17.81640625" style="1" customWidth="1"/>
    <col min="12804" max="12804" width="14.81640625" style="1" customWidth="1"/>
    <col min="12805" max="12805" width="13.7265625" style="1" customWidth="1"/>
    <col min="12806" max="12806" width="7" style="1" customWidth="1"/>
    <col min="12807" max="12807" width="13.453125" style="1" customWidth="1"/>
    <col min="12808" max="12808" width="13.54296875" style="1" customWidth="1"/>
    <col min="12809" max="12809" width="15.1796875" style="1" customWidth="1"/>
    <col min="12810" max="12811" width="15" style="1" customWidth="1"/>
    <col min="12812" max="12812" width="16.453125" style="1" customWidth="1"/>
    <col min="12813" max="12813" width="14.81640625" style="1" customWidth="1"/>
    <col min="12814" max="12814" width="13.7265625" style="1" customWidth="1"/>
    <col min="12815" max="12815" width="14.81640625" style="1" customWidth="1"/>
    <col min="12816" max="12816" width="13.81640625" style="1" customWidth="1"/>
    <col min="12817" max="12817" width="14.81640625" style="1" customWidth="1"/>
    <col min="12818" max="12818" width="16.7265625" style="1" customWidth="1"/>
    <col min="12819" max="12819" width="14.54296875" style="1" customWidth="1"/>
    <col min="12820" max="12820" width="16" style="1" customWidth="1"/>
    <col min="12821" max="12821" width="13.26953125" style="1" bestFit="1" customWidth="1"/>
    <col min="12822" max="13056" width="11.453125" style="1"/>
    <col min="13057" max="13057" width="6.453125" style="1" customWidth="1"/>
    <col min="13058" max="13058" width="14" style="1" customWidth="1"/>
    <col min="13059" max="13059" width="17.81640625" style="1" customWidth="1"/>
    <col min="13060" max="13060" width="14.81640625" style="1" customWidth="1"/>
    <col min="13061" max="13061" width="13.7265625" style="1" customWidth="1"/>
    <col min="13062" max="13062" width="7" style="1" customWidth="1"/>
    <col min="13063" max="13063" width="13.453125" style="1" customWidth="1"/>
    <col min="13064" max="13064" width="13.54296875" style="1" customWidth="1"/>
    <col min="13065" max="13065" width="15.1796875" style="1" customWidth="1"/>
    <col min="13066" max="13067" width="15" style="1" customWidth="1"/>
    <col min="13068" max="13068" width="16.453125" style="1" customWidth="1"/>
    <col min="13069" max="13069" width="14.81640625" style="1" customWidth="1"/>
    <col min="13070" max="13070" width="13.7265625" style="1" customWidth="1"/>
    <col min="13071" max="13071" width="14.81640625" style="1" customWidth="1"/>
    <col min="13072" max="13072" width="13.81640625" style="1" customWidth="1"/>
    <col min="13073" max="13073" width="14.81640625" style="1" customWidth="1"/>
    <col min="13074" max="13074" width="16.7265625" style="1" customWidth="1"/>
    <col min="13075" max="13075" width="14.54296875" style="1" customWidth="1"/>
    <col min="13076" max="13076" width="16" style="1" customWidth="1"/>
    <col min="13077" max="13077" width="13.26953125" style="1" bestFit="1" customWidth="1"/>
    <col min="13078" max="13312" width="11.453125" style="1"/>
    <col min="13313" max="13313" width="6.453125" style="1" customWidth="1"/>
    <col min="13314" max="13314" width="14" style="1" customWidth="1"/>
    <col min="13315" max="13315" width="17.81640625" style="1" customWidth="1"/>
    <col min="13316" max="13316" width="14.81640625" style="1" customWidth="1"/>
    <col min="13317" max="13317" width="13.7265625" style="1" customWidth="1"/>
    <col min="13318" max="13318" width="7" style="1" customWidth="1"/>
    <col min="13319" max="13319" width="13.453125" style="1" customWidth="1"/>
    <col min="13320" max="13320" width="13.54296875" style="1" customWidth="1"/>
    <col min="13321" max="13321" width="15.1796875" style="1" customWidth="1"/>
    <col min="13322" max="13323" width="15" style="1" customWidth="1"/>
    <col min="13324" max="13324" width="16.453125" style="1" customWidth="1"/>
    <col min="13325" max="13325" width="14.81640625" style="1" customWidth="1"/>
    <col min="13326" max="13326" width="13.7265625" style="1" customWidth="1"/>
    <col min="13327" max="13327" width="14.81640625" style="1" customWidth="1"/>
    <col min="13328" max="13328" width="13.81640625" style="1" customWidth="1"/>
    <col min="13329" max="13329" width="14.81640625" style="1" customWidth="1"/>
    <col min="13330" max="13330" width="16.7265625" style="1" customWidth="1"/>
    <col min="13331" max="13331" width="14.54296875" style="1" customWidth="1"/>
    <col min="13332" max="13332" width="16" style="1" customWidth="1"/>
    <col min="13333" max="13333" width="13.26953125" style="1" bestFit="1" customWidth="1"/>
    <col min="13334" max="13568" width="11.453125" style="1"/>
    <col min="13569" max="13569" width="6.453125" style="1" customWidth="1"/>
    <col min="13570" max="13570" width="14" style="1" customWidth="1"/>
    <col min="13571" max="13571" width="17.81640625" style="1" customWidth="1"/>
    <col min="13572" max="13572" width="14.81640625" style="1" customWidth="1"/>
    <col min="13573" max="13573" width="13.7265625" style="1" customWidth="1"/>
    <col min="13574" max="13574" width="7" style="1" customWidth="1"/>
    <col min="13575" max="13575" width="13.453125" style="1" customWidth="1"/>
    <col min="13576" max="13576" width="13.54296875" style="1" customWidth="1"/>
    <col min="13577" max="13577" width="15.1796875" style="1" customWidth="1"/>
    <col min="13578" max="13579" width="15" style="1" customWidth="1"/>
    <col min="13580" max="13580" width="16.453125" style="1" customWidth="1"/>
    <col min="13581" max="13581" width="14.81640625" style="1" customWidth="1"/>
    <col min="13582" max="13582" width="13.7265625" style="1" customWidth="1"/>
    <col min="13583" max="13583" width="14.81640625" style="1" customWidth="1"/>
    <col min="13584" max="13584" width="13.81640625" style="1" customWidth="1"/>
    <col min="13585" max="13585" width="14.81640625" style="1" customWidth="1"/>
    <col min="13586" max="13586" width="16.7265625" style="1" customWidth="1"/>
    <col min="13587" max="13587" width="14.54296875" style="1" customWidth="1"/>
    <col min="13588" max="13588" width="16" style="1" customWidth="1"/>
    <col min="13589" max="13589" width="13.26953125" style="1" bestFit="1" customWidth="1"/>
    <col min="13590" max="13824" width="11.453125" style="1"/>
    <col min="13825" max="13825" width="6.453125" style="1" customWidth="1"/>
    <col min="13826" max="13826" width="14" style="1" customWidth="1"/>
    <col min="13827" max="13827" width="17.81640625" style="1" customWidth="1"/>
    <col min="13828" max="13828" width="14.81640625" style="1" customWidth="1"/>
    <col min="13829" max="13829" width="13.7265625" style="1" customWidth="1"/>
    <col min="13830" max="13830" width="7" style="1" customWidth="1"/>
    <col min="13831" max="13831" width="13.453125" style="1" customWidth="1"/>
    <col min="13832" max="13832" width="13.54296875" style="1" customWidth="1"/>
    <col min="13833" max="13833" width="15.1796875" style="1" customWidth="1"/>
    <col min="13834" max="13835" width="15" style="1" customWidth="1"/>
    <col min="13836" max="13836" width="16.453125" style="1" customWidth="1"/>
    <col min="13837" max="13837" width="14.81640625" style="1" customWidth="1"/>
    <col min="13838" max="13838" width="13.7265625" style="1" customWidth="1"/>
    <col min="13839" max="13839" width="14.81640625" style="1" customWidth="1"/>
    <col min="13840" max="13840" width="13.81640625" style="1" customWidth="1"/>
    <col min="13841" max="13841" width="14.81640625" style="1" customWidth="1"/>
    <col min="13842" max="13842" width="16.7265625" style="1" customWidth="1"/>
    <col min="13843" max="13843" width="14.54296875" style="1" customWidth="1"/>
    <col min="13844" max="13844" width="16" style="1" customWidth="1"/>
    <col min="13845" max="13845" width="13.26953125" style="1" bestFit="1" customWidth="1"/>
    <col min="13846" max="14080" width="11.453125" style="1"/>
    <col min="14081" max="14081" width="6.453125" style="1" customWidth="1"/>
    <col min="14082" max="14082" width="14" style="1" customWidth="1"/>
    <col min="14083" max="14083" width="17.81640625" style="1" customWidth="1"/>
    <col min="14084" max="14084" width="14.81640625" style="1" customWidth="1"/>
    <col min="14085" max="14085" width="13.7265625" style="1" customWidth="1"/>
    <col min="14086" max="14086" width="7" style="1" customWidth="1"/>
    <col min="14087" max="14087" width="13.453125" style="1" customWidth="1"/>
    <col min="14088" max="14088" width="13.54296875" style="1" customWidth="1"/>
    <col min="14089" max="14089" width="15.1796875" style="1" customWidth="1"/>
    <col min="14090" max="14091" width="15" style="1" customWidth="1"/>
    <col min="14092" max="14092" width="16.453125" style="1" customWidth="1"/>
    <col min="14093" max="14093" width="14.81640625" style="1" customWidth="1"/>
    <col min="14094" max="14094" width="13.7265625" style="1" customWidth="1"/>
    <col min="14095" max="14095" width="14.81640625" style="1" customWidth="1"/>
    <col min="14096" max="14096" width="13.81640625" style="1" customWidth="1"/>
    <col min="14097" max="14097" width="14.81640625" style="1" customWidth="1"/>
    <col min="14098" max="14098" width="16.7265625" style="1" customWidth="1"/>
    <col min="14099" max="14099" width="14.54296875" style="1" customWidth="1"/>
    <col min="14100" max="14100" width="16" style="1" customWidth="1"/>
    <col min="14101" max="14101" width="13.26953125" style="1" bestFit="1" customWidth="1"/>
    <col min="14102" max="14336" width="11.453125" style="1"/>
    <col min="14337" max="14337" width="6.453125" style="1" customWidth="1"/>
    <col min="14338" max="14338" width="14" style="1" customWidth="1"/>
    <col min="14339" max="14339" width="17.81640625" style="1" customWidth="1"/>
    <col min="14340" max="14340" width="14.81640625" style="1" customWidth="1"/>
    <col min="14341" max="14341" width="13.7265625" style="1" customWidth="1"/>
    <col min="14342" max="14342" width="7" style="1" customWidth="1"/>
    <col min="14343" max="14343" width="13.453125" style="1" customWidth="1"/>
    <col min="14344" max="14344" width="13.54296875" style="1" customWidth="1"/>
    <col min="14345" max="14345" width="15.1796875" style="1" customWidth="1"/>
    <col min="14346" max="14347" width="15" style="1" customWidth="1"/>
    <col min="14348" max="14348" width="16.453125" style="1" customWidth="1"/>
    <col min="14349" max="14349" width="14.81640625" style="1" customWidth="1"/>
    <col min="14350" max="14350" width="13.7265625" style="1" customWidth="1"/>
    <col min="14351" max="14351" width="14.81640625" style="1" customWidth="1"/>
    <col min="14352" max="14352" width="13.81640625" style="1" customWidth="1"/>
    <col min="14353" max="14353" width="14.81640625" style="1" customWidth="1"/>
    <col min="14354" max="14354" width="16.7265625" style="1" customWidth="1"/>
    <col min="14355" max="14355" width="14.54296875" style="1" customWidth="1"/>
    <col min="14356" max="14356" width="16" style="1" customWidth="1"/>
    <col min="14357" max="14357" width="13.26953125" style="1" bestFit="1" customWidth="1"/>
    <col min="14358" max="14592" width="11.453125" style="1"/>
    <col min="14593" max="14593" width="6.453125" style="1" customWidth="1"/>
    <col min="14594" max="14594" width="14" style="1" customWidth="1"/>
    <col min="14595" max="14595" width="17.81640625" style="1" customWidth="1"/>
    <col min="14596" max="14596" width="14.81640625" style="1" customWidth="1"/>
    <col min="14597" max="14597" width="13.7265625" style="1" customWidth="1"/>
    <col min="14598" max="14598" width="7" style="1" customWidth="1"/>
    <col min="14599" max="14599" width="13.453125" style="1" customWidth="1"/>
    <col min="14600" max="14600" width="13.54296875" style="1" customWidth="1"/>
    <col min="14601" max="14601" width="15.1796875" style="1" customWidth="1"/>
    <col min="14602" max="14603" width="15" style="1" customWidth="1"/>
    <col min="14604" max="14604" width="16.453125" style="1" customWidth="1"/>
    <col min="14605" max="14605" width="14.81640625" style="1" customWidth="1"/>
    <col min="14606" max="14606" width="13.7265625" style="1" customWidth="1"/>
    <col min="14607" max="14607" width="14.81640625" style="1" customWidth="1"/>
    <col min="14608" max="14608" width="13.81640625" style="1" customWidth="1"/>
    <col min="14609" max="14609" width="14.81640625" style="1" customWidth="1"/>
    <col min="14610" max="14610" width="16.7265625" style="1" customWidth="1"/>
    <col min="14611" max="14611" width="14.54296875" style="1" customWidth="1"/>
    <col min="14612" max="14612" width="16" style="1" customWidth="1"/>
    <col min="14613" max="14613" width="13.26953125" style="1" bestFit="1" customWidth="1"/>
    <col min="14614" max="14848" width="11.453125" style="1"/>
    <col min="14849" max="14849" width="6.453125" style="1" customWidth="1"/>
    <col min="14850" max="14850" width="14" style="1" customWidth="1"/>
    <col min="14851" max="14851" width="17.81640625" style="1" customWidth="1"/>
    <col min="14852" max="14852" width="14.81640625" style="1" customWidth="1"/>
    <col min="14853" max="14853" width="13.7265625" style="1" customWidth="1"/>
    <col min="14854" max="14854" width="7" style="1" customWidth="1"/>
    <col min="14855" max="14855" width="13.453125" style="1" customWidth="1"/>
    <col min="14856" max="14856" width="13.54296875" style="1" customWidth="1"/>
    <col min="14857" max="14857" width="15.1796875" style="1" customWidth="1"/>
    <col min="14858" max="14859" width="15" style="1" customWidth="1"/>
    <col min="14860" max="14860" width="16.453125" style="1" customWidth="1"/>
    <col min="14861" max="14861" width="14.81640625" style="1" customWidth="1"/>
    <col min="14862" max="14862" width="13.7265625" style="1" customWidth="1"/>
    <col min="14863" max="14863" width="14.81640625" style="1" customWidth="1"/>
    <col min="14864" max="14864" width="13.81640625" style="1" customWidth="1"/>
    <col min="14865" max="14865" width="14.81640625" style="1" customWidth="1"/>
    <col min="14866" max="14866" width="16.7265625" style="1" customWidth="1"/>
    <col min="14867" max="14867" width="14.54296875" style="1" customWidth="1"/>
    <col min="14868" max="14868" width="16" style="1" customWidth="1"/>
    <col min="14869" max="14869" width="13.26953125" style="1" bestFit="1" customWidth="1"/>
    <col min="14870" max="15104" width="11.453125" style="1"/>
    <col min="15105" max="15105" width="6.453125" style="1" customWidth="1"/>
    <col min="15106" max="15106" width="14" style="1" customWidth="1"/>
    <col min="15107" max="15107" width="17.81640625" style="1" customWidth="1"/>
    <col min="15108" max="15108" width="14.81640625" style="1" customWidth="1"/>
    <col min="15109" max="15109" width="13.7265625" style="1" customWidth="1"/>
    <col min="15110" max="15110" width="7" style="1" customWidth="1"/>
    <col min="15111" max="15111" width="13.453125" style="1" customWidth="1"/>
    <col min="15112" max="15112" width="13.54296875" style="1" customWidth="1"/>
    <col min="15113" max="15113" width="15.1796875" style="1" customWidth="1"/>
    <col min="15114" max="15115" width="15" style="1" customWidth="1"/>
    <col min="15116" max="15116" width="16.453125" style="1" customWidth="1"/>
    <col min="15117" max="15117" width="14.81640625" style="1" customWidth="1"/>
    <col min="15118" max="15118" width="13.7265625" style="1" customWidth="1"/>
    <col min="15119" max="15119" width="14.81640625" style="1" customWidth="1"/>
    <col min="15120" max="15120" width="13.81640625" style="1" customWidth="1"/>
    <col min="15121" max="15121" width="14.81640625" style="1" customWidth="1"/>
    <col min="15122" max="15122" width="16.7265625" style="1" customWidth="1"/>
    <col min="15123" max="15123" width="14.54296875" style="1" customWidth="1"/>
    <col min="15124" max="15124" width="16" style="1" customWidth="1"/>
    <col min="15125" max="15125" width="13.26953125" style="1" bestFit="1" customWidth="1"/>
    <col min="15126" max="15360" width="11.453125" style="1"/>
    <col min="15361" max="15361" width="6.453125" style="1" customWidth="1"/>
    <col min="15362" max="15362" width="14" style="1" customWidth="1"/>
    <col min="15363" max="15363" width="17.81640625" style="1" customWidth="1"/>
    <col min="15364" max="15364" width="14.81640625" style="1" customWidth="1"/>
    <col min="15365" max="15365" width="13.7265625" style="1" customWidth="1"/>
    <col min="15366" max="15366" width="7" style="1" customWidth="1"/>
    <col min="15367" max="15367" width="13.453125" style="1" customWidth="1"/>
    <col min="15368" max="15368" width="13.54296875" style="1" customWidth="1"/>
    <col min="15369" max="15369" width="15.1796875" style="1" customWidth="1"/>
    <col min="15370" max="15371" width="15" style="1" customWidth="1"/>
    <col min="15372" max="15372" width="16.453125" style="1" customWidth="1"/>
    <col min="15373" max="15373" width="14.81640625" style="1" customWidth="1"/>
    <col min="15374" max="15374" width="13.7265625" style="1" customWidth="1"/>
    <col min="15375" max="15375" width="14.81640625" style="1" customWidth="1"/>
    <col min="15376" max="15376" width="13.81640625" style="1" customWidth="1"/>
    <col min="15377" max="15377" width="14.81640625" style="1" customWidth="1"/>
    <col min="15378" max="15378" width="16.7265625" style="1" customWidth="1"/>
    <col min="15379" max="15379" width="14.54296875" style="1" customWidth="1"/>
    <col min="15380" max="15380" width="16" style="1" customWidth="1"/>
    <col min="15381" max="15381" width="13.26953125" style="1" bestFit="1" customWidth="1"/>
    <col min="15382" max="15616" width="11.453125" style="1"/>
    <col min="15617" max="15617" width="6.453125" style="1" customWidth="1"/>
    <col min="15618" max="15618" width="14" style="1" customWidth="1"/>
    <col min="15619" max="15619" width="17.81640625" style="1" customWidth="1"/>
    <col min="15620" max="15620" width="14.81640625" style="1" customWidth="1"/>
    <col min="15621" max="15621" width="13.7265625" style="1" customWidth="1"/>
    <col min="15622" max="15622" width="7" style="1" customWidth="1"/>
    <col min="15623" max="15623" width="13.453125" style="1" customWidth="1"/>
    <col min="15624" max="15624" width="13.54296875" style="1" customWidth="1"/>
    <col min="15625" max="15625" width="15.1796875" style="1" customWidth="1"/>
    <col min="15626" max="15627" width="15" style="1" customWidth="1"/>
    <col min="15628" max="15628" width="16.453125" style="1" customWidth="1"/>
    <col min="15629" max="15629" width="14.81640625" style="1" customWidth="1"/>
    <col min="15630" max="15630" width="13.7265625" style="1" customWidth="1"/>
    <col min="15631" max="15631" width="14.81640625" style="1" customWidth="1"/>
    <col min="15632" max="15632" width="13.81640625" style="1" customWidth="1"/>
    <col min="15633" max="15633" width="14.81640625" style="1" customWidth="1"/>
    <col min="15634" max="15634" width="16.7265625" style="1" customWidth="1"/>
    <col min="15635" max="15635" width="14.54296875" style="1" customWidth="1"/>
    <col min="15636" max="15636" width="16" style="1" customWidth="1"/>
    <col min="15637" max="15637" width="13.26953125" style="1" bestFit="1" customWidth="1"/>
    <col min="15638" max="15872" width="11.453125" style="1"/>
    <col min="15873" max="15873" width="6.453125" style="1" customWidth="1"/>
    <col min="15874" max="15874" width="14" style="1" customWidth="1"/>
    <col min="15875" max="15875" width="17.81640625" style="1" customWidth="1"/>
    <col min="15876" max="15876" width="14.81640625" style="1" customWidth="1"/>
    <col min="15877" max="15877" width="13.7265625" style="1" customWidth="1"/>
    <col min="15878" max="15878" width="7" style="1" customWidth="1"/>
    <col min="15879" max="15879" width="13.453125" style="1" customWidth="1"/>
    <col min="15880" max="15880" width="13.54296875" style="1" customWidth="1"/>
    <col min="15881" max="15881" width="15.1796875" style="1" customWidth="1"/>
    <col min="15882" max="15883" width="15" style="1" customWidth="1"/>
    <col min="15884" max="15884" width="16.453125" style="1" customWidth="1"/>
    <col min="15885" max="15885" width="14.81640625" style="1" customWidth="1"/>
    <col min="15886" max="15886" width="13.7265625" style="1" customWidth="1"/>
    <col min="15887" max="15887" width="14.81640625" style="1" customWidth="1"/>
    <col min="15888" max="15888" width="13.81640625" style="1" customWidth="1"/>
    <col min="15889" max="15889" width="14.81640625" style="1" customWidth="1"/>
    <col min="15890" max="15890" width="16.7265625" style="1" customWidth="1"/>
    <col min="15891" max="15891" width="14.54296875" style="1" customWidth="1"/>
    <col min="15892" max="15892" width="16" style="1" customWidth="1"/>
    <col min="15893" max="15893" width="13.26953125" style="1" bestFit="1" customWidth="1"/>
    <col min="15894" max="16128" width="11.453125" style="1"/>
    <col min="16129" max="16129" width="6.453125" style="1" customWidth="1"/>
    <col min="16130" max="16130" width="14" style="1" customWidth="1"/>
    <col min="16131" max="16131" width="17.81640625" style="1" customWidth="1"/>
    <col min="16132" max="16132" width="14.81640625" style="1" customWidth="1"/>
    <col min="16133" max="16133" width="13.7265625" style="1" customWidth="1"/>
    <col min="16134" max="16134" width="7" style="1" customWidth="1"/>
    <col min="16135" max="16135" width="13.453125" style="1" customWidth="1"/>
    <col min="16136" max="16136" width="13.54296875" style="1" customWidth="1"/>
    <col min="16137" max="16137" width="15.1796875" style="1" customWidth="1"/>
    <col min="16138" max="16139" width="15" style="1" customWidth="1"/>
    <col min="16140" max="16140" width="16.453125" style="1" customWidth="1"/>
    <col min="16141" max="16141" width="14.81640625" style="1" customWidth="1"/>
    <col min="16142" max="16142" width="13.7265625" style="1" customWidth="1"/>
    <col min="16143" max="16143" width="14.81640625" style="1" customWidth="1"/>
    <col min="16144" max="16144" width="13.81640625" style="1" customWidth="1"/>
    <col min="16145" max="16145" width="14.81640625" style="1" customWidth="1"/>
    <col min="16146" max="16146" width="16.7265625" style="1" customWidth="1"/>
    <col min="16147" max="16147" width="14.54296875" style="1" customWidth="1"/>
    <col min="16148" max="16148" width="16" style="1" customWidth="1"/>
    <col min="16149" max="16149" width="13.26953125" style="1" bestFit="1" customWidth="1"/>
    <col min="16150" max="16384" width="11.453125" style="1"/>
  </cols>
  <sheetData>
    <row r="1" spans="2:21" ht="15.75" customHeight="1" x14ac:dyDescent="0.25">
      <c r="B1" s="524" t="s">
        <v>0</v>
      </c>
      <c r="C1" s="524"/>
      <c r="D1" s="524"/>
      <c r="E1" s="524"/>
      <c r="F1" s="524"/>
      <c r="G1" s="524"/>
      <c r="H1" s="524"/>
      <c r="I1" s="524"/>
      <c r="J1" s="524"/>
      <c r="K1" s="524"/>
      <c r="L1" s="524"/>
      <c r="M1" s="524"/>
      <c r="N1" s="524"/>
      <c r="O1" s="524"/>
      <c r="P1" s="524"/>
      <c r="Q1" s="524"/>
      <c r="R1" s="524"/>
      <c r="S1" s="524"/>
    </row>
    <row r="2" spans="2:21" ht="15.75" customHeight="1" x14ac:dyDescent="0.25">
      <c r="B2" s="525" t="s">
        <v>1</v>
      </c>
      <c r="C2" s="524"/>
      <c r="D2" s="524"/>
      <c r="E2" s="524"/>
      <c r="F2" s="524"/>
      <c r="G2" s="524"/>
      <c r="H2" s="524"/>
      <c r="I2" s="524"/>
      <c r="J2" s="524"/>
      <c r="K2" s="524"/>
      <c r="L2" s="524"/>
      <c r="M2" s="524"/>
      <c r="N2" s="524"/>
      <c r="O2" s="524"/>
      <c r="P2" s="524"/>
      <c r="Q2" s="524"/>
      <c r="R2" s="524"/>
      <c r="S2" s="524"/>
    </row>
    <row r="3" spans="2:21" ht="18" customHeight="1" x14ac:dyDescent="0.25">
      <c r="B3" s="2" t="s">
        <v>2</v>
      </c>
      <c r="C3" s="3"/>
      <c r="D3" s="4"/>
      <c r="E3" s="4"/>
      <c r="F3" s="4"/>
      <c r="G3" s="5"/>
      <c r="H3" s="6"/>
      <c r="I3" s="7"/>
      <c r="J3" s="8"/>
      <c r="K3" s="9"/>
      <c r="L3" s="10"/>
      <c r="M3" s="10"/>
      <c r="N3" s="4"/>
      <c r="O3" s="10"/>
      <c r="P3" s="4"/>
      <c r="Q3" s="11"/>
      <c r="T3" s="13"/>
    </row>
    <row r="4" spans="2:21" ht="17.25" customHeight="1" thickBot="1" x14ac:dyDescent="0.3">
      <c r="B4" s="14" t="s">
        <v>3</v>
      </c>
      <c r="C4" s="3"/>
      <c r="D4" s="4"/>
      <c r="E4" s="4"/>
      <c r="F4" s="4"/>
      <c r="G4" s="15"/>
      <c r="H4" s="16"/>
      <c r="I4" s="17"/>
      <c r="J4" s="18"/>
      <c r="K4" s="19"/>
      <c r="L4" s="8"/>
      <c r="M4" s="13"/>
      <c r="N4" s="13"/>
      <c r="O4" s="13"/>
      <c r="P4" s="13"/>
      <c r="Q4" s="13"/>
    </row>
    <row r="5" spans="2:21" ht="23.25" customHeight="1" x14ac:dyDescent="0.2">
      <c r="B5" s="526" t="s">
        <v>4</v>
      </c>
      <c r="C5" s="527"/>
      <c r="D5" s="527" t="s">
        <v>5</v>
      </c>
      <c r="E5" s="530" t="s">
        <v>6</v>
      </c>
      <c r="F5" s="530"/>
      <c r="G5" s="530"/>
      <c r="H5" s="530"/>
      <c r="I5" s="531" t="s">
        <v>7</v>
      </c>
      <c r="J5" s="530"/>
      <c r="K5" s="530"/>
      <c r="L5" s="530"/>
      <c r="M5" s="530"/>
      <c r="N5" s="530"/>
      <c r="O5" s="530"/>
      <c r="P5" s="530" t="s">
        <v>8</v>
      </c>
      <c r="Q5" s="530"/>
      <c r="R5" s="534" t="s">
        <v>9</v>
      </c>
      <c r="S5" s="534"/>
      <c r="T5" s="20"/>
    </row>
    <row r="6" spans="2:21" ht="20.25" customHeight="1" x14ac:dyDescent="0.2">
      <c r="B6" s="535" t="s">
        <v>10</v>
      </c>
      <c r="C6" s="541" t="s">
        <v>11</v>
      </c>
      <c r="D6" s="528"/>
      <c r="E6" s="543" t="s">
        <v>12</v>
      </c>
      <c r="F6" s="543"/>
      <c r="G6" s="544" t="s">
        <v>13</v>
      </c>
      <c r="H6" s="544"/>
      <c r="I6" s="532"/>
      <c r="J6" s="544" t="s">
        <v>14</v>
      </c>
      <c r="K6" s="544"/>
      <c r="L6" s="544" t="s">
        <v>15</v>
      </c>
      <c r="M6" s="544"/>
      <c r="N6" s="544" t="s">
        <v>16</v>
      </c>
      <c r="O6" s="544"/>
      <c r="P6" s="544" t="s">
        <v>17</v>
      </c>
      <c r="Q6" s="544"/>
      <c r="R6" s="545" t="s">
        <v>18</v>
      </c>
      <c r="S6" s="545" t="s">
        <v>19</v>
      </c>
      <c r="T6" s="537" t="s">
        <v>20</v>
      </c>
    </row>
    <row r="7" spans="2:21" s="14" customFormat="1" ht="39.75" customHeight="1" thickBot="1" x14ac:dyDescent="0.3">
      <c r="B7" s="536"/>
      <c r="C7" s="542"/>
      <c r="D7" s="529"/>
      <c r="E7" s="21" t="s">
        <v>21</v>
      </c>
      <c r="F7" s="21" t="s">
        <v>22</v>
      </c>
      <c r="G7" s="21" t="s">
        <v>21</v>
      </c>
      <c r="H7" s="22" t="s">
        <v>22</v>
      </c>
      <c r="I7" s="533"/>
      <c r="J7" s="23" t="s">
        <v>23</v>
      </c>
      <c r="K7" s="24" t="s">
        <v>24</v>
      </c>
      <c r="L7" s="23" t="s">
        <v>23</v>
      </c>
      <c r="M7" s="21" t="s">
        <v>24</v>
      </c>
      <c r="N7" s="21" t="s">
        <v>23</v>
      </c>
      <c r="O7" s="21" t="s">
        <v>24</v>
      </c>
      <c r="P7" s="21" t="s">
        <v>23</v>
      </c>
      <c r="Q7" s="21" t="s">
        <v>25</v>
      </c>
      <c r="R7" s="546"/>
      <c r="S7" s="546"/>
      <c r="T7" s="538" t="s">
        <v>20</v>
      </c>
    </row>
    <row r="8" spans="2:21" s="14" customFormat="1" ht="15" customHeight="1" x14ac:dyDescent="0.25">
      <c r="B8" s="25">
        <v>2</v>
      </c>
      <c r="C8" s="26" t="s">
        <v>26</v>
      </c>
      <c r="D8" s="27">
        <f>+D9+D64</f>
        <v>124795887234</v>
      </c>
      <c r="E8" s="27">
        <f>+E9+E64+E83</f>
        <v>30801653812</v>
      </c>
      <c r="F8" s="27">
        <f>+F9+F64</f>
        <v>0</v>
      </c>
      <c r="G8" s="27">
        <f>+G9+G64</f>
        <v>9676092661</v>
      </c>
      <c r="H8" s="27">
        <f>+H9+H64</f>
        <v>9676092661</v>
      </c>
      <c r="I8" s="28">
        <f>+D8+E8--F8+G8-H8</f>
        <v>155597541046</v>
      </c>
      <c r="J8" s="29">
        <f t="shared" ref="J8:Q8" si="0">+J9+J64</f>
        <v>1628106281</v>
      </c>
      <c r="K8" s="30">
        <f>+K9+K64</f>
        <v>155007348092.29999</v>
      </c>
      <c r="L8" s="29">
        <f t="shared" si="0"/>
        <v>3150616705</v>
      </c>
      <c r="M8" s="29">
        <f t="shared" si="0"/>
        <v>155007348092.29999</v>
      </c>
      <c r="N8" s="29">
        <f t="shared" si="0"/>
        <v>15355790800.299999</v>
      </c>
      <c r="O8" s="29">
        <f t="shared" si="0"/>
        <v>147533191076.29999</v>
      </c>
      <c r="P8" s="29">
        <f t="shared" si="0"/>
        <v>16282652069.299999</v>
      </c>
      <c r="Q8" s="29">
        <f t="shared" si="0"/>
        <v>146113066017.29999</v>
      </c>
      <c r="R8" s="29">
        <f>+R9+R64</f>
        <v>0</v>
      </c>
      <c r="S8" s="29">
        <f>+S9+S64</f>
        <v>7474157016</v>
      </c>
      <c r="T8" s="31">
        <f>+T9+T64</f>
        <v>1420125059</v>
      </c>
      <c r="U8" s="32"/>
    </row>
    <row r="9" spans="2:21" s="14" customFormat="1" ht="15" customHeight="1" x14ac:dyDescent="0.25">
      <c r="B9" s="33">
        <v>2.1</v>
      </c>
      <c r="C9" s="34" t="s">
        <v>27</v>
      </c>
      <c r="D9" s="35">
        <f>+D10+D37</f>
        <v>7378853234</v>
      </c>
      <c r="E9" s="36">
        <f>+E10+E20+E37</f>
        <v>1643683041</v>
      </c>
      <c r="F9" s="36">
        <f>+F10+F19+F23</f>
        <v>0</v>
      </c>
      <c r="G9" s="35">
        <f>+G10+G37</f>
        <v>938595035</v>
      </c>
      <c r="H9" s="35">
        <f>+H10+H37</f>
        <v>1073795035</v>
      </c>
      <c r="I9" s="37">
        <f>+D9+E9--F9+G9-H9</f>
        <v>8887336275</v>
      </c>
      <c r="J9" s="38">
        <f t="shared" ref="J9:T9" si="1">+J10+J37</f>
        <v>479223361</v>
      </c>
      <c r="K9" s="39">
        <f t="shared" si="1"/>
        <v>8381356411.3000002</v>
      </c>
      <c r="L9" s="38">
        <f t="shared" si="1"/>
        <v>735234955</v>
      </c>
      <c r="M9" s="38">
        <f t="shared" si="1"/>
        <v>8381356411.3000002</v>
      </c>
      <c r="N9" s="38">
        <f t="shared" si="1"/>
        <v>1401164327.3</v>
      </c>
      <c r="O9" s="38">
        <f t="shared" si="1"/>
        <v>7666369297.3000002</v>
      </c>
      <c r="P9" s="38">
        <f t="shared" si="1"/>
        <v>1431124130.3</v>
      </c>
      <c r="Q9" s="38">
        <f t="shared" si="1"/>
        <v>7555861665.3000002</v>
      </c>
      <c r="R9" s="38">
        <f>+R10+R37</f>
        <v>0</v>
      </c>
      <c r="S9" s="38">
        <f t="shared" si="1"/>
        <v>714987114</v>
      </c>
      <c r="T9" s="40">
        <f t="shared" si="1"/>
        <v>110507632</v>
      </c>
      <c r="U9" s="32"/>
    </row>
    <row r="10" spans="2:21" s="14" customFormat="1" ht="15" customHeight="1" x14ac:dyDescent="0.25">
      <c r="B10" s="41" t="s">
        <v>28</v>
      </c>
      <c r="C10" s="34" t="s">
        <v>29</v>
      </c>
      <c r="D10" s="35">
        <f>+D11+D20+D24</f>
        <v>5014000000</v>
      </c>
      <c r="E10" s="37">
        <f>+E11</f>
        <v>0</v>
      </c>
      <c r="F10" s="37">
        <f>SUM(F11:F18)</f>
        <v>0</v>
      </c>
      <c r="G10" s="37">
        <f t="shared" ref="G10:T10" si="2">+G11+G20+G24</f>
        <v>482300000</v>
      </c>
      <c r="H10" s="37">
        <f t="shared" si="2"/>
        <v>518897511</v>
      </c>
      <c r="I10" s="37">
        <f t="shared" si="2"/>
        <v>6469908847</v>
      </c>
      <c r="J10" s="38">
        <f t="shared" si="2"/>
        <v>419448271</v>
      </c>
      <c r="K10" s="39">
        <f t="shared" si="2"/>
        <v>6261718356</v>
      </c>
      <c r="L10" s="38">
        <f t="shared" si="2"/>
        <v>499880865</v>
      </c>
      <c r="M10" s="38">
        <f t="shared" si="2"/>
        <v>6261718356</v>
      </c>
      <c r="N10" s="38">
        <f t="shared" si="2"/>
        <v>1198845144</v>
      </c>
      <c r="O10" s="38">
        <f t="shared" si="2"/>
        <v>6142300023</v>
      </c>
      <c r="P10" s="38">
        <f t="shared" si="2"/>
        <v>1228726280</v>
      </c>
      <c r="Q10" s="38">
        <f t="shared" si="2"/>
        <v>6031792391</v>
      </c>
      <c r="R10" s="38">
        <f t="shared" si="2"/>
        <v>0</v>
      </c>
      <c r="S10" s="38">
        <f t="shared" si="2"/>
        <v>119418333</v>
      </c>
      <c r="T10" s="40">
        <f t="shared" si="2"/>
        <v>110507632</v>
      </c>
      <c r="U10" s="32"/>
    </row>
    <row r="11" spans="2:21" s="14" customFormat="1" ht="15" customHeight="1" x14ac:dyDescent="0.25">
      <c r="B11" s="41" t="s">
        <v>30</v>
      </c>
      <c r="C11" s="34" t="s">
        <v>31</v>
      </c>
      <c r="D11" s="35">
        <f>SUM(D12:D19)</f>
        <v>1728000000</v>
      </c>
      <c r="E11" s="37">
        <f>SUM(E12:E19)</f>
        <v>0</v>
      </c>
      <c r="F11" s="37">
        <v>0</v>
      </c>
      <c r="G11" s="37">
        <f>SUM(G12:G19)</f>
        <v>21600000</v>
      </c>
      <c r="H11" s="37">
        <f>SUM(H12:H19)</f>
        <v>397000000</v>
      </c>
      <c r="I11" s="37">
        <f>+D11+E11--F11+G11-H11</f>
        <v>1352600000</v>
      </c>
      <c r="J11" s="38">
        <f t="shared" ref="J11:T11" si="3">SUM(J12:J19)</f>
        <v>242702837</v>
      </c>
      <c r="K11" s="39">
        <f t="shared" si="3"/>
        <v>1284305243</v>
      </c>
      <c r="L11" s="38">
        <f t="shared" si="3"/>
        <v>242702837</v>
      </c>
      <c r="M11" s="38">
        <f t="shared" si="3"/>
        <v>1284305243</v>
      </c>
      <c r="N11" s="38">
        <f t="shared" si="3"/>
        <v>242702837</v>
      </c>
      <c r="O11" s="38">
        <f t="shared" si="3"/>
        <v>1284305243</v>
      </c>
      <c r="P11" s="38">
        <f t="shared" si="3"/>
        <v>314346825</v>
      </c>
      <c r="Q11" s="38">
        <f t="shared" si="3"/>
        <v>1257185935</v>
      </c>
      <c r="R11" s="38">
        <f t="shared" si="3"/>
        <v>0</v>
      </c>
      <c r="S11" s="38">
        <f t="shared" si="3"/>
        <v>0</v>
      </c>
      <c r="T11" s="40">
        <f t="shared" si="3"/>
        <v>27119308</v>
      </c>
    </row>
    <row r="12" spans="2:21" s="14" customFormat="1" ht="15" customHeight="1" x14ac:dyDescent="0.25">
      <c r="B12" s="42" t="s">
        <v>32</v>
      </c>
      <c r="C12" s="43" t="s">
        <v>33</v>
      </c>
      <c r="D12" s="36">
        <v>1400000000</v>
      </c>
      <c r="E12" s="36">
        <v>0</v>
      </c>
      <c r="F12" s="36">
        <v>0</v>
      </c>
      <c r="G12" s="36">
        <v>0</v>
      </c>
      <c r="H12" s="36">
        <v>365000000</v>
      </c>
      <c r="I12" s="36">
        <f t="shared" ref="I12:I19" si="4">+D12+E12-F12+G12-H12</f>
        <v>1035000000</v>
      </c>
      <c r="J12" s="36">
        <v>84883058</v>
      </c>
      <c r="K12" s="44">
        <v>1018313179</v>
      </c>
      <c r="L12" s="36">
        <v>84883058</v>
      </c>
      <c r="M12" s="45">
        <v>1018313179</v>
      </c>
      <c r="N12" s="45">
        <v>84883058</v>
      </c>
      <c r="O12" s="45">
        <v>1018313179</v>
      </c>
      <c r="P12" s="45">
        <v>170099372</v>
      </c>
      <c r="Q12" s="45">
        <v>1018313179</v>
      </c>
      <c r="R12" s="36">
        <v>0</v>
      </c>
      <c r="S12" s="36">
        <v>0</v>
      </c>
      <c r="T12" s="46">
        <v>0</v>
      </c>
    </row>
    <row r="13" spans="2:21" ht="15" customHeight="1" x14ac:dyDescent="0.2">
      <c r="B13" s="42" t="s">
        <v>34</v>
      </c>
      <c r="C13" s="43" t="s">
        <v>35</v>
      </c>
      <c r="D13" s="36">
        <v>37000000</v>
      </c>
      <c r="E13" s="36">
        <v>0</v>
      </c>
      <c r="F13" s="36">
        <v>0</v>
      </c>
      <c r="G13" s="36">
        <v>0</v>
      </c>
      <c r="H13" s="36">
        <v>17000000</v>
      </c>
      <c r="I13" s="36">
        <f t="shared" si="4"/>
        <v>20000000</v>
      </c>
      <c r="J13" s="36">
        <v>10670340</v>
      </c>
      <c r="K13" s="44">
        <v>15146262</v>
      </c>
      <c r="L13" s="36">
        <v>10670340</v>
      </c>
      <c r="M13" s="45">
        <v>15146262</v>
      </c>
      <c r="N13" s="45">
        <v>10670340</v>
      </c>
      <c r="O13" s="45">
        <v>15146262</v>
      </c>
      <c r="P13" s="45">
        <v>10670340</v>
      </c>
      <c r="Q13" s="45">
        <v>15146262</v>
      </c>
      <c r="R13" s="36">
        <v>0</v>
      </c>
      <c r="S13" s="36">
        <v>0</v>
      </c>
      <c r="T13" s="46">
        <v>0</v>
      </c>
    </row>
    <row r="14" spans="2:21" ht="15" customHeight="1" x14ac:dyDescent="0.2">
      <c r="B14" s="42" t="s">
        <v>36</v>
      </c>
      <c r="C14" s="43" t="s">
        <v>37</v>
      </c>
      <c r="D14" s="36">
        <v>60000000</v>
      </c>
      <c r="E14" s="36">
        <v>0</v>
      </c>
      <c r="F14" s="36">
        <v>0</v>
      </c>
      <c r="G14" s="36">
        <v>0</v>
      </c>
      <c r="H14" s="36">
        <v>5000000</v>
      </c>
      <c r="I14" s="36">
        <f t="shared" si="4"/>
        <v>55000000</v>
      </c>
      <c r="J14" s="36">
        <v>2048453</v>
      </c>
      <c r="K14" s="44">
        <v>40800809</v>
      </c>
      <c r="L14" s="36">
        <v>2048453</v>
      </c>
      <c r="M14" s="45">
        <v>40800809</v>
      </c>
      <c r="N14" s="45">
        <v>2048453</v>
      </c>
      <c r="O14" s="45">
        <v>40800809</v>
      </c>
      <c r="P14" s="45">
        <v>2048453</v>
      </c>
      <c r="Q14" s="45">
        <v>40800809</v>
      </c>
      <c r="R14" s="36">
        <v>0</v>
      </c>
      <c r="S14" s="36">
        <v>0</v>
      </c>
      <c r="T14" s="46">
        <v>0</v>
      </c>
    </row>
    <row r="15" spans="2:21" ht="15" customHeight="1" x14ac:dyDescent="0.2">
      <c r="B15" s="42" t="s">
        <v>38</v>
      </c>
      <c r="C15" s="43" t="s">
        <v>39</v>
      </c>
      <c r="D15" s="36">
        <v>42000000</v>
      </c>
      <c r="E15" s="36">
        <v>0</v>
      </c>
      <c r="F15" s="36">
        <v>0</v>
      </c>
      <c r="G15" s="36">
        <v>100000</v>
      </c>
      <c r="H15" s="36">
        <v>10000000</v>
      </c>
      <c r="I15" s="36">
        <f t="shared" si="4"/>
        <v>32100000</v>
      </c>
      <c r="J15" s="36">
        <v>7067922</v>
      </c>
      <c r="K15" s="44">
        <v>32024951</v>
      </c>
      <c r="L15" s="36">
        <v>7067922</v>
      </c>
      <c r="M15" s="45">
        <v>32024951</v>
      </c>
      <c r="N15" s="45">
        <v>7067922</v>
      </c>
      <c r="O15" s="45">
        <v>32024951</v>
      </c>
      <c r="P15" s="45">
        <v>11291544</v>
      </c>
      <c r="Q15" s="45">
        <v>32024951</v>
      </c>
      <c r="R15" s="36">
        <v>0</v>
      </c>
      <c r="S15" s="36">
        <v>0</v>
      </c>
      <c r="T15" s="46">
        <v>0</v>
      </c>
      <c r="U15" s="47"/>
    </row>
    <row r="16" spans="2:21" ht="15" customHeight="1" x14ac:dyDescent="0.2">
      <c r="B16" s="42" t="s">
        <v>40</v>
      </c>
      <c r="C16" s="43" t="s">
        <v>41</v>
      </c>
      <c r="D16" s="36">
        <v>8000000</v>
      </c>
      <c r="E16" s="36">
        <v>0</v>
      </c>
      <c r="F16" s="36">
        <v>0</v>
      </c>
      <c r="G16" s="36">
        <v>0</v>
      </c>
      <c r="H16" s="36">
        <v>0</v>
      </c>
      <c r="I16" s="36">
        <f t="shared" si="4"/>
        <v>8000000</v>
      </c>
      <c r="J16" s="36">
        <v>2160632</v>
      </c>
      <c r="K16" s="44">
        <v>5935209</v>
      </c>
      <c r="L16" s="36">
        <v>2160632</v>
      </c>
      <c r="M16" s="45">
        <v>5935209</v>
      </c>
      <c r="N16" s="45">
        <v>2160632</v>
      </c>
      <c r="O16" s="45">
        <v>5935209</v>
      </c>
      <c r="P16" s="45">
        <v>3135624</v>
      </c>
      <c r="Q16" s="45">
        <v>5935209</v>
      </c>
      <c r="R16" s="36">
        <v>0</v>
      </c>
      <c r="S16" s="36">
        <v>0</v>
      </c>
      <c r="T16" s="46">
        <v>0</v>
      </c>
    </row>
    <row r="17" spans="2:20" ht="15" customHeight="1" x14ac:dyDescent="0.2">
      <c r="B17" s="42" t="s">
        <v>42</v>
      </c>
      <c r="C17" s="43" t="s">
        <v>43</v>
      </c>
      <c r="D17" s="36">
        <v>60000000</v>
      </c>
      <c r="E17" s="36">
        <v>0</v>
      </c>
      <c r="F17" s="36">
        <v>0</v>
      </c>
      <c r="G17" s="36">
        <v>8000000</v>
      </c>
      <c r="H17" s="36">
        <v>0</v>
      </c>
      <c r="I17" s="36">
        <f t="shared" si="4"/>
        <v>68000000</v>
      </c>
      <c r="J17" s="36">
        <v>18500390</v>
      </c>
      <c r="K17" s="44">
        <v>51242204</v>
      </c>
      <c r="L17" s="36">
        <v>18500390</v>
      </c>
      <c r="M17" s="45">
        <v>51242204</v>
      </c>
      <c r="N17" s="45">
        <v>18500390</v>
      </c>
      <c r="O17" s="45">
        <v>51242204</v>
      </c>
      <c r="P17" s="45">
        <v>26848758</v>
      </c>
      <c r="Q17" s="45">
        <v>51242204</v>
      </c>
      <c r="R17" s="36">
        <v>0</v>
      </c>
      <c r="S17" s="36">
        <v>0</v>
      </c>
      <c r="T17" s="46">
        <v>0</v>
      </c>
    </row>
    <row r="18" spans="2:20" ht="15" customHeight="1" x14ac:dyDescent="0.2">
      <c r="B18" s="42" t="s">
        <v>44</v>
      </c>
      <c r="C18" s="43" t="s">
        <v>45</v>
      </c>
      <c r="D18" s="36">
        <v>86000000</v>
      </c>
      <c r="E18" s="36">
        <v>0</v>
      </c>
      <c r="F18" s="36">
        <v>0</v>
      </c>
      <c r="G18" s="36">
        <v>13500000</v>
      </c>
      <c r="H18" s="36">
        <v>0</v>
      </c>
      <c r="I18" s="36">
        <f t="shared" si="4"/>
        <v>99500000</v>
      </c>
      <c r="J18" s="36">
        <v>90252734</v>
      </c>
      <c r="K18" s="44">
        <v>93723321</v>
      </c>
      <c r="L18" s="36">
        <v>90252734</v>
      </c>
      <c r="M18" s="45">
        <v>93723321</v>
      </c>
      <c r="N18" s="45">
        <v>90252734</v>
      </c>
      <c r="O18" s="45">
        <v>93723321</v>
      </c>
      <c r="P18" s="45">
        <v>90252734</v>
      </c>
      <c r="Q18" s="45">
        <v>93723321</v>
      </c>
      <c r="R18" s="36">
        <v>0</v>
      </c>
      <c r="S18" s="36">
        <v>0</v>
      </c>
      <c r="T18" s="46">
        <v>0</v>
      </c>
    </row>
    <row r="19" spans="2:20" s="14" customFormat="1" ht="15" customHeight="1" x14ac:dyDescent="0.25">
      <c r="B19" s="42" t="s">
        <v>46</v>
      </c>
      <c r="C19" s="43" t="s">
        <v>47</v>
      </c>
      <c r="D19" s="36">
        <v>35000000</v>
      </c>
      <c r="E19" s="36">
        <v>0</v>
      </c>
      <c r="F19" s="36">
        <f>+F20+F21+F22</f>
        <v>0</v>
      </c>
      <c r="G19" s="36">
        <v>0</v>
      </c>
      <c r="H19" s="36">
        <v>0</v>
      </c>
      <c r="I19" s="36">
        <f t="shared" si="4"/>
        <v>35000000</v>
      </c>
      <c r="J19" s="36">
        <v>27119308</v>
      </c>
      <c r="K19" s="44">
        <v>27119308</v>
      </c>
      <c r="L19" s="36">
        <v>27119308</v>
      </c>
      <c r="M19" s="45">
        <v>27119308</v>
      </c>
      <c r="N19" s="45">
        <v>27119308</v>
      </c>
      <c r="O19" s="45">
        <v>27119308</v>
      </c>
      <c r="P19" s="45">
        <v>0</v>
      </c>
      <c r="Q19" s="45">
        <v>0</v>
      </c>
      <c r="R19" s="36">
        <v>0</v>
      </c>
      <c r="S19" s="36">
        <v>0</v>
      </c>
      <c r="T19" s="46">
        <v>27119308</v>
      </c>
    </row>
    <row r="20" spans="2:20" s="14" customFormat="1" ht="15" customHeight="1" x14ac:dyDescent="0.25">
      <c r="B20" s="41" t="s">
        <v>48</v>
      </c>
      <c r="C20" s="34" t="s">
        <v>49</v>
      </c>
      <c r="D20" s="35">
        <f t="shared" ref="D20:R20" si="5">SUM(D21:D23)</f>
        <v>2800000000</v>
      </c>
      <c r="E20" s="35">
        <f t="shared" si="5"/>
        <v>1492506358</v>
      </c>
      <c r="F20" s="35">
        <f t="shared" si="5"/>
        <v>0</v>
      </c>
      <c r="G20" s="35">
        <f t="shared" si="5"/>
        <v>430500000</v>
      </c>
      <c r="H20" s="35">
        <f t="shared" si="5"/>
        <v>108597511</v>
      </c>
      <c r="I20" s="35">
        <f t="shared" si="5"/>
        <v>4614408847</v>
      </c>
      <c r="J20" s="38">
        <f t="shared" si="5"/>
        <v>53569299</v>
      </c>
      <c r="K20" s="39">
        <f t="shared" si="5"/>
        <v>4555752513</v>
      </c>
      <c r="L20" s="48">
        <f t="shared" si="5"/>
        <v>134000293</v>
      </c>
      <c r="M20" s="37">
        <f t="shared" si="5"/>
        <v>4555752513</v>
      </c>
      <c r="N20" s="37">
        <f t="shared" si="5"/>
        <v>832962572</v>
      </c>
      <c r="O20" s="37">
        <f t="shared" si="5"/>
        <v>4436334180</v>
      </c>
      <c r="P20" s="37">
        <f t="shared" si="5"/>
        <v>845998185</v>
      </c>
      <c r="Q20" s="37">
        <f t="shared" si="5"/>
        <v>4436328180</v>
      </c>
      <c r="R20" s="38">
        <f t="shared" si="5"/>
        <v>0</v>
      </c>
      <c r="S20" s="38">
        <f>SUM(S21:S23)</f>
        <v>119418333</v>
      </c>
      <c r="T20" s="40">
        <f>SUM(T21:T23)</f>
        <v>6000</v>
      </c>
    </row>
    <row r="21" spans="2:20" s="14" customFormat="1" ht="15" customHeight="1" x14ac:dyDescent="0.25">
      <c r="B21" s="42" t="s">
        <v>50</v>
      </c>
      <c r="C21" s="43" t="s">
        <v>51</v>
      </c>
      <c r="D21" s="36">
        <v>10000000</v>
      </c>
      <c r="E21" s="36">
        <v>0</v>
      </c>
      <c r="F21" s="36">
        <v>0</v>
      </c>
      <c r="G21" s="36">
        <v>0</v>
      </c>
      <c r="H21" s="36">
        <v>0</v>
      </c>
      <c r="I21" s="36">
        <f>+D21+E21-F21+G21-H21</f>
        <v>10000000</v>
      </c>
      <c r="J21" s="36">
        <v>0</v>
      </c>
      <c r="K21" s="44">
        <v>7090799</v>
      </c>
      <c r="L21" s="36">
        <v>0</v>
      </c>
      <c r="M21" s="45">
        <v>7090799</v>
      </c>
      <c r="N21" s="45">
        <v>0</v>
      </c>
      <c r="O21" s="45">
        <v>7090799</v>
      </c>
      <c r="P21" s="45">
        <v>3466613</v>
      </c>
      <c r="Q21" s="45">
        <v>7090799</v>
      </c>
      <c r="R21" s="36">
        <v>0</v>
      </c>
      <c r="S21" s="36">
        <v>0</v>
      </c>
      <c r="T21" s="46">
        <v>0</v>
      </c>
    </row>
    <row r="22" spans="2:20" ht="15" customHeight="1" x14ac:dyDescent="0.2">
      <c r="B22" s="42" t="s">
        <v>52</v>
      </c>
      <c r="C22" s="43" t="s">
        <v>53</v>
      </c>
      <c r="D22" s="36">
        <v>1500000000</v>
      </c>
      <c r="E22" s="36">
        <f>800000000+350000000</f>
        <v>1150000000</v>
      </c>
      <c r="F22" s="36">
        <v>0</v>
      </c>
      <c r="G22" s="36">
        <v>365000000</v>
      </c>
      <c r="H22" s="36">
        <f>35500000+14097511+47000000+12000000</f>
        <v>108597511</v>
      </c>
      <c r="I22" s="36">
        <f>+D22+E22-F22+G22-H22</f>
        <v>2906402489</v>
      </c>
      <c r="J22" s="36">
        <v>50576578</v>
      </c>
      <c r="K22" s="44">
        <v>2868415663</v>
      </c>
      <c r="L22" s="36">
        <v>76240909</v>
      </c>
      <c r="M22" s="45">
        <v>2868415663</v>
      </c>
      <c r="N22" s="45">
        <v>616246242</v>
      </c>
      <c r="O22" s="45">
        <v>2757498996</v>
      </c>
      <c r="P22" s="45">
        <v>619940242</v>
      </c>
      <c r="Q22" s="45">
        <v>2757492996</v>
      </c>
      <c r="R22" s="36">
        <v>0</v>
      </c>
      <c r="S22" s="36">
        <v>110916667</v>
      </c>
      <c r="T22" s="46">
        <v>6000</v>
      </c>
    </row>
    <row r="23" spans="2:20" s="14" customFormat="1" ht="15" customHeight="1" x14ac:dyDescent="0.25">
      <c r="B23" s="42" t="s">
        <v>54</v>
      </c>
      <c r="C23" s="43" t="s">
        <v>55</v>
      </c>
      <c r="D23" s="36">
        <v>1290000000</v>
      </c>
      <c r="E23" s="36">
        <v>342506358</v>
      </c>
      <c r="F23" s="36">
        <f>+F24+F28+F32+F33+F34+F35</f>
        <v>0</v>
      </c>
      <c r="G23" s="36">
        <f>35500000+30000000</f>
        <v>65500000</v>
      </c>
      <c r="H23" s="36">
        <v>0</v>
      </c>
      <c r="I23" s="36">
        <f>+D23+E23-F23+G23-H23</f>
        <v>1698006358</v>
      </c>
      <c r="J23" s="36">
        <v>2992721</v>
      </c>
      <c r="K23" s="44">
        <v>1680246051</v>
      </c>
      <c r="L23" s="36">
        <v>57759384</v>
      </c>
      <c r="M23" s="45">
        <v>1680246051</v>
      </c>
      <c r="N23" s="45">
        <v>216716330</v>
      </c>
      <c r="O23" s="45">
        <v>1671744385</v>
      </c>
      <c r="P23" s="45">
        <v>222591330</v>
      </c>
      <c r="Q23" s="45">
        <v>1671744385</v>
      </c>
      <c r="R23" s="36">
        <v>0</v>
      </c>
      <c r="S23" s="36">
        <v>8501666</v>
      </c>
      <c r="T23" s="46">
        <v>0</v>
      </c>
    </row>
    <row r="24" spans="2:20" s="14" customFormat="1" ht="15" customHeight="1" x14ac:dyDescent="0.25">
      <c r="B24" s="41" t="s">
        <v>56</v>
      </c>
      <c r="C24" s="34" t="s">
        <v>57</v>
      </c>
      <c r="D24" s="35">
        <f>+D25+D29+D33+D34+D35+D36</f>
        <v>486000000</v>
      </c>
      <c r="E24" s="35">
        <f>+E25+E29+E33+E34+E35+E36</f>
        <v>0</v>
      </c>
      <c r="F24" s="35">
        <f>+F25+F29+F33+F34+F35+F36</f>
        <v>0</v>
      </c>
      <c r="G24" s="35">
        <f>+G25+G29+G33+G34+G35+G36</f>
        <v>30200000</v>
      </c>
      <c r="H24" s="35">
        <f>+H25+H29+H33+H34+H35+H36</f>
        <v>13300000</v>
      </c>
      <c r="I24" s="35">
        <f>+I25+I29+I33+I34+I35+I36</f>
        <v>502900000</v>
      </c>
      <c r="J24" s="38">
        <f>+J25+J29+J33+J34+J35+J36</f>
        <v>123176135</v>
      </c>
      <c r="K24" s="39">
        <f t="shared" ref="K24:R24" si="6">+K25+K29+K33+K34+K35+K36</f>
        <v>421660600</v>
      </c>
      <c r="L24" s="38">
        <f t="shared" si="6"/>
        <v>123177735</v>
      </c>
      <c r="M24" s="38">
        <f t="shared" si="6"/>
        <v>421660600</v>
      </c>
      <c r="N24" s="38">
        <f t="shared" si="6"/>
        <v>123179735</v>
      </c>
      <c r="O24" s="38">
        <f t="shared" si="6"/>
        <v>421660600</v>
      </c>
      <c r="P24" s="38">
        <f t="shared" si="6"/>
        <v>68381270</v>
      </c>
      <c r="Q24" s="38">
        <f t="shared" si="6"/>
        <v>338278276</v>
      </c>
      <c r="R24" s="38">
        <f t="shared" si="6"/>
        <v>0</v>
      </c>
      <c r="S24" s="38">
        <f>+S25+S29+S33+S34+S35+S36</f>
        <v>0</v>
      </c>
      <c r="T24" s="40">
        <f>+T25+T29+T33+T34+T35+T36</f>
        <v>83382324</v>
      </c>
    </row>
    <row r="25" spans="2:20" s="14" customFormat="1" ht="15" customHeight="1" x14ac:dyDescent="0.25">
      <c r="B25" s="41" t="s">
        <v>58</v>
      </c>
      <c r="C25" s="34" t="s">
        <v>59</v>
      </c>
      <c r="D25" s="35">
        <f t="shared" ref="D25:R25" si="7">SUM(D26:D28)</f>
        <v>177000000</v>
      </c>
      <c r="E25" s="35">
        <f t="shared" si="7"/>
        <v>0</v>
      </c>
      <c r="F25" s="35">
        <f t="shared" si="7"/>
        <v>0</v>
      </c>
      <c r="G25" s="35">
        <f t="shared" si="7"/>
        <v>25100000</v>
      </c>
      <c r="H25" s="35">
        <f t="shared" si="7"/>
        <v>0</v>
      </c>
      <c r="I25" s="35">
        <f t="shared" si="7"/>
        <v>202100000</v>
      </c>
      <c r="J25" s="38">
        <f t="shared" si="7"/>
        <v>72790085</v>
      </c>
      <c r="K25" s="39">
        <f t="shared" si="7"/>
        <v>180452877</v>
      </c>
      <c r="L25" s="38">
        <f t="shared" si="7"/>
        <v>72790085</v>
      </c>
      <c r="M25" s="38">
        <f t="shared" si="7"/>
        <v>180452877</v>
      </c>
      <c r="N25" s="38">
        <f t="shared" si="7"/>
        <v>72790085</v>
      </c>
      <c r="O25" s="38">
        <f t="shared" si="7"/>
        <v>180452877</v>
      </c>
      <c r="P25" s="38">
        <f t="shared" si="7"/>
        <v>32920405</v>
      </c>
      <c r="Q25" s="38">
        <f t="shared" si="7"/>
        <v>130065497</v>
      </c>
      <c r="R25" s="38">
        <f t="shared" si="7"/>
        <v>0</v>
      </c>
      <c r="S25" s="38">
        <f>SUM(S26:S28)</f>
        <v>0</v>
      </c>
      <c r="T25" s="40">
        <f>SUM(T26:T28)</f>
        <v>50387380</v>
      </c>
    </row>
    <row r="26" spans="2:20" s="14" customFormat="1" ht="15" customHeight="1" x14ac:dyDescent="0.25">
      <c r="B26" s="42" t="s">
        <v>60</v>
      </c>
      <c r="C26" s="43" t="s">
        <v>61</v>
      </c>
      <c r="D26" s="36">
        <v>77000000</v>
      </c>
      <c r="E26" s="36">
        <v>0</v>
      </c>
      <c r="F26" s="36">
        <v>0</v>
      </c>
      <c r="G26" s="36">
        <v>24000000</v>
      </c>
      <c r="H26" s="36">
        <v>0</v>
      </c>
      <c r="I26" s="36">
        <f>+D26+E26-F26+G26-H26</f>
        <v>101000000</v>
      </c>
      <c r="J26" s="36">
        <v>8712300</v>
      </c>
      <c r="K26" s="44">
        <v>96709985</v>
      </c>
      <c r="L26" s="36">
        <v>8712300</v>
      </c>
      <c r="M26" s="45">
        <v>96709985</v>
      </c>
      <c r="N26" s="45">
        <v>8712300</v>
      </c>
      <c r="O26" s="45">
        <v>96709985</v>
      </c>
      <c r="P26" s="45">
        <v>17591500</v>
      </c>
      <c r="Q26" s="45">
        <v>96709985</v>
      </c>
      <c r="R26" s="36">
        <v>0</v>
      </c>
      <c r="S26" s="36">
        <v>0</v>
      </c>
      <c r="T26" s="46">
        <v>0</v>
      </c>
    </row>
    <row r="27" spans="2:20" ht="15" customHeight="1" x14ac:dyDescent="0.2">
      <c r="B27" s="42" t="s">
        <v>62</v>
      </c>
      <c r="C27" s="43" t="s">
        <v>63</v>
      </c>
      <c r="D27" s="36">
        <v>80000000</v>
      </c>
      <c r="E27" s="36">
        <v>0</v>
      </c>
      <c r="F27" s="36">
        <v>0</v>
      </c>
      <c r="G27" s="36">
        <v>0</v>
      </c>
      <c r="H27" s="36">
        <v>0</v>
      </c>
      <c r="I27" s="36">
        <f>+D27+E27-F27+G27-H27</f>
        <v>80000000</v>
      </c>
      <c r="J27" s="36">
        <v>62237685</v>
      </c>
      <c r="K27" s="44">
        <v>62818536</v>
      </c>
      <c r="L27" s="36">
        <v>62237685</v>
      </c>
      <c r="M27" s="45">
        <v>62818536</v>
      </c>
      <c r="N27" s="45">
        <v>62237685</v>
      </c>
      <c r="O27" s="45">
        <v>62818536</v>
      </c>
      <c r="P27" s="45">
        <v>11850305</v>
      </c>
      <c r="Q27" s="45">
        <v>12431156</v>
      </c>
      <c r="R27" s="36">
        <v>0</v>
      </c>
      <c r="S27" s="36">
        <v>0</v>
      </c>
      <c r="T27" s="46">
        <v>50387380</v>
      </c>
    </row>
    <row r="28" spans="2:20" ht="15" customHeight="1" x14ac:dyDescent="0.2">
      <c r="B28" s="42" t="s">
        <v>64</v>
      </c>
      <c r="C28" s="43" t="s">
        <v>65</v>
      </c>
      <c r="D28" s="36">
        <v>20000000</v>
      </c>
      <c r="E28" s="36">
        <f t="shared" ref="E28:H29" si="8">SUM(E29:E31)</f>
        <v>0</v>
      </c>
      <c r="F28" s="36">
        <f t="shared" si="8"/>
        <v>0</v>
      </c>
      <c r="G28" s="36">
        <v>1100000</v>
      </c>
      <c r="H28" s="36">
        <v>0</v>
      </c>
      <c r="I28" s="36">
        <f>+D28+E28-F28+G28-H28</f>
        <v>21100000</v>
      </c>
      <c r="J28" s="36">
        <v>1840100</v>
      </c>
      <c r="K28" s="44">
        <v>20924356</v>
      </c>
      <c r="L28" s="36">
        <v>1840100</v>
      </c>
      <c r="M28" s="45">
        <v>20924356</v>
      </c>
      <c r="N28" s="45">
        <v>1840100</v>
      </c>
      <c r="O28" s="45">
        <v>20924356</v>
      </c>
      <c r="P28" s="45">
        <v>3478600</v>
      </c>
      <c r="Q28" s="45">
        <v>20924356</v>
      </c>
      <c r="R28" s="36">
        <v>0</v>
      </c>
      <c r="S28" s="36">
        <v>0</v>
      </c>
      <c r="T28" s="46">
        <v>0</v>
      </c>
    </row>
    <row r="29" spans="2:20" s="14" customFormat="1" ht="15" customHeight="1" x14ac:dyDescent="0.25">
      <c r="B29" s="41" t="s">
        <v>66</v>
      </c>
      <c r="C29" s="34" t="s">
        <v>67</v>
      </c>
      <c r="D29" s="35">
        <f>SUM(D30:D32)</f>
        <v>205000000</v>
      </c>
      <c r="E29" s="35">
        <f t="shared" si="8"/>
        <v>0</v>
      </c>
      <c r="F29" s="35">
        <f t="shared" si="8"/>
        <v>0</v>
      </c>
      <c r="G29" s="35">
        <f t="shared" si="8"/>
        <v>3000000</v>
      </c>
      <c r="H29" s="35">
        <f t="shared" si="8"/>
        <v>13300000</v>
      </c>
      <c r="I29" s="35">
        <f>SUM(I30:I32)</f>
        <v>194700000</v>
      </c>
      <c r="J29" s="38">
        <f t="shared" ref="J29:R29" si="9">SUM(J30:J32)</f>
        <v>41009650</v>
      </c>
      <c r="K29" s="39">
        <f t="shared" si="9"/>
        <v>137024702</v>
      </c>
      <c r="L29" s="38">
        <f t="shared" si="9"/>
        <v>41009650</v>
      </c>
      <c r="M29" s="38">
        <f t="shared" si="9"/>
        <v>137024702</v>
      </c>
      <c r="N29" s="38">
        <f t="shared" si="9"/>
        <v>41009650</v>
      </c>
      <c r="O29" s="38">
        <f t="shared" si="9"/>
        <v>137024702</v>
      </c>
      <c r="P29" s="38">
        <f t="shared" si="9"/>
        <v>16755765</v>
      </c>
      <c r="Q29" s="38">
        <f t="shared" si="9"/>
        <v>104029758</v>
      </c>
      <c r="R29" s="38">
        <f t="shared" si="9"/>
        <v>0</v>
      </c>
      <c r="S29" s="38">
        <f>SUM(S30:S32)</f>
        <v>0</v>
      </c>
      <c r="T29" s="40">
        <f>SUM(T30:T32)</f>
        <v>32994944</v>
      </c>
    </row>
    <row r="30" spans="2:20" ht="15" customHeight="1" x14ac:dyDescent="0.2">
      <c r="B30" s="42" t="s">
        <v>68</v>
      </c>
      <c r="C30" s="43" t="s">
        <v>61</v>
      </c>
      <c r="D30" s="36">
        <v>65000000</v>
      </c>
      <c r="E30" s="36">
        <v>0</v>
      </c>
      <c r="F30" s="36">
        <v>0</v>
      </c>
      <c r="G30" s="36">
        <v>0</v>
      </c>
      <c r="H30" s="36">
        <f>10000000+3300000</f>
        <v>13300000</v>
      </c>
      <c r="I30" s="36">
        <f t="shared" ref="I30:I36" si="10">+D30+E30-F30+G30-H30</f>
        <v>51700000</v>
      </c>
      <c r="J30" s="36">
        <v>2137406</v>
      </c>
      <c r="K30" s="44">
        <v>30562000</v>
      </c>
      <c r="L30" s="36">
        <v>2137406</v>
      </c>
      <c r="M30" s="45">
        <v>30562000</v>
      </c>
      <c r="N30" s="45">
        <v>2137406</v>
      </c>
      <c r="O30" s="45">
        <v>30562000</v>
      </c>
      <c r="P30" s="45">
        <v>4406700</v>
      </c>
      <c r="Q30" s="45">
        <v>30562000</v>
      </c>
      <c r="R30" s="36">
        <v>0</v>
      </c>
      <c r="S30" s="36">
        <v>0</v>
      </c>
      <c r="T30" s="46">
        <v>0</v>
      </c>
    </row>
    <row r="31" spans="2:20" ht="15" customHeight="1" x14ac:dyDescent="0.2">
      <c r="B31" s="42" t="s">
        <v>69</v>
      </c>
      <c r="C31" s="43" t="s">
        <v>63</v>
      </c>
      <c r="D31" s="36">
        <v>70000000</v>
      </c>
      <c r="E31" s="36">
        <v>0</v>
      </c>
      <c r="F31" s="36">
        <v>0</v>
      </c>
      <c r="G31" s="36">
        <v>0</v>
      </c>
      <c r="H31" s="36">
        <v>0</v>
      </c>
      <c r="I31" s="36">
        <f t="shared" si="10"/>
        <v>70000000</v>
      </c>
      <c r="J31" s="36">
        <v>32994944</v>
      </c>
      <c r="K31" s="44">
        <v>37087943</v>
      </c>
      <c r="L31" s="36">
        <v>32994944</v>
      </c>
      <c r="M31" s="45">
        <v>37087943</v>
      </c>
      <c r="N31" s="45">
        <v>32994944</v>
      </c>
      <c r="O31" s="45">
        <v>37087943</v>
      </c>
      <c r="P31" s="45">
        <v>213403</v>
      </c>
      <c r="Q31" s="45">
        <v>4092999</v>
      </c>
      <c r="R31" s="36">
        <v>0</v>
      </c>
      <c r="S31" s="36">
        <v>0</v>
      </c>
      <c r="T31" s="46">
        <v>32994944</v>
      </c>
    </row>
    <row r="32" spans="2:20" ht="15" customHeight="1" x14ac:dyDescent="0.2">
      <c r="B32" s="42" t="s">
        <v>70</v>
      </c>
      <c r="C32" s="43" t="s">
        <v>65</v>
      </c>
      <c r="D32" s="36">
        <v>70000000</v>
      </c>
      <c r="E32" s="36">
        <v>0</v>
      </c>
      <c r="F32" s="36">
        <v>0</v>
      </c>
      <c r="G32" s="36">
        <v>3000000</v>
      </c>
      <c r="H32" s="36">
        <v>0</v>
      </c>
      <c r="I32" s="36">
        <f t="shared" si="10"/>
        <v>73000000</v>
      </c>
      <c r="J32" s="36">
        <v>5877300</v>
      </c>
      <c r="K32" s="44">
        <v>69374759</v>
      </c>
      <c r="L32" s="36">
        <v>5877300</v>
      </c>
      <c r="M32" s="45">
        <v>69374759</v>
      </c>
      <c r="N32" s="45">
        <v>5877300</v>
      </c>
      <c r="O32" s="45">
        <v>69374759</v>
      </c>
      <c r="P32" s="45">
        <v>12135662</v>
      </c>
      <c r="Q32" s="45">
        <v>69374759</v>
      </c>
      <c r="R32" s="36">
        <v>0</v>
      </c>
      <c r="S32" s="36">
        <v>0</v>
      </c>
      <c r="T32" s="46">
        <v>0</v>
      </c>
    </row>
    <row r="33" spans="2:20" ht="15" customHeight="1" x14ac:dyDescent="0.2">
      <c r="B33" s="42" t="s">
        <v>71</v>
      </c>
      <c r="C33" s="43" t="s">
        <v>72</v>
      </c>
      <c r="D33" s="36">
        <v>32000000</v>
      </c>
      <c r="E33" s="36">
        <v>0</v>
      </c>
      <c r="F33" s="36">
        <v>0</v>
      </c>
      <c r="G33" s="36">
        <v>600000</v>
      </c>
      <c r="H33" s="36">
        <v>0</v>
      </c>
      <c r="I33" s="36">
        <f t="shared" si="10"/>
        <v>32600000</v>
      </c>
      <c r="J33" s="36">
        <v>2954600</v>
      </c>
      <c r="K33" s="44">
        <v>32556414</v>
      </c>
      <c r="L33" s="36">
        <v>2954600</v>
      </c>
      <c r="M33" s="45">
        <v>32556414</v>
      </c>
      <c r="N33" s="45">
        <v>2954600</v>
      </c>
      <c r="O33" s="45">
        <v>32556414</v>
      </c>
      <c r="P33" s="45">
        <v>5895500</v>
      </c>
      <c r="Q33" s="45">
        <v>32556414</v>
      </c>
      <c r="R33" s="36">
        <v>0</v>
      </c>
      <c r="S33" s="36">
        <v>0</v>
      </c>
      <c r="T33" s="46">
        <v>0</v>
      </c>
    </row>
    <row r="34" spans="2:20" ht="15" customHeight="1" x14ac:dyDescent="0.2">
      <c r="B34" s="42" t="s">
        <v>73</v>
      </c>
      <c r="C34" s="43" t="s">
        <v>74</v>
      </c>
      <c r="D34" s="36">
        <v>22000000</v>
      </c>
      <c r="E34" s="36">
        <v>0</v>
      </c>
      <c r="F34" s="36">
        <v>0</v>
      </c>
      <c r="G34" s="36">
        <v>0</v>
      </c>
      <c r="H34" s="36">
        <v>0</v>
      </c>
      <c r="I34" s="36">
        <f t="shared" si="10"/>
        <v>22000000</v>
      </c>
      <c r="J34" s="36">
        <v>1970600</v>
      </c>
      <c r="K34" s="44">
        <v>21706943</v>
      </c>
      <c r="L34" s="36">
        <v>1970600</v>
      </c>
      <c r="M34" s="45">
        <v>21706943</v>
      </c>
      <c r="N34" s="45">
        <v>1970600</v>
      </c>
      <c r="O34" s="45">
        <v>21706943</v>
      </c>
      <c r="P34" s="45">
        <v>3931900</v>
      </c>
      <c r="Q34" s="45">
        <v>21706943</v>
      </c>
      <c r="R34" s="36">
        <v>0</v>
      </c>
      <c r="S34" s="36">
        <v>0</v>
      </c>
      <c r="T34" s="46">
        <v>0</v>
      </c>
    </row>
    <row r="35" spans="2:20" ht="15" customHeight="1" x14ac:dyDescent="0.2">
      <c r="B35" s="42" t="s">
        <v>75</v>
      </c>
      <c r="C35" s="43" t="s">
        <v>76</v>
      </c>
      <c r="D35" s="36">
        <v>42000000</v>
      </c>
      <c r="E35" s="36">
        <v>0</v>
      </c>
      <c r="F35" s="36">
        <v>0</v>
      </c>
      <c r="G35" s="36">
        <v>1500000</v>
      </c>
      <c r="H35" s="36">
        <v>0</v>
      </c>
      <c r="I35" s="36">
        <f t="shared" si="10"/>
        <v>43500000</v>
      </c>
      <c r="J35" s="36">
        <v>3939400</v>
      </c>
      <c r="K35" s="44">
        <v>43394757</v>
      </c>
      <c r="L35" s="36">
        <v>3939400</v>
      </c>
      <c r="M35" s="45">
        <v>43394757</v>
      </c>
      <c r="N35" s="45">
        <v>3939400</v>
      </c>
      <c r="O35" s="45">
        <v>43394757</v>
      </c>
      <c r="P35" s="45">
        <v>7860100</v>
      </c>
      <c r="Q35" s="45">
        <v>43394757</v>
      </c>
      <c r="R35" s="36">
        <v>0</v>
      </c>
      <c r="S35" s="36">
        <v>0</v>
      </c>
      <c r="T35" s="46">
        <v>0</v>
      </c>
    </row>
    <row r="36" spans="2:20" ht="15" customHeight="1" x14ac:dyDescent="0.2">
      <c r="B36" s="42" t="s">
        <v>77</v>
      </c>
      <c r="C36" s="43" t="s">
        <v>78</v>
      </c>
      <c r="D36" s="36">
        <v>8000000</v>
      </c>
      <c r="E36" s="36">
        <v>0</v>
      </c>
      <c r="F36" s="36">
        <f>+F37+F42</f>
        <v>0</v>
      </c>
      <c r="G36" s="36">
        <v>0</v>
      </c>
      <c r="H36" s="36">
        <v>0</v>
      </c>
      <c r="I36" s="36">
        <f t="shared" si="10"/>
        <v>8000000</v>
      </c>
      <c r="J36" s="36">
        <v>511800</v>
      </c>
      <c r="K36" s="44">
        <v>6524907</v>
      </c>
      <c r="L36" s="36">
        <v>513400</v>
      </c>
      <c r="M36" s="45">
        <v>6524907</v>
      </c>
      <c r="N36" s="45">
        <v>515400</v>
      </c>
      <c r="O36" s="45">
        <v>6524907</v>
      </c>
      <c r="P36" s="45">
        <v>1017600</v>
      </c>
      <c r="Q36" s="45">
        <v>6524907</v>
      </c>
      <c r="R36" s="36">
        <v>0</v>
      </c>
      <c r="S36" s="36">
        <v>0</v>
      </c>
      <c r="T36" s="46">
        <v>0</v>
      </c>
    </row>
    <row r="37" spans="2:20" s="14" customFormat="1" ht="15" customHeight="1" x14ac:dyDescent="0.25">
      <c r="B37" s="41" t="s">
        <v>79</v>
      </c>
      <c r="C37" s="34" t="s">
        <v>80</v>
      </c>
      <c r="D37" s="35">
        <f t="shared" ref="D37:R37" si="11">+D38+D45+D60</f>
        <v>2364853234</v>
      </c>
      <c r="E37" s="35">
        <f t="shared" si="11"/>
        <v>151176683</v>
      </c>
      <c r="F37" s="35">
        <f t="shared" si="11"/>
        <v>0</v>
      </c>
      <c r="G37" s="35">
        <f t="shared" si="11"/>
        <v>456295035</v>
      </c>
      <c r="H37" s="35">
        <f t="shared" si="11"/>
        <v>554897524</v>
      </c>
      <c r="I37" s="35">
        <f t="shared" si="11"/>
        <v>2417427428</v>
      </c>
      <c r="J37" s="38">
        <f t="shared" si="11"/>
        <v>59775090</v>
      </c>
      <c r="K37" s="39">
        <f t="shared" si="11"/>
        <v>2119638055.3</v>
      </c>
      <c r="L37" s="38">
        <f t="shared" si="11"/>
        <v>235354090</v>
      </c>
      <c r="M37" s="38">
        <f t="shared" si="11"/>
        <v>2119638055.3</v>
      </c>
      <c r="N37" s="38">
        <f t="shared" si="11"/>
        <v>202319183.30000001</v>
      </c>
      <c r="O37" s="38">
        <f t="shared" si="11"/>
        <v>1524069274.3</v>
      </c>
      <c r="P37" s="38">
        <f t="shared" si="11"/>
        <v>202397850.30000001</v>
      </c>
      <c r="Q37" s="38">
        <f t="shared" si="11"/>
        <v>1524069274.3</v>
      </c>
      <c r="R37" s="38">
        <f t="shared" si="11"/>
        <v>0</v>
      </c>
      <c r="S37" s="38">
        <f>+S38+S45+S60</f>
        <v>595568781</v>
      </c>
      <c r="T37" s="40">
        <f>+T38+T45+T60</f>
        <v>0</v>
      </c>
    </row>
    <row r="38" spans="2:20" s="14" customFormat="1" ht="15" customHeight="1" x14ac:dyDescent="0.25">
      <c r="B38" s="41" t="s">
        <v>81</v>
      </c>
      <c r="C38" s="34" t="s">
        <v>82</v>
      </c>
      <c r="D38" s="35">
        <f>SUM(D39:D44)</f>
        <v>964853234</v>
      </c>
      <c r="E38" s="35">
        <f>SUM(E39:E44)</f>
        <v>82554683</v>
      </c>
      <c r="F38" s="35">
        <f>SUM(F39:F44)</f>
        <v>0</v>
      </c>
      <c r="G38" s="35">
        <f>SUM(G39:G42)</f>
        <v>419197524</v>
      </c>
      <c r="H38" s="35">
        <f>SUM(H39:H44)</f>
        <v>412197524</v>
      </c>
      <c r="I38" s="37">
        <f t="shared" ref="I38:I44" si="12">+D38+E38-F38+G38-H38</f>
        <v>1054407917</v>
      </c>
      <c r="J38" s="48">
        <f t="shared" ref="J38:R38" si="13">SUM(J39:J44)</f>
        <v>35971358</v>
      </c>
      <c r="K38" s="49">
        <f t="shared" si="13"/>
        <v>1032983541.3</v>
      </c>
      <c r="L38" s="48">
        <f t="shared" si="13"/>
        <v>151520358</v>
      </c>
      <c r="M38" s="48">
        <f t="shared" si="13"/>
        <v>1032983541.3</v>
      </c>
      <c r="N38" s="48">
        <f t="shared" si="13"/>
        <v>18382139.300000001</v>
      </c>
      <c r="O38" s="48">
        <f t="shared" si="13"/>
        <v>488546876.30000001</v>
      </c>
      <c r="P38" s="48">
        <f t="shared" si="13"/>
        <v>18382139.300000001</v>
      </c>
      <c r="Q38" s="48">
        <f t="shared" si="13"/>
        <v>488546876.30000001</v>
      </c>
      <c r="R38" s="48">
        <f t="shared" si="13"/>
        <v>0</v>
      </c>
      <c r="S38" s="38">
        <f>SUM(S39:S44)</f>
        <v>544436665</v>
      </c>
      <c r="T38" s="40">
        <f>SUM(T39:T44)</f>
        <v>0</v>
      </c>
    </row>
    <row r="39" spans="2:20" ht="15" customHeight="1" x14ac:dyDescent="0.2">
      <c r="B39" s="42" t="s">
        <v>83</v>
      </c>
      <c r="C39" s="43" t="s">
        <v>84</v>
      </c>
      <c r="D39" s="36">
        <v>60000000</v>
      </c>
      <c r="E39" s="36">
        <v>40000000</v>
      </c>
      <c r="F39" s="36">
        <v>0</v>
      </c>
      <c r="G39" s="36">
        <f>24000000+69425236+45000000</f>
        <v>138425236</v>
      </c>
      <c r="H39" s="36">
        <v>9950000</v>
      </c>
      <c r="I39" s="36">
        <f t="shared" si="12"/>
        <v>228475236</v>
      </c>
      <c r="J39" s="36">
        <v>0</v>
      </c>
      <c r="K39" s="44">
        <v>228408248</v>
      </c>
      <c r="L39" s="36">
        <v>102258366</v>
      </c>
      <c r="M39" s="45">
        <v>228408248</v>
      </c>
      <c r="N39" s="45">
        <v>0</v>
      </c>
      <c r="O39" s="45">
        <v>59724650</v>
      </c>
      <c r="P39" s="45">
        <v>0</v>
      </c>
      <c r="Q39" s="45">
        <v>59724650</v>
      </c>
      <c r="R39" s="36">
        <v>0</v>
      </c>
      <c r="S39" s="36">
        <v>168683598</v>
      </c>
      <c r="T39" s="46">
        <v>0</v>
      </c>
    </row>
    <row r="40" spans="2:20" ht="15" customHeight="1" x14ac:dyDescent="0.2">
      <c r="B40" s="42" t="s">
        <v>85</v>
      </c>
      <c r="C40" s="43" t="s">
        <v>86</v>
      </c>
      <c r="D40" s="36">
        <v>60000000</v>
      </c>
      <c r="E40" s="36">
        <v>42000000</v>
      </c>
      <c r="F40" s="36">
        <v>0</v>
      </c>
      <c r="G40" s="36">
        <f>42000000+188332288+33440000</f>
        <v>263772288</v>
      </c>
      <c r="H40" s="36">
        <v>18000000</v>
      </c>
      <c r="I40" s="36">
        <f t="shared" si="12"/>
        <v>347772288</v>
      </c>
      <c r="J40" s="36">
        <v>34953358</v>
      </c>
      <c r="K40" s="44">
        <v>347240958</v>
      </c>
      <c r="L40" s="36">
        <v>48243992</v>
      </c>
      <c r="M40" s="45">
        <v>347240958</v>
      </c>
      <c r="N40" s="45">
        <v>5363000</v>
      </c>
      <c r="O40" s="45">
        <v>195552316</v>
      </c>
      <c r="P40" s="45">
        <v>5363000</v>
      </c>
      <c r="Q40" s="45">
        <v>195552316</v>
      </c>
      <c r="R40" s="36">
        <v>0</v>
      </c>
      <c r="S40" s="36">
        <v>151688642</v>
      </c>
      <c r="T40" s="46">
        <v>0</v>
      </c>
    </row>
    <row r="41" spans="2:20" ht="15" customHeight="1" x14ac:dyDescent="0.2">
      <c r="B41" s="42" t="s">
        <v>87</v>
      </c>
      <c r="C41" s="43" t="s">
        <v>88</v>
      </c>
      <c r="D41" s="36">
        <v>1000000</v>
      </c>
      <c r="E41" s="36">
        <v>554683</v>
      </c>
      <c r="F41" s="36">
        <v>0</v>
      </c>
      <c r="G41" s="36">
        <v>0</v>
      </c>
      <c r="H41" s="36">
        <v>1500000</v>
      </c>
      <c r="I41" s="36">
        <f t="shared" si="12"/>
        <v>54683</v>
      </c>
      <c r="J41" s="36">
        <v>0</v>
      </c>
      <c r="K41" s="44">
        <v>0</v>
      </c>
      <c r="L41" s="36">
        <v>0</v>
      </c>
      <c r="M41" s="45">
        <v>0</v>
      </c>
      <c r="N41" s="45">
        <v>0</v>
      </c>
      <c r="O41" s="45">
        <v>0</v>
      </c>
      <c r="P41" s="45">
        <v>0</v>
      </c>
      <c r="Q41" s="45">
        <v>0</v>
      </c>
      <c r="R41" s="36">
        <v>0</v>
      </c>
      <c r="S41" s="36">
        <v>0</v>
      </c>
      <c r="T41" s="46">
        <v>0</v>
      </c>
    </row>
    <row r="42" spans="2:20" s="14" customFormat="1" ht="15" customHeight="1" x14ac:dyDescent="0.25">
      <c r="B42" s="50" t="s">
        <v>89</v>
      </c>
      <c r="C42" s="43" t="s">
        <v>90</v>
      </c>
      <c r="D42" s="36">
        <v>788853234</v>
      </c>
      <c r="E42" s="36">
        <v>0</v>
      </c>
      <c r="F42" s="36">
        <f>SUM(F45:F57)</f>
        <v>0</v>
      </c>
      <c r="G42" s="36">
        <v>17000000</v>
      </c>
      <c r="H42" s="36">
        <f>66000000+257757524+22000000</f>
        <v>345757524</v>
      </c>
      <c r="I42" s="36">
        <f t="shared" si="12"/>
        <v>460095710</v>
      </c>
      <c r="J42" s="36">
        <v>0</v>
      </c>
      <c r="K42" s="44">
        <v>439452653.30000001</v>
      </c>
      <c r="L42" s="36">
        <v>0</v>
      </c>
      <c r="M42" s="45">
        <v>439452653.30000001</v>
      </c>
      <c r="N42" s="45">
        <v>9184139.3000000007</v>
      </c>
      <c r="O42" s="45">
        <v>221653428.30000001</v>
      </c>
      <c r="P42" s="45">
        <v>9184139.3000000007</v>
      </c>
      <c r="Q42" s="45">
        <v>221653428.30000001</v>
      </c>
      <c r="R42" s="36">
        <v>0</v>
      </c>
      <c r="S42" s="36">
        <v>217799225</v>
      </c>
      <c r="T42" s="46">
        <v>0</v>
      </c>
    </row>
    <row r="43" spans="2:20" s="14" customFormat="1" ht="33.75" customHeight="1" x14ac:dyDescent="0.25">
      <c r="B43" s="50" t="s">
        <v>91</v>
      </c>
      <c r="C43" s="51" t="s">
        <v>92</v>
      </c>
      <c r="D43" s="36">
        <v>35000000</v>
      </c>
      <c r="E43" s="36">
        <v>0</v>
      </c>
      <c r="F43" s="36">
        <f>SUM(F46:F58)</f>
        <v>0</v>
      </c>
      <c r="G43" s="36">
        <v>0</v>
      </c>
      <c r="H43" s="36">
        <f>13000000+4090000</f>
        <v>17090000</v>
      </c>
      <c r="I43" s="36">
        <f t="shared" si="12"/>
        <v>17910000</v>
      </c>
      <c r="J43" s="36">
        <v>1018000</v>
      </c>
      <c r="K43" s="44">
        <v>17881682</v>
      </c>
      <c r="L43" s="36">
        <v>1018000</v>
      </c>
      <c r="M43" s="45">
        <v>17881682</v>
      </c>
      <c r="N43" s="45">
        <v>3835000</v>
      </c>
      <c r="O43" s="45">
        <v>11616482</v>
      </c>
      <c r="P43" s="45">
        <v>3835000</v>
      </c>
      <c r="Q43" s="45">
        <v>11616482</v>
      </c>
      <c r="R43" s="36">
        <v>0</v>
      </c>
      <c r="S43" s="36">
        <v>6265200</v>
      </c>
      <c r="T43" s="46">
        <v>0</v>
      </c>
    </row>
    <row r="44" spans="2:20" s="14" customFormat="1" ht="15" customHeight="1" x14ac:dyDescent="0.25">
      <c r="B44" s="50" t="s">
        <v>93</v>
      </c>
      <c r="C44" s="43" t="s">
        <v>94</v>
      </c>
      <c r="D44" s="36">
        <v>20000000</v>
      </c>
      <c r="E44" s="36">
        <v>0</v>
      </c>
      <c r="F44" s="36">
        <f>SUM(F47:F60)</f>
        <v>0</v>
      </c>
      <c r="G44" s="36">
        <v>0</v>
      </c>
      <c r="H44" s="36">
        <v>19900000</v>
      </c>
      <c r="I44" s="36">
        <f t="shared" si="12"/>
        <v>100000</v>
      </c>
      <c r="J44" s="36">
        <v>0</v>
      </c>
      <c r="K44" s="44">
        <v>0</v>
      </c>
      <c r="L44" s="36">
        <v>0</v>
      </c>
      <c r="M44" s="45">
        <v>0</v>
      </c>
      <c r="N44" s="45">
        <v>0</v>
      </c>
      <c r="O44" s="45">
        <v>0</v>
      </c>
      <c r="P44" s="45">
        <v>0</v>
      </c>
      <c r="Q44" s="45">
        <v>0</v>
      </c>
      <c r="R44" s="36">
        <v>0</v>
      </c>
      <c r="S44" s="36">
        <v>0</v>
      </c>
      <c r="T44" s="46">
        <v>0</v>
      </c>
    </row>
    <row r="45" spans="2:20" s="14" customFormat="1" ht="15" customHeight="1" x14ac:dyDescent="0.25">
      <c r="B45" s="41" t="s">
        <v>95</v>
      </c>
      <c r="C45" s="34" t="s">
        <v>96</v>
      </c>
      <c r="D45" s="35">
        <f>SUM(D46:D58)</f>
        <v>900000000</v>
      </c>
      <c r="E45" s="37">
        <f>SUM(E46:E59)</f>
        <v>68622000</v>
      </c>
      <c r="F45" s="37">
        <v>0</v>
      </c>
      <c r="G45" s="37">
        <f t="shared" ref="G45:T45" si="14">SUM(G46:G59)</f>
        <v>23000000</v>
      </c>
      <c r="H45" s="37">
        <f t="shared" si="14"/>
        <v>108000000</v>
      </c>
      <c r="I45" s="35">
        <f t="shared" si="14"/>
        <v>883622000</v>
      </c>
      <c r="J45" s="35">
        <f t="shared" si="14"/>
        <v>23803732</v>
      </c>
      <c r="K45" s="52">
        <f t="shared" si="14"/>
        <v>811008088</v>
      </c>
      <c r="L45" s="35">
        <f t="shared" si="14"/>
        <v>23833732</v>
      </c>
      <c r="M45" s="35">
        <f t="shared" si="14"/>
        <v>811008088</v>
      </c>
      <c r="N45" s="35">
        <f t="shared" si="14"/>
        <v>123937044</v>
      </c>
      <c r="O45" s="35">
        <f t="shared" si="14"/>
        <v>759875972</v>
      </c>
      <c r="P45" s="38">
        <f t="shared" si="14"/>
        <v>124015711</v>
      </c>
      <c r="Q45" s="38">
        <f t="shared" si="14"/>
        <v>759875972</v>
      </c>
      <c r="R45" s="38">
        <f t="shared" si="14"/>
        <v>0</v>
      </c>
      <c r="S45" s="38">
        <f t="shared" si="14"/>
        <v>51132116</v>
      </c>
      <c r="T45" s="40">
        <f t="shared" si="14"/>
        <v>0</v>
      </c>
    </row>
    <row r="46" spans="2:20" s="14" customFormat="1" ht="15" customHeight="1" x14ac:dyDescent="0.25">
      <c r="B46" s="42" t="s">
        <v>97</v>
      </c>
      <c r="C46" s="43" t="s">
        <v>98</v>
      </c>
      <c r="D46" s="36">
        <v>50000000</v>
      </c>
      <c r="E46" s="36">
        <v>0</v>
      </c>
      <c r="F46" s="36">
        <v>0</v>
      </c>
      <c r="G46" s="36">
        <v>0</v>
      </c>
      <c r="H46" s="36">
        <f>20000000+10000000</f>
        <v>30000000</v>
      </c>
      <c r="I46" s="36">
        <f t="shared" ref="I46:I58" si="15">+D46+E46-F46+G46-H46</f>
        <v>20000000</v>
      </c>
      <c r="J46" s="36">
        <v>0</v>
      </c>
      <c r="K46" s="44">
        <v>19944097</v>
      </c>
      <c r="L46" s="36">
        <v>0</v>
      </c>
      <c r="M46" s="45">
        <v>19944097</v>
      </c>
      <c r="N46" s="45">
        <v>0</v>
      </c>
      <c r="O46" s="45">
        <v>17077432</v>
      </c>
      <c r="P46" s="45">
        <v>0</v>
      </c>
      <c r="Q46" s="45">
        <v>17077432</v>
      </c>
      <c r="R46" s="36">
        <v>0</v>
      </c>
      <c r="S46" s="36">
        <v>2866665</v>
      </c>
      <c r="T46" s="46">
        <v>0</v>
      </c>
    </row>
    <row r="47" spans="2:20" ht="15" customHeight="1" x14ac:dyDescent="0.2">
      <c r="B47" s="42" t="s">
        <v>99</v>
      </c>
      <c r="C47" s="43" t="s">
        <v>100</v>
      </c>
      <c r="D47" s="36">
        <v>235000000</v>
      </c>
      <c r="E47" s="36">
        <v>0</v>
      </c>
      <c r="F47" s="36">
        <v>0</v>
      </c>
      <c r="G47" s="36">
        <v>0</v>
      </c>
      <c r="H47" s="36">
        <v>13500000</v>
      </c>
      <c r="I47" s="36">
        <f t="shared" si="15"/>
        <v>221500000</v>
      </c>
      <c r="J47" s="36">
        <v>21155983</v>
      </c>
      <c r="K47" s="44">
        <v>220503152</v>
      </c>
      <c r="L47" s="36">
        <v>21155983</v>
      </c>
      <c r="M47" s="45">
        <v>220503152</v>
      </c>
      <c r="N47" s="45">
        <v>21397836</v>
      </c>
      <c r="O47" s="45">
        <v>220503152</v>
      </c>
      <c r="P47" s="45">
        <v>21476503</v>
      </c>
      <c r="Q47" s="45">
        <v>220503152</v>
      </c>
      <c r="R47" s="36">
        <v>0</v>
      </c>
      <c r="S47" s="36">
        <v>0</v>
      </c>
      <c r="T47" s="46">
        <v>0</v>
      </c>
    </row>
    <row r="48" spans="2:20" ht="15" customHeight="1" x14ac:dyDescent="0.2">
      <c r="B48" s="42" t="s">
        <v>101</v>
      </c>
      <c r="C48" s="43" t="s">
        <v>102</v>
      </c>
      <c r="D48" s="36">
        <v>130000000</v>
      </c>
      <c r="E48" s="36">
        <v>0</v>
      </c>
      <c r="F48" s="36">
        <v>0</v>
      </c>
      <c r="G48" s="36">
        <v>0</v>
      </c>
      <c r="H48" s="36">
        <v>8000000</v>
      </c>
      <c r="I48" s="36">
        <f t="shared" si="15"/>
        <v>122000000</v>
      </c>
      <c r="J48" s="36">
        <v>0</v>
      </c>
      <c r="K48" s="44">
        <v>121684290</v>
      </c>
      <c r="L48" s="36">
        <v>0</v>
      </c>
      <c r="M48" s="45">
        <v>121684290</v>
      </c>
      <c r="N48" s="45">
        <v>10390890</v>
      </c>
      <c r="O48" s="45">
        <v>112113900</v>
      </c>
      <c r="P48" s="45">
        <v>10390890</v>
      </c>
      <c r="Q48" s="45">
        <v>112113900</v>
      </c>
      <c r="R48" s="36">
        <v>0</v>
      </c>
      <c r="S48" s="36">
        <v>9570390</v>
      </c>
      <c r="T48" s="46">
        <v>0</v>
      </c>
    </row>
    <row r="49" spans="2:20" ht="15" customHeight="1" x14ac:dyDescent="0.2">
      <c r="B49" s="42" t="s">
        <v>103</v>
      </c>
      <c r="C49" s="43" t="s">
        <v>104</v>
      </c>
      <c r="D49" s="36">
        <v>10000000</v>
      </c>
      <c r="E49" s="36">
        <v>0</v>
      </c>
      <c r="F49" s="36">
        <v>0</v>
      </c>
      <c r="G49" s="36">
        <v>0</v>
      </c>
      <c r="H49" s="36">
        <v>6400000</v>
      </c>
      <c r="I49" s="36">
        <f t="shared" si="15"/>
        <v>3600000</v>
      </c>
      <c r="J49" s="36">
        <v>0</v>
      </c>
      <c r="K49" s="44">
        <v>3464957</v>
      </c>
      <c r="L49" s="36">
        <v>0</v>
      </c>
      <c r="M49" s="45">
        <v>3464957</v>
      </c>
      <c r="N49" s="45">
        <v>0</v>
      </c>
      <c r="O49" s="45">
        <v>3464957</v>
      </c>
      <c r="P49" s="45">
        <v>0</v>
      </c>
      <c r="Q49" s="45">
        <v>3464957</v>
      </c>
      <c r="R49" s="36">
        <v>0</v>
      </c>
      <c r="S49" s="36">
        <v>0</v>
      </c>
      <c r="T49" s="46">
        <v>0</v>
      </c>
    </row>
    <row r="50" spans="2:20" ht="15" customHeight="1" x14ac:dyDescent="0.2">
      <c r="B50" s="42" t="s">
        <v>105</v>
      </c>
      <c r="C50" s="43" t="s">
        <v>106</v>
      </c>
      <c r="D50" s="36">
        <v>30000000</v>
      </c>
      <c r="E50" s="36">
        <v>0</v>
      </c>
      <c r="F50" s="36">
        <v>0</v>
      </c>
      <c r="G50" s="36">
        <v>2000000</v>
      </c>
      <c r="H50" s="36">
        <v>0</v>
      </c>
      <c r="I50" s="36">
        <f t="shared" si="15"/>
        <v>32000000</v>
      </c>
      <c r="J50" s="36">
        <v>1115521</v>
      </c>
      <c r="K50" s="44">
        <v>28797484</v>
      </c>
      <c r="L50" s="36">
        <v>1115521</v>
      </c>
      <c r="M50" s="45">
        <v>28797484</v>
      </c>
      <c r="N50" s="45">
        <v>2228410</v>
      </c>
      <c r="O50" s="45">
        <v>28797484</v>
      </c>
      <c r="P50" s="45">
        <v>2228410</v>
      </c>
      <c r="Q50" s="45">
        <v>28797484</v>
      </c>
      <c r="R50" s="36">
        <v>0</v>
      </c>
      <c r="S50" s="36">
        <v>0</v>
      </c>
      <c r="T50" s="46">
        <v>0</v>
      </c>
    </row>
    <row r="51" spans="2:20" ht="15" customHeight="1" x14ac:dyDescent="0.2">
      <c r="B51" s="42" t="s">
        <v>107</v>
      </c>
      <c r="C51" s="43" t="s">
        <v>108</v>
      </c>
      <c r="D51" s="36">
        <v>60000000</v>
      </c>
      <c r="E51" s="36">
        <v>0</v>
      </c>
      <c r="F51" s="36">
        <v>0</v>
      </c>
      <c r="G51" s="36">
        <v>10000000</v>
      </c>
      <c r="H51" s="36">
        <v>0</v>
      </c>
      <c r="I51" s="36">
        <f t="shared" si="15"/>
        <v>70000000</v>
      </c>
      <c r="J51" s="36">
        <v>2671400</v>
      </c>
      <c r="K51" s="44">
        <v>61795400</v>
      </c>
      <c r="L51" s="36">
        <v>2701400</v>
      </c>
      <c r="M51" s="45">
        <v>61795400</v>
      </c>
      <c r="N51" s="45">
        <v>4968200</v>
      </c>
      <c r="O51" s="45">
        <v>61795400</v>
      </c>
      <c r="P51" s="45">
        <v>4968200</v>
      </c>
      <c r="Q51" s="45">
        <v>61795400</v>
      </c>
      <c r="R51" s="36">
        <v>0</v>
      </c>
      <c r="S51" s="36">
        <v>0</v>
      </c>
      <c r="T51" s="46">
        <v>0</v>
      </c>
    </row>
    <row r="52" spans="2:20" ht="15" customHeight="1" x14ac:dyDescent="0.2">
      <c r="B52" s="42" t="s">
        <v>109</v>
      </c>
      <c r="C52" s="43" t="s">
        <v>110</v>
      </c>
      <c r="D52" s="36">
        <v>25000000</v>
      </c>
      <c r="E52" s="36">
        <v>0</v>
      </c>
      <c r="F52" s="36">
        <v>0</v>
      </c>
      <c r="G52" s="36">
        <v>0</v>
      </c>
      <c r="H52" s="36">
        <v>8800000</v>
      </c>
      <c r="I52" s="36">
        <f t="shared" si="15"/>
        <v>16200000</v>
      </c>
      <c r="J52" s="36">
        <v>0</v>
      </c>
      <c r="K52" s="44">
        <v>16147960</v>
      </c>
      <c r="L52" s="36">
        <v>0</v>
      </c>
      <c r="M52" s="45">
        <v>16147960</v>
      </c>
      <c r="N52" s="45">
        <v>0</v>
      </c>
      <c r="O52" s="45">
        <v>16118210</v>
      </c>
      <c r="P52" s="45">
        <v>0</v>
      </c>
      <c r="Q52" s="45">
        <v>16118210</v>
      </c>
      <c r="R52" s="36">
        <v>0</v>
      </c>
      <c r="S52" s="36">
        <v>29750</v>
      </c>
      <c r="T52" s="46">
        <v>0</v>
      </c>
    </row>
    <row r="53" spans="2:20" ht="15" customHeight="1" x14ac:dyDescent="0.2">
      <c r="B53" s="42" t="s">
        <v>111</v>
      </c>
      <c r="C53" s="43" t="s">
        <v>112</v>
      </c>
      <c r="D53" s="36">
        <v>10000000</v>
      </c>
      <c r="E53" s="36">
        <v>0</v>
      </c>
      <c r="F53" s="36">
        <v>0</v>
      </c>
      <c r="G53" s="36">
        <v>0</v>
      </c>
      <c r="H53" s="36">
        <v>0</v>
      </c>
      <c r="I53" s="36">
        <f t="shared" si="15"/>
        <v>10000000</v>
      </c>
      <c r="J53" s="36">
        <v>0</v>
      </c>
      <c r="K53" s="44">
        <v>3998000</v>
      </c>
      <c r="L53" s="36">
        <v>0</v>
      </c>
      <c r="M53" s="45">
        <v>3998000</v>
      </c>
      <c r="N53" s="45">
        <v>300000</v>
      </c>
      <c r="O53" s="45">
        <v>3998000</v>
      </c>
      <c r="P53" s="45">
        <v>300000</v>
      </c>
      <c r="Q53" s="45">
        <v>3998000</v>
      </c>
      <c r="R53" s="36">
        <v>0</v>
      </c>
      <c r="S53" s="36">
        <v>0</v>
      </c>
      <c r="T53" s="46">
        <v>0</v>
      </c>
    </row>
    <row r="54" spans="2:20" ht="15" customHeight="1" x14ac:dyDescent="0.2">
      <c r="B54" s="42" t="s">
        <v>113</v>
      </c>
      <c r="C54" s="43" t="s">
        <v>114</v>
      </c>
      <c r="D54" s="36">
        <v>55000000</v>
      </c>
      <c r="E54" s="36">
        <v>0</v>
      </c>
      <c r="F54" s="36">
        <v>0</v>
      </c>
      <c r="G54" s="36">
        <v>0</v>
      </c>
      <c r="H54" s="36">
        <v>0</v>
      </c>
      <c r="I54" s="36">
        <f t="shared" si="15"/>
        <v>55000000</v>
      </c>
      <c r="J54" s="36">
        <v>0</v>
      </c>
      <c r="K54" s="44">
        <v>12400000</v>
      </c>
      <c r="L54" s="36">
        <v>0</v>
      </c>
      <c r="M54" s="45">
        <v>12400000</v>
      </c>
      <c r="N54" s="45">
        <v>8590000</v>
      </c>
      <c r="O54" s="45">
        <v>12400000</v>
      </c>
      <c r="P54" s="45">
        <v>8590000</v>
      </c>
      <c r="Q54" s="45">
        <v>12400000</v>
      </c>
      <c r="R54" s="36">
        <v>0</v>
      </c>
      <c r="S54" s="36">
        <v>0</v>
      </c>
      <c r="T54" s="46">
        <v>0</v>
      </c>
    </row>
    <row r="55" spans="2:20" ht="15" customHeight="1" x14ac:dyDescent="0.2">
      <c r="B55" s="42" t="s">
        <v>115</v>
      </c>
      <c r="C55" s="43" t="s">
        <v>88</v>
      </c>
      <c r="D55" s="36">
        <v>10000000</v>
      </c>
      <c r="E55" s="36">
        <v>0</v>
      </c>
      <c r="F55" s="36">
        <v>0</v>
      </c>
      <c r="G55" s="36">
        <v>0</v>
      </c>
      <c r="H55" s="36">
        <v>7000000</v>
      </c>
      <c r="I55" s="36">
        <f t="shared" si="15"/>
        <v>3000000</v>
      </c>
      <c r="J55" s="36">
        <v>0</v>
      </c>
      <c r="K55" s="44">
        <v>2921729</v>
      </c>
      <c r="L55" s="36">
        <v>0</v>
      </c>
      <c r="M55" s="45">
        <v>2921729</v>
      </c>
      <c r="N55" s="45">
        <v>0</v>
      </c>
      <c r="O55" s="45">
        <v>2921729</v>
      </c>
      <c r="P55" s="45">
        <v>0</v>
      </c>
      <c r="Q55" s="45">
        <v>2921729</v>
      </c>
      <c r="R55" s="36">
        <v>0</v>
      </c>
      <c r="S55" s="36">
        <v>0</v>
      </c>
      <c r="T55" s="46">
        <v>0</v>
      </c>
    </row>
    <row r="56" spans="2:20" ht="15" customHeight="1" x14ac:dyDescent="0.2">
      <c r="B56" s="42" t="s">
        <v>116</v>
      </c>
      <c r="C56" s="43" t="s">
        <v>117</v>
      </c>
      <c r="D56" s="36">
        <v>25000000</v>
      </c>
      <c r="E56" s="36">
        <v>8000000</v>
      </c>
      <c r="F56" s="36">
        <v>0</v>
      </c>
      <c r="G56" s="36">
        <v>7000000</v>
      </c>
      <c r="H56" s="36">
        <f>6800000+1000000</f>
        <v>7800000</v>
      </c>
      <c r="I56" s="36">
        <f t="shared" si="15"/>
        <v>32200000</v>
      </c>
      <c r="J56" s="36">
        <v>0</v>
      </c>
      <c r="K56" s="44">
        <v>32135300</v>
      </c>
      <c r="L56" s="36">
        <v>0</v>
      </c>
      <c r="M56" s="45">
        <v>32135300</v>
      </c>
      <c r="N56" s="45">
        <v>0</v>
      </c>
      <c r="O56" s="45">
        <v>27667260</v>
      </c>
      <c r="P56" s="45">
        <v>0</v>
      </c>
      <c r="Q56" s="45">
        <v>27667260</v>
      </c>
      <c r="R56" s="36">
        <v>0</v>
      </c>
      <c r="S56" s="36">
        <v>4468040</v>
      </c>
      <c r="T56" s="46">
        <v>0</v>
      </c>
    </row>
    <row r="57" spans="2:20" ht="15" customHeight="1" x14ac:dyDescent="0.2">
      <c r="B57" s="42" t="s">
        <v>118</v>
      </c>
      <c r="C57" s="43" t="s">
        <v>119</v>
      </c>
      <c r="D57" s="36">
        <v>140000000</v>
      </c>
      <c r="E57" s="36">
        <v>0</v>
      </c>
      <c r="F57" s="36">
        <v>0</v>
      </c>
      <c r="G57" s="36">
        <v>4000000</v>
      </c>
      <c r="H57" s="36">
        <v>0</v>
      </c>
      <c r="I57" s="36">
        <f t="shared" si="15"/>
        <v>144000000</v>
      </c>
      <c r="J57" s="36">
        <v>0</v>
      </c>
      <c r="K57" s="44">
        <v>137828786</v>
      </c>
      <c r="L57" s="36">
        <v>0</v>
      </c>
      <c r="M57" s="45">
        <v>137828786</v>
      </c>
      <c r="N57" s="45">
        <v>11647503</v>
      </c>
      <c r="O57" s="45">
        <v>116475030</v>
      </c>
      <c r="P57" s="45">
        <v>11647503</v>
      </c>
      <c r="Q57" s="45">
        <v>116475030</v>
      </c>
      <c r="R57" s="36">
        <v>0</v>
      </c>
      <c r="S57" s="36">
        <v>21353756</v>
      </c>
      <c r="T57" s="46">
        <v>0</v>
      </c>
    </row>
    <row r="58" spans="2:20" ht="15" customHeight="1" x14ac:dyDescent="0.2">
      <c r="B58" s="42" t="s">
        <v>120</v>
      </c>
      <c r="C58" s="43" t="s">
        <v>121</v>
      </c>
      <c r="D58" s="36">
        <v>120000000</v>
      </c>
      <c r="E58" s="36">
        <v>0</v>
      </c>
      <c r="F58" s="36">
        <v>0</v>
      </c>
      <c r="G58" s="36">
        <v>0</v>
      </c>
      <c r="H58" s="36">
        <f>26000000+500000</f>
        <v>26500000</v>
      </c>
      <c r="I58" s="36">
        <f t="shared" si="15"/>
        <v>93500000</v>
      </c>
      <c r="J58" s="36">
        <v>0</v>
      </c>
      <c r="K58" s="44">
        <v>89904605</v>
      </c>
      <c r="L58" s="36">
        <v>0</v>
      </c>
      <c r="M58" s="45">
        <v>89904605</v>
      </c>
      <c r="N58" s="45">
        <v>23118327</v>
      </c>
      <c r="O58" s="45">
        <v>77061090</v>
      </c>
      <c r="P58" s="45">
        <v>23118327</v>
      </c>
      <c r="Q58" s="45">
        <v>77061090</v>
      </c>
      <c r="R58" s="36">
        <v>0</v>
      </c>
      <c r="S58" s="36">
        <v>12843515</v>
      </c>
      <c r="T58" s="46">
        <v>0</v>
      </c>
    </row>
    <row r="59" spans="2:20" ht="15" customHeight="1" x14ac:dyDescent="0.2">
      <c r="B59" s="42" t="s">
        <v>122</v>
      </c>
      <c r="C59" s="43" t="s">
        <v>123</v>
      </c>
      <c r="D59" s="36">
        <v>0</v>
      </c>
      <c r="E59" s="36">
        <v>60622000</v>
      </c>
      <c r="F59" s="36">
        <v>0</v>
      </c>
      <c r="G59" s="36">
        <v>0</v>
      </c>
      <c r="H59" s="36">
        <v>0</v>
      </c>
      <c r="I59" s="36">
        <f>+D59+E59-F59+G59-H59</f>
        <v>60622000</v>
      </c>
      <c r="J59" s="36">
        <v>-1139172</v>
      </c>
      <c r="K59" s="44">
        <v>59482328</v>
      </c>
      <c r="L59" s="36">
        <v>-1139172</v>
      </c>
      <c r="M59" s="45">
        <v>59482328</v>
      </c>
      <c r="N59" s="45">
        <v>41295878</v>
      </c>
      <c r="O59" s="45">
        <v>59482328</v>
      </c>
      <c r="P59" s="45">
        <v>41295878</v>
      </c>
      <c r="Q59" s="45">
        <v>59482328</v>
      </c>
      <c r="R59" s="36">
        <v>0</v>
      </c>
      <c r="S59" s="36">
        <v>0</v>
      </c>
      <c r="T59" s="46">
        <v>0</v>
      </c>
    </row>
    <row r="60" spans="2:20" s="14" customFormat="1" ht="15" customHeight="1" x14ac:dyDescent="0.25">
      <c r="B60" s="41" t="s">
        <v>124</v>
      </c>
      <c r="C60" s="34" t="s">
        <v>125</v>
      </c>
      <c r="D60" s="35">
        <f t="shared" ref="D60:T60" si="16">SUM(D61:D63)</f>
        <v>500000000</v>
      </c>
      <c r="E60" s="37">
        <f t="shared" si="16"/>
        <v>0</v>
      </c>
      <c r="F60" s="37">
        <f t="shared" si="16"/>
        <v>0</v>
      </c>
      <c r="G60" s="37">
        <f t="shared" si="16"/>
        <v>14097511</v>
      </c>
      <c r="H60" s="37">
        <f t="shared" si="16"/>
        <v>34700000</v>
      </c>
      <c r="I60" s="37">
        <f t="shared" si="16"/>
        <v>479397511</v>
      </c>
      <c r="J60" s="48">
        <f>SUM(J61:J63)</f>
        <v>0</v>
      </c>
      <c r="K60" s="49">
        <f t="shared" si="16"/>
        <v>275646426</v>
      </c>
      <c r="L60" s="48">
        <f t="shared" si="16"/>
        <v>60000000</v>
      </c>
      <c r="M60" s="48">
        <f t="shared" si="16"/>
        <v>275646426</v>
      </c>
      <c r="N60" s="48">
        <f t="shared" si="16"/>
        <v>60000000</v>
      </c>
      <c r="O60" s="48">
        <f t="shared" si="16"/>
        <v>275646426</v>
      </c>
      <c r="P60" s="48">
        <f t="shared" si="16"/>
        <v>60000000</v>
      </c>
      <c r="Q60" s="48">
        <f t="shared" si="16"/>
        <v>275646426</v>
      </c>
      <c r="R60" s="48">
        <f t="shared" si="16"/>
        <v>0</v>
      </c>
      <c r="S60" s="38">
        <f t="shared" si="16"/>
        <v>0</v>
      </c>
      <c r="T60" s="40">
        <f t="shared" si="16"/>
        <v>0</v>
      </c>
    </row>
    <row r="61" spans="2:20" s="14" customFormat="1" ht="15" customHeight="1" x14ac:dyDescent="0.25">
      <c r="B61" s="42" t="s">
        <v>126</v>
      </c>
      <c r="C61" s="43" t="s">
        <v>127</v>
      </c>
      <c r="D61" s="36">
        <v>30000000</v>
      </c>
      <c r="E61" s="36">
        <v>0</v>
      </c>
      <c r="F61" s="36">
        <v>0</v>
      </c>
      <c r="G61" s="36">
        <v>14097511</v>
      </c>
      <c r="H61" s="36">
        <v>29800000</v>
      </c>
      <c r="I61" s="36">
        <f>+D61+E61-F61+G61-H61</f>
        <v>14297511</v>
      </c>
      <c r="J61" s="36">
        <v>0</v>
      </c>
      <c r="K61" s="44">
        <v>14097511</v>
      </c>
      <c r="L61" s="36">
        <v>0</v>
      </c>
      <c r="M61" s="45">
        <v>14097511</v>
      </c>
      <c r="N61" s="45">
        <v>0</v>
      </c>
      <c r="O61" s="45">
        <v>14097511</v>
      </c>
      <c r="P61" s="45">
        <v>0</v>
      </c>
      <c r="Q61" s="45">
        <v>14097511</v>
      </c>
      <c r="R61" s="36">
        <v>0</v>
      </c>
      <c r="S61" s="36">
        <v>0</v>
      </c>
      <c r="T61" s="46">
        <v>0</v>
      </c>
    </row>
    <row r="62" spans="2:20" ht="15" customHeight="1" x14ac:dyDescent="0.2">
      <c r="B62" s="42" t="s">
        <v>128</v>
      </c>
      <c r="C62" s="43" t="s">
        <v>129</v>
      </c>
      <c r="D62" s="36">
        <v>5000000</v>
      </c>
      <c r="E62" s="36">
        <v>0</v>
      </c>
      <c r="F62" s="36">
        <v>0</v>
      </c>
      <c r="G62" s="36">
        <v>0</v>
      </c>
      <c r="H62" s="36">
        <v>4900000</v>
      </c>
      <c r="I62" s="36">
        <f>+D62+E62-F62+G62-H62</f>
        <v>100000</v>
      </c>
      <c r="J62" s="36">
        <v>0</v>
      </c>
      <c r="K62" s="44">
        <v>0</v>
      </c>
      <c r="L62" s="36">
        <v>0</v>
      </c>
      <c r="M62" s="45">
        <v>0</v>
      </c>
      <c r="N62" s="45">
        <v>0</v>
      </c>
      <c r="O62" s="45">
        <v>0</v>
      </c>
      <c r="P62" s="45">
        <v>0</v>
      </c>
      <c r="Q62" s="45">
        <v>0</v>
      </c>
      <c r="R62" s="36">
        <v>0</v>
      </c>
      <c r="S62" s="36">
        <v>0</v>
      </c>
      <c r="T62" s="46">
        <v>0</v>
      </c>
    </row>
    <row r="63" spans="2:20" ht="15" customHeight="1" x14ac:dyDescent="0.2">
      <c r="B63" s="42" t="s">
        <v>130</v>
      </c>
      <c r="C63" s="43" t="s">
        <v>131</v>
      </c>
      <c r="D63" s="36">
        <v>465000000</v>
      </c>
      <c r="E63" s="36">
        <v>0</v>
      </c>
      <c r="F63" s="36">
        <v>0</v>
      </c>
      <c r="G63" s="36">
        <v>0</v>
      </c>
      <c r="H63" s="36">
        <v>0</v>
      </c>
      <c r="I63" s="36">
        <f>+D63+E63-F63+G63-H63</f>
        <v>465000000</v>
      </c>
      <c r="J63" s="36">
        <v>0</v>
      </c>
      <c r="K63" s="44">
        <v>261548915</v>
      </c>
      <c r="L63" s="36">
        <v>60000000</v>
      </c>
      <c r="M63" s="45">
        <v>261548915</v>
      </c>
      <c r="N63" s="45">
        <v>60000000</v>
      </c>
      <c r="O63" s="45">
        <v>261548915</v>
      </c>
      <c r="P63" s="45">
        <v>60000000</v>
      </c>
      <c r="Q63" s="45">
        <v>261548915</v>
      </c>
      <c r="R63" s="36">
        <v>0</v>
      </c>
      <c r="S63" s="36">
        <v>0</v>
      </c>
      <c r="T63" s="46">
        <v>0</v>
      </c>
    </row>
    <row r="64" spans="2:20" s="14" customFormat="1" ht="15" customHeight="1" x14ac:dyDescent="0.25">
      <c r="B64" s="41">
        <v>2.2000000000000002</v>
      </c>
      <c r="C64" s="34" t="s">
        <v>132</v>
      </c>
      <c r="D64" s="35">
        <f>+D65</f>
        <v>117417034000</v>
      </c>
      <c r="E64" s="35">
        <f>+E65</f>
        <v>24791461726</v>
      </c>
      <c r="F64" s="37">
        <f>+F65+F66</f>
        <v>0</v>
      </c>
      <c r="G64" s="35">
        <f>+G66</f>
        <v>8737497626</v>
      </c>
      <c r="H64" s="35">
        <f>+H66</f>
        <v>8602297626</v>
      </c>
      <c r="I64" s="37">
        <f>+I65</f>
        <v>146710204771</v>
      </c>
      <c r="J64" s="37">
        <f t="shared" ref="J64:T65" si="17">+J65</f>
        <v>1148882920</v>
      </c>
      <c r="K64" s="39">
        <f t="shared" si="17"/>
        <v>146625991681</v>
      </c>
      <c r="L64" s="38">
        <f t="shared" si="17"/>
        <v>2415381750</v>
      </c>
      <c r="M64" s="38">
        <f t="shared" si="17"/>
        <v>146625991681</v>
      </c>
      <c r="N64" s="38">
        <f t="shared" si="17"/>
        <v>13954626473</v>
      </c>
      <c r="O64" s="38">
        <f t="shared" si="17"/>
        <v>139866821779</v>
      </c>
      <c r="P64" s="38">
        <f t="shared" si="17"/>
        <v>14851527939</v>
      </c>
      <c r="Q64" s="38">
        <f t="shared" si="17"/>
        <v>138557204352</v>
      </c>
      <c r="R64" s="38">
        <f t="shared" si="17"/>
        <v>0</v>
      </c>
      <c r="S64" s="38">
        <f>+S65</f>
        <v>6759169902</v>
      </c>
      <c r="T64" s="40">
        <f>+T65</f>
        <v>1309617427</v>
      </c>
    </row>
    <row r="65" spans="2:21" s="14" customFormat="1" ht="15" customHeight="1" x14ac:dyDescent="0.25">
      <c r="B65" s="41" t="s">
        <v>133</v>
      </c>
      <c r="C65" s="34" t="s">
        <v>134</v>
      </c>
      <c r="D65" s="35">
        <f>+D66</f>
        <v>117417034000</v>
      </c>
      <c r="E65" s="35">
        <f>+E66</f>
        <v>24791461726</v>
      </c>
      <c r="F65" s="37">
        <v>0</v>
      </c>
      <c r="G65" s="35">
        <f>+G66</f>
        <v>8737497626</v>
      </c>
      <c r="H65" s="35">
        <f>+H66</f>
        <v>8602297626</v>
      </c>
      <c r="I65" s="37">
        <f>+I66</f>
        <v>146710204771</v>
      </c>
      <c r="J65" s="37">
        <f t="shared" si="17"/>
        <v>1148882920</v>
      </c>
      <c r="K65" s="39">
        <f t="shared" si="17"/>
        <v>146625991681</v>
      </c>
      <c r="L65" s="38">
        <f t="shared" si="17"/>
        <v>2415381750</v>
      </c>
      <c r="M65" s="38">
        <f t="shared" si="17"/>
        <v>146625991681</v>
      </c>
      <c r="N65" s="38">
        <f t="shared" si="17"/>
        <v>13954626473</v>
      </c>
      <c r="O65" s="38">
        <f t="shared" si="17"/>
        <v>139866821779</v>
      </c>
      <c r="P65" s="38">
        <f t="shared" si="17"/>
        <v>14851527939</v>
      </c>
      <c r="Q65" s="38">
        <f t="shared" si="17"/>
        <v>138557204352</v>
      </c>
      <c r="R65" s="38">
        <f t="shared" si="17"/>
        <v>0</v>
      </c>
      <c r="S65" s="38">
        <f t="shared" si="17"/>
        <v>6759169902</v>
      </c>
      <c r="T65" s="40">
        <f t="shared" si="17"/>
        <v>1309617427</v>
      </c>
    </row>
    <row r="66" spans="2:21" s="14" customFormat="1" ht="15" customHeight="1" x14ac:dyDescent="0.25">
      <c r="B66" s="41" t="s">
        <v>135</v>
      </c>
      <c r="C66" s="34" t="s">
        <v>136</v>
      </c>
      <c r="D66" s="35">
        <f>+D67+D83</f>
        <v>117417034000</v>
      </c>
      <c r="E66" s="35">
        <f>+E67+E79</f>
        <v>24791461726</v>
      </c>
      <c r="F66" s="37">
        <f>SUM(F67:F76)</f>
        <v>0</v>
      </c>
      <c r="G66" s="35">
        <f>+G67+G83</f>
        <v>8737497626</v>
      </c>
      <c r="H66" s="35">
        <f>+H67+H80+H83</f>
        <v>8602297626</v>
      </c>
      <c r="I66" s="37">
        <f t="shared" ref="I66:S66" si="18">+I67+I83</f>
        <v>146710204771</v>
      </c>
      <c r="J66" s="37">
        <f t="shared" si="18"/>
        <v>1148882920</v>
      </c>
      <c r="K66" s="39">
        <f t="shared" si="18"/>
        <v>146625991681</v>
      </c>
      <c r="L66" s="38">
        <f>+L67+L83</f>
        <v>2415381750</v>
      </c>
      <c r="M66" s="38">
        <f>+M67+M83</f>
        <v>146625991681</v>
      </c>
      <c r="N66" s="38">
        <f t="shared" si="18"/>
        <v>13954626473</v>
      </c>
      <c r="O66" s="38">
        <f t="shared" si="18"/>
        <v>139866821779</v>
      </c>
      <c r="P66" s="38">
        <f t="shared" si="18"/>
        <v>14851527939</v>
      </c>
      <c r="Q66" s="38">
        <f t="shared" si="18"/>
        <v>138557204352</v>
      </c>
      <c r="R66" s="38">
        <f>+R67+R83+R81</f>
        <v>0</v>
      </c>
      <c r="S66" s="38">
        <f t="shared" si="18"/>
        <v>6759169902</v>
      </c>
      <c r="T66" s="40">
        <f>+T67+T83</f>
        <v>1309617427</v>
      </c>
    </row>
    <row r="67" spans="2:21" s="14" customFormat="1" ht="15" customHeight="1" x14ac:dyDescent="0.25">
      <c r="B67" s="41" t="s">
        <v>137</v>
      </c>
      <c r="C67" s="34" t="s">
        <v>138</v>
      </c>
      <c r="D67" s="35">
        <f t="shared" ref="D67:I67" si="19">SUM(D68:D78)+D79+D81</f>
        <v>114725902385</v>
      </c>
      <c r="E67" s="35">
        <f>SUM(E68:E78)</f>
        <v>23487388490</v>
      </c>
      <c r="F67" s="35">
        <f t="shared" si="19"/>
        <v>0</v>
      </c>
      <c r="G67" s="35">
        <f t="shared" si="19"/>
        <v>8083497626</v>
      </c>
      <c r="H67" s="35">
        <f t="shared" si="19"/>
        <v>6226055164</v>
      </c>
      <c r="I67" s="35">
        <f t="shared" si="19"/>
        <v>141374806573</v>
      </c>
      <c r="J67" s="37">
        <f>SUM(J68:J79)+J81</f>
        <v>1115551833</v>
      </c>
      <c r="K67" s="39">
        <f>SUM(K68:K79)+K81</f>
        <v>141295662165</v>
      </c>
      <c r="L67" s="38">
        <f t="shared" ref="L67:Q67" si="20">SUM(L68:L78)+L79+L81</f>
        <v>2183176558</v>
      </c>
      <c r="M67" s="38">
        <f t="shared" si="20"/>
        <v>141295662165</v>
      </c>
      <c r="N67" s="38">
        <f t="shared" si="20"/>
        <v>13213726199</v>
      </c>
      <c r="O67" s="38">
        <f t="shared" si="20"/>
        <v>135923944414</v>
      </c>
      <c r="P67" s="38">
        <f t="shared" si="20"/>
        <v>13936093652</v>
      </c>
      <c r="Q67" s="38">
        <f t="shared" si="20"/>
        <v>134745080833</v>
      </c>
      <c r="R67" s="38">
        <f>SUM(R68:R78)+R79</f>
        <v>0</v>
      </c>
      <c r="S67" s="38">
        <f>SUM(S68:S78)+S79+S81</f>
        <v>5371717751</v>
      </c>
      <c r="T67" s="40">
        <f>SUM(T68:T77)+T78+T80</f>
        <v>1178863581</v>
      </c>
      <c r="U67" s="32"/>
    </row>
    <row r="68" spans="2:21" s="14" customFormat="1" ht="15" customHeight="1" x14ac:dyDescent="0.25">
      <c r="B68" s="42" t="s">
        <v>139</v>
      </c>
      <c r="C68" s="43" t="s">
        <v>140</v>
      </c>
      <c r="D68" s="36">
        <v>14875902385</v>
      </c>
      <c r="E68" s="36">
        <f>2296720406+625174584+800849168+120000000</f>
        <v>3842744158</v>
      </c>
      <c r="F68" s="36">
        <v>0</v>
      </c>
      <c r="G68" s="36">
        <v>216000000</v>
      </c>
      <c r="H68" s="36">
        <f>800000000+32500000</f>
        <v>832500000</v>
      </c>
      <c r="I68" s="36">
        <f t="shared" ref="I68:I80" si="21">+D68+E68-F68+G68-H68</f>
        <v>18102146543</v>
      </c>
      <c r="J68" s="36">
        <v>111946297</v>
      </c>
      <c r="K68" s="44">
        <v>18101963309</v>
      </c>
      <c r="L68" s="36">
        <v>116494166</v>
      </c>
      <c r="M68" s="45">
        <v>18101963309</v>
      </c>
      <c r="N68" s="45">
        <v>1470342970</v>
      </c>
      <c r="O68" s="45">
        <v>17472421479</v>
      </c>
      <c r="P68" s="45">
        <v>1371118212</v>
      </c>
      <c r="Q68" s="45">
        <v>17182477452</v>
      </c>
      <c r="R68" s="36">
        <v>0</v>
      </c>
      <c r="S68" s="36">
        <v>629541830</v>
      </c>
      <c r="T68" s="46">
        <v>289944027</v>
      </c>
      <c r="U68" s="32"/>
    </row>
    <row r="69" spans="2:21" ht="15" customHeight="1" x14ac:dyDescent="0.2">
      <c r="B69" s="42" t="s">
        <v>141</v>
      </c>
      <c r="C69" s="43" t="s">
        <v>142</v>
      </c>
      <c r="D69" s="36">
        <v>33900000000</v>
      </c>
      <c r="E69" s="36">
        <f>861688020+1021000000+500000000+50000000+90915569</f>
        <v>2523603589</v>
      </c>
      <c r="F69" s="36">
        <v>0</v>
      </c>
      <c r="G69" s="36">
        <f>500000000+430000000+100000000</f>
        <v>1030000000</v>
      </c>
      <c r="H69" s="36">
        <f>390000000+59210000</f>
        <v>449210000</v>
      </c>
      <c r="I69" s="36">
        <f t="shared" si="21"/>
        <v>37004393589</v>
      </c>
      <c r="J69" s="36">
        <v>32691430</v>
      </c>
      <c r="K69" s="44">
        <v>36974367469</v>
      </c>
      <c r="L69" s="36">
        <v>142691430</v>
      </c>
      <c r="M69" s="45">
        <v>36974367469</v>
      </c>
      <c r="N69" s="45">
        <v>2788980645</v>
      </c>
      <c r="O69" s="45">
        <v>35860284668</v>
      </c>
      <c r="P69" s="45">
        <v>2849231041</v>
      </c>
      <c r="Q69" s="45">
        <v>35603847615</v>
      </c>
      <c r="R69" s="36">
        <v>0</v>
      </c>
      <c r="S69" s="36">
        <v>1114082801</v>
      </c>
      <c r="T69" s="46">
        <v>256437053</v>
      </c>
    </row>
    <row r="70" spans="2:21" ht="15" customHeight="1" x14ac:dyDescent="0.2">
      <c r="B70" s="42" t="s">
        <v>143</v>
      </c>
      <c r="C70" s="43" t="s">
        <v>144</v>
      </c>
      <c r="D70" s="36">
        <v>16000000000</v>
      </c>
      <c r="E70" s="36">
        <f>1146464244+676000000+446102937</f>
        <v>2268567181</v>
      </c>
      <c r="F70" s="36">
        <v>0</v>
      </c>
      <c r="G70" s="36">
        <f>150000000+146000000+1000000000+20000000</f>
        <v>1316000000</v>
      </c>
      <c r="H70" s="36">
        <f>300000000+22990000</f>
        <v>322990000</v>
      </c>
      <c r="I70" s="36">
        <f t="shared" si="21"/>
        <v>19261577181</v>
      </c>
      <c r="J70" s="36">
        <v>4435640</v>
      </c>
      <c r="K70" s="44">
        <v>19261565108</v>
      </c>
      <c r="L70" s="36">
        <v>4435640</v>
      </c>
      <c r="M70" s="45">
        <v>19261565108</v>
      </c>
      <c r="N70" s="45">
        <v>4169665524</v>
      </c>
      <c r="O70" s="45">
        <f>18616848704+11561709</f>
        <v>18628410413</v>
      </c>
      <c r="P70" s="45">
        <v>4189634448</v>
      </c>
      <c r="Q70" s="45">
        <f>18592055973+22624678</f>
        <v>18614680651</v>
      </c>
      <c r="R70" s="36">
        <v>0</v>
      </c>
      <c r="S70" s="36">
        <f>644716404-11561709</f>
        <v>633154695</v>
      </c>
      <c r="T70" s="46">
        <f>24792731-11062969</f>
        <v>13729762</v>
      </c>
    </row>
    <row r="71" spans="2:21" ht="15" customHeight="1" x14ac:dyDescent="0.2">
      <c r="B71" s="42" t="s">
        <v>145</v>
      </c>
      <c r="C71" s="43" t="s">
        <v>146</v>
      </c>
      <c r="D71" s="36">
        <v>7000000000</v>
      </c>
      <c r="E71" s="36">
        <f>2440088231+705793340+795299084+308734777</f>
        <v>4249915432</v>
      </c>
      <c r="F71" s="36">
        <v>0</v>
      </c>
      <c r="G71" s="36">
        <v>381400000</v>
      </c>
      <c r="H71" s="36">
        <f>980000000+1730000000+55500000+43955000+160000000</f>
        <v>2969455000</v>
      </c>
      <c r="I71" s="36">
        <f t="shared" si="21"/>
        <v>8661860432</v>
      </c>
      <c r="J71" s="36">
        <v>-126102055</v>
      </c>
      <c r="K71" s="44">
        <v>8661849999</v>
      </c>
      <c r="L71" s="36">
        <v>587511833</v>
      </c>
      <c r="M71" s="45">
        <v>8661849999</v>
      </c>
      <c r="N71" s="45">
        <v>1189807149</v>
      </c>
      <c r="O71" s="45">
        <v>8413101363</v>
      </c>
      <c r="P71" s="45">
        <v>1419489557</v>
      </c>
      <c r="Q71" s="45">
        <v>8362178996</v>
      </c>
      <c r="R71" s="36">
        <v>0</v>
      </c>
      <c r="S71" s="36">
        <v>248748636</v>
      </c>
      <c r="T71" s="46">
        <v>50922367</v>
      </c>
    </row>
    <row r="72" spans="2:21" ht="15" customHeight="1" x14ac:dyDescent="0.2">
      <c r="B72" s="42" t="s">
        <v>147</v>
      </c>
      <c r="C72" s="43" t="s">
        <v>148</v>
      </c>
      <c r="D72" s="36">
        <v>5000000000</v>
      </c>
      <c r="E72" s="36">
        <f>1435113444+837723269+782723269</f>
        <v>3055559982</v>
      </c>
      <c r="F72" s="36">
        <v>0</v>
      </c>
      <c r="G72" s="36">
        <v>0</v>
      </c>
      <c r="H72" s="36">
        <f>580000000+28000000+73510000</f>
        <v>681510000</v>
      </c>
      <c r="I72" s="36">
        <f t="shared" si="21"/>
        <v>7374049982</v>
      </c>
      <c r="J72" s="36">
        <v>7993749</v>
      </c>
      <c r="K72" s="44">
        <v>7367942359</v>
      </c>
      <c r="L72" s="36">
        <v>112370241</v>
      </c>
      <c r="M72" s="45">
        <v>7367942359</v>
      </c>
      <c r="N72" s="45">
        <v>474591385</v>
      </c>
      <c r="O72" s="45">
        <v>6931510442</v>
      </c>
      <c r="P72" s="45">
        <v>451841098</v>
      </c>
      <c r="Q72" s="45">
        <v>6867460405</v>
      </c>
      <c r="R72" s="36">
        <v>0</v>
      </c>
      <c r="S72" s="36">
        <v>436431917</v>
      </c>
      <c r="T72" s="46">
        <v>64050037</v>
      </c>
    </row>
    <row r="73" spans="2:21" ht="15" customHeight="1" x14ac:dyDescent="0.2">
      <c r="B73" s="42" t="s">
        <v>149</v>
      </c>
      <c r="C73" s="43" t="s">
        <v>150</v>
      </c>
      <c r="D73" s="36">
        <v>19100000000</v>
      </c>
      <c r="E73" s="36">
        <f>3162857143+2519000000+100000000+187363605+580000</f>
        <v>5969800748</v>
      </c>
      <c r="F73" s="36">
        <v>0</v>
      </c>
      <c r="G73" s="36">
        <f>830000000+200000000+1030000000+1225800000+426700000+60000000</f>
        <v>3772500000</v>
      </c>
      <c r="H73" s="36">
        <f>39000000+338110164</f>
        <v>377110164</v>
      </c>
      <c r="I73" s="36">
        <f t="shared" si="21"/>
        <v>28465190584</v>
      </c>
      <c r="J73" s="36">
        <v>-276564775</v>
      </c>
      <c r="K73" s="44">
        <v>28465159331</v>
      </c>
      <c r="L73" s="36">
        <v>-156564775</v>
      </c>
      <c r="M73" s="45">
        <v>28465159331</v>
      </c>
      <c r="N73" s="45">
        <v>1016069959</v>
      </c>
      <c r="O73" s="45">
        <v>26356104710</v>
      </c>
      <c r="P73" s="45">
        <v>1570620786</v>
      </c>
      <c r="Q73" s="45">
        <v>26227516826</v>
      </c>
      <c r="R73" s="36">
        <v>0</v>
      </c>
      <c r="S73" s="36">
        <v>2109054621</v>
      </c>
      <c r="T73" s="46">
        <v>128587884</v>
      </c>
    </row>
    <row r="74" spans="2:21" ht="15" customHeight="1" x14ac:dyDescent="0.2">
      <c r="B74" s="42" t="s">
        <v>151</v>
      </c>
      <c r="C74" s="43" t="s">
        <v>152</v>
      </c>
      <c r="D74" s="36">
        <v>2000000000</v>
      </c>
      <c r="E74" s="36">
        <f>475000000+264000000+130000000+63853884</f>
        <v>932853884</v>
      </c>
      <c r="F74" s="36">
        <v>0</v>
      </c>
      <c r="G74" s="36">
        <f>390000000+150000000+476516401</f>
        <v>1016516401</v>
      </c>
      <c r="H74" s="36">
        <v>0</v>
      </c>
      <c r="I74" s="36">
        <f t="shared" si="21"/>
        <v>3949370285</v>
      </c>
      <c r="J74" s="36">
        <v>799086517</v>
      </c>
      <c r="K74" s="44">
        <v>3936126874</v>
      </c>
      <c r="L74" s="36">
        <v>799086517</v>
      </c>
      <c r="M74" s="45">
        <v>3936126874</v>
      </c>
      <c r="N74" s="45">
        <v>1070013517</v>
      </c>
      <c r="O74" s="45">
        <v>3930713982</v>
      </c>
      <c r="P74" s="45">
        <v>1158326000</v>
      </c>
      <c r="Q74" s="45">
        <v>3879026465</v>
      </c>
      <c r="R74" s="36">
        <v>0</v>
      </c>
      <c r="S74" s="36">
        <v>5412892</v>
      </c>
      <c r="T74" s="46">
        <v>51687517</v>
      </c>
    </row>
    <row r="75" spans="2:21" ht="15" customHeight="1" x14ac:dyDescent="0.2">
      <c r="B75" s="42" t="s">
        <v>153</v>
      </c>
      <c r="C75" s="43" t="s">
        <v>154</v>
      </c>
      <c r="D75" s="36">
        <v>4500000000</v>
      </c>
      <c r="E75" s="36">
        <f>100000000+212803516+100000000</f>
        <v>412803516</v>
      </c>
      <c r="F75" s="36">
        <v>0</v>
      </c>
      <c r="G75" s="36">
        <v>0</v>
      </c>
      <c r="H75" s="36">
        <v>26580000</v>
      </c>
      <c r="I75" s="36">
        <f t="shared" si="21"/>
        <v>4886223516</v>
      </c>
      <c r="J75" s="36">
        <v>0</v>
      </c>
      <c r="K75" s="44">
        <v>4886213811</v>
      </c>
      <c r="L75" s="36">
        <v>0</v>
      </c>
      <c r="M75" s="45">
        <v>4886213811</v>
      </c>
      <c r="N75" s="45">
        <v>366318389</v>
      </c>
      <c r="O75" s="45">
        <v>4786542197</v>
      </c>
      <c r="P75" s="45">
        <v>395006590</v>
      </c>
      <c r="Q75" s="45">
        <v>4749241077</v>
      </c>
      <c r="R75" s="36">
        <v>0</v>
      </c>
      <c r="S75" s="36">
        <v>99671614</v>
      </c>
      <c r="T75" s="46">
        <v>37301120</v>
      </c>
    </row>
    <row r="76" spans="2:21" ht="15" customHeight="1" x14ac:dyDescent="0.2">
      <c r="B76" s="42" t="s">
        <v>155</v>
      </c>
      <c r="C76" s="43" t="s">
        <v>156</v>
      </c>
      <c r="D76" s="36">
        <v>600000000</v>
      </c>
      <c r="E76" s="36">
        <v>200000000</v>
      </c>
      <c r="F76" s="36">
        <v>0</v>
      </c>
      <c r="G76" s="36">
        <v>50000000</v>
      </c>
      <c r="H76" s="36">
        <v>0</v>
      </c>
      <c r="I76" s="36">
        <f t="shared" si="21"/>
        <v>850000000</v>
      </c>
      <c r="J76" s="36">
        <v>1503900</v>
      </c>
      <c r="K76" s="44">
        <v>822041600</v>
      </c>
      <c r="L76" s="36">
        <v>1517900</v>
      </c>
      <c r="M76" s="45">
        <v>822041600</v>
      </c>
      <c r="N76" s="45">
        <v>69129400</v>
      </c>
      <c r="O76" s="45">
        <v>808414900</v>
      </c>
      <c r="P76" s="45">
        <v>147319360</v>
      </c>
      <c r="Q76" s="45">
        <v>761925720</v>
      </c>
      <c r="R76" s="36">
        <v>0</v>
      </c>
      <c r="S76" s="36">
        <v>13626700</v>
      </c>
      <c r="T76" s="46">
        <v>46489180</v>
      </c>
    </row>
    <row r="77" spans="2:21" ht="15" customHeight="1" x14ac:dyDescent="0.2">
      <c r="B77" s="50" t="s">
        <v>157</v>
      </c>
      <c r="C77" s="43" t="s">
        <v>158</v>
      </c>
      <c r="D77" s="36">
        <v>250000000</v>
      </c>
      <c r="E77" s="36">
        <f>29000000+2540000</f>
        <v>31540000</v>
      </c>
      <c r="F77" s="36">
        <v>0</v>
      </c>
      <c r="G77" s="36">
        <v>0</v>
      </c>
      <c r="H77" s="36">
        <v>0</v>
      </c>
      <c r="I77" s="36">
        <f t="shared" si="21"/>
        <v>281540000</v>
      </c>
      <c r="J77" s="36">
        <v>2546000</v>
      </c>
      <c r="K77" s="44">
        <v>281504000</v>
      </c>
      <c r="L77" s="36">
        <v>11646000</v>
      </c>
      <c r="M77" s="45">
        <v>281504000</v>
      </c>
      <c r="N77" s="45">
        <v>34881000</v>
      </c>
      <c r="O77" s="45">
        <v>206489350</v>
      </c>
      <c r="P77" s="45">
        <v>11545000</v>
      </c>
      <c r="Q77" s="45">
        <v>176808350</v>
      </c>
      <c r="R77" s="36">
        <v>0</v>
      </c>
      <c r="S77" s="36">
        <v>75014650</v>
      </c>
      <c r="T77" s="46">
        <v>29681000</v>
      </c>
    </row>
    <row r="78" spans="2:21" ht="15" customHeight="1" x14ac:dyDescent="0.2">
      <c r="B78" s="50" t="s">
        <v>159</v>
      </c>
      <c r="C78" s="43" t="s">
        <v>160</v>
      </c>
      <c r="D78" s="36">
        <v>300000000</v>
      </c>
      <c r="E78" s="36">
        <v>0</v>
      </c>
      <c r="F78" s="36">
        <v>0</v>
      </c>
      <c r="G78" s="36">
        <v>0</v>
      </c>
      <c r="H78" s="36">
        <f>146000000+56300000+14400000</f>
        <v>216700000</v>
      </c>
      <c r="I78" s="36">
        <f>+D78+E78-F78+G78-H78</f>
        <v>83300000</v>
      </c>
      <c r="J78" s="36">
        <v>0</v>
      </c>
      <c r="K78" s="44">
        <v>83250000</v>
      </c>
      <c r="L78" s="36">
        <v>0</v>
      </c>
      <c r="M78" s="45">
        <v>83250000</v>
      </c>
      <c r="N78" s="45">
        <v>0</v>
      </c>
      <c r="O78" s="45">
        <v>83250000</v>
      </c>
      <c r="P78" s="45">
        <v>0</v>
      </c>
      <c r="Q78" s="45">
        <v>83250000</v>
      </c>
      <c r="R78" s="36">
        <v>0</v>
      </c>
      <c r="S78" s="36">
        <v>0</v>
      </c>
      <c r="T78" s="46">
        <v>0</v>
      </c>
    </row>
    <row r="79" spans="2:21" s="14" customFormat="1" ht="10.5" x14ac:dyDescent="0.25">
      <c r="B79" s="41" t="s">
        <v>161</v>
      </c>
      <c r="C79" s="34" t="s">
        <v>162</v>
      </c>
      <c r="D79" s="35">
        <f>+D80</f>
        <v>9700000000</v>
      </c>
      <c r="E79" s="37">
        <f>SUM(E80:E80)</f>
        <v>1304073236</v>
      </c>
      <c r="F79" s="37">
        <v>0</v>
      </c>
      <c r="G79" s="37">
        <f t="shared" ref="G79:R79" si="22">SUM(G80:G80)</f>
        <v>301081225</v>
      </c>
      <c r="H79" s="37">
        <f t="shared" si="22"/>
        <v>0</v>
      </c>
      <c r="I79" s="37">
        <f t="shared" si="22"/>
        <v>11305154461</v>
      </c>
      <c r="J79" s="48">
        <f t="shared" si="22"/>
        <v>558048085</v>
      </c>
      <c r="K79" s="49">
        <f t="shared" si="22"/>
        <v>11303736513</v>
      </c>
      <c r="L79" s="48">
        <f t="shared" si="22"/>
        <v>558520561</v>
      </c>
      <c r="M79" s="49">
        <f t="shared" si="22"/>
        <v>11303736513</v>
      </c>
      <c r="N79" s="49">
        <f t="shared" si="22"/>
        <v>558536261</v>
      </c>
      <c r="O79" s="49">
        <f t="shared" si="22"/>
        <v>11301540482</v>
      </c>
      <c r="P79" s="49">
        <f t="shared" si="22"/>
        <v>366571560</v>
      </c>
      <c r="Q79" s="49">
        <f t="shared" si="22"/>
        <v>11091506848</v>
      </c>
      <c r="R79" s="48">
        <f t="shared" si="22"/>
        <v>0</v>
      </c>
      <c r="S79" s="48">
        <f>SUM(S80:S80)</f>
        <v>2196031</v>
      </c>
      <c r="T79" s="53">
        <f>SUM(T80:T80)</f>
        <v>210033634</v>
      </c>
    </row>
    <row r="80" spans="2:21" ht="15" customHeight="1" x14ac:dyDescent="0.2">
      <c r="B80" s="42" t="s">
        <v>163</v>
      </c>
      <c r="C80" s="43" t="s">
        <v>164</v>
      </c>
      <c r="D80" s="36">
        <v>9700000000</v>
      </c>
      <c r="E80" s="54">
        <f>710372405+343700831+250000000</f>
        <v>1304073236</v>
      </c>
      <c r="F80" s="54">
        <v>0</v>
      </c>
      <c r="G80" s="55">
        <v>301081225</v>
      </c>
      <c r="H80" s="56">
        <v>0</v>
      </c>
      <c r="I80" s="36">
        <f t="shared" si="21"/>
        <v>11305154461</v>
      </c>
      <c r="J80" s="36">
        <v>558048085</v>
      </c>
      <c r="K80" s="44">
        <v>11303736513</v>
      </c>
      <c r="L80" s="36">
        <v>558520561</v>
      </c>
      <c r="M80" s="45">
        <v>11303736513</v>
      </c>
      <c r="N80" s="45">
        <v>558536261</v>
      </c>
      <c r="O80" s="45">
        <v>11301540482</v>
      </c>
      <c r="P80" s="45">
        <v>366571560</v>
      </c>
      <c r="Q80" s="45">
        <v>11091506848</v>
      </c>
      <c r="R80" s="36">
        <v>0</v>
      </c>
      <c r="S80" s="36">
        <v>2196031</v>
      </c>
      <c r="T80" s="46">
        <v>210033634</v>
      </c>
    </row>
    <row r="81" spans="1:21" s="14" customFormat="1" ht="15" customHeight="1" x14ac:dyDescent="0.25">
      <c r="B81" s="41" t="s">
        <v>165</v>
      </c>
      <c r="C81" s="34" t="s">
        <v>166</v>
      </c>
      <c r="D81" s="35">
        <f>SUM(D82:D82)</f>
        <v>1500000000</v>
      </c>
      <c r="E81" s="57">
        <v>0</v>
      </c>
      <c r="F81" s="57">
        <v>0</v>
      </c>
      <c r="G81" s="57">
        <v>0</v>
      </c>
      <c r="H81" s="35">
        <f t="shared" ref="H81:T81" si="23">SUM(H82:H82)</f>
        <v>350000000</v>
      </c>
      <c r="I81" s="35">
        <f t="shared" si="23"/>
        <v>1150000000</v>
      </c>
      <c r="J81" s="38">
        <f t="shared" si="23"/>
        <v>-32955</v>
      </c>
      <c r="K81" s="39">
        <f t="shared" si="23"/>
        <v>1149941792</v>
      </c>
      <c r="L81" s="38">
        <f t="shared" si="23"/>
        <v>5467045</v>
      </c>
      <c r="M81" s="38">
        <f t="shared" si="23"/>
        <v>1149941792</v>
      </c>
      <c r="N81" s="38">
        <f t="shared" si="23"/>
        <v>5390000</v>
      </c>
      <c r="O81" s="38">
        <f t="shared" si="23"/>
        <v>1145160428</v>
      </c>
      <c r="P81" s="38">
        <f t="shared" si="23"/>
        <v>5390000</v>
      </c>
      <c r="Q81" s="38">
        <f t="shared" si="23"/>
        <v>1145160428</v>
      </c>
      <c r="R81" s="38">
        <f t="shared" si="23"/>
        <v>0</v>
      </c>
      <c r="S81" s="38">
        <f t="shared" si="23"/>
        <v>4781364</v>
      </c>
      <c r="T81" s="40">
        <f t="shared" si="23"/>
        <v>0</v>
      </c>
    </row>
    <row r="82" spans="1:21" ht="15" customHeight="1" x14ac:dyDescent="0.2">
      <c r="B82" s="50" t="s">
        <v>167</v>
      </c>
      <c r="C82" s="58" t="s">
        <v>168</v>
      </c>
      <c r="D82" s="36">
        <v>1500000000</v>
      </c>
      <c r="E82" s="54">
        <v>0</v>
      </c>
      <c r="F82" s="54">
        <v>0</v>
      </c>
      <c r="G82" s="54">
        <v>0</v>
      </c>
      <c r="H82" s="36">
        <f>200000000+150000000</f>
        <v>350000000</v>
      </c>
      <c r="I82" s="36">
        <f>+D82+E82-F82+G82-H82</f>
        <v>1150000000</v>
      </c>
      <c r="J82" s="36">
        <v>-32955</v>
      </c>
      <c r="K82" s="44">
        <v>1149941792</v>
      </c>
      <c r="L82" s="36">
        <v>5467045</v>
      </c>
      <c r="M82" s="45">
        <v>1149941792</v>
      </c>
      <c r="N82" s="45">
        <v>5390000</v>
      </c>
      <c r="O82" s="45">
        <v>1145160428</v>
      </c>
      <c r="P82" s="45">
        <v>5390000</v>
      </c>
      <c r="Q82" s="45">
        <v>1145160428</v>
      </c>
      <c r="R82" s="36">
        <v>0</v>
      </c>
      <c r="S82" s="36">
        <v>4781364</v>
      </c>
      <c r="T82" s="46">
        <v>0</v>
      </c>
    </row>
    <row r="83" spans="1:21" s="14" customFormat="1" ht="15" customHeight="1" x14ac:dyDescent="0.25">
      <c r="B83" s="41" t="s">
        <v>169</v>
      </c>
      <c r="C83" s="34" t="s">
        <v>170</v>
      </c>
      <c r="D83" s="35">
        <f>SUM(D84:D96)</f>
        <v>2691131615</v>
      </c>
      <c r="E83" s="35">
        <f>SUM(E84:E96)</f>
        <v>4366509045</v>
      </c>
      <c r="F83" s="59">
        <v>0</v>
      </c>
      <c r="G83" s="35">
        <f t="shared" ref="G83:R83" si="24">SUM(G84:G96)</f>
        <v>654000000</v>
      </c>
      <c r="H83" s="35">
        <f t="shared" si="24"/>
        <v>2376242462</v>
      </c>
      <c r="I83" s="35">
        <f t="shared" si="24"/>
        <v>5335398198</v>
      </c>
      <c r="J83" s="38">
        <f t="shared" si="24"/>
        <v>33331087</v>
      </c>
      <c r="K83" s="49">
        <f t="shared" si="24"/>
        <v>5330329516</v>
      </c>
      <c r="L83" s="48">
        <f t="shared" si="24"/>
        <v>232205192</v>
      </c>
      <c r="M83" s="48">
        <f t="shared" si="24"/>
        <v>5330329516</v>
      </c>
      <c r="N83" s="48">
        <f t="shared" si="24"/>
        <v>740900274</v>
      </c>
      <c r="O83" s="48">
        <f t="shared" si="24"/>
        <v>3942877365</v>
      </c>
      <c r="P83" s="48">
        <f t="shared" si="24"/>
        <v>915434287</v>
      </c>
      <c r="Q83" s="48">
        <f t="shared" si="24"/>
        <v>3812123519</v>
      </c>
      <c r="R83" s="48">
        <f t="shared" si="24"/>
        <v>0</v>
      </c>
      <c r="S83" s="38">
        <f>SUM(S84:S96)</f>
        <v>1387452151</v>
      </c>
      <c r="T83" s="40">
        <f>SUM(T84:T96)</f>
        <v>130753846</v>
      </c>
      <c r="U83" s="32"/>
    </row>
    <row r="84" spans="1:21" s="12" customFormat="1" ht="15" customHeight="1" x14ac:dyDescent="0.2">
      <c r="A84" s="60"/>
      <c r="B84" s="42" t="s">
        <v>171</v>
      </c>
      <c r="C84" s="43" t="s">
        <v>140</v>
      </c>
      <c r="D84" s="36">
        <v>230000000</v>
      </c>
      <c r="E84" s="61">
        <f>81127123+372464808</f>
        <v>453591931</v>
      </c>
      <c r="F84" s="61">
        <v>0</v>
      </c>
      <c r="G84" s="61">
        <v>167000000</v>
      </c>
      <c r="H84" s="56">
        <f>213000000+30615462</f>
        <v>243615462</v>
      </c>
      <c r="I84" s="36">
        <f t="shared" ref="I84:I96" si="25">+D84+E84-F84+G84-H84</f>
        <v>606976469</v>
      </c>
      <c r="J84" s="36">
        <v>0</v>
      </c>
      <c r="K84" s="44">
        <v>606966046</v>
      </c>
      <c r="L84" s="36">
        <v>340830</v>
      </c>
      <c r="M84" s="45">
        <v>606966046</v>
      </c>
      <c r="N84" s="45">
        <v>104113434</v>
      </c>
      <c r="O84" s="45">
        <v>476878874</v>
      </c>
      <c r="P84" s="45">
        <v>99865977</v>
      </c>
      <c r="Q84" s="45">
        <v>462626618</v>
      </c>
      <c r="R84" s="36">
        <v>0</v>
      </c>
      <c r="S84" s="36">
        <v>130087172</v>
      </c>
      <c r="T84" s="46">
        <v>14252256</v>
      </c>
    </row>
    <row r="85" spans="1:21" s="12" customFormat="1" ht="15" customHeight="1" x14ac:dyDescent="0.2">
      <c r="A85" s="60"/>
      <c r="B85" s="42" t="s">
        <v>172</v>
      </c>
      <c r="C85" s="43" t="s">
        <v>142</v>
      </c>
      <c r="D85" s="36">
        <v>720000000</v>
      </c>
      <c r="E85" s="61">
        <f>301999914+693000000</f>
        <v>994999914</v>
      </c>
      <c r="F85" s="61">
        <v>0</v>
      </c>
      <c r="G85" s="61">
        <f>37000000+17000000</f>
        <v>54000000</v>
      </c>
      <c r="H85" s="56">
        <f>250000000+51182000</f>
        <v>301182000</v>
      </c>
      <c r="I85" s="36">
        <f t="shared" si="25"/>
        <v>1467817914</v>
      </c>
      <c r="J85" s="36">
        <v>-7000000</v>
      </c>
      <c r="K85" s="44">
        <v>1467308434</v>
      </c>
      <c r="L85" s="36">
        <v>-2300000</v>
      </c>
      <c r="M85" s="45">
        <v>1467308434</v>
      </c>
      <c r="N85" s="45">
        <v>165102772</v>
      </c>
      <c r="O85" s="45">
        <v>1037782987</v>
      </c>
      <c r="P85" s="45">
        <v>204209828</v>
      </c>
      <c r="Q85" s="45">
        <v>1030942063</v>
      </c>
      <c r="R85" s="36">
        <v>0</v>
      </c>
      <c r="S85" s="36">
        <v>429525447</v>
      </c>
      <c r="T85" s="46">
        <v>6840924</v>
      </c>
    </row>
    <row r="86" spans="1:21" s="12" customFormat="1" ht="15" customHeight="1" x14ac:dyDescent="0.2">
      <c r="A86" s="60"/>
      <c r="B86" s="42" t="s">
        <v>173</v>
      </c>
      <c r="C86" s="43" t="s">
        <v>144</v>
      </c>
      <c r="D86" s="36">
        <v>480000000</v>
      </c>
      <c r="E86" s="61">
        <f>350782555+555015312</f>
        <v>905797867</v>
      </c>
      <c r="F86" s="61">
        <v>0</v>
      </c>
      <c r="G86" s="61">
        <v>0</v>
      </c>
      <c r="H86" s="56">
        <f>80000000+7500000+150000000+337000000+10000000+8425000</f>
        <v>592925000</v>
      </c>
      <c r="I86" s="36">
        <f t="shared" si="25"/>
        <v>792872867</v>
      </c>
      <c r="J86" s="36">
        <v>0</v>
      </c>
      <c r="K86" s="44">
        <v>792863000</v>
      </c>
      <c r="L86" s="36">
        <v>0</v>
      </c>
      <c r="M86" s="45">
        <v>792863000</v>
      </c>
      <c r="N86" s="45">
        <v>209569552</v>
      </c>
      <c r="O86" s="45">
        <v>645462795</v>
      </c>
      <c r="P86" s="45">
        <v>214654787</v>
      </c>
      <c r="Q86" s="45">
        <v>633924380</v>
      </c>
      <c r="R86" s="36">
        <v>0</v>
      </c>
      <c r="S86" s="36">
        <v>147400205</v>
      </c>
      <c r="T86" s="46">
        <v>11538415</v>
      </c>
    </row>
    <row r="87" spans="1:21" s="12" customFormat="1" ht="15" customHeight="1" x14ac:dyDescent="0.2">
      <c r="A87" s="60"/>
      <c r="B87" s="42" t="s">
        <v>174</v>
      </c>
      <c r="C87" s="43" t="s">
        <v>146</v>
      </c>
      <c r="D87" s="36">
        <v>100000000</v>
      </c>
      <c r="E87" s="61">
        <f>138279402+134080964</f>
        <v>272360366</v>
      </c>
      <c r="F87" s="61">
        <v>0</v>
      </c>
      <c r="G87" s="61">
        <v>108000000</v>
      </c>
      <c r="H87" s="56">
        <f>80000000+20000000+160000000+11178000-160000000</f>
        <v>111178000</v>
      </c>
      <c r="I87" s="36">
        <f t="shared" si="25"/>
        <v>369182366</v>
      </c>
      <c r="J87" s="36">
        <v>-11188072</v>
      </c>
      <c r="K87" s="44">
        <v>369172291</v>
      </c>
      <c r="L87" s="36">
        <v>26044054</v>
      </c>
      <c r="M87" s="45">
        <v>369172291</v>
      </c>
      <c r="N87" s="45">
        <v>35401082</v>
      </c>
      <c r="O87" s="45">
        <v>280861727</v>
      </c>
      <c r="P87" s="45">
        <v>35789781</v>
      </c>
      <c r="Q87" s="45">
        <v>276251008</v>
      </c>
      <c r="R87" s="36">
        <v>0</v>
      </c>
      <c r="S87" s="36">
        <v>88310564</v>
      </c>
      <c r="T87" s="46">
        <v>4610719</v>
      </c>
    </row>
    <row r="88" spans="1:21" s="12" customFormat="1" ht="15" customHeight="1" x14ac:dyDescent="0.2">
      <c r="A88" s="60"/>
      <c r="B88" s="42" t="s">
        <v>175</v>
      </c>
      <c r="C88" s="43" t="s">
        <v>148</v>
      </c>
      <c r="D88" s="36">
        <v>150000000</v>
      </c>
      <c r="E88" s="61">
        <f>84378914+82037526</f>
        <v>166416440</v>
      </c>
      <c r="F88" s="61">
        <v>0</v>
      </c>
      <c r="G88" s="61">
        <v>0</v>
      </c>
      <c r="H88" s="56">
        <f>40000000+39860000</f>
        <v>79860000</v>
      </c>
      <c r="I88" s="36">
        <f t="shared" si="25"/>
        <v>236556440</v>
      </c>
      <c r="J88" s="36">
        <v>-25922167</v>
      </c>
      <c r="K88" s="44">
        <v>236298897</v>
      </c>
      <c r="L88" s="36">
        <v>-20020691</v>
      </c>
      <c r="M88" s="45">
        <v>236298897</v>
      </c>
      <c r="N88" s="45">
        <v>26171626</v>
      </c>
      <c r="O88" s="45">
        <v>154067934</v>
      </c>
      <c r="P88" s="45">
        <v>27849117</v>
      </c>
      <c r="Q88" s="45">
        <v>144878221</v>
      </c>
      <c r="R88" s="36">
        <v>0</v>
      </c>
      <c r="S88" s="36">
        <v>82230963</v>
      </c>
      <c r="T88" s="46">
        <v>9189713</v>
      </c>
    </row>
    <row r="89" spans="1:21" s="12" customFormat="1" ht="15" customHeight="1" x14ac:dyDescent="0.2">
      <c r="A89" s="60"/>
      <c r="B89" s="42" t="s">
        <v>176</v>
      </c>
      <c r="C89" s="43" t="s">
        <v>150</v>
      </c>
      <c r="D89" s="36">
        <v>566131615</v>
      </c>
      <c r="E89" s="61">
        <f>271050573+553400000</f>
        <v>824450573</v>
      </c>
      <c r="F89" s="61">
        <v>0</v>
      </c>
      <c r="G89" s="61">
        <v>50000000</v>
      </c>
      <c r="H89" s="56">
        <f>168000000+320000000+25812000</f>
        <v>513812000</v>
      </c>
      <c r="I89" s="36">
        <f t="shared" si="25"/>
        <v>926770188</v>
      </c>
      <c r="J89" s="36">
        <v>3200290</v>
      </c>
      <c r="K89" s="44">
        <v>926760290</v>
      </c>
      <c r="L89" s="36">
        <v>124200290</v>
      </c>
      <c r="M89" s="45">
        <v>926760290</v>
      </c>
      <c r="N89" s="45">
        <v>47639045</v>
      </c>
      <c r="O89" s="45">
        <v>449077436</v>
      </c>
      <c r="P89" s="45">
        <v>148348715</v>
      </c>
      <c r="Q89" s="45">
        <v>426185026</v>
      </c>
      <c r="R89" s="36">
        <v>0</v>
      </c>
      <c r="S89" s="36">
        <v>477682854</v>
      </c>
      <c r="T89" s="46">
        <v>22892410</v>
      </c>
    </row>
    <row r="90" spans="1:21" s="12" customFormat="1" ht="15" customHeight="1" x14ac:dyDescent="0.2">
      <c r="A90" s="60"/>
      <c r="B90" s="42" t="s">
        <v>177</v>
      </c>
      <c r="C90" s="43" t="s">
        <v>152</v>
      </c>
      <c r="D90" s="36">
        <v>30000000</v>
      </c>
      <c r="E90" s="61">
        <f>19227929+217248146</f>
        <v>236476075</v>
      </c>
      <c r="F90" s="61">
        <v>0</v>
      </c>
      <c r="G90" s="61">
        <v>40000000</v>
      </c>
      <c r="H90" s="56">
        <f>200000000+19000000+8568000</f>
        <v>227568000</v>
      </c>
      <c r="I90" s="36">
        <f t="shared" si="25"/>
        <v>78908075</v>
      </c>
      <c r="J90" s="36">
        <v>0</v>
      </c>
      <c r="K90" s="44">
        <v>78898180</v>
      </c>
      <c r="L90" s="36">
        <v>0</v>
      </c>
      <c r="M90" s="45">
        <v>78898180</v>
      </c>
      <c r="N90" s="45">
        <v>15129889</v>
      </c>
      <c r="O90" s="45">
        <v>74445294</v>
      </c>
      <c r="P90" s="45">
        <v>14867059</v>
      </c>
      <c r="Q90" s="45">
        <v>74180892</v>
      </c>
      <c r="R90" s="36">
        <v>0</v>
      </c>
      <c r="S90" s="36">
        <v>4452886</v>
      </c>
      <c r="T90" s="46">
        <v>264402</v>
      </c>
    </row>
    <row r="91" spans="1:21" s="12" customFormat="1" ht="15" customHeight="1" x14ac:dyDescent="0.2">
      <c r="A91" s="60"/>
      <c r="B91" s="42" t="s">
        <v>178</v>
      </c>
      <c r="C91" s="43" t="s">
        <v>154</v>
      </c>
      <c r="D91" s="36">
        <v>100000000</v>
      </c>
      <c r="E91" s="61">
        <f>6309154+66106725</f>
        <v>72415879</v>
      </c>
      <c r="F91" s="61">
        <v>0</v>
      </c>
      <c r="G91" s="61">
        <v>40000000</v>
      </c>
      <c r="H91" s="56">
        <f>14000000+30000000+15000000+2843000</f>
        <v>61843000</v>
      </c>
      <c r="I91" s="36">
        <f t="shared" si="25"/>
        <v>150572879</v>
      </c>
      <c r="J91" s="36">
        <v>0</v>
      </c>
      <c r="K91" s="44">
        <v>150562991</v>
      </c>
      <c r="L91" s="36">
        <v>0</v>
      </c>
      <c r="M91" s="45">
        <v>150562991</v>
      </c>
      <c r="N91" s="45">
        <v>29277549</v>
      </c>
      <c r="O91" s="45">
        <v>127938949</v>
      </c>
      <c r="P91" s="45">
        <v>34508579</v>
      </c>
      <c r="Q91" s="45">
        <v>127831015</v>
      </c>
      <c r="R91" s="36">
        <v>0</v>
      </c>
      <c r="S91" s="36">
        <v>22624042</v>
      </c>
      <c r="T91" s="46">
        <v>107934</v>
      </c>
    </row>
    <row r="92" spans="1:21" s="12" customFormat="1" ht="15" customHeight="1" x14ac:dyDescent="0.2">
      <c r="A92" s="60"/>
      <c r="B92" s="42" t="s">
        <v>179</v>
      </c>
      <c r="C92" s="43" t="s">
        <v>180</v>
      </c>
      <c r="D92" s="36">
        <v>3000000</v>
      </c>
      <c r="E92" s="61">
        <v>50000000</v>
      </c>
      <c r="F92" s="61">
        <v>0</v>
      </c>
      <c r="G92" s="61">
        <v>0</v>
      </c>
      <c r="H92" s="56">
        <f>50000000+1000000+1279000</f>
        <v>52279000</v>
      </c>
      <c r="I92" s="36">
        <f t="shared" si="25"/>
        <v>721000</v>
      </c>
      <c r="J92" s="36">
        <v>0</v>
      </c>
      <c r="K92" s="44">
        <v>711000</v>
      </c>
      <c r="L92" s="36">
        <v>0</v>
      </c>
      <c r="M92" s="45">
        <v>711000</v>
      </c>
      <c r="N92" s="45">
        <v>0</v>
      </c>
      <c r="O92" s="45">
        <v>711000</v>
      </c>
      <c r="P92" s="45">
        <v>0</v>
      </c>
      <c r="Q92" s="45">
        <v>711000</v>
      </c>
      <c r="R92" s="36">
        <v>0</v>
      </c>
      <c r="S92" s="36">
        <v>0</v>
      </c>
      <c r="T92" s="46">
        <v>0</v>
      </c>
    </row>
    <row r="93" spans="1:21" s="12" customFormat="1" ht="15" customHeight="1" x14ac:dyDescent="0.2">
      <c r="A93" s="60"/>
      <c r="B93" s="42" t="s">
        <v>181</v>
      </c>
      <c r="C93" s="43" t="s">
        <v>182</v>
      </c>
      <c r="D93" s="36">
        <v>100000000</v>
      </c>
      <c r="E93" s="61">
        <f>60000000+70000000</f>
        <v>130000000</v>
      </c>
      <c r="F93" s="61">
        <v>0</v>
      </c>
      <c r="G93" s="61">
        <f>50000000+20000000</f>
        <v>70000000</v>
      </c>
      <c r="H93" s="56">
        <v>50000000</v>
      </c>
      <c r="I93" s="36">
        <f t="shared" si="25"/>
        <v>250000000</v>
      </c>
      <c r="J93" s="36">
        <v>16481236</v>
      </c>
      <c r="K93" s="44">
        <v>249922212</v>
      </c>
      <c r="L93" s="36">
        <v>23511958</v>
      </c>
      <c r="M93" s="45">
        <v>249922212</v>
      </c>
      <c r="N93" s="45">
        <v>24506454</v>
      </c>
      <c r="O93" s="45">
        <v>244784194</v>
      </c>
      <c r="P93" s="45">
        <v>44819292</v>
      </c>
      <c r="Q93" s="45">
        <v>238013289</v>
      </c>
      <c r="R93" s="36">
        <v>0</v>
      </c>
      <c r="S93" s="36">
        <v>5138018</v>
      </c>
      <c r="T93" s="46">
        <v>6770905</v>
      </c>
    </row>
    <row r="94" spans="1:21" s="12" customFormat="1" ht="15" customHeight="1" x14ac:dyDescent="0.2">
      <c r="A94" s="60"/>
      <c r="B94" s="42" t="s">
        <v>183</v>
      </c>
      <c r="C94" s="43" t="s">
        <v>184</v>
      </c>
      <c r="D94" s="36">
        <v>150000000</v>
      </c>
      <c r="E94" s="61">
        <f>120000000+140000000</f>
        <v>260000000</v>
      </c>
      <c r="F94" s="61">
        <v>0</v>
      </c>
      <c r="G94" s="61">
        <f>100000000+25000000</f>
        <v>125000000</v>
      </c>
      <c r="H94" s="56">
        <v>80000000</v>
      </c>
      <c r="I94" s="36">
        <f t="shared" si="25"/>
        <v>455000000</v>
      </c>
      <c r="J94" s="36">
        <v>57759800</v>
      </c>
      <c r="K94" s="44">
        <v>450866175</v>
      </c>
      <c r="L94" s="36">
        <v>80428751</v>
      </c>
      <c r="M94" s="45">
        <v>450866175</v>
      </c>
      <c r="N94" s="45">
        <v>83988871</v>
      </c>
      <c r="O94" s="45">
        <v>450866175</v>
      </c>
      <c r="P94" s="45">
        <v>90521152</v>
      </c>
      <c r="Q94" s="45">
        <v>396580007</v>
      </c>
      <c r="R94" s="36">
        <v>0</v>
      </c>
      <c r="S94" s="36">
        <v>0</v>
      </c>
      <c r="T94" s="46">
        <v>54286168</v>
      </c>
    </row>
    <row r="95" spans="1:21" s="12" customFormat="1" ht="15" customHeight="1" x14ac:dyDescent="0.2">
      <c r="A95" s="60"/>
      <c r="B95" s="42" t="s">
        <v>185</v>
      </c>
      <c r="C95" s="43" t="s">
        <v>158</v>
      </c>
      <c r="D95" s="62">
        <v>2000000</v>
      </c>
      <c r="E95" s="61">
        <v>0</v>
      </c>
      <c r="F95" s="61">
        <v>0</v>
      </c>
      <c r="G95" s="61">
        <v>0</v>
      </c>
      <c r="H95" s="56">
        <f>1500000+490000</f>
        <v>1990000</v>
      </c>
      <c r="I95" s="36">
        <f>+D95+E95-F95+G95-H95</f>
        <v>10000</v>
      </c>
      <c r="J95" s="36">
        <v>0</v>
      </c>
      <c r="K95" s="44">
        <v>0</v>
      </c>
      <c r="L95" s="36">
        <v>0</v>
      </c>
      <c r="M95" s="45">
        <v>0</v>
      </c>
      <c r="N95" s="45">
        <v>0</v>
      </c>
      <c r="O95" s="45">
        <v>0</v>
      </c>
      <c r="P95" s="45">
        <v>0</v>
      </c>
      <c r="Q95" s="45">
        <v>0</v>
      </c>
      <c r="R95" s="36">
        <v>0</v>
      </c>
      <c r="S95" s="36">
        <v>0</v>
      </c>
      <c r="T95" s="46">
        <v>0</v>
      </c>
    </row>
    <row r="96" spans="1:21" s="12" customFormat="1" ht="15" customHeight="1" thickBot="1" x14ac:dyDescent="0.25">
      <c r="A96" s="60"/>
      <c r="B96" s="63" t="s">
        <v>186</v>
      </c>
      <c r="C96" s="64" t="s">
        <v>160</v>
      </c>
      <c r="D96" s="65">
        <v>60000000</v>
      </c>
      <c r="E96" s="66">
        <v>0</v>
      </c>
      <c r="F96" s="66">
        <v>0</v>
      </c>
      <c r="G96" s="66">
        <v>0</v>
      </c>
      <c r="H96" s="67">
        <f>59500000+490000</f>
        <v>59990000</v>
      </c>
      <c r="I96" s="68">
        <f t="shared" si="25"/>
        <v>10000</v>
      </c>
      <c r="J96" s="68">
        <v>0</v>
      </c>
      <c r="K96" s="69">
        <v>0</v>
      </c>
      <c r="L96" s="68">
        <v>0</v>
      </c>
      <c r="M96" s="70">
        <v>0</v>
      </c>
      <c r="N96" s="70">
        <v>0</v>
      </c>
      <c r="O96" s="70">
        <v>0</v>
      </c>
      <c r="P96" s="70">
        <v>0</v>
      </c>
      <c r="Q96" s="70">
        <v>0</v>
      </c>
      <c r="R96" s="68">
        <v>0</v>
      </c>
      <c r="S96" s="68">
        <v>0</v>
      </c>
      <c r="T96" s="71">
        <v>0</v>
      </c>
    </row>
    <row r="97" spans="2:19" s="12" customFormat="1" x14ac:dyDescent="0.2">
      <c r="B97" s="1"/>
      <c r="C97" s="1"/>
      <c r="D97" s="72"/>
      <c r="E97" s="72"/>
      <c r="F97" s="72"/>
      <c r="G97" s="72"/>
      <c r="H97" s="72"/>
      <c r="I97" s="72"/>
      <c r="J97" s="73"/>
      <c r="K97" s="9"/>
      <c r="L97" s="73"/>
      <c r="M97" s="74"/>
      <c r="N97" s="74"/>
      <c r="O97" s="74"/>
      <c r="P97" s="74"/>
      <c r="Q97" s="74"/>
      <c r="R97" s="60"/>
      <c r="S97" s="75"/>
    </row>
    <row r="98" spans="2:19" s="12" customFormat="1" x14ac:dyDescent="0.2">
      <c r="B98" s="1"/>
      <c r="C98" s="1"/>
      <c r="D98" s="72"/>
      <c r="E98" s="72"/>
      <c r="F98" s="72"/>
      <c r="G98" s="72"/>
      <c r="H98" s="72"/>
      <c r="I98" s="72"/>
      <c r="J98" s="73"/>
      <c r="K98" s="76"/>
      <c r="L98" s="73"/>
      <c r="M98" s="74"/>
      <c r="N98" s="74"/>
      <c r="O98" s="74"/>
      <c r="P98" s="74"/>
      <c r="Q98" s="74"/>
      <c r="R98" s="60"/>
      <c r="S98" s="75"/>
    </row>
    <row r="99" spans="2:19" s="12" customFormat="1" x14ac:dyDescent="0.2">
      <c r="B99" s="1"/>
      <c r="C99" s="1"/>
      <c r="D99" s="72"/>
      <c r="E99" s="72"/>
      <c r="F99" s="72"/>
      <c r="G99" s="72"/>
      <c r="H99" s="72"/>
      <c r="I99" s="72"/>
      <c r="J99" s="73"/>
      <c r="K99" s="77"/>
      <c r="L99" s="73"/>
      <c r="M99" s="74"/>
      <c r="N99" s="74"/>
      <c r="O99" s="74"/>
      <c r="P99" s="74"/>
      <c r="Q99" s="74"/>
      <c r="R99" s="60"/>
      <c r="S99" s="60"/>
    </row>
    <row r="100" spans="2:19" s="12" customFormat="1" x14ac:dyDescent="0.2">
      <c r="B100" s="1"/>
      <c r="C100" s="1"/>
      <c r="D100" s="72"/>
      <c r="E100" s="72"/>
      <c r="F100" s="72"/>
      <c r="G100" s="72"/>
      <c r="H100" s="72"/>
      <c r="I100" s="72"/>
      <c r="J100" s="73"/>
      <c r="K100" s="76"/>
      <c r="L100" s="73"/>
      <c r="M100" s="74"/>
      <c r="N100" s="74"/>
      <c r="O100" s="74"/>
      <c r="P100" s="74"/>
      <c r="Q100" s="74"/>
    </row>
    <row r="101" spans="2:19" s="78" customFormat="1" ht="15" customHeight="1" x14ac:dyDescent="0.25">
      <c r="C101" s="79" t="s">
        <v>187</v>
      </c>
      <c r="D101" s="80"/>
      <c r="E101" s="80"/>
      <c r="F101" s="80"/>
      <c r="G101" s="539" t="s">
        <v>188</v>
      </c>
      <c r="H101" s="539"/>
      <c r="I101" s="539"/>
      <c r="J101" s="539"/>
      <c r="K101" s="539"/>
      <c r="L101" s="539"/>
      <c r="M101" s="80"/>
      <c r="N101" s="540" t="s">
        <v>189</v>
      </c>
      <c r="O101" s="540"/>
      <c r="P101" s="540"/>
      <c r="Q101" s="540"/>
    </row>
    <row r="102" spans="2:19" s="78" customFormat="1" ht="15" customHeight="1" x14ac:dyDescent="0.2">
      <c r="C102" s="81" t="s">
        <v>190</v>
      </c>
      <c r="D102" s="72"/>
      <c r="E102" s="514" t="s">
        <v>191</v>
      </c>
      <c r="F102" s="514"/>
      <c r="G102" s="514"/>
      <c r="H102" s="514"/>
      <c r="I102" s="514"/>
      <c r="J102" s="514"/>
      <c r="K102" s="514"/>
      <c r="L102" s="514"/>
      <c r="M102" s="514"/>
      <c r="N102" s="514" t="s">
        <v>192</v>
      </c>
      <c r="O102" s="514"/>
      <c r="P102" s="514"/>
      <c r="Q102" s="514"/>
    </row>
    <row r="103" spans="2:19" s="12" customFormat="1" x14ac:dyDescent="0.2">
      <c r="B103" s="1"/>
      <c r="C103" s="1"/>
      <c r="D103" s="72"/>
      <c r="E103" s="72"/>
      <c r="F103" s="72"/>
      <c r="G103" s="72"/>
      <c r="H103" s="72"/>
      <c r="I103" s="72"/>
      <c r="J103" s="73"/>
      <c r="K103" s="82"/>
      <c r="L103" s="73"/>
      <c r="M103" s="74"/>
      <c r="N103" s="74"/>
      <c r="O103" s="74"/>
      <c r="P103" s="74"/>
      <c r="Q103" s="74"/>
    </row>
    <row r="104" spans="2:19" s="12" customFormat="1" x14ac:dyDescent="0.2">
      <c r="B104" s="1"/>
      <c r="C104" s="1"/>
      <c r="D104" s="72"/>
      <c r="E104" s="72"/>
      <c r="F104" s="72"/>
      <c r="G104" s="72"/>
      <c r="H104" s="72"/>
      <c r="I104" s="72"/>
      <c r="J104" s="73"/>
      <c r="K104" s="83"/>
      <c r="L104" s="73"/>
      <c r="M104" s="72"/>
      <c r="N104" s="72"/>
      <c r="O104" s="72"/>
      <c r="P104" s="72"/>
      <c r="Q104" s="84"/>
    </row>
    <row r="105" spans="2:19" s="12" customFormat="1" x14ac:dyDescent="0.2">
      <c r="B105" s="1"/>
      <c r="C105" s="1"/>
      <c r="D105" s="72"/>
      <c r="E105" s="72"/>
      <c r="F105" s="72"/>
      <c r="G105" s="72"/>
      <c r="H105" s="72"/>
      <c r="I105" s="72"/>
      <c r="J105" s="73"/>
      <c r="K105" s="83"/>
      <c r="L105" s="73"/>
      <c r="M105" s="72"/>
      <c r="N105" s="72"/>
      <c r="O105" s="72"/>
      <c r="P105" s="72"/>
      <c r="Q105" s="84"/>
    </row>
    <row r="106" spans="2:19" s="72" customFormat="1" x14ac:dyDescent="0.2">
      <c r="B106" s="1"/>
      <c r="C106" s="1"/>
      <c r="J106" s="73"/>
      <c r="K106" s="83"/>
      <c r="L106" s="73"/>
      <c r="Q106" s="84"/>
      <c r="R106" s="12"/>
      <c r="S106" s="12"/>
    </row>
    <row r="107" spans="2:19" s="72" customFormat="1" x14ac:dyDescent="0.2">
      <c r="B107" s="1"/>
      <c r="C107" s="1"/>
      <c r="J107" s="73"/>
      <c r="K107" s="83"/>
      <c r="L107" s="73"/>
      <c r="Q107" s="84"/>
      <c r="R107" s="12"/>
      <c r="S107" s="12"/>
    </row>
    <row r="108" spans="2:19" s="72" customFormat="1" x14ac:dyDescent="0.2">
      <c r="B108" s="1"/>
      <c r="C108" s="1"/>
      <c r="J108" s="73"/>
      <c r="K108" s="83"/>
      <c r="L108" s="73"/>
      <c r="Q108" s="84"/>
      <c r="R108" s="12"/>
      <c r="S108" s="12"/>
    </row>
    <row r="109" spans="2:19" s="72" customFormat="1" x14ac:dyDescent="0.2">
      <c r="B109" s="1"/>
      <c r="C109" s="1"/>
      <c r="J109" s="73"/>
      <c r="K109" s="83"/>
      <c r="L109" s="73"/>
      <c r="Q109" s="84"/>
      <c r="R109" s="12"/>
      <c r="S109" s="12"/>
    </row>
  </sheetData>
  <mergeCells count="24">
    <mergeCell ref="E102:M102"/>
    <mergeCell ref="N102:Q102"/>
    <mergeCell ref="P6:Q6"/>
    <mergeCell ref="R6:R7"/>
    <mergeCell ref="S6:S7"/>
    <mergeCell ref="T6:T7"/>
    <mergeCell ref="G101:L101"/>
    <mergeCell ref="N101:Q101"/>
    <mergeCell ref="C6:C7"/>
    <mergeCell ref="E6:F6"/>
    <mergeCell ref="G6:H6"/>
    <mergeCell ref="J6:K6"/>
    <mergeCell ref="L6:M6"/>
    <mergeCell ref="N6:O6"/>
    <mergeCell ref="B1:S1"/>
    <mergeCell ref="B2:S2"/>
    <mergeCell ref="B5:C5"/>
    <mergeCell ref="D5:D7"/>
    <mergeCell ref="E5:H5"/>
    <mergeCell ref="I5:I7"/>
    <mergeCell ref="J5:O5"/>
    <mergeCell ref="P5:Q5"/>
    <mergeCell ref="R5:S5"/>
    <mergeCell ref="B6:B7"/>
  </mergeCells>
  <printOptions horizontalCentered="1"/>
  <pageMargins left="0.98425196850393704" right="3.937007874015748E-2" top="0.15748031496062992" bottom="0.19685039370078741" header="0.11811023622047245" footer="0.11811023622047245"/>
  <pageSetup paperSize="5"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7"/>
  <sheetViews>
    <sheetView zoomScaleNormal="100" workbookViewId="0">
      <pane xSplit="3" topLeftCell="D1" activePane="topRight" state="frozen"/>
      <selection activeCell="A7" sqref="A7"/>
      <selection pane="topRight" activeCell="I30" sqref="I30"/>
    </sheetView>
  </sheetViews>
  <sheetFormatPr baseColWidth="10" defaultColWidth="11.453125" defaultRowHeight="10" x14ac:dyDescent="0.2"/>
  <cols>
    <col min="1" max="1" width="6.81640625" style="1" customWidth="1"/>
    <col min="2" max="2" width="14.7265625" style="1" customWidth="1"/>
    <col min="3" max="3" width="35.26953125" style="1" customWidth="1"/>
    <col min="4" max="4" width="19.26953125" style="72" customWidth="1"/>
    <col min="5" max="5" width="15.453125" style="72" customWidth="1"/>
    <col min="6" max="6" width="10" style="72" customWidth="1"/>
    <col min="7" max="7" width="4.7265625" style="72" customWidth="1"/>
    <col min="8" max="8" width="10.26953125" style="72" customWidth="1"/>
    <col min="9" max="9" width="18" style="72" customWidth="1"/>
    <col min="10" max="10" width="7" style="72" hidden="1" customWidth="1"/>
    <col min="11" max="11" width="18.81640625" style="72" hidden="1" customWidth="1"/>
    <col min="12" max="12" width="16.7265625" style="72" customWidth="1"/>
    <col min="13" max="13" width="16.81640625" style="72" customWidth="1"/>
    <col min="14" max="14" width="16.54296875" style="13" customWidth="1"/>
    <col min="15" max="15" width="18.453125" style="72" customWidth="1"/>
    <col min="16" max="16" width="16.1796875" style="72" customWidth="1"/>
    <col min="17" max="17" width="11.26953125" style="78" customWidth="1"/>
    <col min="18" max="18" width="11.453125" style="1"/>
    <col min="19" max="19" width="15" style="1" bestFit="1" customWidth="1"/>
    <col min="20" max="16384" width="11.453125" style="1"/>
  </cols>
  <sheetData>
    <row r="1" spans="2:17" ht="13" x14ac:dyDescent="0.3">
      <c r="B1" s="547" t="s">
        <v>0</v>
      </c>
      <c r="C1" s="547"/>
      <c r="D1" s="547"/>
      <c r="E1" s="547"/>
      <c r="F1" s="547"/>
      <c r="G1" s="547"/>
      <c r="H1" s="547"/>
      <c r="I1" s="547"/>
      <c r="J1" s="547"/>
      <c r="K1" s="547"/>
      <c r="L1" s="547"/>
      <c r="M1" s="547"/>
      <c r="N1" s="547"/>
      <c r="O1" s="547"/>
      <c r="P1" s="547"/>
      <c r="Q1" s="547"/>
    </row>
    <row r="2" spans="2:17" x14ac:dyDescent="0.2">
      <c r="B2" s="548" t="s">
        <v>561</v>
      </c>
      <c r="C2" s="548"/>
      <c r="D2" s="548"/>
      <c r="E2" s="548"/>
      <c r="F2" s="548"/>
      <c r="G2" s="548"/>
      <c r="H2" s="548"/>
      <c r="I2" s="548"/>
      <c r="J2" s="548"/>
      <c r="K2" s="548"/>
      <c r="L2" s="548"/>
      <c r="M2" s="548"/>
      <c r="N2" s="548"/>
      <c r="O2" s="548"/>
      <c r="P2" s="548"/>
      <c r="Q2" s="548"/>
    </row>
    <row r="3" spans="2:17" x14ac:dyDescent="0.2">
      <c r="B3" s="1" t="s">
        <v>562</v>
      </c>
    </row>
    <row r="4" spans="2:17" ht="10.5" x14ac:dyDescent="0.25">
      <c r="B4" s="2" t="s">
        <v>563</v>
      </c>
      <c r="C4" s="3"/>
      <c r="D4" s="4"/>
      <c r="E4" s="4"/>
      <c r="F4" s="4"/>
      <c r="G4" s="1"/>
      <c r="H4" s="1"/>
      <c r="I4" s="249"/>
      <c r="J4" s="1"/>
      <c r="K4" s="1"/>
      <c r="L4" s="1"/>
      <c r="M4" s="47"/>
      <c r="O4" s="1"/>
      <c r="P4" s="1"/>
      <c r="Q4" s="1"/>
    </row>
    <row r="5" spans="2:17" ht="10.5" x14ac:dyDescent="0.25">
      <c r="B5" s="14" t="s">
        <v>622</v>
      </c>
      <c r="C5" s="3"/>
      <c r="D5" s="4"/>
      <c r="E5" s="4"/>
      <c r="F5" s="4"/>
      <c r="G5" s="1"/>
      <c r="H5" s="193"/>
      <c r="I5" s="85"/>
      <c r="J5" s="1"/>
      <c r="K5" s="1"/>
      <c r="L5" s="13"/>
      <c r="M5" s="13"/>
      <c r="O5" s="47"/>
      <c r="P5" s="1"/>
      <c r="Q5" s="1"/>
    </row>
    <row r="6" spans="2:17" ht="10.5" thickBot="1" x14ac:dyDescent="0.25">
      <c r="B6" s="3"/>
      <c r="C6" s="3"/>
      <c r="D6" s="4"/>
      <c r="E6" s="4"/>
      <c r="F6" s="4"/>
      <c r="G6" s="1"/>
      <c r="H6" s="1"/>
      <c r="I6" s="47"/>
      <c r="J6" s="1"/>
      <c r="K6" s="1"/>
      <c r="L6" s="1"/>
      <c r="M6" s="1"/>
      <c r="O6" s="47"/>
      <c r="P6" s="1"/>
      <c r="Q6" s="1"/>
    </row>
    <row r="7" spans="2:17" ht="23.25" customHeight="1" thickBot="1" x14ac:dyDescent="0.25">
      <c r="B7" s="549" t="s">
        <v>4</v>
      </c>
      <c r="C7" s="550"/>
      <c r="D7" s="551" t="s">
        <v>5</v>
      </c>
      <c r="E7" s="554" t="s">
        <v>565</v>
      </c>
      <c r="F7" s="555"/>
      <c r="G7" s="555"/>
      <c r="H7" s="556"/>
      <c r="I7" s="557" t="s">
        <v>566</v>
      </c>
      <c r="J7" s="559" t="s">
        <v>567</v>
      </c>
      <c r="K7" s="560"/>
      <c r="L7" s="554" t="s">
        <v>568</v>
      </c>
      <c r="M7" s="563"/>
      <c r="N7" s="563"/>
      <c r="O7" s="564"/>
      <c r="P7" s="565" t="s">
        <v>569</v>
      </c>
      <c r="Q7" s="566"/>
    </row>
    <row r="8" spans="2:17" s="14" customFormat="1" ht="36.75" customHeight="1" thickBot="1" x14ac:dyDescent="0.3">
      <c r="B8" s="567" t="s">
        <v>10</v>
      </c>
      <c r="C8" s="568" t="s">
        <v>11</v>
      </c>
      <c r="D8" s="552"/>
      <c r="E8" s="517" t="s">
        <v>12</v>
      </c>
      <c r="F8" s="518"/>
      <c r="G8" s="518" t="s">
        <v>13</v>
      </c>
      <c r="H8" s="519"/>
      <c r="I8" s="558"/>
      <c r="J8" s="561"/>
      <c r="K8" s="562"/>
      <c r="L8" s="520" t="s">
        <v>570</v>
      </c>
      <c r="M8" s="521"/>
      <c r="N8" s="520" t="s">
        <v>571</v>
      </c>
      <c r="O8" s="521"/>
      <c r="P8" s="522" t="s">
        <v>572</v>
      </c>
      <c r="Q8" s="523"/>
    </row>
    <row r="9" spans="2:17" s="14" customFormat="1" ht="21.5" thickBot="1" x14ac:dyDescent="0.3">
      <c r="B9" s="567"/>
      <c r="C9" s="568"/>
      <c r="D9" s="553"/>
      <c r="E9" s="223" t="s">
        <v>21</v>
      </c>
      <c r="F9" s="21" t="s">
        <v>22</v>
      </c>
      <c r="G9" s="21" t="s">
        <v>21</v>
      </c>
      <c r="H9" s="250" t="s">
        <v>22</v>
      </c>
      <c r="I9" s="558"/>
      <c r="J9" s="251" t="s">
        <v>23</v>
      </c>
      <c r="K9" s="252" t="s">
        <v>24</v>
      </c>
      <c r="L9" s="21" t="s">
        <v>23</v>
      </c>
      <c r="M9" s="21" t="s">
        <v>24</v>
      </c>
      <c r="N9" s="253" t="s">
        <v>23</v>
      </c>
      <c r="O9" s="21" t="s">
        <v>573</v>
      </c>
      <c r="P9" s="21" t="s">
        <v>24</v>
      </c>
      <c r="Q9" s="254" t="s">
        <v>574</v>
      </c>
    </row>
    <row r="10" spans="2:17" s="14" customFormat="1" ht="10.5" x14ac:dyDescent="0.25">
      <c r="B10" s="255" t="s">
        <v>623</v>
      </c>
      <c r="C10" s="256" t="s">
        <v>575</v>
      </c>
      <c r="D10" s="28">
        <f t="shared" ref="D10:H12" si="0">+D11</f>
        <v>137605064332</v>
      </c>
      <c r="E10" s="28">
        <f t="shared" si="0"/>
        <v>27434860963.360001</v>
      </c>
      <c r="F10" s="230">
        <f t="shared" si="0"/>
        <v>0</v>
      </c>
      <c r="G10" s="230">
        <f t="shared" si="0"/>
        <v>0</v>
      </c>
      <c r="H10" s="230">
        <f t="shared" si="0"/>
        <v>0</v>
      </c>
      <c r="I10" s="231">
        <f>+I11</f>
        <v>165039925295.35999</v>
      </c>
      <c r="J10" s="26"/>
      <c r="K10" s="26"/>
      <c r="L10" s="28">
        <f>+L11+L26</f>
        <v>13247810061.540001</v>
      </c>
      <c r="M10" s="28">
        <f>+M11+M26</f>
        <v>168230930991.63</v>
      </c>
      <c r="N10" s="28">
        <f>+N11+N26</f>
        <v>15038752107.540001</v>
      </c>
      <c r="O10" s="28">
        <f>+O11+O26</f>
        <v>167172678003.66</v>
      </c>
      <c r="P10" s="28">
        <f>+P11+P26</f>
        <v>1058252987.97</v>
      </c>
      <c r="Q10" s="232">
        <f t="shared" ref="Q10:Q40" si="1">O10/I10</f>
        <v>1.0129226470775674</v>
      </c>
    </row>
    <row r="11" spans="2:17" s="14" customFormat="1" ht="10.5" x14ac:dyDescent="0.25">
      <c r="B11" s="257" t="s">
        <v>624</v>
      </c>
      <c r="C11" s="101" t="s">
        <v>576</v>
      </c>
      <c r="D11" s="37">
        <f t="shared" si="0"/>
        <v>137605064332</v>
      </c>
      <c r="E11" s="37">
        <f t="shared" si="0"/>
        <v>27434860963.360001</v>
      </c>
      <c r="F11" s="233">
        <f t="shared" si="0"/>
        <v>0</v>
      </c>
      <c r="G11" s="233">
        <f t="shared" si="0"/>
        <v>0</v>
      </c>
      <c r="H11" s="233">
        <f t="shared" si="0"/>
        <v>0</v>
      </c>
      <c r="I11" s="234">
        <f>+I12</f>
        <v>165039925295.35999</v>
      </c>
      <c r="J11" s="37"/>
      <c r="K11" s="37"/>
      <c r="L11" s="37">
        <f t="shared" ref="L11:P14" si="2">+L12</f>
        <v>13044839036</v>
      </c>
      <c r="M11" s="37">
        <f t="shared" si="2"/>
        <v>161452844908</v>
      </c>
      <c r="N11" s="37">
        <f t="shared" si="2"/>
        <v>14837895082</v>
      </c>
      <c r="O11" s="37">
        <f t="shared" si="2"/>
        <v>160394591920.03</v>
      </c>
      <c r="P11" s="37">
        <f t="shared" si="2"/>
        <v>1058252987.97</v>
      </c>
      <c r="Q11" s="235">
        <f t="shared" si="1"/>
        <v>0.97185327509681929</v>
      </c>
    </row>
    <row r="12" spans="2:17" s="14" customFormat="1" ht="10.5" x14ac:dyDescent="0.25">
      <c r="B12" s="257" t="s">
        <v>625</v>
      </c>
      <c r="C12" s="101" t="s">
        <v>626</v>
      </c>
      <c r="D12" s="37">
        <f t="shared" si="0"/>
        <v>137605064332</v>
      </c>
      <c r="E12" s="37">
        <f t="shared" si="0"/>
        <v>27434860963.360001</v>
      </c>
      <c r="F12" s="236">
        <f>+F13+F14+F17</f>
        <v>0</v>
      </c>
      <c r="G12" s="236">
        <f>+G13+G14+G17</f>
        <v>0</v>
      </c>
      <c r="H12" s="236">
        <f>+H13+H14+H17</f>
        <v>0</v>
      </c>
      <c r="I12" s="234">
        <f t="shared" ref="I12:I25" si="3">+D12+E12-F12+G12-H12</f>
        <v>165039925295.35999</v>
      </c>
      <c r="J12" s="59"/>
      <c r="K12" s="59"/>
      <c r="L12" s="37">
        <f t="shared" si="2"/>
        <v>13044839036</v>
      </c>
      <c r="M12" s="37">
        <f t="shared" si="2"/>
        <v>161452844908</v>
      </c>
      <c r="N12" s="37">
        <f t="shared" si="2"/>
        <v>14837895082</v>
      </c>
      <c r="O12" s="37">
        <f t="shared" si="2"/>
        <v>160394591920.03</v>
      </c>
      <c r="P12" s="37">
        <f t="shared" si="2"/>
        <v>1058252987.97</v>
      </c>
      <c r="Q12" s="235">
        <f t="shared" si="1"/>
        <v>0.97185327509681929</v>
      </c>
    </row>
    <row r="13" spans="2:17" s="14" customFormat="1" ht="10.5" x14ac:dyDescent="0.25">
      <c r="B13" s="257" t="s">
        <v>627</v>
      </c>
      <c r="C13" s="101" t="s">
        <v>628</v>
      </c>
      <c r="D13" s="37">
        <f>+D14+D26</f>
        <v>137605064332</v>
      </c>
      <c r="E13" s="37">
        <f>+E14+E26</f>
        <v>27434860963.360001</v>
      </c>
      <c r="F13" s="236">
        <f>+F14+F17+F18</f>
        <v>0</v>
      </c>
      <c r="G13" s="236">
        <f>+G14+G17+G18</f>
        <v>0</v>
      </c>
      <c r="H13" s="236">
        <f>+H14+H17+H18</f>
        <v>0</v>
      </c>
      <c r="I13" s="234">
        <f t="shared" si="3"/>
        <v>165039925295.35999</v>
      </c>
      <c r="J13" s="59"/>
      <c r="K13" s="59"/>
      <c r="L13" s="37">
        <f t="shared" si="2"/>
        <v>13044839036</v>
      </c>
      <c r="M13" s="37">
        <f t="shared" si="2"/>
        <v>161452844908</v>
      </c>
      <c r="N13" s="37">
        <f t="shared" si="2"/>
        <v>14837895082</v>
      </c>
      <c r="O13" s="37">
        <f t="shared" si="2"/>
        <v>160394591920.03</v>
      </c>
      <c r="P13" s="37">
        <f t="shared" si="2"/>
        <v>1058252987.97</v>
      </c>
      <c r="Q13" s="235">
        <f t="shared" si="1"/>
        <v>0.97185327509681929</v>
      </c>
    </row>
    <row r="14" spans="2:17" s="14" customFormat="1" ht="10.5" x14ac:dyDescent="0.25">
      <c r="B14" s="257" t="s">
        <v>629</v>
      </c>
      <c r="C14" s="101" t="s">
        <v>630</v>
      </c>
      <c r="D14" s="37">
        <f>+D15</f>
        <v>137581064332</v>
      </c>
      <c r="E14" s="37">
        <f>+E15</f>
        <v>22660109123</v>
      </c>
      <c r="F14" s="233">
        <v>0</v>
      </c>
      <c r="G14" s="233">
        <v>0</v>
      </c>
      <c r="H14" s="233">
        <v>0</v>
      </c>
      <c r="I14" s="234">
        <f t="shared" si="3"/>
        <v>160241173455</v>
      </c>
      <c r="J14" s="59"/>
      <c r="K14" s="59"/>
      <c r="L14" s="37">
        <f t="shared" si="2"/>
        <v>13044839036</v>
      </c>
      <c r="M14" s="37">
        <f t="shared" si="2"/>
        <v>161452844908</v>
      </c>
      <c r="N14" s="37">
        <f t="shared" si="2"/>
        <v>14837895082</v>
      </c>
      <c r="O14" s="37">
        <f t="shared" si="2"/>
        <v>160394591920.03</v>
      </c>
      <c r="P14" s="37">
        <f t="shared" si="2"/>
        <v>1058252987.97</v>
      </c>
      <c r="Q14" s="235">
        <f t="shared" si="1"/>
        <v>1.0009574222512361</v>
      </c>
    </row>
    <row r="15" spans="2:17" s="14" customFormat="1" ht="10.5" x14ac:dyDescent="0.25">
      <c r="B15" s="257" t="s">
        <v>631</v>
      </c>
      <c r="C15" s="101" t="s">
        <v>632</v>
      </c>
      <c r="D15" s="258">
        <f>+D16+D21</f>
        <v>137581064332</v>
      </c>
      <c r="E15" s="258">
        <f>+E16+E21</f>
        <v>22660109123</v>
      </c>
      <c r="F15" s="233">
        <v>0</v>
      </c>
      <c r="G15" s="233">
        <v>0</v>
      </c>
      <c r="H15" s="233">
        <v>0</v>
      </c>
      <c r="I15" s="234">
        <f t="shared" si="3"/>
        <v>160241173455</v>
      </c>
      <c r="J15" s="59"/>
      <c r="K15" s="59"/>
      <c r="L15" s="37">
        <f>+L16+L21</f>
        <v>13044839036</v>
      </c>
      <c r="M15" s="37">
        <f>+M16+M21</f>
        <v>161452844908</v>
      </c>
      <c r="N15" s="37">
        <f>+N16+N21</f>
        <v>14837895082</v>
      </c>
      <c r="O15" s="37">
        <f>+O16+O21</f>
        <v>160394591920.03</v>
      </c>
      <c r="P15" s="37">
        <f>+P16+P21</f>
        <v>1058252987.97</v>
      </c>
      <c r="Q15" s="238">
        <f t="shared" si="1"/>
        <v>1.0009574222512361</v>
      </c>
    </row>
    <row r="16" spans="2:17" s="14" customFormat="1" ht="10.5" x14ac:dyDescent="0.25">
      <c r="B16" s="257" t="s">
        <v>633</v>
      </c>
      <c r="C16" s="101" t="s">
        <v>634</v>
      </c>
      <c r="D16" s="258">
        <f>SUM(D17:D19)</f>
        <v>5459663110</v>
      </c>
      <c r="E16" s="258">
        <f>SUM(E17:E20)</f>
        <v>4245254031</v>
      </c>
      <c r="F16" s="233">
        <v>0</v>
      </c>
      <c r="G16" s="233">
        <v>0</v>
      </c>
      <c r="H16" s="233">
        <v>0</v>
      </c>
      <c r="I16" s="234">
        <f t="shared" si="3"/>
        <v>9704917141</v>
      </c>
      <c r="J16" s="59"/>
      <c r="K16" s="59"/>
      <c r="L16" s="258">
        <f>SUM(L17:L20)</f>
        <v>975777199</v>
      </c>
      <c r="M16" s="258">
        <f t="shared" ref="M16:P16" si="4">SUM(M17:M20)</f>
        <v>9807182043</v>
      </c>
      <c r="N16" s="258">
        <f t="shared" si="4"/>
        <v>975777199</v>
      </c>
      <c r="O16" s="258">
        <f t="shared" si="4"/>
        <v>9807182043</v>
      </c>
      <c r="P16" s="258">
        <f t="shared" si="4"/>
        <v>0</v>
      </c>
      <c r="Q16" s="238">
        <f t="shared" si="1"/>
        <v>1.0105374317486921</v>
      </c>
    </row>
    <row r="17" spans="2:22" x14ac:dyDescent="0.2">
      <c r="B17" s="50" t="s">
        <v>635</v>
      </c>
      <c r="C17" s="58" t="s">
        <v>636</v>
      </c>
      <c r="D17" s="36">
        <v>5433663110</v>
      </c>
      <c r="E17" s="56">
        <f>2497152910+1282913544</f>
        <v>3780066454</v>
      </c>
      <c r="F17" s="237">
        <v>0</v>
      </c>
      <c r="G17" s="237">
        <v>0</v>
      </c>
      <c r="H17" s="237">
        <v>0</v>
      </c>
      <c r="I17" s="239">
        <f t="shared" si="3"/>
        <v>9213729564</v>
      </c>
      <c r="J17" s="61"/>
      <c r="K17" s="61"/>
      <c r="L17" s="36">
        <v>886652186</v>
      </c>
      <c r="M17" s="36">
        <v>9313390229</v>
      </c>
      <c r="N17" s="36">
        <v>886652186</v>
      </c>
      <c r="O17" s="36">
        <v>9313390229</v>
      </c>
      <c r="P17" s="36">
        <v>0</v>
      </c>
      <c r="Q17" s="238">
        <f t="shared" si="1"/>
        <v>1.0108165389821506</v>
      </c>
      <c r="S17" s="85"/>
    </row>
    <row r="18" spans="2:22" x14ac:dyDescent="0.2">
      <c r="B18" s="50" t="s">
        <v>637</v>
      </c>
      <c r="C18" s="58" t="s">
        <v>586</v>
      </c>
      <c r="D18" s="36">
        <v>25000000</v>
      </c>
      <c r="E18" s="56">
        <v>11529041</v>
      </c>
      <c r="F18" s="237">
        <v>0</v>
      </c>
      <c r="G18" s="237">
        <v>0</v>
      </c>
      <c r="H18" s="237">
        <v>0</v>
      </c>
      <c r="I18" s="239">
        <f t="shared" si="3"/>
        <v>36529041</v>
      </c>
      <c r="J18" s="61"/>
      <c r="K18" s="61"/>
      <c r="L18" s="36">
        <v>3604237</v>
      </c>
      <c r="M18" s="36">
        <v>40133278</v>
      </c>
      <c r="N18" s="36">
        <v>3604237</v>
      </c>
      <c r="O18" s="36">
        <v>40133278</v>
      </c>
      <c r="P18" s="36">
        <v>0</v>
      </c>
      <c r="Q18" s="238">
        <f t="shared" si="1"/>
        <v>1.098667714819012</v>
      </c>
    </row>
    <row r="19" spans="2:22" ht="10.5" x14ac:dyDescent="0.25">
      <c r="B19" s="50" t="s">
        <v>638</v>
      </c>
      <c r="C19" s="58" t="s">
        <v>639</v>
      </c>
      <c r="D19" s="36">
        <v>1000000</v>
      </c>
      <c r="E19" s="56">
        <v>0</v>
      </c>
      <c r="F19" s="237">
        <v>0</v>
      </c>
      <c r="G19" s="237">
        <v>0</v>
      </c>
      <c r="H19" s="237">
        <v>0</v>
      </c>
      <c r="I19" s="239">
        <f t="shared" si="3"/>
        <v>1000000</v>
      </c>
      <c r="J19" s="59"/>
      <c r="K19" s="59"/>
      <c r="L19" s="36">
        <v>0</v>
      </c>
      <c r="M19" s="36">
        <v>0</v>
      </c>
      <c r="N19" s="36">
        <v>0</v>
      </c>
      <c r="O19" s="36">
        <v>0</v>
      </c>
      <c r="P19" s="36">
        <v>0</v>
      </c>
      <c r="Q19" s="235">
        <f t="shared" si="1"/>
        <v>0</v>
      </c>
    </row>
    <row r="20" spans="2:22" ht="10.5" x14ac:dyDescent="0.25">
      <c r="B20" s="50" t="s">
        <v>638</v>
      </c>
      <c r="C20" s="58" t="s">
        <v>640</v>
      </c>
      <c r="D20" s="36">
        <v>0</v>
      </c>
      <c r="E20" s="56">
        <f>113683499+145696852+85520776+108757409</f>
        <v>453658536</v>
      </c>
      <c r="F20" s="237">
        <v>0</v>
      </c>
      <c r="G20" s="237">
        <v>0</v>
      </c>
      <c r="H20" s="237">
        <v>0</v>
      </c>
      <c r="I20" s="239">
        <f t="shared" si="3"/>
        <v>453658536</v>
      </c>
      <c r="J20" s="59"/>
      <c r="K20" s="59"/>
      <c r="L20" s="36">
        <v>85520776</v>
      </c>
      <c r="M20" s="36">
        <v>453658536</v>
      </c>
      <c r="N20" s="36">
        <v>85520776</v>
      </c>
      <c r="O20" s="36">
        <v>453658536</v>
      </c>
      <c r="P20" s="36">
        <v>0</v>
      </c>
      <c r="Q20" s="235">
        <f t="shared" si="1"/>
        <v>1</v>
      </c>
    </row>
    <row r="21" spans="2:22" s="14" customFormat="1" ht="10.5" x14ac:dyDescent="0.25">
      <c r="B21" s="257" t="s">
        <v>641</v>
      </c>
      <c r="C21" s="101" t="s">
        <v>642</v>
      </c>
      <c r="D21" s="37">
        <v>132121401222</v>
      </c>
      <c r="E21" s="259">
        <f>SUM(E22:E25)</f>
        <v>18414855092</v>
      </c>
      <c r="F21" s="236">
        <v>0</v>
      </c>
      <c r="G21" s="236">
        <v>0</v>
      </c>
      <c r="H21" s="236">
        <v>0</v>
      </c>
      <c r="I21" s="37">
        <f>SUM(I22:I25)</f>
        <v>150536256314</v>
      </c>
      <c r="J21" s="59"/>
      <c r="K21" s="59"/>
      <c r="L21" s="37">
        <f>SUM(L22:L25)</f>
        <v>12069061837</v>
      </c>
      <c r="M21" s="37">
        <f>SUM(M22:M25)</f>
        <v>151645662865</v>
      </c>
      <c r="N21" s="37">
        <f>SUM(N22:N25)</f>
        <v>13862117883</v>
      </c>
      <c r="O21" s="37">
        <f>SUM(O22:O25)</f>
        <v>150587409877.03</v>
      </c>
      <c r="P21" s="37">
        <f>SUM(P22:P25)</f>
        <v>1058252987.97</v>
      </c>
      <c r="Q21" s="235">
        <f t="shared" si="1"/>
        <v>1.0003398089223323</v>
      </c>
    </row>
    <row r="22" spans="2:22" x14ac:dyDescent="0.2">
      <c r="B22" s="50" t="s">
        <v>643</v>
      </c>
      <c r="C22" s="58" t="s">
        <v>644</v>
      </c>
      <c r="D22" s="36">
        <v>131979401222</v>
      </c>
      <c r="E22" s="260">
        <f>9554442858+3554806672+2966750689</f>
        <v>16076000219</v>
      </c>
      <c r="F22" s="241">
        <v>0</v>
      </c>
      <c r="G22" s="241">
        <v>0</v>
      </c>
      <c r="H22" s="241">
        <v>0</v>
      </c>
      <c r="I22" s="239">
        <f t="shared" si="3"/>
        <v>148055401441</v>
      </c>
      <c r="J22" s="61"/>
      <c r="K22" s="61"/>
      <c r="L22" s="36">
        <v>12066229204</v>
      </c>
      <c r="M22" s="36">
        <v>148074434107</v>
      </c>
      <c r="N22" s="36">
        <v>12069942712</v>
      </c>
      <c r="O22" s="36">
        <v>148071565705.03</v>
      </c>
      <c r="P22" s="36">
        <v>2868401.97</v>
      </c>
      <c r="Q22" s="238">
        <f t="shared" si="1"/>
        <v>1.0001091771314836</v>
      </c>
    </row>
    <row r="23" spans="2:22" x14ac:dyDescent="0.2">
      <c r="B23" s="50" t="s">
        <v>645</v>
      </c>
      <c r="C23" s="58" t="s">
        <v>586</v>
      </c>
      <c r="D23" s="36">
        <v>140000000</v>
      </c>
      <c r="E23" s="56">
        <v>11187350</v>
      </c>
      <c r="F23" s="61">
        <v>0</v>
      </c>
      <c r="G23" s="61">
        <v>0</v>
      </c>
      <c r="H23" s="61">
        <v>0</v>
      </c>
      <c r="I23" s="239">
        <f t="shared" si="3"/>
        <v>151187350</v>
      </c>
      <c r="J23" s="61"/>
      <c r="K23" s="61"/>
      <c r="L23" s="36">
        <v>2682400</v>
      </c>
      <c r="M23" s="36">
        <v>153869750</v>
      </c>
      <c r="N23" s="36">
        <v>2682400</v>
      </c>
      <c r="O23" s="36">
        <v>153869750</v>
      </c>
      <c r="P23" s="36">
        <v>0</v>
      </c>
      <c r="Q23" s="238">
        <f t="shared" si="1"/>
        <v>1.0177422251266393</v>
      </c>
    </row>
    <row r="24" spans="2:22" x14ac:dyDescent="0.2">
      <c r="B24" s="50" t="s">
        <v>646</v>
      </c>
      <c r="C24" s="58" t="s">
        <v>639</v>
      </c>
      <c r="D24" s="36">
        <v>1000000</v>
      </c>
      <c r="E24" s="56">
        <f>1756185872+522914087</f>
        <v>2279099959</v>
      </c>
      <c r="F24" s="61">
        <v>0</v>
      </c>
      <c r="G24" s="61">
        <v>0</v>
      </c>
      <c r="H24" s="61">
        <v>0</v>
      </c>
      <c r="I24" s="239">
        <f t="shared" si="3"/>
        <v>2280099959</v>
      </c>
      <c r="J24" s="61"/>
      <c r="K24" s="61"/>
      <c r="L24" s="36">
        <v>0</v>
      </c>
      <c r="M24" s="36">
        <v>3367641211</v>
      </c>
      <c r="N24" s="36">
        <v>1789342538</v>
      </c>
      <c r="O24" s="36">
        <v>2312256625</v>
      </c>
      <c r="P24" s="36">
        <v>1055384586</v>
      </c>
      <c r="Q24" s="238">
        <f t="shared" si="1"/>
        <v>1.0141031825701639</v>
      </c>
    </row>
    <row r="25" spans="2:22" x14ac:dyDescent="0.2">
      <c r="B25" s="50" t="s">
        <v>647</v>
      </c>
      <c r="C25" s="58" t="s">
        <v>590</v>
      </c>
      <c r="D25" s="36">
        <v>1000000</v>
      </c>
      <c r="E25" s="56">
        <v>48567564</v>
      </c>
      <c r="F25" s="61">
        <v>0</v>
      </c>
      <c r="G25" s="61">
        <v>0</v>
      </c>
      <c r="H25" s="61">
        <v>0</v>
      </c>
      <c r="I25" s="239">
        <f t="shared" si="3"/>
        <v>49567564</v>
      </c>
      <c r="J25" s="61"/>
      <c r="K25" s="61"/>
      <c r="L25" s="36">
        <v>150233</v>
      </c>
      <c r="M25" s="36">
        <v>49717797</v>
      </c>
      <c r="N25" s="36">
        <v>150233</v>
      </c>
      <c r="O25" s="36">
        <v>49717797</v>
      </c>
      <c r="P25" s="36">
        <v>0</v>
      </c>
      <c r="Q25" s="238">
        <f t="shared" si="1"/>
        <v>1.0030308731734325</v>
      </c>
      <c r="R25" s="47"/>
    </row>
    <row r="26" spans="2:22" s="14" customFormat="1" ht="10.5" x14ac:dyDescent="0.25">
      <c r="B26" s="33">
        <v>1.2</v>
      </c>
      <c r="C26" s="34" t="s">
        <v>602</v>
      </c>
      <c r="D26" s="37">
        <f>+D27</f>
        <v>24000000</v>
      </c>
      <c r="E26" s="37">
        <f>+E27</f>
        <v>4774751840.3599997</v>
      </c>
      <c r="F26" s="59">
        <v>0</v>
      </c>
      <c r="G26" s="59">
        <v>0</v>
      </c>
      <c r="H26" s="59">
        <v>0</v>
      </c>
      <c r="I26" s="37">
        <f>+I27</f>
        <v>4798751840.3599997</v>
      </c>
      <c r="J26" s="59"/>
      <c r="K26" s="59"/>
      <c r="L26" s="37">
        <f t="shared" ref="L26:P27" si="5">+L27</f>
        <v>202971025.53999999</v>
      </c>
      <c r="M26" s="37">
        <f t="shared" si="5"/>
        <v>6778086083.6300001</v>
      </c>
      <c r="N26" s="37">
        <f t="shared" si="5"/>
        <v>200857025.53999999</v>
      </c>
      <c r="O26" s="37">
        <f t="shared" si="5"/>
        <v>6778086083.6300001</v>
      </c>
      <c r="P26" s="37">
        <f t="shared" si="5"/>
        <v>0</v>
      </c>
      <c r="Q26" s="235">
        <f t="shared" si="1"/>
        <v>1.412468556223885</v>
      </c>
    </row>
    <row r="27" spans="2:22" ht="10.5" x14ac:dyDescent="0.25">
      <c r="B27" s="41" t="s">
        <v>603</v>
      </c>
      <c r="C27" s="34" t="s">
        <v>604</v>
      </c>
      <c r="D27" s="37">
        <f>+D28+D33</f>
        <v>24000000</v>
      </c>
      <c r="E27" s="37">
        <f>+E28+E33</f>
        <v>4774751840.3599997</v>
      </c>
      <c r="F27" s="59">
        <v>0</v>
      </c>
      <c r="G27" s="59">
        <v>0</v>
      </c>
      <c r="H27" s="59">
        <v>0</v>
      </c>
      <c r="I27" s="37">
        <f>+I28+I33</f>
        <v>4798751840.3599997</v>
      </c>
      <c r="J27" s="242"/>
      <c r="K27" s="242"/>
      <c r="L27" s="37">
        <f>+L28+L33</f>
        <v>202971025.53999999</v>
      </c>
      <c r="M27" s="37">
        <f>+M28+M33</f>
        <v>6778086083.6300001</v>
      </c>
      <c r="N27" s="37">
        <f>+N28+N33</f>
        <v>200857025.53999999</v>
      </c>
      <c r="O27" s="37">
        <f>+O28+O33</f>
        <v>6778086083.6300001</v>
      </c>
      <c r="P27" s="37">
        <f t="shared" si="5"/>
        <v>0</v>
      </c>
      <c r="Q27" s="235">
        <f t="shared" si="1"/>
        <v>1.412468556223885</v>
      </c>
      <c r="R27" s="84"/>
      <c r="S27" s="72"/>
      <c r="T27" s="78"/>
      <c r="U27" s="72"/>
      <c r="V27" s="72"/>
    </row>
    <row r="28" spans="2:22" s="14" customFormat="1" ht="10.5" x14ac:dyDescent="0.25">
      <c r="B28" s="41" t="s">
        <v>605</v>
      </c>
      <c r="C28" s="34" t="s">
        <v>606</v>
      </c>
      <c r="D28" s="37">
        <f>+D29</f>
        <v>20000000</v>
      </c>
      <c r="E28" s="37">
        <f>+E29</f>
        <v>194881714</v>
      </c>
      <c r="F28" s="59">
        <v>0</v>
      </c>
      <c r="G28" s="59">
        <v>0</v>
      </c>
      <c r="H28" s="59">
        <v>0</v>
      </c>
      <c r="I28" s="37">
        <f>+I29</f>
        <v>214881714</v>
      </c>
      <c r="J28" s="59"/>
      <c r="K28" s="59"/>
      <c r="L28" s="37">
        <f>+L29</f>
        <v>15480705.539999999</v>
      </c>
      <c r="M28" s="37">
        <f>+M29</f>
        <v>230362420.06</v>
      </c>
      <c r="N28" s="37">
        <f>+N29</f>
        <v>15480705.539999999</v>
      </c>
      <c r="O28" s="37">
        <f>SUM(O30:O32)</f>
        <v>230362420.06</v>
      </c>
      <c r="P28" s="37">
        <f>SUM(P30:P32)</f>
        <v>0</v>
      </c>
      <c r="Q28" s="235">
        <f t="shared" si="1"/>
        <v>1.0720429196688184</v>
      </c>
      <c r="S28" s="14" t="s">
        <v>607</v>
      </c>
    </row>
    <row r="29" spans="2:22" s="14" customFormat="1" ht="10.5" x14ac:dyDescent="0.25">
      <c r="B29" s="41" t="s">
        <v>608</v>
      </c>
      <c r="C29" s="34" t="s">
        <v>648</v>
      </c>
      <c r="D29" s="37">
        <f>SUM(D30:D32)</f>
        <v>20000000</v>
      </c>
      <c r="E29" s="37">
        <f>SUM(E30:E32)</f>
        <v>194881714</v>
      </c>
      <c r="F29" s="59">
        <v>0</v>
      </c>
      <c r="G29" s="59">
        <v>0</v>
      </c>
      <c r="H29" s="59">
        <v>0</v>
      </c>
      <c r="I29" s="37">
        <f>SUM(I30:I32)</f>
        <v>214881714</v>
      </c>
      <c r="J29" s="59"/>
      <c r="K29" s="59"/>
      <c r="L29" s="37">
        <f>SUM(L30:L32)</f>
        <v>15480705.539999999</v>
      </c>
      <c r="M29" s="37">
        <f>SUM(M30:M32)</f>
        <v>230362420.06</v>
      </c>
      <c r="N29" s="37">
        <f>SUM(N30:N32)</f>
        <v>15480705.539999999</v>
      </c>
      <c r="O29" s="37">
        <f>SUM(O30:O32)</f>
        <v>230362420.06</v>
      </c>
      <c r="P29" s="37">
        <f>+P28</f>
        <v>0</v>
      </c>
      <c r="Q29" s="235">
        <f t="shared" si="1"/>
        <v>1.0720429196688184</v>
      </c>
    </row>
    <row r="30" spans="2:22" x14ac:dyDescent="0.2">
      <c r="B30" s="50" t="s">
        <v>649</v>
      </c>
      <c r="C30" s="58" t="s">
        <v>650</v>
      </c>
      <c r="D30" s="36">
        <v>17000000</v>
      </c>
      <c r="E30" s="261">
        <f>86329185+5670948</f>
        <v>92000133</v>
      </c>
      <c r="F30" s="61">
        <v>0</v>
      </c>
      <c r="G30" s="61">
        <v>0</v>
      </c>
      <c r="H30" s="61">
        <v>0</v>
      </c>
      <c r="I30" s="239">
        <f t="shared" ref="I30:I40" si="6">+D30+E30-F30+G30-H30</f>
        <v>109000133</v>
      </c>
      <c r="J30" s="61"/>
      <c r="K30" s="61"/>
      <c r="L30" s="36">
        <v>4268529</v>
      </c>
      <c r="M30" s="36">
        <v>113268662</v>
      </c>
      <c r="N30" s="36">
        <v>4268529</v>
      </c>
      <c r="O30" s="36">
        <v>113268662</v>
      </c>
      <c r="P30" s="36">
        <v>0</v>
      </c>
      <c r="Q30" s="238">
        <f t="shared" si="1"/>
        <v>1.0391607687304381</v>
      </c>
    </row>
    <row r="31" spans="2:22" x14ac:dyDescent="0.2">
      <c r="B31" s="50" t="s">
        <v>651</v>
      </c>
      <c r="C31" s="58" t="s">
        <v>652</v>
      </c>
      <c r="D31" s="36">
        <v>2000000</v>
      </c>
      <c r="E31" s="261">
        <f>11718616+3893381</f>
        <v>15611997</v>
      </c>
      <c r="F31" s="61">
        <v>0</v>
      </c>
      <c r="G31" s="61">
        <v>0</v>
      </c>
      <c r="H31" s="61">
        <v>0</v>
      </c>
      <c r="I31" s="239">
        <f t="shared" si="6"/>
        <v>17611997</v>
      </c>
      <c r="J31" s="61"/>
      <c r="K31" s="61"/>
      <c r="L31" s="36">
        <v>4144810</v>
      </c>
      <c r="M31" s="36">
        <v>21756807</v>
      </c>
      <c r="N31" s="36">
        <v>4144810</v>
      </c>
      <c r="O31" s="36">
        <v>21756807</v>
      </c>
      <c r="P31" s="36">
        <v>0</v>
      </c>
      <c r="Q31" s="238">
        <f>O31/I31</f>
        <v>1.2353401491040454</v>
      </c>
    </row>
    <row r="32" spans="2:22" x14ac:dyDescent="0.2">
      <c r="B32" s="50" t="s">
        <v>653</v>
      </c>
      <c r="C32" s="58" t="s">
        <v>613</v>
      </c>
      <c r="D32" s="36">
        <v>1000000</v>
      </c>
      <c r="E32" s="261">
        <f>78084907+9184677</f>
        <v>87269584</v>
      </c>
      <c r="F32" s="61">
        <v>0</v>
      </c>
      <c r="G32" s="61">
        <v>0</v>
      </c>
      <c r="H32" s="61">
        <v>0</v>
      </c>
      <c r="I32" s="239">
        <f t="shared" si="6"/>
        <v>88269584</v>
      </c>
      <c r="J32" s="61"/>
      <c r="K32" s="61"/>
      <c r="L32" s="36">
        <v>7067366.54</v>
      </c>
      <c r="M32" s="36">
        <v>95336951.060000017</v>
      </c>
      <c r="N32" s="36">
        <v>7067366.54</v>
      </c>
      <c r="O32" s="36">
        <v>95336951.060000002</v>
      </c>
      <c r="P32" s="36">
        <v>0</v>
      </c>
      <c r="Q32" s="238">
        <f>O32/I32</f>
        <v>1.0800657116498928</v>
      </c>
    </row>
    <row r="33" spans="2:17" s="14" customFormat="1" ht="10.5" x14ac:dyDescent="0.25">
      <c r="B33" s="257" t="s">
        <v>654</v>
      </c>
      <c r="C33" s="101" t="s">
        <v>655</v>
      </c>
      <c r="D33" s="37">
        <f>SUM(D34:D36)</f>
        <v>4000000</v>
      </c>
      <c r="E33" s="37">
        <f>SUM(E34:E40)</f>
        <v>4579870126.3599997</v>
      </c>
      <c r="F33" s="59"/>
      <c r="G33" s="59"/>
      <c r="H33" s="59"/>
      <c r="I33" s="37">
        <f>SUM(I34:I40)</f>
        <v>4583870126.3599997</v>
      </c>
      <c r="J33" s="59"/>
      <c r="K33" s="59"/>
      <c r="L33" s="37">
        <f>SUM(L34:L40)</f>
        <v>187490320</v>
      </c>
      <c r="M33" s="37">
        <f t="shared" ref="M33:O33" si="7">SUM(M34:M40)</f>
        <v>6547723663.5699997</v>
      </c>
      <c r="N33" s="37">
        <f t="shared" si="7"/>
        <v>185376320</v>
      </c>
      <c r="O33" s="37">
        <f t="shared" si="7"/>
        <v>6547723663.5699997</v>
      </c>
      <c r="P33" s="37">
        <f>SUM(P34:P36)</f>
        <v>0</v>
      </c>
      <c r="Q33" s="238">
        <f>O33/I33</f>
        <v>1.4284269586777045</v>
      </c>
    </row>
    <row r="34" spans="2:17" x14ac:dyDescent="0.2">
      <c r="B34" s="50" t="s">
        <v>656</v>
      </c>
      <c r="C34" s="58" t="s">
        <v>657</v>
      </c>
      <c r="D34" s="36">
        <v>1000000</v>
      </c>
      <c r="E34" s="261">
        <v>132301926</v>
      </c>
      <c r="F34" s="61">
        <v>0</v>
      </c>
      <c r="G34" s="61">
        <v>0</v>
      </c>
      <c r="H34" s="61">
        <v>0</v>
      </c>
      <c r="I34" s="239">
        <f t="shared" si="6"/>
        <v>133301926</v>
      </c>
      <c r="J34" s="61"/>
      <c r="K34" s="61"/>
      <c r="L34" s="36">
        <v>0</v>
      </c>
      <c r="M34" s="36">
        <v>133301926</v>
      </c>
      <c r="N34" s="36">
        <v>0</v>
      </c>
      <c r="O34" s="36">
        <v>133301926</v>
      </c>
      <c r="P34" s="36">
        <v>0</v>
      </c>
      <c r="Q34" s="238">
        <f t="shared" si="1"/>
        <v>1</v>
      </c>
    </row>
    <row r="35" spans="2:17" x14ac:dyDescent="0.2">
      <c r="B35" s="50" t="s">
        <v>658</v>
      </c>
      <c r="C35" s="58" t="s">
        <v>659</v>
      </c>
      <c r="D35" s="36">
        <v>1000000</v>
      </c>
      <c r="E35" s="261">
        <v>0</v>
      </c>
      <c r="F35" s="61">
        <v>0</v>
      </c>
      <c r="G35" s="61">
        <v>0</v>
      </c>
      <c r="H35" s="61">
        <v>0</v>
      </c>
      <c r="I35" s="239">
        <f t="shared" si="6"/>
        <v>1000000</v>
      </c>
      <c r="J35" s="61"/>
      <c r="K35" s="61"/>
      <c r="L35" s="36">
        <v>2114000</v>
      </c>
      <c r="M35" s="36">
        <v>1964833537.21</v>
      </c>
      <c r="N35" s="36">
        <v>0</v>
      </c>
      <c r="O35" s="36">
        <v>1964833537.21</v>
      </c>
      <c r="P35" s="36">
        <v>0</v>
      </c>
      <c r="Q35" s="238">
        <f t="shared" si="1"/>
        <v>1964.83353721</v>
      </c>
    </row>
    <row r="36" spans="2:17" x14ac:dyDescent="0.2">
      <c r="B36" s="50" t="s">
        <v>660</v>
      </c>
      <c r="C36" s="58" t="s">
        <v>615</v>
      </c>
      <c r="D36" s="36">
        <v>2000000</v>
      </c>
      <c r="E36" s="261">
        <f>11933068+25986338</f>
        <v>37919406</v>
      </c>
      <c r="F36" s="61">
        <v>0</v>
      </c>
      <c r="G36" s="61">
        <v>0</v>
      </c>
      <c r="H36" s="61">
        <v>0</v>
      </c>
      <c r="I36" s="239">
        <f t="shared" si="6"/>
        <v>39919406</v>
      </c>
      <c r="J36" s="61"/>
      <c r="K36" s="61"/>
      <c r="L36" s="36">
        <v>20000</v>
      </c>
      <c r="M36" s="36">
        <v>39939406</v>
      </c>
      <c r="N36" s="36">
        <v>20000</v>
      </c>
      <c r="O36" s="36">
        <v>39939406</v>
      </c>
      <c r="P36" s="36">
        <v>0</v>
      </c>
      <c r="Q36" s="238">
        <f t="shared" si="1"/>
        <v>1.0005010094589082</v>
      </c>
    </row>
    <row r="37" spans="2:17" x14ac:dyDescent="0.2">
      <c r="B37" s="50" t="s">
        <v>661</v>
      </c>
      <c r="C37" s="58" t="s">
        <v>619</v>
      </c>
      <c r="D37" s="36">
        <v>0</v>
      </c>
      <c r="E37" s="36">
        <v>545093743</v>
      </c>
      <c r="F37" s="61">
        <v>0</v>
      </c>
      <c r="G37" s="61">
        <v>0</v>
      </c>
      <c r="H37" s="61">
        <v>0</v>
      </c>
      <c r="I37" s="239">
        <f t="shared" si="6"/>
        <v>545093743</v>
      </c>
      <c r="J37" s="61"/>
      <c r="K37" s="61"/>
      <c r="L37" s="36">
        <v>0</v>
      </c>
      <c r="M37" s="36">
        <v>545093743</v>
      </c>
      <c r="N37" s="36">
        <v>0</v>
      </c>
      <c r="O37" s="36">
        <v>545093743</v>
      </c>
      <c r="P37" s="36">
        <v>0</v>
      </c>
      <c r="Q37" s="238">
        <f t="shared" si="1"/>
        <v>1</v>
      </c>
    </row>
    <row r="38" spans="2:17" x14ac:dyDescent="0.2">
      <c r="B38" s="50" t="s">
        <v>662</v>
      </c>
      <c r="C38" s="58" t="s">
        <v>617</v>
      </c>
      <c r="D38" s="36">
        <v>0</v>
      </c>
      <c r="E38" s="36">
        <v>897200168</v>
      </c>
      <c r="F38" s="61">
        <v>0</v>
      </c>
      <c r="G38" s="61">
        <v>0</v>
      </c>
      <c r="H38" s="61">
        <v>0</v>
      </c>
      <c r="I38" s="239">
        <f t="shared" si="6"/>
        <v>897200168</v>
      </c>
      <c r="J38" s="61"/>
      <c r="K38" s="61"/>
      <c r="L38" s="36">
        <v>0</v>
      </c>
      <c r="M38" s="36">
        <v>897200168</v>
      </c>
      <c r="N38" s="36">
        <v>0</v>
      </c>
      <c r="O38" s="36">
        <v>897200168</v>
      </c>
      <c r="P38" s="36">
        <v>0</v>
      </c>
      <c r="Q38" s="238">
        <f t="shared" si="1"/>
        <v>1</v>
      </c>
    </row>
    <row r="39" spans="2:17" x14ac:dyDescent="0.2">
      <c r="B39" s="50" t="s">
        <v>663</v>
      </c>
      <c r="C39" s="58" t="s">
        <v>621</v>
      </c>
      <c r="D39" s="36">
        <v>0</v>
      </c>
      <c r="E39" s="36">
        <f>86958104+946880409+161141012+355636636+191148807+136119583+74817451+65511410</f>
        <v>2018213412</v>
      </c>
      <c r="F39" s="61">
        <v>0</v>
      </c>
      <c r="G39" s="61">
        <v>0</v>
      </c>
      <c r="H39" s="61">
        <v>0</v>
      </c>
      <c r="I39" s="239">
        <f t="shared" si="6"/>
        <v>2018213412</v>
      </c>
      <c r="J39" s="61"/>
      <c r="K39" s="61"/>
      <c r="L39" s="36">
        <v>140328861</v>
      </c>
      <c r="M39" s="36">
        <v>2018213412</v>
      </c>
      <c r="N39" s="36">
        <v>140328861</v>
      </c>
      <c r="O39" s="36">
        <v>2018213412</v>
      </c>
      <c r="P39" s="36">
        <v>0</v>
      </c>
      <c r="Q39" s="238">
        <f t="shared" si="1"/>
        <v>1</v>
      </c>
    </row>
    <row r="40" spans="2:17" ht="20.5" thickBot="1" x14ac:dyDescent="0.25">
      <c r="B40" s="203">
        <v>12029807</v>
      </c>
      <c r="C40" s="262" t="s">
        <v>664</v>
      </c>
      <c r="D40" s="66">
        <v>0</v>
      </c>
      <c r="E40" s="67">
        <f>871604715.36+32509297+45027459</f>
        <v>949141471.36000001</v>
      </c>
      <c r="F40" s="66">
        <v>0</v>
      </c>
      <c r="G40" s="66">
        <v>0</v>
      </c>
      <c r="H40" s="66">
        <v>0</v>
      </c>
      <c r="I40" s="244">
        <f t="shared" si="6"/>
        <v>949141471.36000001</v>
      </c>
      <c r="J40" s="66"/>
      <c r="K40" s="66"/>
      <c r="L40" s="68">
        <v>45027459</v>
      </c>
      <c r="M40" s="68">
        <v>949141471.36000001</v>
      </c>
      <c r="N40" s="68">
        <v>45027459</v>
      </c>
      <c r="O40" s="68">
        <v>949141471.36000001</v>
      </c>
      <c r="P40" s="68">
        <v>0</v>
      </c>
      <c r="Q40" s="245">
        <f t="shared" si="1"/>
        <v>1</v>
      </c>
    </row>
    <row r="41" spans="2:17" ht="39" customHeight="1" x14ac:dyDescent="0.25">
      <c r="B41" s="569" t="s">
        <v>665</v>
      </c>
      <c r="C41" s="569"/>
      <c r="D41" s="569"/>
      <c r="E41" s="569"/>
      <c r="F41" s="569"/>
      <c r="G41" s="569"/>
      <c r="H41" s="569"/>
      <c r="I41" s="569"/>
      <c r="J41" s="569"/>
      <c r="K41" s="569"/>
      <c r="L41" s="569"/>
      <c r="M41" s="569"/>
      <c r="N41" s="569"/>
      <c r="O41" s="569"/>
      <c r="P41" s="569"/>
      <c r="Q41" s="569"/>
    </row>
    <row r="46" spans="2:17" s="78" customFormat="1" ht="15" customHeight="1" x14ac:dyDescent="0.25">
      <c r="B46" s="128"/>
      <c r="C46" s="79" t="s">
        <v>381</v>
      </c>
      <c r="D46" s="80"/>
      <c r="E46" s="80"/>
      <c r="F46" s="80"/>
      <c r="G46" s="539" t="s">
        <v>382</v>
      </c>
      <c r="H46" s="539"/>
      <c r="I46" s="539"/>
      <c r="J46" s="539"/>
      <c r="K46" s="539"/>
      <c r="L46" s="539"/>
      <c r="M46" s="80"/>
      <c r="N46" s="540" t="s">
        <v>189</v>
      </c>
      <c r="O46" s="540"/>
      <c r="P46" s="540"/>
      <c r="Q46" s="540"/>
    </row>
    <row r="47" spans="2:17" s="78" customFormat="1" ht="15" customHeight="1" x14ac:dyDescent="0.2">
      <c r="B47" s="128"/>
      <c r="C47" s="81" t="s">
        <v>383</v>
      </c>
      <c r="D47" s="72"/>
      <c r="E47" s="514" t="s">
        <v>384</v>
      </c>
      <c r="F47" s="514"/>
      <c r="G47" s="514"/>
      <c r="H47" s="514"/>
      <c r="I47" s="514"/>
      <c r="J47" s="514"/>
      <c r="K47" s="514"/>
      <c r="L47" s="514"/>
      <c r="M47" s="514"/>
      <c r="N47" s="514" t="s">
        <v>192</v>
      </c>
      <c r="O47" s="514"/>
      <c r="P47" s="514"/>
      <c r="Q47" s="514"/>
    </row>
  </sheetData>
  <mergeCells count="21">
    <mergeCell ref="B41:Q41"/>
    <mergeCell ref="G46:L46"/>
    <mergeCell ref="N46:Q46"/>
    <mergeCell ref="E47:M47"/>
    <mergeCell ref="N47:Q47"/>
    <mergeCell ref="P8:Q8"/>
    <mergeCell ref="B1:Q1"/>
    <mergeCell ref="B2:Q2"/>
    <mergeCell ref="B7:C7"/>
    <mergeCell ref="D7:D9"/>
    <mergeCell ref="E7:H7"/>
    <mergeCell ref="I7:I9"/>
    <mergeCell ref="J7:K8"/>
    <mergeCell ref="L7:O7"/>
    <mergeCell ref="P7:Q7"/>
    <mergeCell ref="B8:B9"/>
    <mergeCell ref="C8:C9"/>
    <mergeCell ref="E8:F8"/>
    <mergeCell ref="G8:H8"/>
    <mergeCell ref="L8:M8"/>
    <mergeCell ref="N8:O8"/>
  </mergeCells>
  <printOptions horizontalCentered="1" verticalCentered="1"/>
  <pageMargins left="0.79" right="0.23622047244094491" top="0.74803149606299213" bottom="0.74803149606299213" header="0.31496062992125984" footer="0.31496062992125984"/>
  <pageSetup paperSize="5"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6"/>
  <sheetViews>
    <sheetView workbookViewId="0">
      <pane ySplit="1" topLeftCell="A2" activePane="bottomLeft" state="frozen"/>
      <selection pane="bottomLeft" activeCell="G17" sqref="G17"/>
    </sheetView>
  </sheetViews>
  <sheetFormatPr baseColWidth="10" defaultColWidth="11.453125" defaultRowHeight="10" x14ac:dyDescent="0.2"/>
  <cols>
    <col min="1" max="1" width="6.453125" style="1" customWidth="1"/>
    <col min="2" max="2" width="12.54296875" style="125" customWidth="1"/>
    <col min="3" max="3" width="17.81640625" style="1" customWidth="1"/>
    <col min="4" max="4" width="14.81640625" style="72" customWidth="1"/>
    <col min="5" max="5" width="15.81640625" style="72" customWidth="1"/>
    <col min="6" max="6" width="7" style="72" customWidth="1"/>
    <col min="7" max="7" width="14.81640625" style="72" customWidth="1"/>
    <col min="8" max="8" width="16" style="72" customWidth="1"/>
    <col min="9" max="9" width="18.81640625" style="73" customWidth="1"/>
    <col min="10" max="10" width="15" style="73" customWidth="1"/>
    <col min="11" max="11" width="15" style="72" customWidth="1"/>
    <col min="12" max="12" width="16.453125" style="73" customWidth="1"/>
    <col min="13" max="13" width="14.81640625" style="72" customWidth="1"/>
    <col min="14" max="14" width="13.7265625" style="72" customWidth="1"/>
    <col min="15" max="15" width="14.81640625" style="130" customWidth="1"/>
    <col min="16" max="16" width="13.81640625" style="72" customWidth="1"/>
    <col min="17" max="17" width="14.81640625" style="84" customWidth="1"/>
    <col min="18" max="18" width="13.81640625" style="12" customWidth="1"/>
    <col min="19" max="19" width="14.54296875" style="12" customWidth="1"/>
    <col min="20" max="20" width="14.1796875" style="1" customWidth="1"/>
    <col min="21" max="21" width="14.1796875" style="85" bestFit="1" customWidth="1"/>
    <col min="22" max="16384" width="11.453125" style="1"/>
  </cols>
  <sheetData>
    <row r="1" spans="2:21" ht="15.75" customHeight="1" x14ac:dyDescent="0.25">
      <c r="B1" s="525" t="s">
        <v>0</v>
      </c>
      <c r="C1" s="524"/>
      <c r="D1" s="524"/>
      <c r="E1" s="524"/>
      <c r="F1" s="524"/>
      <c r="G1" s="524"/>
      <c r="H1" s="524"/>
      <c r="I1" s="524"/>
      <c r="J1" s="524"/>
      <c r="K1" s="524"/>
      <c r="L1" s="524"/>
      <c r="M1" s="524"/>
      <c r="N1" s="524"/>
      <c r="O1" s="524"/>
      <c r="P1" s="524"/>
      <c r="Q1" s="524"/>
      <c r="R1" s="524"/>
      <c r="S1" s="524"/>
    </row>
    <row r="2" spans="2:21" ht="15.75" customHeight="1" x14ac:dyDescent="0.25">
      <c r="B2" s="525" t="s">
        <v>1</v>
      </c>
      <c r="C2" s="524"/>
      <c r="D2" s="524"/>
      <c r="E2" s="524"/>
      <c r="F2" s="524"/>
      <c r="G2" s="524"/>
      <c r="H2" s="524"/>
      <c r="I2" s="524"/>
      <c r="J2" s="524"/>
      <c r="K2" s="524"/>
      <c r="L2" s="524"/>
      <c r="M2" s="524"/>
      <c r="N2" s="524"/>
      <c r="O2" s="524"/>
      <c r="P2" s="524"/>
      <c r="Q2" s="524"/>
      <c r="R2" s="524"/>
      <c r="S2" s="524"/>
    </row>
    <row r="3" spans="2:21" ht="18" customHeight="1" x14ac:dyDescent="0.25">
      <c r="B3" s="2" t="s">
        <v>2</v>
      </c>
      <c r="C3" s="3"/>
      <c r="D3" s="4"/>
      <c r="E3" s="4"/>
      <c r="F3" s="4"/>
      <c r="G3" s="5"/>
      <c r="H3" s="86"/>
      <c r="I3" s="18"/>
      <c r="J3" s="87"/>
      <c r="K3" s="13"/>
      <c r="L3" s="10"/>
      <c r="M3" s="10"/>
      <c r="N3" s="10"/>
      <c r="O3" s="88"/>
      <c r="P3" s="10"/>
      <c r="Q3" s="10"/>
      <c r="R3" s="60"/>
      <c r="T3" s="89"/>
    </row>
    <row r="4" spans="2:21" ht="17.25" customHeight="1" thickBot="1" x14ac:dyDescent="0.3">
      <c r="B4" s="2" t="s">
        <v>193</v>
      </c>
      <c r="C4" s="3"/>
      <c r="D4" s="4"/>
      <c r="E4" s="4"/>
      <c r="F4" s="4"/>
      <c r="G4" s="15"/>
      <c r="H4" s="16"/>
      <c r="I4" s="90"/>
      <c r="J4" s="18"/>
      <c r="K4" s="74"/>
      <c r="L4" s="8"/>
      <c r="M4" s="13"/>
      <c r="N4" s="89"/>
      <c r="O4" s="91"/>
      <c r="P4" s="13"/>
      <c r="Q4" s="13"/>
    </row>
    <row r="5" spans="2:21" ht="23.25" customHeight="1" x14ac:dyDescent="0.2">
      <c r="B5" s="526" t="s">
        <v>4</v>
      </c>
      <c r="C5" s="527"/>
      <c r="D5" s="527" t="s">
        <v>5</v>
      </c>
      <c r="E5" s="530" t="s">
        <v>6</v>
      </c>
      <c r="F5" s="530"/>
      <c r="G5" s="530"/>
      <c r="H5" s="530"/>
      <c r="I5" s="527" t="s">
        <v>7</v>
      </c>
      <c r="J5" s="530"/>
      <c r="K5" s="530"/>
      <c r="L5" s="530"/>
      <c r="M5" s="530"/>
      <c r="N5" s="530"/>
      <c r="O5" s="530"/>
      <c r="P5" s="530" t="s">
        <v>8</v>
      </c>
      <c r="Q5" s="530"/>
      <c r="R5" s="534" t="s">
        <v>9</v>
      </c>
      <c r="S5" s="534"/>
      <c r="T5" s="20"/>
    </row>
    <row r="6" spans="2:21" ht="20.25" customHeight="1" x14ac:dyDescent="0.2">
      <c r="B6" s="570" t="s">
        <v>10</v>
      </c>
      <c r="C6" s="541" t="s">
        <v>11</v>
      </c>
      <c r="D6" s="528"/>
      <c r="E6" s="543" t="s">
        <v>12</v>
      </c>
      <c r="F6" s="543"/>
      <c r="G6" s="544" t="s">
        <v>13</v>
      </c>
      <c r="H6" s="544"/>
      <c r="I6" s="528"/>
      <c r="J6" s="544" t="s">
        <v>14</v>
      </c>
      <c r="K6" s="544"/>
      <c r="L6" s="544" t="s">
        <v>15</v>
      </c>
      <c r="M6" s="544"/>
      <c r="N6" s="544" t="s">
        <v>16</v>
      </c>
      <c r="O6" s="544"/>
      <c r="P6" s="544" t="s">
        <v>17</v>
      </c>
      <c r="Q6" s="544"/>
      <c r="R6" s="545" t="s">
        <v>18</v>
      </c>
      <c r="S6" s="545" t="s">
        <v>19</v>
      </c>
      <c r="T6" s="537" t="s">
        <v>20</v>
      </c>
    </row>
    <row r="7" spans="2:21" s="14" customFormat="1" ht="39.75" customHeight="1" thickBot="1" x14ac:dyDescent="0.3">
      <c r="B7" s="571"/>
      <c r="C7" s="542"/>
      <c r="D7" s="529"/>
      <c r="E7" s="21" t="s">
        <v>21</v>
      </c>
      <c r="F7" s="21" t="s">
        <v>22</v>
      </c>
      <c r="G7" s="21" t="s">
        <v>21</v>
      </c>
      <c r="H7" s="22" t="s">
        <v>22</v>
      </c>
      <c r="I7" s="529"/>
      <c r="J7" s="23" t="s">
        <v>23</v>
      </c>
      <c r="K7" s="21" t="s">
        <v>24</v>
      </c>
      <c r="L7" s="23" t="s">
        <v>23</v>
      </c>
      <c r="M7" s="21" t="s">
        <v>24</v>
      </c>
      <c r="N7" s="21" t="s">
        <v>23</v>
      </c>
      <c r="O7" s="92" t="s">
        <v>24</v>
      </c>
      <c r="P7" s="21" t="s">
        <v>23</v>
      </c>
      <c r="Q7" s="21" t="s">
        <v>25</v>
      </c>
      <c r="R7" s="546"/>
      <c r="S7" s="546"/>
      <c r="T7" s="538" t="s">
        <v>20</v>
      </c>
      <c r="U7" s="93"/>
    </row>
    <row r="8" spans="2:21" s="14" customFormat="1" ht="15" customHeight="1" x14ac:dyDescent="0.25">
      <c r="B8" s="94">
        <v>2</v>
      </c>
      <c r="C8" s="26" t="s">
        <v>26</v>
      </c>
      <c r="D8" s="27">
        <f>+D9+D123</f>
        <v>137605064332</v>
      </c>
      <c r="E8" s="28">
        <f>+E9+E123</f>
        <v>27434860963.360001</v>
      </c>
      <c r="F8" s="28">
        <f>SUM(F9:F17)</f>
        <v>0</v>
      </c>
      <c r="G8" s="28">
        <f>+G9+G123</f>
        <v>8316231347</v>
      </c>
      <c r="H8" s="28">
        <f>+H9+H123</f>
        <v>8316231347</v>
      </c>
      <c r="I8" s="95">
        <f>+D8+E8--F8+G8-H8</f>
        <v>165039925295.35999</v>
      </c>
      <c r="J8" s="29">
        <f>+J9+J123</f>
        <v>1654327792</v>
      </c>
      <c r="K8" s="29">
        <f>+K9+K123</f>
        <v>164813470202.35999</v>
      </c>
      <c r="L8" s="29">
        <f>+L9+L123</f>
        <v>1756757835</v>
      </c>
      <c r="M8" s="29">
        <f t="shared" ref="M8:T8" si="0">+M9+M123</f>
        <v>164813470202.35999</v>
      </c>
      <c r="N8" s="29">
        <f t="shared" si="0"/>
        <v>12219009654</v>
      </c>
      <c r="O8" s="96">
        <f t="shared" si="0"/>
        <v>156832317423.35999</v>
      </c>
      <c r="P8" s="29">
        <f t="shared" si="0"/>
        <v>13940020710</v>
      </c>
      <c r="Q8" s="29">
        <f t="shared" si="0"/>
        <v>155349003218.35999</v>
      </c>
      <c r="R8" s="29">
        <f t="shared" si="0"/>
        <v>0</v>
      </c>
      <c r="S8" s="29">
        <f t="shared" si="0"/>
        <v>7981152779</v>
      </c>
      <c r="T8" s="31">
        <f t="shared" si="0"/>
        <v>1483314205</v>
      </c>
      <c r="U8" s="97"/>
    </row>
    <row r="9" spans="2:21" s="14" customFormat="1" ht="15" customHeight="1" x14ac:dyDescent="0.25">
      <c r="B9" s="98">
        <v>2.1</v>
      </c>
      <c r="C9" s="34" t="s">
        <v>27</v>
      </c>
      <c r="D9" s="35">
        <f>+D10+D68</f>
        <v>9618914503</v>
      </c>
      <c r="E9" s="37">
        <f>+E10+E68</f>
        <v>2627954470.3600001</v>
      </c>
      <c r="F9" s="37">
        <f>SUM(F10:F18)</f>
        <v>0</v>
      </c>
      <c r="G9" s="37">
        <f>+G10+G21+G68</f>
        <v>3634276156</v>
      </c>
      <c r="H9" s="37">
        <f>+H10+H21+H68</f>
        <v>3634276156</v>
      </c>
      <c r="I9" s="48">
        <f>+D9+E9--F9+G9-H9</f>
        <v>12246868973.360001</v>
      </c>
      <c r="J9" s="38">
        <f>+J10+J68</f>
        <v>742395584</v>
      </c>
      <c r="K9" s="38">
        <f>+K10+K68</f>
        <v>12100354144.360001</v>
      </c>
      <c r="L9" s="38">
        <f>+L10+L68</f>
        <v>762230884</v>
      </c>
      <c r="M9" s="38">
        <f t="shared" ref="M9:T9" si="1">+M10+M68</f>
        <v>12098329144.360001</v>
      </c>
      <c r="N9" s="38">
        <f t="shared" si="1"/>
        <v>1789751589</v>
      </c>
      <c r="O9" s="99">
        <f t="shared" si="1"/>
        <v>11945263389.360001</v>
      </c>
      <c r="P9" s="38">
        <f t="shared" si="1"/>
        <v>1540314224</v>
      </c>
      <c r="Q9" s="38">
        <f t="shared" si="1"/>
        <v>11615970380.360001</v>
      </c>
      <c r="R9" s="38">
        <f t="shared" si="1"/>
        <v>0</v>
      </c>
      <c r="S9" s="38">
        <f t="shared" si="1"/>
        <v>153065755</v>
      </c>
      <c r="T9" s="40">
        <f t="shared" si="1"/>
        <v>329293009</v>
      </c>
      <c r="U9" s="93"/>
    </row>
    <row r="10" spans="2:21" s="14" customFormat="1" ht="15" customHeight="1" x14ac:dyDescent="0.25">
      <c r="B10" s="98" t="s">
        <v>28</v>
      </c>
      <c r="C10" s="34" t="s">
        <v>29</v>
      </c>
      <c r="D10" s="35">
        <f>+D11+D40</f>
        <v>6345000002</v>
      </c>
      <c r="E10" s="37">
        <f>+E11+E22</f>
        <v>914457570</v>
      </c>
      <c r="F10" s="37">
        <f>SUM(F11:F19)</f>
        <v>0</v>
      </c>
      <c r="G10" s="37">
        <f>+G11+G22+G26+G50+G54</f>
        <v>3476871156</v>
      </c>
      <c r="H10" s="37">
        <f>+H11+H22+H26+H40</f>
        <v>1431532884</v>
      </c>
      <c r="I10" s="48">
        <f>+D10+E10--F10+G10-H10</f>
        <v>9304795844</v>
      </c>
      <c r="J10" s="38">
        <f t="shared" ref="J10:T10" si="2">+J11+J40</f>
        <v>639962889</v>
      </c>
      <c r="K10" s="38">
        <f t="shared" si="2"/>
        <v>9195805698</v>
      </c>
      <c r="L10" s="38">
        <f t="shared" si="2"/>
        <v>659746189</v>
      </c>
      <c r="M10" s="38">
        <f t="shared" si="2"/>
        <v>9193780698</v>
      </c>
      <c r="N10" s="38">
        <f t="shared" si="2"/>
        <v>1564276156</v>
      </c>
      <c r="O10" s="99">
        <f t="shared" si="2"/>
        <v>9087724798</v>
      </c>
      <c r="P10" s="38">
        <f t="shared" si="2"/>
        <v>1310731107</v>
      </c>
      <c r="Q10" s="38">
        <f t="shared" si="2"/>
        <v>8776585667</v>
      </c>
      <c r="R10" s="38">
        <f t="shared" si="2"/>
        <v>0</v>
      </c>
      <c r="S10" s="38">
        <f t="shared" si="2"/>
        <v>106055900</v>
      </c>
      <c r="T10" s="40">
        <f t="shared" si="2"/>
        <v>311139131</v>
      </c>
      <c r="U10" s="93"/>
    </row>
    <row r="11" spans="2:21" s="14" customFormat="1" ht="15" customHeight="1" x14ac:dyDescent="0.25">
      <c r="B11" s="98" t="s">
        <v>30</v>
      </c>
      <c r="C11" s="34" t="s">
        <v>31</v>
      </c>
      <c r="D11" s="35">
        <f>+D12+D22+D26</f>
        <v>6069643584</v>
      </c>
      <c r="E11" s="37">
        <f>SUM(E13:E20)</f>
        <v>0</v>
      </c>
      <c r="F11" s="37">
        <v>0</v>
      </c>
      <c r="G11" s="37">
        <f>SUM(G13:G20)</f>
        <v>6000000</v>
      </c>
      <c r="H11" s="37">
        <f>+H12</f>
        <v>554904900</v>
      </c>
      <c r="I11" s="48">
        <f>+D11+E11--F11+G11-H11</f>
        <v>5520738684</v>
      </c>
      <c r="J11" s="38">
        <f t="shared" ref="J11:T11" si="3">+J12+J22+J26</f>
        <v>608192088</v>
      </c>
      <c r="K11" s="38">
        <f t="shared" si="3"/>
        <v>8979357646</v>
      </c>
      <c r="L11" s="38">
        <f t="shared" si="3"/>
        <v>627975388</v>
      </c>
      <c r="M11" s="38">
        <f t="shared" si="3"/>
        <v>8977332646</v>
      </c>
      <c r="N11" s="38">
        <f t="shared" si="3"/>
        <v>1508443355</v>
      </c>
      <c r="O11" s="99">
        <f t="shared" si="3"/>
        <v>8871618046</v>
      </c>
      <c r="P11" s="38">
        <f t="shared" si="3"/>
        <v>1265935387</v>
      </c>
      <c r="Q11" s="38">
        <f t="shared" si="3"/>
        <v>8572865996</v>
      </c>
      <c r="R11" s="38">
        <f t="shared" si="3"/>
        <v>0</v>
      </c>
      <c r="S11" s="38">
        <f t="shared" si="3"/>
        <v>105714600</v>
      </c>
      <c r="T11" s="40">
        <f t="shared" si="3"/>
        <v>298752050</v>
      </c>
      <c r="U11" s="93"/>
    </row>
    <row r="12" spans="2:21" s="14" customFormat="1" ht="15" customHeight="1" x14ac:dyDescent="0.25">
      <c r="B12" s="100" t="s">
        <v>194</v>
      </c>
      <c r="C12" s="101" t="s">
        <v>33</v>
      </c>
      <c r="D12" s="35">
        <f>SUM(D13:D21)</f>
        <v>1800000000</v>
      </c>
      <c r="E12" s="35">
        <f t="shared" ref="E12:T12" si="4">SUM(E13:E21)</f>
        <v>0</v>
      </c>
      <c r="F12" s="35">
        <f t="shared" si="4"/>
        <v>0</v>
      </c>
      <c r="G12" s="35">
        <f t="shared" si="4"/>
        <v>6000000</v>
      </c>
      <c r="H12" s="35">
        <f>SUM(H13:H21)</f>
        <v>554904900</v>
      </c>
      <c r="I12" s="48">
        <f>+D12+E12--F12+G12-H12</f>
        <v>1251095100</v>
      </c>
      <c r="J12" s="35">
        <f t="shared" si="4"/>
        <v>225912742</v>
      </c>
      <c r="K12" s="35">
        <f t="shared" si="4"/>
        <v>1227617567</v>
      </c>
      <c r="L12" s="35">
        <f t="shared" si="4"/>
        <v>225912742</v>
      </c>
      <c r="M12" s="35">
        <f t="shared" si="4"/>
        <v>1227617567</v>
      </c>
      <c r="N12" s="35">
        <f t="shared" si="4"/>
        <v>225912742</v>
      </c>
      <c r="O12" s="99">
        <f t="shared" si="4"/>
        <v>1227617567</v>
      </c>
      <c r="P12" s="35">
        <f t="shared" si="4"/>
        <v>211017433</v>
      </c>
      <c r="Q12" s="35">
        <f t="shared" si="4"/>
        <v>1206286846</v>
      </c>
      <c r="R12" s="35">
        <f t="shared" si="4"/>
        <v>0</v>
      </c>
      <c r="S12" s="35">
        <f t="shared" si="4"/>
        <v>0</v>
      </c>
      <c r="T12" s="102">
        <f t="shared" si="4"/>
        <v>21330721</v>
      </c>
      <c r="U12" s="93"/>
    </row>
    <row r="13" spans="2:21" s="14" customFormat="1" ht="15" customHeight="1" x14ac:dyDescent="0.25">
      <c r="B13" s="103" t="s">
        <v>195</v>
      </c>
      <c r="C13" s="58" t="s">
        <v>196</v>
      </c>
      <c r="D13" s="36">
        <v>1357000000</v>
      </c>
      <c r="E13" s="36">
        <v>0</v>
      </c>
      <c r="F13" s="36">
        <v>0</v>
      </c>
      <c r="G13" s="36">
        <v>0</v>
      </c>
      <c r="H13" s="36">
        <f>300000000+87800000+17000000</f>
        <v>404800000</v>
      </c>
      <c r="I13" s="104">
        <f t="shared" ref="I13:I21" si="5">+D13+E13-F13+G13-H13</f>
        <v>952200000</v>
      </c>
      <c r="J13" s="36">
        <v>78261919</v>
      </c>
      <c r="K13" s="105">
        <v>951917191</v>
      </c>
      <c r="L13" s="36">
        <v>78261919</v>
      </c>
      <c r="M13" s="45">
        <v>951917191</v>
      </c>
      <c r="N13" s="45">
        <v>78261919</v>
      </c>
      <c r="O13" s="106">
        <v>951917191</v>
      </c>
      <c r="P13" s="45">
        <v>78261919</v>
      </c>
      <c r="Q13" s="45">
        <v>951917191</v>
      </c>
      <c r="R13" s="36">
        <v>0</v>
      </c>
      <c r="S13" s="105">
        <v>0</v>
      </c>
      <c r="T13" s="107">
        <v>0</v>
      </c>
      <c r="U13" s="93"/>
    </row>
    <row r="14" spans="2:21" ht="15" customHeight="1" x14ac:dyDescent="0.2">
      <c r="B14" s="103" t="s">
        <v>197</v>
      </c>
      <c r="C14" s="58" t="s">
        <v>198</v>
      </c>
      <c r="D14" s="36">
        <v>85000000</v>
      </c>
      <c r="E14" s="36">
        <v>0</v>
      </c>
      <c r="F14" s="36">
        <v>0</v>
      </c>
      <c r="G14" s="36">
        <v>0</v>
      </c>
      <c r="H14" s="36">
        <f>14000000+35000000</f>
        <v>49000000</v>
      </c>
      <c r="I14" s="104">
        <f t="shared" si="5"/>
        <v>36000000</v>
      </c>
      <c r="J14" s="36">
        <v>6576101</v>
      </c>
      <c r="K14" s="105">
        <v>35271788</v>
      </c>
      <c r="L14" s="36">
        <v>6576101</v>
      </c>
      <c r="M14" s="45">
        <v>35271788</v>
      </c>
      <c r="N14" s="45">
        <v>6576101</v>
      </c>
      <c r="O14" s="106">
        <v>35271788</v>
      </c>
      <c r="P14" s="45">
        <v>8206205</v>
      </c>
      <c r="Q14" s="45">
        <v>35271788</v>
      </c>
      <c r="R14" s="36">
        <v>0</v>
      </c>
      <c r="S14" s="105">
        <v>0</v>
      </c>
      <c r="T14" s="107">
        <v>0</v>
      </c>
    </row>
    <row r="15" spans="2:21" ht="15" customHeight="1" x14ac:dyDescent="0.2">
      <c r="B15" s="103" t="s">
        <v>199</v>
      </c>
      <c r="C15" s="58" t="s">
        <v>200</v>
      </c>
      <c r="D15" s="36">
        <v>10000000</v>
      </c>
      <c r="E15" s="36">
        <v>0</v>
      </c>
      <c r="F15" s="36">
        <v>0</v>
      </c>
      <c r="G15" s="36">
        <v>6000000</v>
      </c>
      <c r="H15" s="36">
        <v>0</v>
      </c>
      <c r="I15" s="104">
        <f t="shared" si="5"/>
        <v>16000000</v>
      </c>
      <c r="J15" s="36">
        <v>9351835</v>
      </c>
      <c r="K15" s="105">
        <v>14826917</v>
      </c>
      <c r="L15" s="36">
        <v>9351835</v>
      </c>
      <c r="M15" s="45">
        <v>14826917</v>
      </c>
      <c r="N15" s="45">
        <v>9351835</v>
      </c>
      <c r="O15" s="106">
        <v>14826917</v>
      </c>
      <c r="P15" s="45">
        <v>9351835</v>
      </c>
      <c r="Q15" s="45">
        <v>14826917</v>
      </c>
      <c r="R15" s="36">
        <v>0</v>
      </c>
      <c r="S15" s="105">
        <v>0</v>
      </c>
      <c r="T15" s="107">
        <v>0</v>
      </c>
    </row>
    <row r="16" spans="2:21" ht="15" customHeight="1" x14ac:dyDescent="0.2">
      <c r="B16" s="103" t="s">
        <v>201</v>
      </c>
      <c r="C16" s="58" t="s">
        <v>202</v>
      </c>
      <c r="D16" s="36">
        <v>80000000</v>
      </c>
      <c r="E16" s="36">
        <v>0</v>
      </c>
      <c r="F16" s="36">
        <v>0</v>
      </c>
      <c r="G16" s="36">
        <v>0</v>
      </c>
      <c r="H16" s="36">
        <f>20000000+23000000</f>
        <v>43000000</v>
      </c>
      <c r="I16" s="104">
        <f t="shared" si="5"/>
        <v>37000000</v>
      </c>
      <c r="J16" s="36">
        <v>10950822</v>
      </c>
      <c r="K16" s="105">
        <v>36804165</v>
      </c>
      <c r="L16" s="36">
        <v>10950822</v>
      </c>
      <c r="M16" s="45">
        <v>36804165</v>
      </c>
      <c r="N16" s="45">
        <v>10950822</v>
      </c>
      <c r="O16" s="106">
        <v>36804165</v>
      </c>
      <c r="P16" s="45">
        <v>12096354</v>
      </c>
      <c r="Q16" s="45">
        <v>36804165</v>
      </c>
      <c r="R16" s="36">
        <v>0</v>
      </c>
      <c r="S16" s="105">
        <v>0</v>
      </c>
      <c r="T16" s="107">
        <v>0</v>
      </c>
    </row>
    <row r="17" spans="2:21" ht="15" customHeight="1" x14ac:dyDescent="0.2">
      <c r="B17" s="103" t="s">
        <v>203</v>
      </c>
      <c r="C17" s="58" t="s">
        <v>204</v>
      </c>
      <c r="D17" s="36">
        <v>9000000</v>
      </c>
      <c r="E17" s="36">
        <v>0</v>
      </c>
      <c r="F17" s="36">
        <v>0</v>
      </c>
      <c r="G17" s="36">
        <v>0</v>
      </c>
      <c r="H17" s="36">
        <v>4177000</v>
      </c>
      <c r="I17" s="104">
        <f t="shared" si="5"/>
        <v>4823000</v>
      </c>
      <c r="J17" s="36">
        <v>1360437</v>
      </c>
      <c r="K17" s="105">
        <v>4783104</v>
      </c>
      <c r="L17" s="36">
        <v>1360437</v>
      </c>
      <c r="M17" s="45">
        <v>4783104</v>
      </c>
      <c r="N17" s="45">
        <v>1360437</v>
      </c>
      <c r="O17" s="106">
        <v>4783104</v>
      </c>
      <c r="P17" s="45">
        <v>1747659</v>
      </c>
      <c r="Q17" s="45">
        <v>4783104</v>
      </c>
      <c r="R17" s="36">
        <v>0</v>
      </c>
      <c r="S17" s="105">
        <v>0</v>
      </c>
      <c r="T17" s="107">
        <v>0</v>
      </c>
    </row>
    <row r="18" spans="2:21" ht="15" customHeight="1" x14ac:dyDescent="0.2">
      <c r="B18" s="103" t="s">
        <v>205</v>
      </c>
      <c r="C18" s="58" t="s">
        <v>206</v>
      </c>
      <c r="D18" s="36">
        <v>42000000</v>
      </c>
      <c r="E18" s="36">
        <v>0</v>
      </c>
      <c r="F18" s="36">
        <v>0</v>
      </c>
      <c r="G18" s="36">
        <v>0</v>
      </c>
      <c r="H18" s="36">
        <f>8000000+3700000</f>
        <v>11700000</v>
      </c>
      <c r="I18" s="104">
        <f t="shared" si="5"/>
        <v>30300000</v>
      </c>
      <c r="J18" s="36">
        <v>8817181</v>
      </c>
      <c r="K18" s="105">
        <v>30069776</v>
      </c>
      <c r="L18" s="36">
        <v>8817181</v>
      </c>
      <c r="M18" s="45">
        <v>30069776</v>
      </c>
      <c r="N18" s="45">
        <v>8817181</v>
      </c>
      <c r="O18" s="106">
        <v>30069776</v>
      </c>
      <c r="P18" s="45">
        <v>8817181</v>
      </c>
      <c r="Q18" s="45">
        <v>30069776</v>
      </c>
      <c r="R18" s="36">
        <v>0</v>
      </c>
      <c r="S18" s="105">
        <v>0</v>
      </c>
      <c r="T18" s="107">
        <v>0</v>
      </c>
    </row>
    <row r="19" spans="2:21" ht="15" customHeight="1" x14ac:dyDescent="0.2">
      <c r="B19" s="103" t="s">
        <v>207</v>
      </c>
      <c r="C19" s="58" t="s">
        <v>208</v>
      </c>
      <c r="D19" s="36">
        <v>60000000</v>
      </c>
      <c r="E19" s="36">
        <v>0</v>
      </c>
      <c r="F19" s="36">
        <v>0</v>
      </c>
      <c r="G19" s="36">
        <v>0</v>
      </c>
      <c r="H19" s="36">
        <v>20000000</v>
      </c>
      <c r="I19" s="104">
        <f t="shared" si="5"/>
        <v>40000000</v>
      </c>
      <c r="J19" s="36">
        <v>0</v>
      </c>
      <c r="K19" s="105">
        <v>39841951</v>
      </c>
      <c r="L19" s="36">
        <v>0</v>
      </c>
      <c r="M19" s="45">
        <v>39841951</v>
      </c>
      <c r="N19" s="45">
        <v>0</v>
      </c>
      <c r="O19" s="106">
        <v>39841951</v>
      </c>
      <c r="P19" s="45">
        <v>1145532</v>
      </c>
      <c r="Q19" s="45">
        <v>39841951</v>
      </c>
      <c r="R19" s="36">
        <v>0</v>
      </c>
      <c r="S19" s="105">
        <v>0</v>
      </c>
      <c r="T19" s="107">
        <v>0</v>
      </c>
    </row>
    <row r="20" spans="2:21" s="14" customFormat="1" ht="15" customHeight="1" x14ac:dyDescent="0.25">
      <c r="B20" s="103" t="s">
        <v>209</v>
      </c>
      <c r="C20" s="58" t="s">
        <v>210</v>
      </c>
      <c r="D20" s="36">
        <v>115000000</v>
      </c>
      <c r="E20" s="36">
        <v>0</v>
      </c>
      <c r="F20" s="36">
        <f>+F22+F23+F24</f>
        <v>0</v>
      </c>
      <c r="G20" s="36">
        <v>0</v>
      </c>
      <c r="H20" s="36">
        <f>20600000+1627900</f>
        <v>22227900</v>
      </c>
      <c r="I20" s="104">
        <f t="shared" si="5"/>
        <v>92772100</v>
      </c>
      <c r="J20" s="36">
        <v>89263726</v>
      </c>
      <c r="K20" s="105">
        <v>92771954</v>
      </c>
      <c r="L20" s="36">
        <v>89263726</v>
      </c>
      <c r="M20" s="45">
        <v>92771954</v>
      </c>
      <c r="N20" s="45">
        <v>89263726</v>
      </c>
      <c r="O20" s="106">
        <v>92771954</v>
      </c>
      <c r="P20" s="45">
        <v>91390748</v>
      </c>
      <c r="Q20" s="45">
        <v>92771954</v>
      </c>
      <c r="R20" s="36">
        <v>0</v>
      </c>
      <c r="S20" s="105">
        <v>0</v>
      </c>
      <c r="T20" s="107">
        <v>0</v>
      </c>
      <c r="U20" s="93"/>
    </row>
    <row r="21" spans="2:21" s="14" customFormat="1" ht="15" customHeight="1" x14ac:dyDescent="0.25">
      <c r="B21" s="103" t="s">
        <v>211</v>
      </c>
      <c r="C21" s="58" t="s">
        <v>212</v>
      </c>
      <c r="D21" s="36">
        <v>42000000</v>
      </c>
      <c r="E21" s="36">
        <v>0</v>
      </c>
      <c r="F21" s="36">
        <f>+F23+F24+F25</f>
        <v>0</v>
      </c>
      <c r="G21" s="36">
        <v>0</v>
      </c>
      <c r="H21" s="36">
        <v>0</v>
      </c>
      <c r="I21" s="104">
        <f t="shared" si="5"/>
        <v>42000000</v>
      </c>
      <c r="J21" s="36">
        <v>21330721</v>
      </c>
      <c r="K21" s="105">
        <v>21330721</v>
      </c>
      <c r="L21" s="36">
        <v>21330721</v>
      </c>
      <c r="M21" s="45">
        <v>21330721</v>
      </c>
      <c r="N21" s="45">
        <v>21330721</v>
      </c>
      <c r="O21" s="106">
        <v>21330721</v>
      </c>
      <c r="P21" s="45">
        <v>0</v>
      </c>
      <c r="Q21" s="45">
        <v>0</v>
      </c>
      <c r="R21" s="36">
        <v>0</v>
      </c>
      <c r="S21" s="105">
        <v>0</v>
      </c>
      <c r="T21" s="107">
        <v>21330721</v>
      </c>
      <c r="U21" s="93"/>
    </row>
    <row r="22" spans="2:21" s="14" customFormat="1" ht="15" customHeight="1" x14ac:dyDescent="0.25">
      <c r="B22" s="100" t="s">
        <v>213</v>
      </c>
      <c r="C22" s="101" t="s">
        <v>49</v>
      </c>
      <c r="D22" s="35">
        <f t="shared" ref="D22:R22" si="6">SUM(D23:D25)</f>
        <v>3719643584</v>
      </c>
      <c r="E22" s="35">
        <f t="shared" si="6"/>
        <v>914457570</v>
      </c>
      <c r="F22" s="35">
        <f t="shared" si="6"/>
        <v>0</v>
      </c>
      <c r="G22" s="35">
        <f t="shared" si="6"/>
        <v>3449217574</v>
      </c>
      <c r="H22" s="35">
        <f t="shared" si="6"/>
        <v>705507200</v>
      </c>
      <c r="I22" s="48">
        <f>SUM(I23:I25)</f>
        <v>7377811528</v>
      </c>
      <c r="J22" s="38">
        <f t="shared" si="6"/>
        <v>259626941</v>
      </c>
      <c r="K22" s="38">
        <f t="shared" si="6"/>
        <v>7339820412</v>
      </c>
      <c r="L22" s="48">
        <f t="shared" si="6"/>
        <v>279410241</v>
      </c>
      <c r="M22" s="37">
        <f t="shared" si="6"/>
        <v>7337795412</v>
      </c>
      <c r="N22" s="37">
        <f t="shared" si="6"/>
        <v>1159842008</v>
      </c>
      <c r="O22" s="108">
        <f t="shared" si="6"/>
        <v>7233100212</v>
      </c>
      <c r="P22" s="37">
        <f t="shared" si="6"/>
        <v>1023873884</v>
      </c>
      <c r="Q22" s="37">
        <f t="shared" si="6"/>
        <v>7048507088</v>
      </c>
      <c r="R22" s="38">
        <f t="shared" si="6"/>
        <v>0</v>
      </c>
      <c r="S22" s="38">
        <f>SUM(S23:S25)</f>
        <v>104695200</v>
      </c>
      <c r="T22" s="40">
        <f>SUM(T23:T25)</f>
        <v>184593124</v>
      </c>
      <c r="U22" s="93"/>
    </row>
    <row r="23" spans="2:21" s="14" customFormat="1" ht="15" customHeight="1" x14ac:dyDescent="0.25">
      <c r="B23" s="103" t="s">
        <v>214</v>
      </c>
      <c r="C23" s="58" t="s">
        <v>215</v>
      </c>
      <c r="D23" s="36">
        <v>12000000</v>
      </c>
      <c r="E23" s="36">
        <v>0</v>
      </c>
      <c r="F23" s="36">
        <v>0</v>
      </c>
      <c r="G23" s="36">
        <v>21000000</v>
      </c>
      <c r="H23" s="36">
        <v>5507200</v>
      </c>
      <c r="I23" s="104">
        <f>+D23+E23-F23+G23-H23</f>
        <v>27492800</v>
      </c>
      <c r="J23" s="36">
        <v>0</v>
      </c>
      <c r="K23" s="105">
        <v>27492785</v>
      </c>
      <c r="L23" s="36">
        <v>0</v>
      </c>
      <c r="M23" s="45">
        <v>27492785</v>
      </c>
      <c r="N23" s="45">
        <v>0</v>
      </c>
      <c r="O23" s="106">
        <v>27492785</v>
      </c>
      <c r="P23" s="45">
        <v>0</v>
      </c>
      <c r="Q23" s="45">
        <v>27492785</v>
      </c>
      <c r="R23" s="36">
        <v>0</v>
      </c>
      <c r="S23" s="105">
        <v>0</v>
      </c>
      <c r="T23" s="107">
        <v>0</v>
      </c>
      <c r="U23" s="93"/>
    </row>
    <row r="24" spans="2:21" ht="15" customHeight="1" x14ac:dyDescent="0.2">
      <c r="B24" s="103" t="s">
        <v>216</v>
      </c>
      <c r="C24" s="58" t="s">
        <v>217</v>
      </c>
      <c r="D24" s="36">
        <v>2200000000</v>
      </c>
      <c r="E24" s="36">
        <f>290637171+327358030+128291354+35171015</f>
        <v>781457570</v>
      </c>
      <c r="F24" s="36">
        <v>0</v>
      </c>
      <c r="G24" s="36">
        <f>700000000+786053000+630000000+240373572+137600000+63212302+190308033</f>
        <v>2747546907</v>
      </c>
      <c r="H24" s="36">
        <v>0</v>
      </c>
      <c r="I24" s="104">
        <f>+D24+E24-F24+G24-H24</f>
        <v>5729004477</v>
      </c>
      <c r="J24" s="36">
        <v>243098944</v>
      </c>
      <c r="K24" s="105">
        <v>5719798259</v>
      </c>
      <c r="L24" s="36">
        <v>249652244</v>
      </c>
      <c r="M24" s="45">
        <v>5719798259</v>
      </c>
      <c r="N24" s="45">
        <v>988080677</v>
      </c>
      <c r="O24" s="106">
        <v>5620404725</v>
      </c>
      <c r="P24" s="45">
        <v>869710552</v>
      </c>
      <c r="Q24" s="45">
        <v>5468384600</v>
      </c>
      <c r="R24" s="36">
        <v>0</v>
      </c>
      <c r="S24" s="105">
        <v>99393534</v>
      </c>
      <c r="T24" s="107">
        <v>152020125</v>
      </c>
    </row>
    <row r="25" spans="2:21" s="14" customFormat="1" ht="15" customHeight="1" x14ac:dyDescent="0.25">
      <c r="B25" s="103" t="s">
        <v>218</v>
      </c>
      <c r="C25" s="58" t="s">
        <v>219</v>
      </c>
      <c r="D25" s="36">
        <v>1507643584</v>
      </c>
      <c r="E25" s="36">
        <v>133000000</v>
      </c>
      <c r="F25" s="36">
        <v>0</v>
      </c>
      <c r="G25" s="36">
        <f>437054000+83700000+15000000+125730000+19186667</f>
        <v>680670667</v>
      </c>
      <c r="H25" s="36">
        <v>700000000</v>
      </c>
      <c r="I25" s="104">
        <f>+D25+E25-F25+G25-H25</f>
        <v>1621314251</v>
      </c>
      <c r="J25" s="36">
        <v>16527997</v>
      </c>
      <c r="K25" s="105">
        <v>1592529368</v>
      </c>
      <c r="L25" s="36">
        <v>29757997</v>
      </c>
      <c r="M25" s="45">
        <v>1590504368</v>
      </c>
      <c r="N25" s="45">
        <v>171761331</v>
      </c>
      <c r="O25" s="106">
        <v>1585202702</v>
      </c>
      <c r="P25" s="45">
        <v>154163332</v>
      </c>
      <c r="Q25" s="45">
        <v>1552629703</v>
      </c>
      <c r="R25" s="36">
        <v>0</v>
      </c>
      <c r="S25" s="105">
        <v>5301666</v>
      </c>
      <c r="T25" s="107">
        <v>32572999</v>
      </c>
      <c r="U25" s="93"/>
    </row>
    <row r="26" spans="2:21" s="14" customFormat="1" ht="15" customHeight="1" x14ac:dyDescent="0.25">
      <c r="B26" s="100" t="s">
        <v>220</v>
      </c>
      <c r="C26" s="101" t="s">
        <v>221</v>
      </c>
      <c r="D26" s="35">
        <f>+D27+D31+D36+D37+D38+D39</f>
        <v>550000000</v>
      </c>
      <c r="E26" s="35">
        <f t="shared" ref="E26:R26" si="7">+E27+E31+E36+E37+E38+E39</f>
        <v>0</v>
      </c>
      <c r="F26" s="35">
        <f t="shared" si="7"/>
        <v>0</v>
      </c>
      <c r="G26" s="35">
        <f t="shared" si="7"/>
        <v>0</v>
      </c>
      <c r="H26" s="35">
        <f>+H27+H31+H35</f>
        <v>113825884</v>
      </c>
      <c r="I26" s="38">
        <f>+I27+I31+I35</f>
        <v>436174116</v>
      </c>
      <c r="J26" s="38">
        <f t="shared" si="7"/>
        <v>122652405</v>
      </c>
      <c r="K26" s="38">
        <f t="shared" si="7"/>
        <v>411919667</v>
      </c>
      <c r="L26" s="38">
        <f t="shared" si="7"/>
        <v>122652405</v>
      </c>
      <c r="M26" s="38">
        <f t="shared" si="7"/>
        <v>411919667</v>
      </c>
      <c r="N26" s="38">
        <f t="shared" si="7"/>
        <v>122688605</v>
      </c>
      <c r="O26" s="99">
        <f t="shared" si="7"/>
        <v>410900267</v>
      </c>
      <c r="P26" s="38">
        <f t="shared" si="7"/>
        <v>31044070</v>
      </c>
      <c r="Q26" s="38">
        <f t="shared" si="7"/>
        <v>318072062</v>
      </c>
      <c r="R26" s="38">
        <f t="shared" si="7"/>
        <v>0</v>
      </c>
      <c r="S26" s="38">
        <f>+S27+S31+S36+S37+S38+S39</f>
        <v>1019400</v>
      </c>
      <c r="T26" s="40">
        <f>+T27+T31+T36+T37+T38+T39</f>
        <v>92828205</v>
      </c>
      <c r="U26" s="93"/>
    </row>
    <row r="27" spans="2:21" s="14" customFormat="1" ht="15" customHeight="1" x14ac:dyDescent="0.25">
      <c r="B27" s="100" t="s">
        <v>222</v>
      </c>
      <c r="C27" s="101" t="s">
        <v>223</v>
      </c>
      <c r="D27" s="35">
        <f t="shared" ref="D27:R27" si="8">SUM(D28:D30)</f>
        <v>209000000</v>
      </c>
      <c r="E27" s="35">
        <f t="shared" si="8"/>
        <v>0</v>
      </c>
      <c r="F27" s="35">
        <f t="shared" si="8"/>
        <v>0</v>
      </c>
      <c r="G27" s="35">
        <f t="shared" si="8"/>
        <v>0</v>
      </c>
      <c r="H27" s="35">
        <f t="shared" si="8"/>
        <v>40000000</v>
      </c>
      <c r="I27" s="38">
        <f t="shared" si="8"/>
        <v>169000000</v>
      </c>
      <c r="J27" s="38">
        <f t="shared" si="8"/>
        <v>62631508</v>
      </c>
      <c r="K27" s="38">
        <f t="shared" si="8"/>
        <v>167541808</v>
      </c>
      <c r="L27" s="38">
        <f t="shared" si="8"/>
        <v>62631508</v>
      </c>
      <c r="M27" s="38">
        <f t="shared" si="8"/>
        <v>167541808</v>
      </c>
      <c r="N27" s="38">
        <f t="shared" si="8"/>
        <v>62631508</v>
      </c>
      <c r="O27" s="99">
        <f t="shared" si="8"/>
        <v>167541808</v>
      </c>
      <c r="P27" s="38">
        <f t="shared" si="8"/>
        <v>11164000</v>
      </c>
      <c r="Q27" s="38">
        <f t="shared" si="8"/>
        <v>116074300</v>
      </c>
      <c r="R27" s="38">
        <f t="shared" si="8"/>
        <v>0</v>
      </c>
      <c r="S27" s="38">
        <f>SUM(S28:S30)</f>
        <v>0</v>
      </c>
      <c r="T27" s="40">
        <f>SUM(T28:T30)</f>
        <v>51467508</v>
      </c>
      <c r="U27" s="93"/>
    </row>
    <row r="28" spans="2:21" s="14" customFormat="1" ht="15" customHeight="1" x14ac:dyDescent="0.25">
      <c r="B28" s="103" t="s">
        <v>224</v>
      </c>
      <c r="C28" s="58" t="s">
        <v>225</v>
      </c>
      <c r="D28" s="36">
        <v>111000000</v>
      </c>
      <c r="E28" s="36">
        <v>0</v>
      </c>
      <c r="F28" s="36">
        <v>0</v>
      </c>
      <c r="G28" s="36">
        <v>0</v>
      </c>
      <c r="H28" s="36">
        <f>10000000+10000000</f>
        <v>20000000</v>
      </c>
      <c r="I28" s="104">
        <f>+D28+E28-F28+G28-H28</f>
        <v>91000000</v>
      </c>
      <c r="J28" s="36">
        <v>8300500</v>
      </c>
      <c r="K28" s="105">
        <v>90689687</v>
      </c>
      <c r="L28" s="36">
        <v>8300500</v>
      </c>
      <c r="M28" s="45">
        <v>90689687</v>
      </c>
      <c r="N28" s="45">
        <v>8300500</v>
      </c>
      <c r="O28" s="106">
        <v>90689687</v>
      </c>
      <c r="P28" s="45">
        <v>8300500</v>
      </c>
      <c r="Q28" s="45">
        <v>90689687</v>
      </c>
      <c r="R28" s="36">
        <v>0</v>
      </c>
      <c r="S28" s="105">
        <v>0</v>
      </c>
      <c r="T28" s="107">
        <v>0</v>
      </c>
      <c r="U28" s="93"/>
    </row>
    <row r="29" spans="2:21" ht="15" customHeight="1" x14ac:dyDescent="0.2">
      <c r="B29" s="103" t="s">
        <v>226</v>
      </c>
      <c r="C29" s="58" t="s">
        <v>227</v>
      </c>
      <c r="D29" s="36">
        <v>72000000</v>
      </c>
      <c r="E29" s="36">
        <v>0</v>
      </c>
      <c r="F29" s="36">
        <v>0</v>
      </c>
      <c r="G29" s="36">
        <v>0</v>
      </c>
      <c r="H29" s="36">
        <f>16000000+4000000</f>
        <v>20000000</v>
      </c>
      <c r="I29" s="104">
        <f>+D29+E29-F29+G29-H29</f>
        <v>52000000</v>
      </c>
      <c r="J29" s="36">
        <v>51467508</v>
      </c>
      <c r="K29" s="105">
        <v>51467508</v>
      </c>
      <c r="L29" s="36">
        <v>51467508</v>
      </c>
      <c r="M29" s="45">
        <v>51467508</v>
      </c>
      <c r="N29" s="45">
        <v>51467508</v>
      </c>
      <c r="O29" s="106">
        <v>51467508</v>
      </c>
      <c r="P29" s="45">
        <v>0</v>
      </c>
      <c r="Q29" s="45">
        <v>0</v>
      </c>
      <c r="R29" s="36">
        <v>0</v>
      </c>
      <c r="S29" s="105">
        <v>0</v>
      </c>
      <c r="T29" s="107">
        <v>51467508</v>
      </c>
    </row>
    <row r="30" spans="2:21" ht="15" customHeight="1" x14ac:dyDescent="0.2">
      <c r="B30" s="103" t="s">
        <v>228</v>
      </c>
      <c r="C30" s="58" t="s">
        <v>229</v>
      </c>
      <c r="D30" s="36">
        <v>26000000</v>
      </c>
      <c r="E30" s="36">
        <v>0</v>
      </c>
      <c r="F30" s="36">
        <v>0</v>
      </c>
      <c r="G30" s="36">
        <v>0</v>
      </c>
      <c r="H30" s="36">
        <v>0</v>
      </c>
      <c r="I30" s="104">
        <f>+D30+E30-F30+G30-H30</f>
        <v>26000000</v>
      </c>
      <c r="J30" s="36">
        <v>2863500</v>
      </c>
      <c r="K30" s="105">
        <v>25384613</v>
      </c>
      <c r="L30" s="36">
        <v>2863500</v>
      </c>
      <c r="M30" s="45">
        <v>25384613</v>
      </c>
      <c r="N30" s="45">
        <v>2863500</v>
      </c>
      <c r="O30" s="106">
        <v>25384613</v>
      </c>
      <c r="P30" s="45">
        <v>2863500</v>
      </c>
      <c r="Q30" s="45">
        <v>25384613</v>
      </c>
      <c r="R30" s="36">
        <v>0</v>
      </c>
      <c r="S30" s="105">
        <v>0</v>
      </c>
      <c r="T30" s="107">
        <v>0</v>
      </c>
    </row>
    <row r="31" spans="2:21" s="14" customFormat="1" ht="15" customHeight="1" x14ac:dyDescent="0.25">
      <c r="B31" s="100" t="s">
        <v>230</v>
      </c>
      <c r="C31" s="101" t="s">
        <v>231</v>
      </c>
      <c r="D31" s="35">
        <f>SUM(D32:D34)</f>
        <v>223000000</v>
      </c>
      <c r="E31" s="35">
        <f>SUM(E32:E39)</f>
        <v>0</v>
      </c>
      <c r="F31" s="35">
        <f t="shared" ref="F31:G31" si="9">SUM(F32:F39)</f>
        <v>0</v>
      </c>
      <c r="G31" s="35">
        <f t="shared" si="9"/>
        <v>0</v>
      </c>
      <c r="H31" s="38">
        <f>SUM(H32:H34)</f>
        <v>71825884</v>
      </c>
      <c r="I31" s="38">
        <f>SUM(I32:I34)</f>
        <v>151174116</v>
      </c>
      <c r="J31" s="38">
        <f t="shared" ref="J31:R31" si="10">SUM(J32:J34)</f>
        <v>50383097</v>
      </c>
      <c r="K31" s="38">
        <f t="shared" si="10"/>
        <v>145346759</v>
      </c>
      <c r="L31" s="38">
        <f t="shared" si="10"/>
        <v>50383097</v>
      </c>
      <c r="M31" s="38">
        <f t="shared" si="10"/>
        <v>145346759</v>
      </c>
      <c r="N31" s="38">
        <f t="shared" si="10"/>
        <v>50383097</v>
      </c>
      <c r="O31" s="99">
        <f t="shared" si="10"/>
        <v>144327359</v>
      </c>
      <c r="P31" s="38">
        <f t="shared" si="10"/>
        <v>10120970</v>
      </c>
      <c r="Q31" s="38">
        <f t="shared" si="10"/>
        <v>102966662</v>
      </c>
      <c r="R31" s="38">
        <f t="shared" si="10"/>
        <v>0</v>
      </c>
      <c r="S31" s="38">
        <f>SUM(S32:S34)</f>
        <v>1019400</v>
      </c>
      <c r="T31" s="40">
        <f>SUM(T32:T34)</f>
        <v>41360697</v>
      </c>
      <c r="U31" s="93"/>
    </row>
    <row r="32" spans="2:21" ht="15" customHeight="1" x14ac:dyDescent="0.2">
      <c r="B32" s="103" t="s">
        <v>232</v>
      </c>
      <c r="C32" s="58" t="s">
        <v>233</v>
      </c>
      <c r="D32" s="36">
        <v>71000000</v>
      </c>
      <c r="E32" s="36">
        <v>0</v>
      </c>
      <c r="F32" s="36">
        <v>0</v>
      </c>
      <c r="G32" s="36">
        <v>0</v>
      </c>
      <c r="H32" s="36">
        <f>20000000+9825884</f>
        <v>29825884</v>
      </c>
      <c r="I32" s="104">
        <f>+D32+E32-F32+G32-H32</f>
        <v>41174116</v>
      </c>
      <c r="J32" s="36">
        <v>3516300</v>
      </c>
      <c r="K32" s="105">
        <v>37351816</v>
      </c>
      <c r="L32" s="36">
        <v>3516300</v>
      </c>
      <c r="M32" s="45">
        <v>37351816</v>
      </c>
      <c r="N32" s="45">
        <v>3516300</v>
      </c>
      <c r="O32" s="106">
        <v>37351816</v>
      </c>
      <c r="P32" s="45">
        <v>3516300</v>
      </c>
      <c r="Q32" s="45">
        <v>37351816</v>
      </c>
      <c r="R32" s="36">
        <v>0</v>
      </c>
      <c r="S32" s="105">
        <v>0</v>
      </c>
      <c r="T32" s="107">
        <v>0</v>
      </c>
    </row>
    <row r="33" spans="2:21" ht="15" customHeight="1" x14ac:dyDescent="0.2">
      <c r="B33" s="103" t="s">
        <v>234</v>
      </c>
      <c r="C33" s="58" t="s">
        <v>235</v>
      </c>
      <c r="D33" s="36">
        <v>72000000</v>
      </c>
      <c r="E33" s="36">
        <v>0</v>
      </c>
      <c r="F33" s="36">
        <v>0</v>
      </c>
      <c r="G33" s="36">
        <v>0</v>
      </c>
      <c r="H33" s="36">
        <v>27000000</v>
      </c>
      <c r="I33" s="104">
        <f>+D33+E33-F33+G33-H33</f>
        <v>45000000</v>
      </c>
      <c r="J33" s="36">
        <v>41360697</v>
      </c>
      <c r="K33" s="105">
        <v>43911548</v>
      </c>
      <c r="L33" s="36">
        <v>41360697</v>
      </c>
      <c r="M33" s="45">
        <v>43911548</v>
      </c>
      <c r="N33" s="45">
        <v>41360697</v>
      </c>
      <c r="O33" s="106">
        <v>43911548</v>
      </c>
      <c r="P33" s="45">
        <v>1098570</v>
      </c>
      <c r="Q33" s="45">
        <v>2550851</v>
      </c>
      <c r="R33" s="36">
        <v>0</v>
      </c>
      <c r="S33" s="105">
        <v>0</v>
      </c>
      <c r="T33" s="107">
        <v>41360697</v>
      </c>
    </row>
    <row r="34" spans="2:21" ht="15" customHeight="1" x14ac:dyDescent="0.2">
      <c r="B34" s="103" t="s">
        <v>236</v>
      </c>
      <c r="C34" s="58" t="s">
        <v>229</v>
      </c>
      <c r="D34" s="36">
        <v>80000000</v>
      </c>
      <c r="E34" s="36">
        <v>0</v>
      </c>
      <c r="F34" s="36">
        <v>0</v>
      </c>
      <c r="G34" s="36">
        <v>0</v>
      </c>
      <c r="H34" s="36">
        <v>15000000</v>
      </c>
      <c r="I34" s="104">
        <f>+D34+E34-F34+G34-H34</f>
        <v>65000000</v>
      </c>
      <c r="J34" s="36">
        <v>5506100</v>
      </c>
      <c r="K34" s="105">
        <v>64083395</v>
      </c>
      <c r="L34" s="36">
        <v>5506100</v>
      </c>
      <c r="M34" s="45">
        <v>64083395</v>
      </c>
      <c r="N34" s="45">
        <v>5506100</v>
      </c>
      <c r="O34" s="106">
        <v>63063995</v>
      </c>
      <c r="P34" s="45">
        <v>5506100</v>
      </c>
      <c r="Q34" s="45">
        <v>63063995</v>
      </c>
      <c r="R34" s="36">
        <v>0</v>
      </c>
      <c r="S34" s="105">
        <v>1019400</v>
      </c>
      <c r="T34" s="107">
        <v>0</v>
      </c>
    </row>
    <row r="35" spans="2:21" s="14" customFormat="1" ht="15" customHeight="1" x14ac:dyDescent="0.25">
      <c r="B35" s="100" t="s">
        <v>237</v>
      </c>
      <c r="C35" s="101" t="s">
        <v>238</v>
      </c>
      <c r="D35" s="37">
        <f>SUM(D36:D39)</f>
        <v>118000000</v>
      </c>
      <c r="E35" s="37">
        <v>0</v>
      </c>
      <c r="F35" s="37">
        <v>0</v>
      </c>
      <c r="G35" s="37">
        <v>0</v>
      </c>
      <c r="H35" s="48">
        <f>SUM(H36:H39)</f>
        <v>2000000</v>
      </c>
      <c r="I35" s="48">
        <f>SUM(I36:I39)</f>
        <v>116000000</v>
      </c>
      <c r="J35" s="37">
        <f>SUM(J36:J39)</f>
        <v>9637800</v>
      </c>
      <c r="K35" s="37">
        <f>SUM(K36:K39)</f>
        <v>99031100</v>
      </c>
      <c r="L35" s="37">
        <f t="shared" ref="L35:T35" si="11">SUM(L36:L39)</f>
        <v>9637800</v>
      </c>
      <c r="M35" s="37">
        <f t="shared" si="11"/>
        <v>99031100</v>
      </c>
      <c r="N35" s="37">
        <f t="shared" si="11"/>
        <v>9674000</v>
      </c>
      <c r="O35" s="108">
        <f t="shared" si="11"/>
        <v>99031100</v>
      </c>
      <c r="P35" s="37">
        <f t="shared" si="11"/>
        <v>9759100</v>
      </c>
      <c r="Q35" s="37">
        <f t="shared" si="11"/>
        <v>99031100</v>
      </c>
      <c r="R35" s="37">
        <f t="shared" si="11"/>
        <v>0</v>
      </c>
      <c r="S35" s="37">
        <f t="shared" si="11"/>
        <v>0</v>
      </c>
      <c r="T35" s="109">
        <f t="shared" si="11"/>
        <v>0</v>
      </c>
      <c r="U35" s="93"/>
    </row>
    <row r="36" spans="2:21" ht="15" customHeight="1" x14ac:dyDescent="0.2">
      <c r="B36" s="103" t="s">
        <v>239</v>
      </c>
      <c r="C36" s="58" t="s">
        <v>240</v>
      </c>
      <c r="D36" s="36">
        <v>36000000</v>
      </c>
      <c r="E36" s="36">
        <v>0</v>
      </c>
      <c r="F36" s="36">
        <v>0</v>
      </c>
      <c r="G36" s="36">
        <v>0</v>
      </c>
      <c r="H36" s="36">
        <v>0</v>
      </c>
      <c r="I36" s="104">
        <f>+D36+E36-F36+G36-H36</f>
        <v>36000000</v>
      </c>
      <c r="J36" s="36">
        <v>2953600</v>
      </c>
      <c r="K36" s="105">
        <v>30724300</v>
      </c>
      <c r="L36" s="36">
        <v>2953600</v>
      </c>
      <c r="M36" s="45">
        <v>30724300</v>
      </c>
      <c r="N36" s="45">
        <v>2953600</v>
      </c>
      <c r="O36" s="106">
        <v>30724300</v>
      </c>
      <c r="P36" s="45">
        <v>2953600</v>
      </c>
      <c r="Q36" s="45">
        <v>30724300</v>
      </c>
      <c r="R36" s="36">
        <v>0</v>
      </c>
      <c r="S36" s="105">
        <v>0</v>
      </c>
      <c r="T36" s="107">
        <v>0</v>
      </c>
    </row>
    <row r="37" spans="2:21" ht="15" customHeight="1" x14ac:dyDescent="0.2">
      <c r="B37" s="103" t="s">
        <v>241</v>
      </c>
      <c r="C37" s="58" t="s">
        <v>242</v>
      </c>
      <c r="D37" s="36">
        <v>25000000</v>
      </c>
      <c r="E37" s="36">
        <v>0</v>
      </c>
      <c r="F37" s="36">
        <v>0</v>
      </c>
      <c r="G37" s="36">
        <v>0</v>
      </c>
      <c r="H37" s="36">
        <v>0</v>
      </c>
      <c r="I37" s="104">
        <f>+D37+E37-F37+G37-H37</f>
        <v>25000000</v>
      </c>
      <c r="J37" s="36">
        <v>2149300</v>
      </c>
      <c r="K37" s="105">
        <v>20784100</v>
      </c>
      <c r="L37" s="36">
        <v>2149300</v>
      </c>
      <c r="M37" s="45">
        <v>20784100</v>
      </c>
      <c r="N37" s="45">
        <v>2149300</v>
      </c>
      <c r="O37" s="106">
        <v>20784100</v>
      </c>
      <c r="P37" s="45">
        <v>2149300</v>
      </c>
      <c r="Q37" s="45">
        <v>20784100</v>
      </c>
      <c r="R37" s="36">
        <v>0</v>
      </c>
      <c r="S37" s="105">
        <v>0</v>
      </c>
      <c r="T37" s="107">
        <v>0</v>
      </c>
    </row>
    <row r="38" spans="2:21" ht="15" customHeight="1" x14ac:dyDescent="0.2">
      <c r="B38" s="103" t="s">
        <v>243</v>
      </c>
      <c r="C38" s="58" t="s">
        <v>244</v>
      </c>
      <c r="D38" s="36">
        <v>47000000</v>
      </c>
      <c r="E38" s="36">
        <v>0</v>
      </c>
      <c r="F38" s="36">
        <v>0</v>
      </c>
      <c r="G38" s="36">
        <v>0</v>
      </c>
      <c r="H38" s="36">
        <v>0</v>
      </c>
      <c r="I38" s="104">
        <f>+D38+E38-F38+G38-H38</f>
        <v>47000000</v>
      </c>
      <c r="J38" s="36">
        <v>4075000</v>
      </c>
      <c r="K38" s="105">
        <v>41099700</v>
      </c>
      <c r="L38" s="36">
        <v>4075000</v>
      </c>
      <c r="M38" s="45">
        <v>41099700</v>
      </c>
      <c r="N38" s="45">
        <v>4075000</v>
      </c>
      <c r="O38" s="106">
        <v>41099700</v>
      </c>
      <c r="P38" s="45">
        <v>4075000</v>
      </c>
      <c r="Q38" s="45">
        <v>41099700</v>
      </c>
      <c r="R38" s="36">
        <v>0</v>
      </c>
      <c r="S38" s="105">
        <v>0</v>
      </c>
      <c r="T38" s="107">
        <v>0</v>
      </c>
    </row>
    <row r="39" spans="2:21" ht="15" customHeight="1" x14ac:dyDescent="0.2">
      <c r="B39" s="103" t="s">
        <v>245</v>
      </c>
      <c r="C39" s="58" t="s">
        <v>246</v>
      </c>
      <c r="D39" s="36">
        <v>10000000</v>
      </c>
      <c r="E39" s="36">
        <v>0</v>
      </c>
      <c r="F39" s="36">
        <v>0</v>
      </c>
      <c r="G39" s="36">
        <v>0</v>
      </c>
      <c r="H39" s="36">
        <v>2000000</v>
      </c>
      <c r="I39" s="104">
        <f>+D39+E39-F39+G39-H39</f>
        <v>8000000</v>
      </c>
      <c r="J39" s="36">
        <v>459900</v>
      </c>
      <c r="K39" s="105">
        <v>6423000</v>
      </c>
      <c r="L39" s="36">
        <v>459900</v>
      </c>
      <c r="M39" s="45">
        <v>6423000</v>
      </c>
      <c r="N39" s="45">
        <v>496100</v>
      </c>
      <c r="O39" s="106">
        <v>6423000</v>
      </c>
      <c r="P39" s="45">
        <v>581200</v>
      </c>
      <c r="Q39" s="45">
        <v>6423000</v>
      </c>
      <c r="R39" s="36">
        <v>0</v>
      </c>
      <c r="S39" s="105">
        <v>0</v>
      </c>
      <c r="T39" s="107">
        <v>0</v>
      </c>
    </row>
    <row r="40" spans="2:21" s="14" customFormat="1" ht="15" customHeight="1" x14ac:dyDescent="0.25">
      <c r="B40" s="100" t="s">
        <v>247</v>
      </c>
      <c r="C40" s="101" t="s">
        <v>248</v>
      </c>
      <c r="D40" s="37">
        <f>+D41+D50+D54</f>
        <v>275356418</v>
      </c>
      <c r="E40" s="37">
        <v>0</v>
      </c>
      <c r="F40" s="37">
        <v>0</v>
      </c>
      <c r="G40" s="37">
        <v>0</v>
      </c>
      <c r="H40" s="48">
        <f>+H41+H50+H54</f>
        <v>57294900</v>
      </c>
      <c r="I40" s="48">
        <f>+I41+I50+I54</f>
        <v>239715100</v>
      </c>
      <c r="J40" s="37">
        <f t="shared" ref="J40:T40" si="12">+J41+J50+J54</f>
        <v>31770801</v>
      </c>
      <c r="K40" s="37">
        <f t="shared" si="12"/>
        <v>216448052</v>
      </c>
      <c r="L40" s="37">
        <f>+L41+L54+L50</f>
        <v>31770801</v>
      </c>
      <c r="M40" s="37">
        <f t="shared" si="12"/>
        <v>216448052</v>
      </c>
      <c r="N40" s="37">
        <f t="shared" si="12"/>
        <v>55832801</v>
      </c>
      <c r="O40" s="108">
        <f t="shared" si="12"/>
        <v>216106752</v>
      </c>
      <c r="P40" s="37">
        <f t="shared" si="12"/>
        <v>44795720</v>
      </c>
      <c r="Q40" s="37">
        <f t="shared" si="12"/>
        <v>203719671</v>
      </c>
      <c r="R40" s="37">
        <f t="shared" si="12"/>
        <v>0</v>
      </c>
      <c r="S40" s="37">
        <f t="shared" si="12"/>
        <v>341300</v>
      </c>
      <c r="T40" s="109">
        <f t="shared" si="12"/>
        <v>12387081</v>
      </c>
      <c r="U40" s="93"/>
    </row>
    <row r="41" spans="2:21" ht="15" customHeight="1" x14ac:dyDescent="0.2">
      <c r="B41" s="100" t="s">
        <v>249</v>
      </c>
      <c r="C41" s="101" t="s">
        <v>250</v>
      </c>
      <c r="D41" s="37">
        <f>SUM(D42:D49)</f>
        <v>120000000</v>
      </c>
      <c r="E41" s="37">
        <f t="shared" ref="E41:T41" si="13">SUM(E42:E49)</f>
        <v>0</v>
      </c>
      <c r="F41" s="37">
        <f t="shared" si="13"/>
        <v>0</v>
      </c>
      <c r="G41" s="37">
        <f t="shared" si="13"/>
        <v>0</v>
      </c>
      <c r="H41" s="37">
        <f>SUM(H42:H49)</f>
        <v>7395000</v>
      </c>
      <c r="I41" s="48">
        <f t="shared" si="13"/>
        <v>112605000</v>
      </c>
      <c r="J41" s="37">
        <f t="shared" si="13"/>
        <v>14406930</v>
      </c>
      <c r="K41" s="37">
        <f t="shared" si="13"/>
        <v>94570250</v>
      </c>
      <c r="L41" s="37">
        <f>SUM(L42:L49)</f>
        <v>14406930</v>
      </c>
      <c r="M41" s="37">
        <f t="shared" si="13"/>
        <v>94570250</v>
      </c>
      <c r="N41" s="37">
        <f t="shared" si="13"/>
        <v>14406930</v>
      </c>
      <c r="O41" s="108">
        <f t="shared" si="13"/>
        <v>94570250</v>
      </c>
      <c r="P41" s="37">
        <f t="shared" si="13"/>
        <v>14406930</v>
      </c>
      <c r="Q41" s="37">
        <f t="shared" si="13"/>
        <v>94570250</v>
      </c>
      <c r="R41" s="37">
        <f t="shared" si="13"/>
        <v>0</v>
      </c>
      <c r="S41" s="37">
        <f t="shared" si="13"/>
        <v>0</v>
      </c>
      <c r="T41" s="109">
        <f t="shared" si="13"/>
        <v>0</v>
      </c>
    </row>
    <row r="42" spans="2:21" ht="15" customHeight="1" x14ac:dyDescent="0.2">
      <c r="B42" s="103" t="s">
        <v>251</v>
      </c>
      <c r="C42" s="58" t="s">
        <v>196</v>
      </c>
      <c r="D42" s="36">
        <v>88400000</v>
      </c>
      <c r="E42" s="36">
        <v>0</v>
      </c>
      <c r="F42" s="36">
        <v>0</v>
      </c>
      <c r="G42" s="36">
        <v>0</v>
      </c>
      <c r="H42" s="36">
        <f>2000000+3000000</f>
        <v>5000000</v>
      </c>
      <c r="I42" s="104">
        <f t="shared" ref="I42:I49" si="14">+D42+E42-F42+G42-H42</f>
        <v>83400000</v>
      </c>
      <c r="J42" s="36">
        <v>6802193</v>
      </c>
      <c r="K42" s="105">
        <v>81626226</v>
      </c>
      <c r="L42" s="36">
        <v>6802193</v>
      </c>
      <c r="M42" s="45">
        <v>81626226</v>
      </c>
      <c r="N42" s="45">
        <v>6802193</v>
      </c>
      <c r="O42" s="106">
        <v>81626226</v>
      </c>
      <c r="P42" s="45">
        <v>6802193</v>
      </c>
      <c r="Q42" s="45">
        <v>81626226</v>
      </c>
      <c r="R42" s="36">
        <v>0</v>
      </c>
      <c r="S42" s="105">
        <v>0</v>
      </c>
      <c r="T42" s="107">
        <v>0</v>
      </c>
    </row>
    <row r="43" spans="2:21" ht="15" customHeight="1" x14ac:dyDescent="0.2">
      <c r="B43" s="103" t="s">
        <v>252</v>
      </c>
      <c r="C43" s="58" t="s">
        <v>198</v>
      </c>
      <c r="D43" s="36">
        <v>7000000</v>
      </c>
      <c r="E43" s="36">
        <v>0</v>
      </c>
      <c r="F43" s="36">
        <v>0</v>
      </c>
      <c r="G43" s="36">
        <v>0</v>
      </c>
      <c r="H43" s="36">
        <v>0</v>
      </c>
      <c r="I43" s="104">
        <f t="shared" si="14"/>
        <v>7000000</v>
      </c>
      <c r="J43" s="36">
        <v>0</v>
      </c>
      <c r="K43" s="105">
        <v>0</v>
      </c>
      <c r="L43" s="36">
        <v>0</v>
      </c>
      <c r="M43" s="45">
        <v>0</v>
      </c>
      <c r="N43" s="45">
        <v>0</v>
      </c>
      <c r="O43" s="106">
        <v>0</v>
      </c>
      <c r="P43" s="45">
        <v>0</v>
      </c>
      <c r="Q43" s="45">
        <v>0</v>
      </c>
      <c r="R43" s="36">
        <v>0</v>
      </c>
      <c r="S43" s="105">
        <v>0</v>
      </c>
      <c r="T43" s="107">
        <v>0</v>
      </c>
    </row>
    <row r="44" spans="2:21" ht="15" customHeight="1" x14ac:dyDescent="0.2">
      <c r="B44" s="103" t="s">
        <v>253</v>
      </c>
      <c r="C44" s="58" t="s">
        <v>200</v>
      </c>
      <c r="D44" s="36">
        <v>100000</v>
      </c>
      <c r="E44" s="36">
        <v>0</v>
      </c>
      <c r="F44" s="36">
        <v>0</v>
      </c>
      <c r="G44" s="36">
        <v>0</v>
      </c>
      <c r="H44" s="36">
        <v>0</v>
      </c>
      <c r="I44" s="104">
        <f t="shared" si="14"/>
        <v>100000</v>
      </c>
      <c r="J44" s="36">
        <v>0</v>
      </c>
      <c r="K44" s="105">
        <v>0</v>
      </c>
      <c r="L44" s="36">
        <v>0</v>
      </c>
      <c r="M44" s="45">
        <v>0</v>
      </c>
      <c r="N44" s="45">
        <v>0</v>
      </c>
      <c r="O44" s="106">
        <v>0</v>
      </c>
      <c r="P44" s="45">
        <v>0</v>
      </c>
      <c r="Q44" s="45">
        <v>0</v>
      </c>
      <c r="R44" s="36">
        <v>0</v>
      </c>
      <c r="S44" s="105">
        <v>0</v>
      </c>
      <c r="T44" s="107">
        <v>0</v>
      </c>
    </row>
    <row r="45" spans="2:21" ht="15" customHeight="1" x14ac:dyDescent="0.2">
      <c r="B45" s="103" t="s">
        <v>254</v>
      </c>
      <c r="C45" s="58" t="s">
        <v>202</v>
      </c>
      <c r="D45" s="36">
        <v>5000000</v>
      </c>
      <c r="E45" s="36">
        <v>0</v>
      </c>
      <c r="F45" s="36">
        <v>0</v>
      </c>
      <c r="G45" s="36">
        <v>0</v>
      </c>
      <c r="H45" s="36">
        <v>0</v>
      </c>
      <c r="I45" s="104">
        <f t="shared" si="14"/>
        <v>5000000</v>
      </c>
      <c r="J45" s="36">
        <v>0</v>
      </c>
      <c r="K45" s="105">
        <v>1063045</v>
      </c>
      <c r="L45" s="36">
        <v>0</v>
      </c>
      <c r="M45" s="45">
        <v>1063045</v>
      </c>
      <c r="N45" s="45">
        <v>0</v>
      </c>
      <c r="O45" s="106">
        <v>1063045</v>
      </c>
      <c r="P45" s="45">
        <v>0</v>
      </c>
      <c r="Q45" s="45">
        <v>1063045</v>
      </c>
      <c r="R45" s="36">
        <v>0</v>
      </c>
      <c r="S45" s="105">
        <v>0</v>
      </c>
      <c r="T45" s="107">
        <v>0</v>
      </c>
    </row>
    <row r="46" spans="2:21" ht="15" customHeight="1" x14ac:dyDescent="0.2">
      <c r="B46" s="103" t="s">
        <v>255</v>
      </c>
      <c r="C46" s="58" t="s">
        <v>256</v>
      </c>
      <c r="D46" s="36">
        <v>500000</v>
      </c>
      <c r="E46" s="36">
        <v>0</v>
      </c>
      <c r="F46" s="36">
        <v>0</v>
      </c>
      <c r="G46" s="36">
        <v>0</v>
      </c>
      <c r="H46" s="36">
        <v>0</v>
      </c>
      <c r="I46" s="104">
        <f t="shared" si="14"/>
        <v>500000</v>
      </c>
      <c r="J46" s="36">
        <v>0</v>
      </c>
      <c r="K46" s="105">
        <v>124151</v>
      </c>
      <c r="L46" s="36">
        <v>0</v>
      </c>
      <c r="M46" s="45">
        <v>124151</v>
      </c>
      <c r="N46" s="45">
        <v>0</v>
      </c>
      <c r="O46" s="106">
        <v>124151</v>
      </c>
      <c r="P46" s="45">
        <v>0</v>
      </c>
      <c r="Q46" s="45">
        <v>124151</v>
      </c>
      <c r="R46" s="36">
        <v>0</v>
      </c>
      <c r="S46" s="105">
        <v>0</v>
      </c>
      <c r="T46" s="107">
        <v>0</v>
      </c>
    </row>
    <row r="47" spans="2:21" ht="15" customHeight="1" x14ac:dyDescent="0.2">
      <c r="B47" s="103" t="s">
        <v>257</v>
      </c>
      <c r="C47" s="58" t="s">
        <v>258</v>
      </c>
      <c r="D47" s="36">
        <v>4000000</v>
      </c>
      <c r="E47" s="36">
        <v>0</v>
      </c>
      <c r="F47" s="36">
        <v>0</v>
      </c>
      <c r="G47" s="36">
        <v>0</v>
      </c>
      <c r="H47" s="36">
        <v>0</v>
      </c>
      <c r="I47" s="104">
        <f t="shared" si="14"/>
        <v>4000000</v>
      </c>
      <c r="J47" s="36">
        <v>0</v>
      </c>
      <c r="K47" s="105">
        <v>651795</v>
      </c>
      <c r="L47" s="36">
        <v>0</v>
      </c>
      <c r="M47" s="45">
        <v>651795</v>
      </c>
      <c r="N47" s="45">
        <v>0</v>
      </c>
      <c r="O47" s="106">
        <v>651795</v>
      </c>
      <c r="P47" s="45">
        <v>0</v>
      </c>
      <c r="Q47" s="45">
        <v>651795</v>
      </c>
      <c r="R47" s="36">
        <v>0</v>
      </c>
      <c r="S47" s="105">
        <v>0</v>
      </c>
      <c r="T47" s="107">
        <v>0</v>
      </c>
    </row>
    <row r="48" spans="2:21" ht="15" customHeight="1" x14ac:dyDescent="0.2">
      <c r="B48" s="103" t="s">
        <v>259</v>
      </c>
      <c r="C48" s="58" t="s">
        <v>208</v>
      </c>
      <c r="D48" s="36">
        <v>5000000</v>
      </c>
      <c r="E48" s="36">
        <v>0</v>
      </c>
      <c r="F48" s="36">
        <v>0</v>
      </c>
      <c r="G48" s="36">
        <v>0</v>
      </c>
      <c r="H48" s="36">
        <v>0</v>
      </c>
      <c r="I48" s="104">
        <f t="shared" si="14"/>
        <v>5000000</v>
      </c>
      <c r="J48" s="36">
        <v>0</v>
      </c>
      <c r="K48" s="105">
        <v>3500296</v>
      </c>
      <c r="L48" s="36">
        <v>0</v>
      </c>
      <c r="M48" s="45">
        <v>3500296</v>
      </c>
      <c r="N48" s="45">
        <v>0</v>
      </c>
      <c r="O48" s="106">
        <v>3500296</v>
      </c>
      <c r="P48" s="45">
        <v>0</v>
      </c>
      <c r="Q48" s="45">
        <v>3500296</v>
      </c>
      <c r="R48" s="36">
        <v>0</v>
      </c>
      <c r="S48" s="105">
        <v>0</v>
      </c>
      <c r="T48" s="107">
        <v>0</v>
      </c>
    </row>
    <row r="49" spans="2:21" ht="15" customHeight="1" x14ac:dyDescent="0.2">
      <c r="B49" s="103" t="s">
        <v>260</v>
      </c>
      <c r="C49" s="58" t="s">
        <v>210</v>
      </c>
      <c r="D49" s="36">
        <v>10000000</v>
      </c>
      <c r="E49" s="36">
        <v>0</v>
      </c>
      <c r="F49" s="36">
        <v>0</v>
      </c>
      <c r="G49" s="36">
        <v>0</v>
      </c>
      <c r="H49" s="36">
        <v>2395000</v>
      </c>
      <c r="I49" s="104">
        <f t="shared" si="14"/>
        <v>7605000</v>
      </c>
      <c r="J49" s="36">
        <v>7604737</v>
      </c>
      <c r="K49" s="105">
        <v>7604737</v>
      </c>
      <c r="L49" s="36">
        <v>7604737</v>
      </c>
      <c r="M49" s="45">
        <v>7604737</v>
      </c>
      <c r="N49" s="45">
        <v>7604737</v>
      </c>
      <c r="O49" s="106">
        <v>7604737</v>
      </c>
      <c r="P49" s="45">
        <v>7604737</v>
      </c>
      <c r="Q49" s="45">
        <v>7604737</v>
      </c>
      <c r="R49" s="36">
        <v>0</v>
      </c>
      <c r="S49" s="105">
        <v>0</v>
      </c>
      <c r="T49" s="107">
        <v>0</v>
      </c>
    </row>
    <row r="50" spans="2:21" s="14" customFormat="1" ht="15" customHeight="1" x14ac:dyDescent="0.25">
      <c r="B50" s="100" t="s">
        <v>261</v>
      </c>
      <c r="C50" s="101" t="s">
        <v>262</v>
      </c>
      <c r="D50" s="37">
        <f>SUM(D51:D53)</f>
        <v>130356418</v>
      </c>
      <c r="E50" s="37">
        <f>SUM(E51:E53)</f>
        <v>0</v>
      </c>
      <c r="F50" s="37">
        <f t="shared" ref="F50:T50" si="15">SUM(F51:F53)</f>
        <v>0</v>
      </c>
      <c r="G50" s="37">
        <f t="shared" si="15"/>
        <v>3903582</v>
      </c>
      <c r="H50" s="37">
        <f t="shared" si="15"/>
        <v>45099900</v>
      </c>
      <c r="I50" s="48">
        <f t="shared" si="15"/>
        <v>89160100</v>
      </c>
      <c r="J50" s="37">
        <f t="shared" si="15"/>
        <v>5523790</v>
      </c>
      <c r="K50" s="37">
        <f t="shared" si="15"/>
        <v>87082590</v>
      </c>
      <c r="L50" s="37">
        <f t="shared" si="15"/>
        <v>5523790</v>
      </c>
      <c r="M50" s="37">
        <f t="shared" si="15"/>
        <v>87082590</v>
      </c>
      <c r="N50" s="37">
        <f t="shared" si="15"/>
        <v>29927090</v>
      </c>
      <c r="O50" s="108">
        <f t="shared" si="15"/>
        <v>87082590</v>
      </c>
      <c r="P50" s="37">
        <f t="shared" si="15"/>
        <v>28117090</v>
      </c>
      <c r="Q50" s="37">
        <f t="shared" si="15"/>
        <v>83922590</v>
      </c>
      <c r="R50" s="37">
        <f t="shared" si="15"/>
        <v>0</v>
      </c>
      <c r="S50" s="37">
        <f t="shared" si="15"/>
        <v>0</v>
      </c>
      <c r="T50" s="109">
        <f t="shared" si="15"/>
        <v>3160000</v>
      </c>
      <c r="U50" s="93"/>
    </row>
    <row r="51" spans="2:21" ht="15" customHeight="1" x14ac:dyDescent="0.2">
      <c r="B51" s="103" t="s">
        <v>263</v>
      </c>
      <c r="C51" s="58" t="s">
        <v>215</v>
      </c>
      <c r="D51" s="36">
        <v>100000</v>
      </c>
      <c r="E51" s="36">
        <v>0</v>
      </c>
      <c r="F51" s="36">
        <v>0</v>
      </c>
      <c r="G51" s="36">
        <v>0</v>
      </c>
      <c r="H51" s="36">
        <v>99900</v>
      </c>
      <c r="I51" s="104">
        <f>+D51+E51-F51+G51-H51</f>
        <v>100</v>
      </c>
      <c r="J51" s="36">
        <v>0</v>
      </c>
      <c r="K51" s="105">
        <v>0</v>
      </c>
      <c r="L51" s="36">
        <v>0</v>
      </c>
      <c r="M51" s="45">
        <v>0</v>
      </c>
      <c r="N51" s="45">
        <v>0</v>
      </c>
      <c r="O51" s="106">
        <v>0</v>
      </c>
      <c r="P51" s="45">
        <v>0</v>
      </c>
      <c r="Q51" s="45">
        <v>0</v>
      </c>
      <c r="R51" s="36">
        <v>0</v>
      </c>
      <c r="S51" s="105">
        <v>0</v>
      </c>
      <c r="T51" s="107">
        <v>0</v>
      </c>
    </row>
    <row r="52" spans="2:21" ht="15" customHeight="1" x14ac:dyDescent="0.2">
      <c r="B52" s="103" t="s">
        <v>264</v>
      </c>
      <c r="C52" s="58" t="s">
        <v>217</v>
      </c>
      <c r="D52" s="36">
        <v>70000000</v>
      </c>
      <c r="E52" s="36">
        <v>0</v>
      </c>
      <c r="F52" s="36">
        <v>0</v>
      </c>
      <c r="G52" s="36">
        <v>0</v>
      </c>
      <c r="H52" s="36">
        <v>0</v>
      </c>
      <c r="I52" s="104">
        <f>+D52+E52-F52+G52-H52</f>
        <v>70000000</v>
      </c>
      <c r="J52" s="36">
        <v>3688790</v>
      </c>
      <c r="K52" s="105">
        <v>68597590</v>
      </c>
      <c r="L52" s="36">
        <v>3688790</v>
      </c>
      <c r="M52" s="45">
        <v>68597590</v>
      </c>
      <c r="N52" s="45">
        <v>19892090</v>
      </c>
      <c r="O52" s="106">
        <v>68597590</v>
      </c>
      <c r="P52" s="45">
        <v>17892090</v>
      </c>
      <c r="Q52" s="45">
        <v>66597590</v>
      </c>
      <c r="R52" s="36">
        <v>0</v>
      </c>
      <c r="S52" s="105">
        <v>0</v>
      </c>
      <c r="T52" s="107">
        <v>2000000</v>
      </c>
    </row>
    <row r="53" spans="2:21" ht="15" customHeight="1" x14ac:dyDescent="0.2">
      <c r="B53" s="103" t="s">
        <v>265</v>
      </c>
      <c r="C53" s="58" t="s">
        <v>266</v>
      </c>
      <c r="D53" s="36">
        <v>60256418</v>
      </c>
      <c r="E53" s="36">
        <v>0</v>
      </c>
      <c r="F53" s="36">
        <v>0</v>
      </c>
      <c r="G53" s="36">
        <f>1493582+2410000</f>
        <v>3903582</v>
      </c>
      <c r="H53" s="36">
        <f>15000000+30000000</f>
        <v>45000000</v>
      </c>
      <c r="I53" s="104">
        <f>+D53+E53-F53+G53-H53</f>
        <v>19160000</v>
      </c>
      <c r="J53" s="36">
        <v>1835000</v>
      </c>
      <c r="K53" s="105">
        <v>18485000</v>
      </c>
      <c r="L53" s="36">
        <v>1835000</v>
      </c>
      <c r="M53" s="45">
        <v>18485000</v>
      </c>
      <c r="N53" s="45">
        <v>10035000</v>
      </c>
      <c r="O53" s="106">
        <v>18485000</v>
      </c>
      <c r="P53" s="45">
        <v>10225000</v>
      </c>
      <c r="Q53" s="45">
        <v>17325000</v>
      </c>
      <c r="R53" s="36">
        <v>0</v>
      </c>
      <c r="S53" s="105">
        <v>0</v>
      </c>
      <c r="T53" s="107">
        <v>1160000</v>
      </c>
    </row>
    <row r="54" spans="2:21" s="14" customFormat="1" ht="15" customHeight="1" x14ac:dyDescent="0.25">
      <c r="B54" s="100" t="s">
        <v>267</v>
      </c>
      <c r="C54" s="101" t="s">
        <v>268</v>
      </c>
      <c r="D54" s="37">
        <f>+D55+D59+D63</f>
        <v>25000000</v>
      </c>
      <c r="E54" s="37">
        <v>0</v>
      </c>
      <c r="F54" s="37">
        <v>0</v>
      </c>
      <c r="G54" s="37">
        <f>+G55+G59+G63</f>
        <v>17750000</v>
      </c>
      <c r="H54" s="37">
        <f>+H55+H59</f>
        <v>4800000</v>
      </c>
      <c r="I54" s="48">
        <f t="shared" ref="I54:T54" si="16">+I55+I59+I63</f>
        <v>37950000</v>
      </c>
      <c r="J54" s="37">
        <f t="shared" si="16"/>
        <v>11840081</v>
      </c>
      <c r="K54" s="37">
        <f t="shared" si="16"/>
        <v>34795212</v>
      </c>
      <c r="L54" s="37">
        <f>+L55+L59+L63</f>
        <v>11840081</v>
      </c>
      <c r="M54" s="37">
        <f t="shared" si="16"/>
        <v>34795212</v>
      </c>
      <c r="N54" s="37">
        <f t="shared" si="16"/>
        <v>11498781</v>
      </c>
      <c r="O54" s="108">
        <f t="shared" si="16"/>
        <v>34453912</v>
      </c>
      <c r="P54" s="37">
        <f t="shared" si="16"/>
        <v>2271700</v>
      </c>
      <c r="Q54" s="37">
        <f t="shared" si="16"/>
        <v>25226831</v>
      </c>
      <c r="R54" s="37">
        <f t="shared" si="16"/>
        <v>0</v>
      </c>
      <c r="S54" s="37">
        <f t="shared" si="16"/>
        <v>341300</v>
      </c>
      <c r="T54" s="109">
        <f t="shared" si="16"/>
        <v>9227081</v>
      </c>
      <c r="U54" s="93"/>
    </row>
    <row r="55" spans="2:21" s="14" customFormat="1" ht="15" customHeight="1" x14ac:dyDescent="0.25">
      <c r="B55" s="100" t="s">
        <v>269</v>
      </c>
      <c r="C55" s="101" t="s">
        <v>59</v>
      </c>
      <c r="D55" s="37">
        <f>SUM(D56:D58)</f>
        <v>11200000</v>
      </c>
      <c r="E55" s="37">
        <f>SUM(E56:E58)</f>
        <v>0</v>
      </c>
      <c r="F55" s="37">
        <f t="shared" ref="F55:T55" si="17">SUM(F56:F58)</f>
        <v>0</v>
      </c>
      <c r="G55" s="37">
        <f t="shared" si="17"/>
        <v>5750000</v>
      </c>
      <c r="H55" s="37">
        <f t="shared" si="17"/>
        <v>2400000</v>
      </c>
      <c r="I55" s="48">
        <f t="shared" si="17"/>
        <v>14550000</v>
      </c>
      <c r="J55" s="37">
        <f t="shared" si="17"/>
        <v>7501239</v>
      </c>
      <c r="K55" s="37">
        <f t="shared" si="17"/>
        <v>14022200</v>
      </c>
      <c r="L55" s="37">
        <f t="shared" si="17"/>
        <v>7501239</v>
      </c>
      <c r="M55" s="37">
        <f t="shared" si="17"/>
        <v>14022200</v>
      </c>
      <c r="N55" s="37">
        <f t="shared" si="17"/>
        <v>7501239</v>
      </c>
      <c r="O55" s="108">
        <f t="shared" si="17"/>
        <v>14022200</v>
      </c>
      <c r="P55" s="37">
        <f t="shared" si="17"/>
        <v>800300</v>
      </c>
      <c r="Q55" s="37">
        <f t="shared" si="17"/>
        <v>7321261</v>
      </c>
      <c r="R55" s="37">
        <f t="shared" si="17"/>
        <v>0</v>
      </c>
      <c r="S55" s="37">
        <f t="shared" si="17"/>
        <v>0</v>
      </c>
      <c r="T55" s="109">
        <f t="shared" si="17"/>
        <v>6700939</v>
      </c>
      <c r="U55" s="93"/>
    </row>
    <row r="56" spans="2:21" ht="15" customHeight="1" x14ac:dyDescent="0.2">
      <c r="B56" s="103" t="s">
        <v>270</v>
      </c>
      <c r="C56" s="58" t="s">
        <v>233</v>
      </c>
      <c r="D56" s="36">
        <v>2500000</v>
      </c>
      <c r="E56" s="36">
        <v>0</v>
      </c>
      <c r="F56" s="36">
        <v>0</v>
      </c>
      <c r="G56" s="36">
        <v>5200000</v>
      </c>
      <c r="H56" s="36">
        <v>0</v>
      </c>
      <c r="I56" s="104">
        <f>+D56+E56-F56+G56-H56</f>
        <v>7700000</v>
      </c>
      <c r="J56" s="36">
        <v>800300</v>
      </c>
      <c r="K56" s="105">
        <v>7321261</v>
      </c>
      <c r="L56" s="36">
        <v>800300</v>
      </c>
      <c r="M56" s="45">
        <v>7321261</v>
      </c>
      <c r="N56" s="45">
        <v>800300</v>
      </c>
      <c r="O56" s="106">
        <v>7321261</v>
      </c>
      <c r="P56" s="45">
        <v>800300</v>
      </c>
      <c r="Q56" s="45">
        <v>7321261</v>
      </c>
      <c r="R56" s="36">
        <v>0</v>
      </c>
      <c r="S56" s="105">
        <v>0</v>
      </c>
      <c r="T56" s="107">
        <v>0</v>
      </c>
    </row>
    <row r="57" spans="2:21" ht="15" customHeight="1" x14ac:dyDescent="0.2">
      <c r="B57" s="103" t="s">
        <v>271</v>
      </c>
      <c r="C57" s="58" t="s">
        <v>227</v>
      </c>
      <c r="D57" s="36">
        <v>6200000</v>
      </c>
      <c r="E57" s="36">
        <v>0</v>
      </c>
      <c r="F57" s="36">
        <v>0</v>
      </c>
      <c r="G57" s="36">
        <v>550000</v>
      </c>
      <c r="H57" s="36">
        <v>0</v>
      </c>
      <c r="I57" s="104">
        <f>+D57+E57-F57+G57-H57</f>
        <v>6750000</v>
      </c>
      <c r="J57" s="36">
        <v>6700939</v>
      </c>
      <c r="K57" s="105">
        <v>6700939</v>
      </c>
      <c r="L57" s="36">
        <v>6700939</v>
      </c>
      <c r="M57" s="45">
        <v>6700939</v>
      </c>
      <c r="N57" s="45">
        <v>6700939</v>
      </c>
      <c r="O57" s="106">
        <v>6700939</v>
      </c>
      <c r="P57" s="45">
        <v>0</v>
      </c>
      <c r="Q57" s="45">
        <v>0</v>
      </c>
      <c r="R57" s="36">
        <v>0</v>
      </c>
      <c r="S57" s="105">
        <v>0</v>
      </c>
      <c r="T57" s="107">
        <v>6700939</v>
      </c>
    </row>
    <row r="58" spans="2:21" ht="15" customHeight="1" x14ac:dyDescent="0.2">
      <c r="B58" s="103" t="s">
        <v>272</v>
      </c>
      <c r="C58" s="58" t="s">
        <v>229</v>
      </c>
      <c r="D58" s="36">
        <v>2500000</v>
      </c>
      <c r="E58" s="36">
        <v>0</v>
      </c>
      <c r="F58" s="36">
        <v>0</v>
      </c>
      <c r="G58" s="36">
        <v>0</v>
      </c>
      <c r="H58" s="36">
        <v>2400000</v>
      </c>
      <c r="I58" s="104">
        <f>+D58+E58-F58+G58-H58</f>
        <v>100000</v>
      </c>
      <c r="J58" s="36">
        <v>0</v>
      </c>
      <c r="K58" s="105">
        <v>0</v>
      </c>
      <c r="L58" s="36">
        <v>0</v>
      </c>
      <c r="M58" s="45">
        <v>0</v>
      </c>
      <c r="N58" s="45">
        <v>0</v>
      </c>
      <c r="O58" s="106">
        <v>0</v>
      </c>
      <c r="P58" s="45">
        <v>0</v>
      </c>
      <c r="Q58" s="45">
        <v>0</v>
      </c>
      <c r="R58" s="36">
        <v>0</v>
      </c>
      <c r="S58" s="105">
        <v>0</v>
      </c>
      <c r="T58" s="107">
        <v>0</v>
      </c>
    </row>
    <row r="59" spans="2:21" s="14" customFormat="1" ht="15" customHeight="1" x14ac:dyDescent="0.25">
      <c r="B59" s="100" t="s">
        <v>273</v>
      </c>
      <c r="C59" s="101" t="s">
        <v>67</v>
      </c>
      <c r="D59" s="37">
        <f>SUM(D60:D62)</f>
        <v>10000000</v>
      </c>
      <c r="E59" s="37">
        <v>0</v>
      </c>
      <c r="F59" s="37">
        <v>0</v>
      </c>
      <c r="G59" s="37">
        <f>SUM(G60:G62)</f>
        <v>7350000</v>
      </c>
      <c r="H59" s="37">
        <f>SUM(H60:H62)</f>
        <v>2400000</v>
      </c>
      <c r="I59" s="48">
        <f>SUM(I60:I62)</f>
        <v>14950000</v>
      </c>
      <c r="J59" s="37">
        <f t="shared" ref="J59:T59" si="18">SUM(J60:J62)</f>
        <v>3474842</v>
      </c>
      <c r="K59" s="37">
        <f t="shared" si="18"/>
        <v>12824012</v>
      </c>
      <c r="L59" s="37">
        <f t="shared" si="18"/>
        <v>3474842</v>
      </c>
      <c r="M59" s="37">
        <f t="shared" si="18"/>
        <v>12824012</v>
      </c>
      <c r="N59" s="37">
        <f t="shared" si="18"/>
        <v>3474842</v>
      </c>
      <c r="O59" s="108">
        <f t="shared" si="18"/>
        <v>12824012</v>
      </c>
      <c r="P59" s="37">
        <f t="shared" si="18"/>
        <v>948700</v>
      </c>
      <c r="Q59" s="37">
        <f t="shared" si="18"/>
        <v>10297870</v>
      </c>
      <c r="R59" s="37">
        <f t="shared" si="18"/>
        <v>0</v>
      </c>
      <c r="S59" s="37">
        <f t="shared" si="18"/>
        <v>0</v>
      </c>
      <c r="T59" s="109">
        <f t="shared" si="18"/>
        <v>2526142</v>
      </c>
      <c r="U59" s="93"/>
    </row>
    <row r="60" spans="2:21" ht="15" customHeight="1" x14ac:dyDescent="0.2">
      <c r="B60" s="103" t="s">
        <v>274</v>
      </c>
      <c r="C60" s="58" t="s">
        <v>233</v>
      </c>
      <c r="D60" s="36">
        <v>2500000</v>
      </c>
      <c r="E60" s="36">
        <v>0</v>
      </c>
      <c r="F60" s="36">
        <v>0</v>
      </c>
      <c r="G60" s="36">
        <f>550000+1000000</f>
        <v>1550000</v>
      </c>
      <c r="H60" s="36">
        <v>0</v>
      </c>
      <c r="I60" s="104">
        <f>+D60+E60-F60+G60-H60</f>
        <v>4050000</v>
      </c>
      <c r="J60" s="36">
        <v>223500</v>
      </c>
      <c r="K60" s="105">
        <v>2759807</v>
      </c>
      <c r="L60" s="36">
        <v>223500</v>
      </c>
      <c r="M60" s="45">
        <v>2759807</v>
      </c>
      <c r="N60" s="45">
        <v>223500</v>
      </c>
      <c r="O60" s="106">
        <v>2759807</v>
      </c>
      <c r="P60" s="45">
        <v>223500</v>
      </c>
      <c r="Q60" s="45">
        <v>2759807</v>
      </c>
      <c r="R60" s="36">
        <v>0</v>
      </c>
      <c r="S60" s="105">
        <v>0</v>
      </c>
      <c r="T60" s="107">
        <v>0</v>
      </c>
    </row>
    <row r="61" spans="2:21" ht="15" customHeight="1" x14ac:dyDescent="0.2">
      <c r="B61" s="103" t="s">
        <v>275</v>
      </c>
      <c r="C61" s="58" t="s">
        <v>276</v>
      </c>
      <c r="D61" s="36">
        <v>5000000</v>
      </c>
      <c r="E61" s="36">
        <v>0</v>
      </c>
      <c r="F61" s="36">
        <v>0</v>
      </c>
      <c r="G61" s="36">
        <v>0</v>
      </c>
      <c r="H61" s="36">
        <f>1900000+500000</f>
        <v>2400000</v>
      </c>
      <c r="I61" s="104">
        <f>+D61+E61-F61+G61-H61</f>
        <v>2600000</v>
      </c>
      <c r="J61" s="36">
        <v>2526142</v>
      </c>
      <c r="K61" s="105">
        <v>2526142</v>
      </c>
      <c r="L61" s="36">
        <v>2526142</v>
      </c>
      <c r="M61" s="45">
        <v>2526142</v>
      </c>
      <c r="N61" s="45">
        <v>2526142</v>
      </c>
      <c r="O61" s="106">
        <v>2526142</v>
      </c>
      <c r="P61" s="45">
        <v>0</v>
      </c>
      <c r="Q61" s="45">
        <v>0</v>
      </c>
      <c r="R61" s="36">
        <v>0</v>
      </c>
      <c r="S61" s="105">
        <v>0</v>
      </c>
      <c r="T61" s="107">
        <v>2526142</v>
      </c>
    </row>
    <row r="62" spans="2:21" ht="15" customHeight="1" x14ac:dyDescent="0.2">
      <c r="B62" s="103" t="s">
        <v>277</v>
      </c>
      <c r="C62" s="58" t="s">
        <v>229</v>
      </c>
      <c r="D62" s="36">
        <v>2500000</v>
      </c>
      <c r="E62" s="36">
        <v>0</v>
      </c>
      <c r="F62" s="36">
        <v>0</v>
      </c>
      <c r="G62" s="36">
        <f>4600000+1200000</f>
        <v>5800000</v>
      </c>
      <c r="H62" s="36">
        <v>0</v>
      </c>
      <c r="I62" s="104">
        <f>+D62+E62-F62+G62-H62</f>
        <v>8300000</v>
      </c>
      <c r="J62" s="36">
        <v>725200</v>
      </c>
      <c r="K62" s="105">
        <v>7538063</v>
      </c>
      <c r="L62" s="36">
        <v>725200</v>
      </c>
      <c r="M62" s="45">
        <v>7538063</v>
      </c>
      <c r="N62" s="45">
        <v>725200</v>
      </c>
      <c r="O62" s="106">
        <v>7538063</v>
      </c>
      <c r="P62" s="45">
        <v>725200</v>
      </c>
      <c r="Q62" s="45">
        <v>7538063</v>
      </c>
      <c r="R62" s="36">
        <v>0</v>
      </c>
      <c r="S62" s="105">
        <v>0</v>
      </c>
      <c r="T62" s="107">
        <v>0</v>
      </c>
    </row>
    <row r="63" spans="2:21" s="14" customFormat="1" ht="15" customHeight="1" x14ac:dyDescent="0.25">
      <c r="B63" s="100" t="s">
        <v>278</v>
      </c>
      <c r="C63" s="101" t="s">
        <v>238</v>
      </c>
      <c r="D63" s="37">
        <f>SUM(D64:D67)</f>
        <v>3800000</v>
      </c>
      <c r="E63" s="37">
        <f>SUM(E64:E67)</f>
        <v>0</v>
      </c>
      <c r="F63" s="37">
        <f t="shared" ref="F63:T63" si="19">SUM(F64:F67)</f>
        <v>0</v>
      </c>
      <c r="G63" s="37">
        <f t="shared" si="19"/>
        <v>4650000</v>
      </c>
      <c r="H63" s="37">
        <f t="shared" si="19"/>
        <v>0</v>
      </c>
      <c r="I63" s="48">
        <f t="shared" si="19"/>
        <v>8450000</v>
      </c>
      <c r="J63" s="37">
        <f t="shared" si="19"/>
        <v>864000</v>
      </c>
      <c r="K63" s="37">
        <f t="shared" si="19"/>
        <v>7949000</v>
      </c>
      <c r="L63" s="37">
        <f t="shared" si="19"/>
        <v>864000</v>
      </c>
      <c r="M63" s="37">
        <f t="shared" si="19"/>
        <v>7949000</v>
      </c>
      <c r="N63" s="37">
        <f t="shared" si="19"/>
        <v>522700</v>
      </c>
      <c r="O63" s="108">
        <f t="shared" si="19"/>
        <v>7607700</v>
      </c>
      <c r="P63" s="37">
        <f t="shared" si="19"/>
        <v>522700</v>
      </c>
      <c r="Q63" s="37">
        <f t="shared" si="19"/>
        <v>7607700</v>
      </c>
      <c r="R63" s="37">
        <f t="shared" si="19"/>
        <v>0</v>
      </c>
      <c r="S63" s="37">
        <f t="shared" si="19"/>
        <v>341300</v>
      </c>
      <c r="T63" s="109">
        <f t="shared" si="19"/>
        <v>0</v>
      </c>
      <c r="U63" s="93"/>
    </row>
    <row r="64" spans="2:21" ht="15" customHeight="1" x14ac:dyDescent="0.2">
      <c r="B64" s="103" t="s">
        <v>279</v>
      </c>
      <c r="C64" s="58" t="s">
        <v>240</v>
      </c>
      <c r="D64" s="36">
        <v>1000000</v>
      </c>
      <c r="E64" s="36">
        <v>0</v>
      </c>
      <c r="F64" s="36">
        <v>0</v>
      </c>
      <c r="G64" s="36">
        <v>1550000</v>
      </c>
      <c r="H64" s="36">
        <v>0</v>
      </c>
      <c r="I64" s="104">
        <f>+D64+E64-F64+G64-H64</f>
        <v>2550000</v>
      </c>
      <c r="J64" s="36">
        <v>307500</v>
      </c>
      <c r="K64" s="105">
        <v>2549900</v>
      </c>
      <c r="L64" s="36">
        <v>307500</v>
      </c>
      <c r="M64" s="45">
        <v>2549900</v>
      </c>
      <c r="N64" s="45">
        <v>307500</v>
      </c>
      <c r="O64" s="106">
        <v>2549900</v>
      </c>
      <c r="P64" s="45">
        <v>307500</v>
      </c>
      <c r="Q64" s="45">
        <v>2549900</v>
      </c>
      <c r="R64" s="36">
        <v>0</v>
      </c>
      <c r="S64" s="105">
        <v>0</v>
      </c>
      <c r="T64" s="107">
        <v>0</v>
      </c>
    </row>
    <row r="65" spans="2:21" ht="15" customHeight="1" x14ac:dyDescent="0.2">
      <c r="B65" s="103" t="s">
        <v>280</v>
      </c>
      <c r="C65" s="58" t="s">
        <v>242</v>
      </c>
      <c r="D65" s="36">
        <v>1000000</v>
      </c>
      <c r="E65" s="36">
        <v>0</v>
      </c>
      <c r="F65" s="36">
        <v>0</v>
      </c>
      <c r="G65" s="36">
        <v>700000</v>
      </c>
      <c r="H65" s="36">
        <v>0</v>
      </c>
      <c r="I65" s="104">
        <f>+D65+E65-F65+G65-H65</f>
        <v>1700000</v>
      </c>
      <c r="J65" s="36">
        <v>170700</v>
      </c>
      <c r="K65" s="105">
        <v>1633300</v>
      </c>
      <c r="L65" s="36">
        <v>170700</v>
      </c>
      <c r="M65" s="45">
        <v>1633300</v>
      </c>
      <c r="N65" s="45">
        <v>170700</v>
      </c>
      <c r="O65" s="106">
        <v>1633300</v>
      </c>
      <c r="P65" s="45">
        <v>170700</v>
      </c>
      <c r="Q65" s="45">
        <v>1633300</v>
      </c>
      <c r="R65" s="36">
        <v>0</v>
      </c>
      <c r="S65" s="105">
        <v>0</v>
      </c>
      <c r="T65" s="107">
        <v>0</v>
      </c>
    </row>
    <row r="66" spans="2:21" ht="15" customHeight="1" x14ac:dyDescent="0.2">
      <c r="B66" s="103" t="s">
        <v>281</v>
      </c>
      <c r="C66" s="58" t="s">
        <v>244</v>
      </c>
      <c r="D66" s="36">
        <v>1000000</v>
      </c>
      <c r="E66" s="36">
        <v>0</v>
      </c>
      <c r="F66" s="36">
        <v>0</v>
      </c>
      <c r="G66" s="36">
        <v>2400000</v>
      </c>
      <c r="H66" s="36">
        <v>0</v>
      </c>
      <c r="I66" s="104">
        <f>+D66+E66-F66+G66-H66</f>
        <v>3400000</v>
      </c>
      <c r="J66" s="36">
        <v>341300</v>
      </c>
      <c r="K66" s="105">
        <v>3330300</v>
      </c>
      <c r="L66" s="36">
        <v>341300</v>
      </c>
      <c r="M66" s="45">
        <v>3330300</v>
      </c>
      <c r="N66" s="45">
        <v>0</v>
      </c>
      <c r="O66" s="106">
        <v>2989000</v>
      </c>
      <c r="P66" s="45">
        <v>0</v>
      </c>
      <c r="Q66" s="45">
        <v>2989000</v>
      </c>
      <c r="R66" s="36">
        <v>0</v>
      </c>
      <c r="S66" s="105">
        <v>341300</v>
      </c>
      <c r="T66" s="107">
        <v>0</v>
      </c>
    </row>
    <row r="67" spans="2:21" ht="15" customHeight="1" x14ac:dyDescent="0.2">
      <c r="B67" s="103" t="s">
        <v>282</v>
      </c>
      <c r="C67" s="58" t="s">
        <v>246</v>
      </c>
      <c r="D67" s="36">
        <v>800000</v>
      </c>
      <c r="E67" s="36">
        <v>0</v>
      </c>
      <c r="F67" s="36">
        <v>0</v>
      </c>
      <c r="G67" s="36">
        <v>0</v>
      </c>
      <c r="H67" s="36">
        <v>0</v>
      </c>
      <c r="I67" s="104">
        <f>+D67+E67-F67+G67-H67</f>
        <v>800000</v>
      </c>
      <c r="J67" s="36">
        <v>44500</v>
      </c>
      <c r="K67" s="105">
        <v>435500</v>
      </c>
      <c r="L67" s="36">
        <v>44500</v>
      </c>
      <c r="M67" s="45">
        <v>435500</v>
      </c>
      <c r="N67" s="45">
        <v>44500</v>
      </c>
      <c r="O67" s="106">
        <v>435500</v>
      </c>
      <c r="P67" s="45">
        <v>44500</v>
      </c>
      <c r="Q67" s="45">
        <v>435500</v>
      </c>
      <c r="R67" s="36">
        <v>0</v>
      </c>
      <c r="S67" s="105">
        <v>0</v>
      </c>
      <c r="T67" s="107">
        <v>0</v>
      </c>
    </row>
    <row r="68" spans="2:21" s="14" customFormat="1" ht="15" customHeight="1" x14ac:dyDescent="0.25">
      <c r="B68" s="100" t="s">
        <v>283</v>
      </c>
      <c r="C68" s="101" t="s">
        <v>80</v>
      </c>
      <c r="D68" s="37">
        <f>+D95+D69</f>
        <v>3273914501</v>
      </c>
      <c r="E68" s="37">
        <f t="shared" ref="E68:T68" si="20">+E95+E69</f>
        <v>1713496900.3600001</v>
      </c>
      <c r="F68" s="37">
        <f t="shared" si="20"/>
        <v>0</v>
      </c>
      <c r="G68" s="37">
        <f t="shared" si="20"/>
        <v>157405000</v>
      </c>
      <c r="H68" s="37">
        <f>+H95+H69</f>
        <v>2202743272</v>
      </c>
      <c r="I68" s="37">
        <f t="shared" si="20"/>
        <v>2942073129.3600001</v>
      </c>
      <c r="J68" s="37">
        <f t="shared" si="20"/>
        <v>102432695</v>
      </c>
      <c r="K68" s="37">
        <f t="shared" si="20"/>
        <v>2904548446.3600001</v>
      </c>
      <c r="L68" s="37">
        <f t="shared" si="20"/>
        <v>102484695</v>
      </c>
      <c r="M68" s="37">
        <f t="shared" si="20"/>
        <v>2904548446.3600001</v>
      </c>
      <c r="N68" s="37">
        <f t="shared" si="20"/>
        <v>225475433</v>
      </c>
      <c r="O68" s="108">
        <f t="shared" si="20"/>
        <v>2857538591.3600001</v>
      </c>
      <c r="P68" s="37">
        <f t="shared" si="20"/>
        <v>229583117</v>
      </c>
      <c r="Q68" s="37">
        <f t="shared" si="20"/>
        <v>2839384713.3600001</v>
      </c>
      <c r="R68" s="37">
        <f t="shared" si="20"/>
        <v>0</v>
      </c>
      <c r="S68" s="37">
        <f t="shared" si="20"/>
        <v>47009855</v>
      </c>
      <c r="T68" s="109">
        <f t="shared" si="20"/>
        <v>18153878</v>
      </c>
      <c r="U68" s="93"/>
    </row>
    <row r="69" spans="2:21" s="14" customFormat="1" ht="15" customHeight="1" x14ac:dyDescent="0.25">
      <c r="B69" s="100" t="s">
        <v>284</v>
      </c>
      <c r="C69" s="101" t="s">
        <v>285</v>
      </c>
      <c r="D69" s="37">
        <f>+D70+D77+D91</f>
        <v>105000000</v>
      </c>
      <c r="E69" s="37">
        <f t="shared" ref="E69:T69" si="21">+E70+E77+E91</f>
        <v>0</v>
      </c>
      <c r="F69" s="37">
        <f t="shared" si="21"/>
        <v>0</v>
      </c>
      <c r="G69" s="37">
        <f t="shared" si="21"/>
        <v>0</v>
      </c>
      <c r="H69" s="37">
        <f t="shared" si="21"/>
        <v>61561615</v>
      </c>
      <c r="I69" s="48">
        <f t="shared" si="21"/>
        <v>43438385</v>
      </c>
      <c r="J69" s="37">
        <f t="shared" si="21"/>
        <v>-1923046</v>
      </c>
      <c r="K69" s="37">
        <f t="shared" si="21"/>
        <v>39152701</v>
      </c>
      <c r="L69" s="37">
        <f t="shared" si="21"/>
        <v>-1923046</v>
      </c>
      <c r="M69" s="37">
        <f t="shared" si="21"/>
        <v>39152701</v>
      </c>
      <c r="N69" s="37">
        <f t="shared" si="21"/>
        <v>8884954</v>
      </c>
      <c r="O69" s="108">
        <f t="shared" si="21"/>
        <v>35936110</v>
      </c>
      <c r="P69" s="37">
        <f t="shared" si="21"/>
        <v>9155723</v>
      </c>
      <c r="Q69" s="37">
        <f t="shared" si="21"/>
        <v>35206879</v>
      </c>
      <c r="R69" s="37">
        <f t="shared" si="21"/>
        <v>0</v>
      </c>
      <c r="S69" s="37">
        <f t="shared" si="21"/>
        <v>3216591</v>
      </c>
      <c r="T69" s="109">
        <f t="shared" si="21"/>
        <v>729231</v>
      </c>
      <c r="U69" s="93"/>
    </row>
    <row r="70" spans="2:21" s="14" customFormat="1" ht="15" customHeight="1" x14ac:dyDescent="0.25">
      <c r="B70" s="100" t="s">
        <v>286</v>
      </c>
      <c r="C70" s="101" t="s">
        <v>82</v>
      </c>
      <c r="D70" s="37">
        <f>SUM(D71:D76)</f>
        <v>50000000</v>
      </c>
      <c r="E70" s="37">
        <f>SUM(E71:E76)</f>
        <v>0</v>
      </c>
      <c r="F70" s="37">
        <f t="shared" ref="F70:T70" si="22">SUM(F71:F76)</f>
        <v>0</v>
      </c>
      <c r="G70" s="37">
        <f t="shared" si="22"/>
        <v>0</v>
      </c>
      <c r="H70" s="37">
        <f t="shared" si="22"/>
        <v>36226400</v>
      </c>
      <c r="I70" s="48">
        <f t="shared" si="22"/>
        <v>13773600</v>
      </c>
      <c r="J70" s="37">
        <f t="shared" si="22"/>
        <v>-2030146</v>
      </c>
      <c r="K70" s="37">
        <f t="shared" si="22"/>
        <v>11742854</v>
      </c>
      <c r="L70" s="37">
        <f t="shared" si="22"/>
        <v>-2030146</v>
      </c>
      <c r="M70" s="37">
        <f t="shared" si="22"/>
        <v>11742854</v>
      </c>
      <c r="N70" s="37">
        <f t="shared" si="22"/>
        <v>5476854</v>
      </c>
      <c r="O70" s="108">
        <f t="shared" si="22"/>
        <v>11742854</v>
      </c>
      <c r="P70" s="37">
        <f t="shared" si="22"/>
        <v>6000354</v>
      </c>
      <c r="Q70" s="37">
        <f t="shared" si="22"/>
        <v>11266354</v>
      </c>
      <c r="R70" s="37">
        <f t="shared" si="22"/>
        <v>0</v>
      </c>
      <c r="S70" s="37">
        <f t="shared" si="22"/>
        <v>0</v>
      </c>
      <c r="T70" s="109">
        <f t="shared" si="22"/>
        <v>476500</v>
      </c>
      <c r="U70" s="93"/>
    </row>
    <row r="71" spans="2:21" ht="15" customHeight="1" x14ac:dyDescent="0.2">
      <c r="B71" s="103" t="s">
        <v>287</v>
      </c>
      <c r="C71" s="58" t="s">
        <v>288</v>
      </c>
      <c r="D71" s="36">
        <v>10000000</v>
      </c>
      <c r="E71" s="36">
        <v>0</v>
      </c>
      <c r="F71" s="36">
        <v>0</v>
      </c>
      <c r="G71" s="36">
        <v>0</v>
      </c>
      <c r="H71" s="36">
        <f>2450000+7549900</f>
        <v>9999900</v>
      </c>
      <c r="I71" s="104">
        <f t="shared" ref="I71:I76" si="23">+D71+E71-F71+G71-H71</f>
        <v>100</v>
      </c>
      <c r="J71" s="36">
        <v>0</v>
      </c>
      <c r="K71" s="105">
        <v>0</v>
      </c>
      <c r="L71" s="36">
        <v>0</v>
      </c>
      <c r="M71" s="45">
        <v>0</v>
      </c>
      <c r="N71" s="45">
        <v>0</v>
      </c>
      <c r="O71" s="106">
        <v>0</v>
      </c>
      <c r="P71" s="45">
        <v>0</v>
      </c>
      <c r="Q71" s="45">
        <v>0</v>
      </c>
      <c r="R71" s="36">
        <v>0</v>
      </c>
      <c r="S71" s="105">
        <v>0</v>
      </c>
      <c r="T71" s="107">
        <v>0</v>
      </c>
    </row>
    <row r="72" spans="2:21" ht="15" customHeight="1" x14ac:dyDescent="0.2">
      <c r="B72" s="103" t="s">
        <v>289</v>
      </c>
      <c r="C72" s="58" t="s">
        <v>290</v>
      </c>
      <c r="D72" s="36">
        <v>10000000</v>
      </c>
      <c r="E72" s="36">
        <v>0</v>
      </c>
      <c r="F72" s="36">
        <v>0</v>
      </c>
      <c r="G72" s="36">
        <v>0</v>
      </c>
      <c r="H72" s="36">
        <v>254900</v>
      </c>
      <c r="I72" s="104">
        <f t="shared" si="23"/>
        <v>9745100</v>
      </c>
      <c r="J72" s="36">
        <v>-2006646</v>
      </c>
      <c r="K72" s="105">
        <v>7738354</v>
      </c>
      <c r="L72" s="36">
        <v>-2006646</v>
      </c>
      <c r="M72" s="45">
        <v>7738354</v>
      </c>
      <c r="N72" s="45">
        <v>3472354</v>
      </c>
      <c r="O72" s="106">
        <v>7738354</v>
      </c>
      <c r="P72" s="45">
        <v>3472354</v>
      </c>
      <c r="Q72" s="45">
        <v>7738354</v>
      </c>
      <c r="R72" s="36">
        <v>0</v>
      </c>
      <c r="S72" s="105">
        <v>0</v>
      </c>
      <c r="T72" s="107">
        <v>0</v>
      </c>
    </row>
    <row r="73" spans="2:21" ht="15" customHeight="1" x14ac:dyDescent="0.2">
      <c r="B73" s="103" t="s">
        <v>291</v>
      </c>
      <c r="C73" s="58" t="s">
        <v>292</v>
      </c>
      <c r="D73" s="36">
        <v>1000000</v>
      </c>
      <c r="E73" s="36">
        <v>0</v>
      </c>
      <c r="F73" s="36">
        <v>0</v>
      </c>
      <c r="G73" s="36">
        <v>0</v>
      </c>
      <c r="H73" s="36">
        <f>500000+499900</f>
        <v>999900</v>
      </c>
      <c r="I73" s="104">
        <f t="shared" si="23"/>
        <v>100</v>
      </c>
      <c r="J73" s="36">
        <v>0</v>
      </c>
      <c r="K73" s="105">
        <v>0</v>
      </c>
      <c r="L73" s="36">
        <v>0</v>
      </c>
      <c r="M73" s="45">
        <v>0</v>
      </c>
      <c r="N73" s="45">
        <v>0</v>
      </c>
      <c r="O73" s="106">
        <v>0</v>
      </c>
      <c r="P73" s="45">
        <v>0</v>
      </c>
      <c r="Q73" s="45">
        <v>0</v>
      </c>
      <c r="R73" s="36">
        <v>0</v>
      </c>
      <c r="S73" s="105">
        <v>0</v>
      </c>
      <c r="T73" s="107">
        <v>0</v>
      </c>
    </row>
    <row r="74" spans="2:21" ht="15" customHeight="1" x14ac:dyDescent="0.2">
      <c r="B74" s="103" t="s">
        <v>293</v>
      </c>
      <c r="C74" s="58" t="s">
        <v>294</v>
      </c>
      <c r="D74" s="36">
        <v>15000000</v>
      </c>
      <c r="E74" s="36">
        <v>0</v>
      </c>
      <c r="F74" s="36">
        <v>0</v>
      </c>
      <c r="G74" s="36">
        <v>0</v>
      </c>
      <c r="H74" s="36">
        <f>13410000+1589900</f>
        <v>14999900</v>
      </c>
      <c r="I74" s="104">
        <f t="shared" si="23"/>
        <v>100</v>
      </c>
      <c r="J74" s="36">
        <v>0</v>
      </c>
      <c r="K74" s="105">
        <v>0</v>
      </c>
      <c r="L74" s="36">
        <v>0</v>
      </c>
      <c r="M74" s="45">
        <v>0</v>
      </c>
      <c r="N74" s="45">
        <v>0</v>
      </c>
      <c r="O74" s="106">
        <v>0</v>
      </c>
      <c r="P74" s="45">
        <v>0</v>
      </c>
      <c r="Q74" s="45">
        <v>0</v>
      </c>
      <c r="R74" s="36">
        <v>0</v>
      </c>
      <c r="S74" s="105">
        <v>0</v>
      </c>
      <c r="T74" s="107">
        <v>0</v>
      </c>
    </row>
    <row r="75" spans="2:21" ht="15" customHeight="1" x14ac:dyDescent="0.2">
      <c r="B75" s="103" t="s">
        <v>295</v>
      </c>
      <c r="C75" s="58" t="s">
        <v>296</v>
      </c>
      <c r="D75" s="36">
        <v>8000000</v>
      </c>
      <c r="E75" s="36">
        <v>0</v>
      </c>
      <c r="F75" s="36">
        <v>0</v>
      </c>
      <c r="G75" s="36">
        <v>0</v>
      </c>
      <c r="H75" s="36">
        <f>2950000+2000000+21900</f>
        <v>4971900</v>
      </c>
      <c r="I75" s="104">
        <f t="shared" si="23"/>
        <v>3028100</v>
      </c>
      <c r="J75" s="36">
        <v>-23500</v>
      </c>
      <c r="K75" s="105">
        <v>3004500</v>
      </c>
      <c r="L75" s="36">
        <v>-23500</v>
      </c>
      <c r="M75" s="45">
        <v>3004500</v>
      </c>
      <c r="N75" s="45">
        <v>2004500</v>
      </c>
      <c r="O75" s="106">
        <v>3004500</v>
      </c>
      <c r="P75" s="45">
        <v>2528000</v>
      </c>
      <c r="Q75" s="45">
        <v>2528000</v>
      </c>
      <c r="R75" s="36">
        <v>0</v>
      </c>
      <c r="S75" s="105">
        <v>0</v>
      </c>
      <c r="T75" s="107">
        <v>476500</v>
      </c>
    </row>
    <row r="76" spans="2:21" ht="15" customHeight="1" x14ac:dyDescent="0.2">
      <c r="B76" s="103" t="s">
        <v>297</v>
      </c>
      <c r="C76" s="58" t="s">
        <v>298</v>
      </c>
      <c r="D76" s="36">
        <v>6000000</v>
      </c>
      <c r="E76" s="36">
        <v>0</v>
      </c>
      <c r="F76" s="36">
        <v>0</v>
      </c>
      <c r="G76" s="36">
        <v>0</v>
      </c>
      <c r="H76" s="36">
        <f>4950000+49900</f>
        <v>4999900</v>
      </c>
      <c r="I76" s="104">
        <f t="shared" si="23"/>
        <v>1000100</v>
      </c>
      <c r="J76" s="36">
        <v>0</v>
      </c>
      <c r="K76" s="105">
        <v>1000000</v>
      </c>
      <c r="L76" s="36">
        <v>0</v>
      </c>
      <c r="M76" s="45">
        <v>1000000</v>
      </c>
      <c r="N76" s="45">
        <v>0</v>
      </c>
      <c r="O76" s="106">
        <v>1000000</v>
      </c>
      <c r="P76" s="45">
        <v>0</v>
      </c>
      <c r="Q76" s="45">
        <v>1000000</v>
      </c>
      <c r="R76" s="36">
        <v>0</v>
      </c>
      <c r="S76" s="105">
        <v>0</v>
      </c>
      <c r="T76" s="107">
        <v>0</v>
      </c>
    </row>
    <row r="77" spans="2:21" s="14" customFormat="1" ht="15" customHeight="1" x14ac:dyDescent="0.25">
      <c r="B77" s="100" t="s">
        <v>299</v>
      </c>
      <c r="C77" s="101" t="s">
        <v>300</v>
      </c>
      <c r="D77" s="37">
        <f>SUM(D78:D90)</f>
        <v>50000000</v>
      </c>
      <c r="E77" s="37">
        <f>SUM(E78:E90)</f>
        <v>0</v>
      </c>
      <c r="F77" s="37">
        <f t="shared" ref="F77:T77" si="24">SUM(F78:F90)</f>
        <v>0</v>
      </c>
      <c r="G77" s="37">
        <f t="shared" si="24"/>
        <v>0</v>
      </c>
      <c r="H77" s="37">
        <f t="shared" si="24"/>
        <v>20347215</v>
      </c>
      <c r="I77" s="48">
        <f>SUM(I78:I90)</f>
        <v>29652785</v>
      </c>
      <c r="J77" s="37">
        <f t="shared" si="24"/>
        <v>107100</v>
      </c>
      <c r="K77" s="37">
        <f t="shared" si="24"/>
        <v>27409847</v>
      </c>
      <c r="L77" s="37">
        <f t="shared" si="24"/>
        <v>107100</v>
      </c>
      <c r="M77" s="37">
        <f t="shared" si="24"/>
        <v>27409847</v>
      </c>
      <c r="N77" s="37">
        <f t="shared" si="24"/>
        <v>3408100</v>
      </c>
      <c r="O77" s="108">
        <f t="shared" si="24"/>
        <v>24193256</v>
      </c>
      <c r="P77" s="37">
        <f t="shared" si="24"/>
        <v>3155369</v>
      </c>
      <c r="Q77" s="37">
        <f t="shared" si="24"/>
        <v>23940525</v>
      </c>
      <c r="R77" s="37">
        <f t="shared" si="24"/>
        <v>0</v>
      </c>
      <c r="S77" s="37">
        <f t="shared" si="24"/>
        <v>3216591</v>
      </c>
      <c r="T77" s="109">
        <f t="shared" si="24"/>
        <v>252731</v>
      </c>
      <c r="U77" s="93"/>
    </row>
    <row r="78" spans="2:21" ht="15" customHeight="1" x14ac:dyDescent="0.2">
      <c r="B78" s="103" t="s">
        <v>301</v>
      </c>
      <c r="C78" s="58" t="s">
        <v>302</v>
      </c>
      <c r="D78" s="36">
        <v>10000000</v>
      </c>
      <c r="E78" s="36">
        <v>0</v>
      </c>
      <c r="F78" s="36">
        <v>0</v>
      </c>
      <c r="G78" s="36">
        <v>0</v>
      </c>
      <c r="H78" s="36">
        <v>5333715</v>
      </c>
      <c r="I78" s="104">
        <f t="shared" ref="I78:I90" si="25">+D78+E78-F78+G78-H78</f>
        <v>4666285</v>
      </c>
      <c r="J78" s="36">
        <v>0</v>
      </c>
      <c r="K78" s="105">
        <v>4661285</v>
      </c>
      <c r="L78" s="36">
        <v>0</v>
      </c>
      <c r="M78" s="45">
        <v>4661285</v>
      </c>
      <c r="N78" s="45">
        <v>1200000</v>
      </c>
      <c r="O78" s="106">
        <v>4661285</v>
      </c>
      <c r="P78" s="45">
        <v>1200000</v>
      </c>
      <c r="Q78" s="45">
        <v>4661285</v>
      </c>
      <c r="R78" s="36">
        <v>0</v>
      </c>
      <c r="S78" s="105">
        <v>0</v>
      </c>
      <c r="T78" s="107">
        <v>0</v>
      </c>
    </row>
    <row r="79" spans="2:21" ht="15" customHeight="1" x14ac:dyDescent="0.2">
      <c r="B79" s="103" t="s">
        <v>303</v>
      </c>
      <c r="C79" s="58" t="s">
        <v>304</v>
      </c>
      <c r="D79" s="36">
        <v>5000000</v>
      </c>
      <c r="E79" s="36">
        <v>0</v>
      </c>
      <c r="F79" s="36">
        <v>0</v>
      </c>
      <c r="G79" s="36">
        <v>0</v>
      </c>
      <c r="H79" s="36">
        <v>0</v>
      </c>
      <c r="I79" s="104">
        <f t="shared" si="25"/>
        <v>5000000</v>
      </c>
      <c r="J79" s="36">
        <v>107100</v>
      </c>
      <c r="K79" s="105">
        <v>3777650</v>
      </c>
      <c r="L79" s="36">
        <v>107100</v>
      </c>
      <c r="M79" s="45">
        <v>3777650</v>
      </c>
      <c r="N79" s="45">
        <v>107100</v>
      </c>
      <c r="O79" s="106">
        <v>3777650</v>
      </c>
      <c r="P79" s="45">
        <v>0</v>
      </c>
      <c r="Q79" s="45">
        <v>3670550</v>
      </c>
      <c r="R79" s="36">
        <v>0</v>
      </c>
      <c r="S79" s="105">
        <v>0</v>
      </c>
      <c r="T79" s="107">
        <v>107100</v>
      </c>
    </row>
    <row r="80" spans="2:21" ht="15" customHeight="1" x14ac:dyDescent="0.2">
      <c r="B80" s="103" t="s">
        <v>305</v>
      </c>
      <c r="C80" s="58" t="s">
        <v>306</v>
      </c>
      <c r="D80" s="36">
        <v>10000000</v>
      </c>
      <c r="E80" s="36">
        <v>0</v>
      </c>
      <c r="F80" s="36">
        <v>0</v>
      </c>
      <c r="G80" s="36">
        <v>0</v>
      </c>
      <c r="H80" s="36">
        <v>0</v>
      </c>
      <c r="I80" s="104">
        <f t="shared" si="25"/>
        <v>10000000</v>
      </c>
      <c r="J80" s="36">
        <v>0</v>
      </c>
      <c r="K80" s="105">
        <v>9999321</v>
      </c>
      <c r="L80" s="36">
        <v>0</v>
      </c>
      <c r="M80" s="45">
        <v>9999321</v>
      </c>
      <c r="N80" s="45">
        <v>1131000</v>
      </c>
      <c r="O80" s="106">
        <v>9999321</v>
      </c>
      <c r="P80" s="45">
        <v>985369</v>
      </c>
      <c r="Q80" s="45">
        <v>9853690</v>
      </c>
      <c r="R80" s="36">
        <v>0</v>
      </c>
      <c r="S80" s="105">
        <v>0</v>
      </c>
      <c r="T80" s="107">
        <v>145631</v>
      </c>
    </row>
    <row r="81" spans="2:21" ht="15" customHeight="1" x14ac:dyDescent="0.2">
      <c r="B81" s="103" t="s">
        <v>307</v>
      </c>
      <c r="C81" s="58" t="s">
        <v>308</v>
      </c>
      <c r="D81" s="36">
        <v>3000000</v>
      </c>
      <c r="E81" s="36">
        <v>0</v>
      </c>
      <c r="F81" s="36">
        <v>0</v>
      </c>
      <c r="G81" s="36">
        <v>0</v>
      </c>
      <c r="H81" s="36">
        <f>1500000+1000000+499900</f>
        <v>2999900</v>
      </c>
      <c r="I81" s="104">
        <f t="shared" si="25"/>
        <v>100</v>
      </c>
      <c r="J81" s="36">
        <v>0</v>
      </c>
      <c r="K81" s="105">
        <v>0</v>
      </c>
      <c r="L81" s="36">
        <v>0</v>
      </c>
      <c r="M81" s="45">
        <v>0</v>
      </c>
      <c r="N81" s="45">
        <v>0</v>
      </c>
      <c r="O81" s="106">
        <v>0</v>
      </c>
      <c r="P81" s="45">
        <v>0</v>
      </c>
      <c r="Q81" s="45">
        <v>0</v>
      </c>
      <c r="R81" s="36">
        <v>0</v>
      </c>
      <c r="S81" s="105">
        <v>0</v>
      </c>
      <c r="T81" s="107">
        <v>0</v>
      </c>
    </row>
    <row r="82" spans="2:21" ht="15" customHeight="1" x14ac:dyDescent="0.2">
      <c r="B82" s="103" t="s">
        <v>309</v>
      </c>
      <c r="C82" s="58" t="s">
        <v>310</v>
      </c>
      <c r="D82" s="36">
        <v>1500000</v>
      </c>
      <c r="E82" s="36">
        <v>0</v>
      </c>
      <c r="F82" s="36">
        <v>0</v>
      </c>
      <c r="G82" s="36">
        <v>0</v>
      </c>
      <c r="H82" s="36">
        <v>1000000</v>
      </c>
      <c r="I82" s="104">
        <f t="shared" si="25"/>
        <v>500000</v>
      </c>
      <c r="J82" s="36">
        <v>0</v>
      </c>
      <c r="K82" s="105">
        <v>0</v>
      </c>
      <c r="L82" s="36">
        <v>0</v>
      </c>
      <c r="M82" s="45">
        <v>0</v>
      </c>
      <c r="N82" s="45">
        <v>0</v>
      </c>
      <c r="O82" s="106">
        <v>0</v>
      </c>
      <c r="P82" s="45">
        <v>0</v>
      </c>
      <c r="Q82" s="45">
        <v>0</v>
      </c>
      <c r="R82" s="36">
        <v>0</v>
      </c>
      <c r="S82" s="105">
        <v>0</v>
      </c>
      <c r="T82" s="107">
        <v>0</v>
      </c>
    </row>
    <row r="83" spans="2:21" ht="15" customHeight="1" x14ac:dyDescent="0.2">
      <c r="B83" s="103" t="s">
        <v>311</v>
      </c>
      <c r="C83" s="58" t="s">
        <v>312</v>
      </c>
      <c r="D83" s="36">
        <v>1500000</v>
      </c>
      <c r="E83" s="36">
        <v>0</v>
      </c>
      <c r="F83" s="36">
        <v>0</v>
      </c>
      <c r="G83" s="36">
        <v>0</v>
      </c>
      <c r="H83" s="36">
        <v>0</v>
      </c>
      <c r="I83" s="104">
        <f t="shared" si="25"/>
        <v>1500000</v>
      </c>
      <c r="J83" s="36">
        <v>0</v>
      </c>
      <c r="K83" s="105">
        <v>1000000</v>
      </c>
      <c r="L83" s="36">
        <v>0</v>
      </c>
      <c r="M83" s="45">
        <v>1000000</v>
      </c>
      <c r="N83" s="45">
        <v>0</v>
      </c>
      <c r="O83" s="106">
        <v>1000000</v>
      </c>
      <c r="P83" s="45">
        <v>0</v>
      </c>
      <c r="Q83" s="45">
        <v>1000000</v>
      </c>
      <c r="R83" s="36">
        <v>0</v>
      </c>
      <c r="S83" s="105">
        <v>0</v>
      </c>
      <c r="T83" s="107">
        <v>0</v>
      </c>
    </row>
    <row r="84" spans="2:21" ht="15" customHeight="1" x14ac:dyDescent="0.2">
      <c r="B84" s="103" t="s">
        <v>313</v>
      </c>
      <c r="C84" s="58" t="s">
        <v>314</v>
      </c>
      <c r="D84" s="36">
        <v>500000</v>
      </c>
      <c r="E84" s="36">
        <v>0</v>
      </c>
      <c r="F84" s="36">
        <v>0</v>
      </c>
      <c r="G84" s="36">
        <v>0</v>
      </c>
      <c r="H84" s="36">
        <v>44900</v>
      </c>
      <c r="I84" s="104">
        <f t="shared" si="25"/>
        <v>455100</v>
      </c>
      <c r="J84" s="36">
        <v>0</v>
      </c>
      <c r="K84" s="105">
        <v>455000</v>
      </c>
      <c r="L84" s="36">
        <v>0</v>
      </c>
      <c r="M84" s="45">
        <v>455000</v>
      </c>
      <c r="N84" s="45">
        <v>0</v>
      </c>
      <c r="O84" s="106">
        <v>455000</v>
      </c>
      <c r="P84" s="45">
        <v>0</v>
      </c>
      <c r="Q84" s="45">
        <v>455000</v>
      </c>
      <c r="R84" s="36">
        <v>0</v>
      </c>
      <c r="S84" s="105">
        <v>0</v>
      </c>
      <c r="T84" s="107">
        <v>0</v>
      </c>
    </row>
    <row r="85" spans="2:21" ht="15" customHeight="1" x14ac:dyDescent="0.2">
      <c r="B85" s="103" t="s">
        <v>315</v>
      </c>
      <c r="C85" s="58" t="s">
        <v>316</v>
      </c>
      <c r="D85" s="36">
        <v>2000000</v>
      </c>
      <c r="E85" s="36">
        <v>0</v>
      </c>
      <c r="F85" s="36">
        <v>0</v>
      </c>
      <c r="G85" s="36">
        <v>0</v>
      </c>
      <c r="H85" s="36">
        <v>1499900</v>
      </c>
      <c r="I85" s="104">
        <f t="shared" si="25"/>
        <v>500100</v>
      </c>
      <c r="J85" s="36">
        <v>0</v>
      </c>
      <c r="K85" s="105">
        <v>500000</v>
      </c>
      <c r="L85" s="36">
        <v>0</v>
      </c>
      <c r="M85" s="45">
        <v>500000</v>
      </c>
      <c r="N85" s="45">
        <v>0</v>
      </c>
      <c r="O85" s="106">
        <v>500000</v>
      </c>
      <c r="P85" s="45">
        <v>0</v>
      </c>
      <c r="Q85" s="45">
        <v>500000</v>
      </c>
      <c r="R85" s="36">
        <v>0</v>
      </c>
      <c r="S85" s="105">
        <v>0</v>
      </c>
      <c r="T85" s="107">
        <v>0</v>
      </c>
    </row>
    <row r="86" spans="2:21" ht="15" customHeight="1" x14ac:dyDescent="0.2">
      <c r="B86" s="103" t="s">
        <v>317</v>
      </c>
      <c r="C86" s="58" t="s">
        <v>318</v>
      </c>
      <c r="D86" s="36">
        <v>4000000</v>
      </c>
      <c r="E86" s="36">
        <v>0</v>
      </c>
      <c r="F86" s="36">
        <v>0</v>
      </c>
      <c r="G86" s="36">
        <v>0</v>
      </c>
      <c r="H86" s="36">
        <v>999900</v>
      </c>
      <c r="I86" s="104">
        <f t="shared" si="25"/>
        <v>3000100</v>
      </c>
      <c r="J86" s="36">
        <v>0</v>
      </c>
      <c r="K86" s="105">
        <v>3000000</v>
      </c>
      <c r="L86" s="36">
        <v>0</v>
      </c>
      <c r="M86" s="45">
        <v>3000000</v>
      </c>
      <c r="N86" s="45">
        <v>970000</v>
      </c>
      <c r="O86" s="106">
        <v>3000000</v>
      </c>
      <c r="P86" s="45">
        <v>970000</v>
      </c>
      <c r="Q86" s="45">
        <v>3000000</v>
      </c>
      <c r="R86" s="36">
        <v>0</v>
      </c>
      <c r="S86" s="105">
        <v>0</v>
      </c>
      <c r="T86" s="107">
        <v>0</v>
      </c>
    </row>
    <row r="87" spans="2:21" ht="15" customHeight="1" x14ac:dyDescent="0.2">
      <c r="B87" s="103" t="s">
        <v>319</v>
      </c>
      <c r="C87" s="58" t="s">
        <v>292</v>
      </c>
      <c r="D87" s="36">
        <v>500000</v>
      </c>
      <c r="E87" s="36">
        <v>0</v>
      </c>
      <c r="F87" s="36">
        <v>0</v>
      </c>
      <c r="G87" s="36">
        <v>0</v>
      </c>
      <c r="H87" s="36">
        <v>499000</v>
      </c>
      <c r="I87" s="104">
        <f t="shared" si="25"/>
        <v>1000</v>
      </c>
      <c r="J87" s="36">
        <v>0</v>
      </c>
      <c r="K87" s="105">
        <v>0</v>
      </c>
      <c r="L87" s="36">
        <v>0</v>
      </c>
      <c r="M87" s="45">
        <v>0</v>
      </c>
      <c r="N87" s="45">
        <v>0</v>
      </c>
      <c r="O87" s="106">
        <v>0</v>
      </c>
      <c r="P87" s="45">
        <v>0</v>
      </c>
      <c r="Q87" s="45">
        <v>0</v>
      </c>
      <c r="R87" s="36">
        <v>0</v>
      </c>
      <c r="S87" s="105">
        <v>0</v>
      </c>
      <c r="T87" s="107">
        <v>0</v>
      </c>
    </row>
    <row r="88" spans="2:21" ht="15" customHeight="1" x14ac:dyDescent="0.2">
      <c r="B88" s="103" t="s">
        <v>320</v>
      </c>
      <c r="C88" s="58" t="s">
        <v>321</v>
      </c>
      <c r="D88" s="36">
        <v>2000000</v>
      </c>
      <c r="E88" s="36">
        <v>0</v>
      </c>
      <c r="F88" s="36">
        <v>0</v>
      </c>
      <c r="G88" s="36">
        <v>0</v>
      </c>
      <c r="H88" s="36">
        <v>1190000</v>
      </c>
      <c r="I88" s="104">
        <f t="shared" si="25"/>
        <v>810000</v>
      </c>
      <c r="J88" s="36">
        <v>0</v>
      </c>
      <c r="K88" s="105">
        <v>800000</v>
      </c>
      <c r="L88" s="36">
        <v>0</v>
      </c>
      <c r="M88" s="45">
        <v>800000</v>
      </c>
      <c r="N88" s="45">
        <v>0</v>
      </c>
      <c r="O88" s="106">
        <v>800000</v>
      </c>
      <c r="P88" s="45">
        <v>0</v>
      </c>
      <c r="Q88" s="45">
        <v>800000</v>
      </c>
      <c r="R88" s="36">
        <v>0</v>
      </c>
      <c r="S88" s="105">
        <v>0</v>
      </c>
      <c r="T88" s="107">
        <v>0</v>
      </c>
    </row>
    <row r="89" spans="2:21" ht="15" customHeight="1" x14ac:dyDescent="0.2">
      <c r="B89" s="103" t="s">
        <v>322</v>
      </c>
      <c r="C89" s="58" t="s">
        <v>323</v>
      </c>
      <c r="D89" s="36">
        <v>5000000</v>
      </c>
      <c r="E89" s="36">
        <v>0</v>
      </c>
      <c r="F89" s="36">
        <v>0</v>
      </c>
      <c r="G89" s="36">
        <v>0</v>
      </c>
      <c r="H89" s="36">
        <f>1600000+180000</f>
        <v>1780000</v>
      </c>
      <c r="I89" s="104">
        <f t="shared" si="25"/>
        <v>3220000</v>
      </c>
      <c r="J89" s="36">
        <v>0</v>
      </c>
      <c r="K89" s="105">
        <v>3216591</v>
      </c>
      <c r="L89" s="36">
        <v>0</v>
      </c>
      <c r="M89" s="45">
        <v>3216591</v>
      </c>
      <c r="N89" s="45">
        <v>0</v>
      </c>
      <c r="O89" s="106">
        <v>0</v>
      </c>
      <c r="P89" s="45">
        <v>0</v>
      </c>
      <c r="Q89" s="45">
        <v>0</v>
      </c>
      <c r="R89" s="36">
        <v>0</v>
      </c>
      <c r="S89" s="105">
        <v>3216591</v>
      </c>
      <c r="T89" s="107">
        <v>0</v>
      </c>
    </row>
    <row r="90" spans="2:21" ht="15" customHeight="1" x14ac:dyDescent="0.2">
      <c r="B90" s="103" t="s">
        <v>324</v>
      </c>
      <c r="C90" s="58" t="s">
        <v>325</v>
      </c>
      <c r="D90" s="36">
        <v>5000000</v>
      </c>
      <c r="E90" s="36">
        <v>0</v>
      </c>
      <c r="F90" s="36">
        <v>0</v>
      </c>
      <c r="G90" s="36">
        <v>0</v>
      </c>
      <c r="H90" s="36">
        <f>3950000+1049900</f>
        <v>4999900</v>
      </c>
      <c r="I90" s="104">
        <f t="shared" si="25"/>
        <v>100</v>
      </c>
      <c r="J90" s="36">
        <v>0</v>
      </c>
      <c r="K90" s="105">
        <v>0</v>
      </c>
      <c r="L90" s="36">
        <v>0</v>
      </c>
      <c r="M90" s="45">
        <v>0</v>
      </c>
      <c r="N90" s="45">
        <v>0</v>
      </c>
      <c r="O90" s="106">
        <v>0</v>
      </c>
      <c r="P90" s="45">
        <v>0</v>
      </c>
      <c r="Q90" s="45">
        <v>0</v>
      </c>
      <c r="R90" s="36">
        <v>0</v>
      </c>
      <c r="S90" s="105">
        <v>0</v>
      </c>
      <c r="T90" s="107">
        <v>0</v>
      </c>
    </row>
    <row r="91" spans="2:21" s="14" customFormat="1" ht="15" customHeight="1" x14ac:dyDescent="0.25">
      <c r="B91" s="100" t="s">
        <v>326</v>
      </c>
      <c r="C91" s="101" t="s">
        <v>125</v>
      </c>
      <c r="D91" s="37">
        <f>SUM(D92:D94)</f>
        <v>5000000</v>
      </c>
      <c r="E91" s="37">
        <f t="shared" ref="E91:T91" si="26">SUM(E92:E94)</f>
        <v>0</v>
      </c>
      <c r="F91" s="37">
        <f t="shared" si="26"/>
        <v>0</v>
      </c>
      <c r="G91" s="37">
        <f t="shared" si="26"/>
        <v>0</v>
      </c>
      <c r="H91" s="37">
        <f t="shared" si="26"/>
        <v>4988000</v>
      </c>
      <c r="I91" s="48">
        <f t="shared" si="26"/>
        <v>12000</v>
      </c>
      <c r="J91" s="37">
        <f t="shared" si="26"/>
        <v>0</v>
      </c>
      <c r="K91" s="37">
        <f t="shared" si="26"/>
        <v>0</v>
      </c>
      <c r="L91" s="37">
        <f t="shared" si="26"/>
        <v>0</v>
      </c>
      <c r="M91" s="37">
        <f t="shared" si="26"/>
        <v>0</v>
      </c>
      <c r="N91" s="37">
        <f t="shared" si="26"/>
        <v>0</v>
      </c>
      <c r="O91" s="108">
        <f t="shared" si="26"/>
        <v>0</v>
      </c>
      <c r="P91" s="37">
        <f t="shared" si="26"/>
        <v>0</v>
      </c>
      <c r="Q91" s="37">
        <f t="shared" si="26"/>
        <v>0</v>
      </c>
      <c r="R91" s="37">
        <f t="shared" si="26"/>
        <v>0</v>
      </c>
      <c r="S91" s="37">
        <f t="shared" si="26"/>
        <v>0</v>
      </c>
      <c r="T91" s="109">
        <f t="shared" si="26"/>
        <v>0</v>
      </c>
      <c r="U91" s="93"/>
    </row>
    <row r="92" spans="2:21" ht="15" customHeight="1" x14ac:dyDescent="0.2">
      <c r="B92" s="103" t="s">
        <v>327</v>
      </c>
      <c r="C92" s="58" t="s">
        <v>328</v>
      </c>
      <c r="D92" s="36">
        <v>750000</v>
      </c>
      <c r="E92" s="36">
        <v>0</v>
      </c>
      <c r="F92" s="36">
        <v>0</v>
      </c>
      <c r="G92" s="36">
        <v>0</v>
      </c>
      <c r="H92" s="36">
        <v>749000</v>
      </c>
      <c r="I92" s="104">
        <f>+D92+E92-F92+G92-H92</f>
        <v>1000</v>
      </c>
      <c r="J92" s="36">
        <v>0</v>
      </c>
      <c r="K92" s="105">
        <v>0</v>
      </c>
      <c r="L92" s="36">
        <v>0</v>
      </c>
      <c r="M92" s="45">
        <v>0</v>
      </c>
      <c r="N92" s="45">
        <v>0</v>
      </c>
      <c r="O92" s="106">
        <v>0</v>
      </c>
      <c r="P92" s="45">
        <v>0</v>
      </c>
      <c r="Q92" s="45">
        <v>0</v>
      </c>
      <c r="R92" s="36">
        <v>0</v>
      </c>
      <c r="S92" s="105">
        <v>0</v>
      </c>
      <c r="T92" s="107">
        <v>0</v>
      </c>
    </row>
    <row r="93" spans="2:21" ht="15" customHeight="1" x14ac:dyDescent="0.2">
      <c r="B93" s="103" t="s">
        <v>329</v>
      </c>
      <c r="C93" s="58" t="s">
        <v>330</v>
      </c>
      <c r="D93" s="36">
        <v>750000</v>
      </c>
      <c r="E93" s="36">
        <v>0</v>
      </c>
      <c r="F93" s="36">
        <v>0</v>
      </c>
      <c r="G93" s="36">
        <v>0</v>
      </c>
      <c r="H93" s="36">
        <v>749000</v>
      </c>
      <c r="I93" s="104">
        <f>+D93+E93-F93+G93-H93</f>
        <v>1000</v>
      </c>
      <c r="J93" s="36">
        <v>0</v>
      </c>
      <c r="K93" s="105">
        <v>0</v>
      </c>
      <c r="L93" s="36">
        <v>0</v>
      </c>
      <c r="M93" s="45">
        <v>0</v>
      </c>
      <c r="N93" s="45">
        <v>0</v>
      </c>
      <c r="O93" s="106">
        <v>0</v>
      </c>
      <c r="P93" s="45">
        <v>0</v>
      </c>
      <c r="Q93" s="45">
        <v>0</v>
      </c>
      <c r="R93" s="36">
        <v>0</v>
      </c>
      <c r="S93" s="105">
        <v>0</v>
      </c>
      <c r="T93" s="107">
        <v>0</v>
      </c>
    </row>
    <row r="94" spans="2:21" ht="15" customHeight="1" x14ac:dyDescent="0.2">
      <c r="B94" s="103" t="s">
        <v>331</v>
      </c>
      <c r="C94" s="58" t="s">
        <v>332</v>
      </c>
      <c r="D94" s="36">
        <v>3500000</v>
      </c>
      <c r="E94" s="36">
        <v>0</v>
      </c>
      <c r="F94" s="36">
        <v>0</v>
      </c>
      <c r="G94" s="36">
        <v>0</v>
      </c>
      <c r="H94" s="36">
        <v>3490000</v>
      </c>
      <c r="I94" s="104">
        <f>+D94+E94-F94+G94-H94</f>
        <v>10000</v>
      </c>
      <c r="J94" s="36">
        <v>0</v>
      </c>
      <c r="K94" s="105">
        <v>0</v>
      </c>
      <c r="L94" s="36">
        <v>0</v>
      </c>
      <c r="M94" s="45">
        <v>0</v>
      </c>
      <c r="N94" s="45">
        <v>0</v>
      </c>
      <c r="O94" s="106">
        <v>0</v>
      </c>
      <c r="P94" s="45">
        <v>0</v>
      </c>
      <c r="Q94" s="45">
        <v>0</v>
      </c>
      <c r="R94" s="36">
        <v>0</v>
      </c>
      <c r="S94" s="105">
        <v>0</v>
      </c>
      <c r="T94" s="107">
        <v>0</v>
      </c>
    </row>
    <row r="95" spans="2:21" s="14" customFormat="1" ht="15" customHeight="1" x14ac:dyDescent="0.25">
      <c r="B95" s="100" t="s">
        <v>333</v>
      </c>
      <c r="C95" s="101" t="s">
        <v>334</v>
      </c>
      <c r="D95" s="37">
        <f>+D96+D103+D117</f>
        <v>3168914501</v>
      </c>
      <c r="E95" s="37">
        <f t="shared" ref="E95:T95" si="27">+E96+E103+E117</f>
        <v>1713496900.3600001</v>
      </c>
      <c r="F95" s="37">
        <f t="shared" si="27"/>
        <v>0</v>
      </c>
      <c r="G95" s="37">
        <f t="shared" si="27"/>
        <v>157405000</v>
      </c>
      <c r="H95" s="37">
        <f>+H96+H103+H117</f>
        <v>2141181657</v>
      </c>
      <c r="I95" s="48">
        <f t="shared" si="27"/>
        <v>2898634744.3600001</v>
      </c>
      <c r="J95" s="37">
        <f t="shared" si="27"/>
        <v>104355741</v>
      </c>
      <c r="K95" s="37">
        <f t="shared" si="27"/>
        <v>2865395745.3600001</v>
      </c>
      <c r="L95" s="37">
        <f t="shared" si="27"/>
        <v>104407741</v>
      </c>
      <c r="M95" s="37">
        <f t="shared" si="27"/>
        <v>2865395745.3600001</v>
      </c>
      <c r="N95" s="37">
        <f t="shared" si="27"/>
        <v>216590479</v>
      </c>
      <c r="O95" s="108">
        <f t="shared" si="27"/>
        <v>2821602481.3600001</v>
      </c>
      <c r="P95" s="37">
        <f t="shared" si="27"/>
        <v>220427394</v>
      </c>
      <c r="Q95" s="37">
        <f t="shared" si="27"/>
        <v>2804177834.3600001</v>
      </c>
      <c r="R95" s="37">
        <f t="shared" si="27"/>
        <v>0</v>
      </c>
      <c r="S95" s="37">
        <f t="shared" si="27"/>
        <v>43793264</v>
      </c>
      <c r="T95" s="109">
        <f t="shared" si="27"/>
        <v>17424647</v>
      </c>
      <c r="U95" s="93"/>
    </row>
    <row r="96" spans="2:21" s="14" customFormat="1" ht="15" customHeight="1" x14ac:dyDescent="0.25">
      <c r="B96" s="100" t="s">
        <v>335</v>
      </c>
      <c r="C96" s="101" t="s">
        <v>82</v>
      </c>
      <c r="D96" s="37">
        <f>SUM(D97:D102)</f>
        <v>1000000000</v>
      </c>
      <c r="E96" s="37">
        <f t="shared" ref="E96:T96" si="28">SUM(E97:E102)</f>
        <v>0</v>
      </c>
      <c r="F96" s="37">
        <f t="shared" si="28"/>
        <v>0</v>
      </c>
      <c r="G96" s="37">
        <f t="shared" si="28"/>
        <v>540000</v>
      </c>
      <c r="H96" s="37">
        <f t="shared" si="28"/>
        <v>645876800</v>
      </c>
      <c r="I96" s="48">
        <f t="shared" si="28"/>
        <v>354663200</v>
      </c>
      <c r="J96" s="37">
        <f t="shared" si="28"/>
        <v>707049</v>
      </c>
      <c r="K96" s="37">
        <f t="shared" si="28"/>
        <v>351507858</v>
      </c>
      <c r="L96" s="37">
        <f t="shared" si="28"/>
        <v>707049</v>
      </c>
      <c r="M96" s="37">
        <f t="shared" si="28"/>
        <v>351507858</v>
      </c>
      <c r="N96" s="37">
        <f t="shared" si="28"/>
        <v>26531337</v>
      </c>
      <c r="O96" s="108">
        <f t="shared" si="28"/>
        <v>338628454</v>
      </c>
      <c r="P96" s="37">
        <f t="shared" si="28"/>
        <v>25287837</v>
      </c>
      <c r="Q96" s="37">
        <f t="shared" si="28"/>
        <v>337384954</v>
      </c>
      <c r="R96" s="37">
        <f t="shared" si="28"/>
        <v>0</v>
      </c>
      <c r="S96" s="37">
        <f t="shared" si="28"/>
        <v>12879404</v>
      </c>
      <c r="T96" s="109">
        <f t="shared" si="28"/>
        <v>1243500</v>
      </c>
      <c r="U96" s="93"/>
    </row>
    <row r="97" spans="2:21" ht="15" customHeight="1" x14ac:dyDescent="0.2">
      <c r="B97" s="103" t="s">
        <v>336</v>
      </c>
      <c r="C97" s="58" t="s">
        <v>288</v>
      </c>
      <c r="D97" s="36">
        <v>300000000</v>
      </c>
      <c r="E97" s="36">
        <v>0</v>
      </c>
      <c r="F97" s="36">
        <v>0</v>
      </c>
      <c r="G97" s="36">
        <v>0</v>
      </c>
      <c r="H97" s="36">
        <f>200000000+4700000+17765000+1890900</f>
        <v>224355900</v>
      </c>
      <c r="I97" s="104">
        <f t="shared" ref="I97:I102" si="29">+D97+E97-F97+G97-H97</f>
        <v>75644100</v>
      </c>
      <c r="J97" s="36">
        <v>0</v>
      </c>
      <c r="K97" s="105">
        <v>75635000</v>
      </c>
      <c r="L97" s="36">
        <v>0</v>
      </c>
      <c r="M97" s="45">
        <v>75635000</v>
      </c>
      <c r="N97" s="45">
        <v>0</v>
      </c>
      <c r="O97" s="106">
        <v>75635000</v>
      </c>
      <c r="P97" s="45">
        <v>0</v>
      </c>
      <c r="Q97" s="45">
        <v>75635000</v>
      </c>
      <c r="R97" s="36">
        <v>0</v>
      </c>
      <c r="S97" s="105">
        <v>0</v>
      </c>
      <c r="T97" s="107">
        <v>0</v>
      </c>
    </row>
    <row r="98" spans="2:21" ht="15" customHeight="1" x14ac:dyDescent="0.2">
      <c r="B98" s="103" t="s">
        <v>337</v>
      </c>
      <c r="C98" s="58" t="s">
        <v>338</v>
      </c>
      <c r="D98" s="36">
        <v>430000000</v>
      </c>
      <c r="E98" s="36">
        <v>0</v>
      </c>
      <c r="F98" s="36">
        <v>0</v>
      </c>
      <c r="G98" s="36">
        <v>540000</v>
      </c>
      <c r="H98" s="36">
        <f>150000000+50000000+24000000</f>
        <v>224000000</v>
      </c>
      <c r="I98" s="104">
        <f t="shared" si="29"/>
        <v>206540000</v>
      </c>
      <c r="J98" s="36">
        <v>-2803000</v>
      </c>
      <c r="K98" s="105">
        <v>203735000</v>
      </c>
      <c r="L98" s="36">
        <v>-2803000</v>
      </c>
      <c r="M98" s="45">
        <v>203735000</v>
      </c>
      <c r="N98" s="45">
        <v>14467788</v>
      </c>
      <c r="O98" s="106">
        <v>203735000</v>
      </c>
      <c r="P98" s="45">
        <v>14467788</v>
      </c>
      <c r="Q98" s="45">
        <v>203735000</v>
      </c>
      <c r="R98" s="36">
        <v>0</v>
      </c>
      <c r="S98" s="105">
        <v>0</v>
      </c>
      <c r="T98" s="107">
        <v>0</v>
      </c>
    </row>
    <row r="99" spans="2:21" ht="15" customHeight="1" x14ac:dyDescent="0.2">
      <c r="B99" s="103" t="s">
        <v>339</v>
      </c>
      <c r="C99" s="58" t="s">
        <v>292</v>
      </c>
      <c r="D99" s="36">
        <v>5000000</v>
      </c>
      <c r="E99" s="36">
        <v>0</v>
      </c>
      <c r="F99" s="36">
        <v>0</v>
      </c>
      <c r="G99" s="36">
        <v>0</v>
      </c>
      <c r="H99" s="36">
        <f>3000000+1500000+499900</f>
        <v>4999900</v>
      </c>
      <c r="I99" s="104">
        <f t="shared" si="29"/>
        <v>100</v>
      </c>
      <c r="J99" s="36">
        <v>0</v>
      </c>
      <c r="K99" s="105">
        <v>0</v>
      </c>
      <c r="L99" s="36">
        <v>0</v>
      </c>
      <c r="M99" s="45">
        <v>0</v>
      </c>
      <c r="N99" s="45">
        <v>0</v>
      </c>
      <c r="O99" s="106">
        <v>0</v>
      </c>
      <c r="P99" s="45">
        <v>0</v>
      </c>
      <c r="Q99" s="45">
        <v>0</v>
      </c>
      <c r="R99" s="36">
        <v>0</v>
      </c>
      <c r="S99" s="105">
        <v>0</v>
      </c>
      <c r="T99" s="107">
        <v>0</v>
      </c>
    </row>
    <row r="100" spans="2:21" ht="15" customHeight="1" x14ac:dyDescent="0.2">
      <c r="B100" s="103" t="s">
        <v>340</v>
      </c>
      <c r="C100" s="58" t="s">
        <v>294</v>
      </c>
      <c r="D100" s="36">
        <v>130000000</v>
      </c>
      <c r="E100" s="36">
        <v>0</v>
      </c>
      <c r="F100" s="36">
        <v>0</v>
      </c>
      <c r="G100" s="36">
        <v>0</v>
      </c>
      <c r="H100" s="36">
        <f>60000000+44241000</f>
        <v>104241000</v>
      </c>
      <c r="I100" s="104">
        <f t="shared" si="29"/>
        <v>25759000</v>
      </c>
      <c r="J100" s="36">
        <v>0</v>
      </c>
      <c r="K100" s="105">
        <v>25758809</v>
      </c>
      <c r="L100" s="36">
        <v>0</v>
      </c>
      <c r="M100" s="45">
        <v>25758809</v>
      </c>
      <c r="N100" s="45">
        <v>0</v>
      </c>
      <c r="O100" s="106">
        <v>12879405</v>
      </c>
      <c r="P100" s="45">
        <v>0</v>
      </c>
      <c r="Q100" s="45">
        <v>12879405</v>
      </c>
      <c r="R100" s="36">
        <v>0</v>
      </c>
      <c r="S100" s="105">
        <v>12879404</v>
      </c>
      <c r="T100" s="107">
        <v>0</v>
      </c>
    </row>
    <row r="101" spans="2:21" ht="15" customHeight="1" x14ac:dyDescent="0.2">
      <c r="B101" s="103" t="s">
        <v>341</v>
      </c>
      <c r="C101" s="58" t="s">
        <v>342</v>
      </c>
      <c r="D101" s="36">
        <v>35000000</v>
      </c>
      <c r="E101" s="36">
        <v>0</v>
      </c>
      <c r="F101" s="36">
        <v>0</v>
      </c>
      <c r="G101" s="36">
        <v>0</v>
      </c>
      <c r="H101" s="36">
        <f>11800000+740000</f>
        <v>12540000</v>
      </c>
      <c r="I101" s="104">
        <f t="shared" si="29"/>
        <v>22460000</v>
      </c>
      <c r="J101" s="36">
        <v>3510049</v>
      </c>
      <c r="K101" s="105">
        <v>22129049</v>
      </c>
      <c r="L101" s="36">
        <v>3510049</v>
      </c>
      <c r="M101" s="45">
        <v>22129049</v>
      </c>
      <c r="N101" s="45">
        <v>12063549</v>
      </c>
      <c r="O101" s="106">
        <v>22129049</v>
      </c>
      <c r="P101" s="45">
        <v>10820049</v>
      </c>
      <c r="Q101" s="45">
        <v>20885549</v>
      </c>
      <c r="R101" s="36">
        <v>0</v>
      </c>
      <c r="S101" s="105">
        <v>0</v>
      </c>
      <c r="T101" s="107">
        <v>1243500</v>
      </c>
    </row>
    <row r="102" spans="2:21" ht="15" customHeight="1" x14ac:dyDescent="0.2">
      <c r="B102" s="103" t="s">
        <v>343</v>
      </c>
      <c r="C102" s="58" t="s">
        <v>344</v>
      </c>
      <c r="D102" s="36">
        <v>100000000</v>
      </c>
      <c r="E102" s="36">
        <v>0</v>
      </c>
      <c r="F102" s="36">
        <v>0</v>
      </c>
      <c r="G102" s="36">
        <v>0</v>
      </c>
      <c r="H102" s="36">
        <f>60000000+15500000+240000</f>
        <v>75740000</v>
      </c>
      <c r="I102" s="104">
        <f t="shared" si="29"/>
        <v>24260000</v>
      </c>
      <c r="J102" s="36">
        <v>0</v>
      </c>
      <c r="K102" s="105">
        <v>24250000</v>
      </c>
      <c r="L102" s="36">
        <v>0</v>
      </c>
      <c r="M102" s="45">
        <v>24250000</v>
      </c>
      <c r="N102" s="45">
        <v>0</v>
      </c>
      <c r="O102" s="106">
        <v>24250000</v>
      </c>
      <c r="P102" s="45">
        <v>0</v>
      </c>
      <c r="Q102" s="45">
        <v>24250000</v>
      </c>
      <c r="R102" s="36">
        <v>0</v>
      </c>
      <c r="S102" s="105">
        <v>0</v>
      </c>
      <c r="T102" s="107">
        <v>0</v>
      </c>
    </row>
    <row r="103" spans="2:21" s="14" customFormat="1" ht="15" customHeight="1" x14ac:dyDescent="0.25">
      <c r="B103" s="100" t="s">
        <v>345</v>
      </c>
      <c r="C103" s="101" t="s">
        <v>300</v>
      </c>
      <c r="D103" s="37">
        <f>SUM(D104:D116)</f>
        <v>1468914501</v>
      </c>
      <c r="E103" s="37">
        <f t="shared" ref="E103:T103" si="30">SUM(E104:E116)</f>
        <v>0</v>
      </c>
      <c r="F103" s="37">
        <f t="shared" si="30"/>
        <v>0</v>
      </c>
      <c r="G103" s="37">
        <f t="shared" si="30"/>
        <v>67865000</v>
      </c>
      <c r="H103" s="37">
        <f>SUM(H104:H116)</f>
        <v>587528857</v>
      </c>
      <c r="I103" s="48">
        <f t="shared" si="30"/>
        <v>949250644</v>
      </c>
      <c r="J103" s="37">
        <f t="shared" si="30"/>
        <v>19585657</v>
      </c>
      <c r="K103" s="37">
        <f t="shared" si="30"/>
        <v>922373858</v>
      </c>
      <c r="L103" s="37">
        <f t="shared" si="30"/>
        <v>19637657</v>
      </c>
      <c r="M103" s="37">
        <f t="shared" si="30"/>
        <v>922373858</v>
      </c>
      <c r="N103" s="37">
        <f t="shared" si="30"/>
        <v>105996107</v>
      </c>
      <c r="O103" s="108">
        <f t="shared" si="30"/>
        <v>891459998</v>
      </c>
      <c r="P103" s="37">
        <f t="shared" si="30"/>
        <v>111076522</v>
      </c>
      <c r="Q103" s="37">
        <f t="shared" si="30"/>
        <v>875278851</v>
      </c>
      <c r="R103" s="37">
        <f t="shared" si="30"/>
        <v>0</v>
      </c>
      <c r="S103" s="37">
        <f t="shared" si="30"/>
        <v>30913860</v>
      </c>
      <c r="T103" s="109">
        <f t="shared" si="30"/>
        <v>16181147</v>
      </c>
      <c r="U103" s="93"/>
    </row>
    <row r="104" spans="2:21" ht="15" customHeight="1" x14ac:dyDescent="0.2">
      <c r="B104" s="103" t="s">
        <v>346</v>
      </c>
      <c r="C104" s="58" t="s">
        <v>302</v>
      </c>
      <c r="D104" s="36">
        <v>120000000</v>
      </c>
      <c r="E104" s="36">
        <v>0</v>
      </c>
      <c r="F104" s="36">
        <v>0</v>
      </c>
      <c r="G104" s="36">
        <v>0</v>
      </c>
      <c r="H104" s="36">
        <f>165000+80000000+10000000+8000000+3500000</f>
        <v>101665000</v>
      </c>
      <c r="I104" s="104">
        <f t="shared" ref="I104:I116" si="31">+D104+E104-F104+G104-H104</f>
        <v>18335000</v>
      </c>
      <c r="J104" s="36">
        <v>1700000</v>
      </c>
      <c r="K104" s="105">
        <v>18300000</v>
      </c>
      <c r="L104" s="36">
        <v>1700000</v>
      </c>
      <c r="M104" s="45">
        <v>18300000</v>
      </c>
      <c r="N104" s="45">
        <v>5400000</v>
      </c>
      <c r="O104" s="106">
        <v>18300000</v>
      </c>
      <c r="P104" s="45">
        <v>5400000</v>
      </c>
      <c r="Q104" s="45">
        <v>18300000</v>
      </c>
      <c r="R104" s="36">
        <v>0</v>
      </c>
      <c r="S104" s="105">
        <v>0</v>
      </c>
      <c r="T104" s="107">
        <v>0</v>
      </c>
    </row>
    <row r="105" spans="2:21" ht="15" customHeight="1" x14ac:dyDescent="0.2">
      <c r="B105" s="103" t="s">
        <v>347</v>
      </c>
      <c r="C105" s="58" t="s">
        <v>304</v>
      </c>
      <c r="D105" s="36">
        <v>380000000</v>
      </c>
      <c r="E105" s="36">
        <v>0</v>
      </c>
      <c r="F105" s="36">
        <v>0</v>
      </c>
      <c r="G105" s="36">
        <v>0</v>
      </c>
      <c r="H105" s="36">
        <f>60000000+14000000+15000000+20000000+20000000</f>
        <v>129000000</v>
      </c>
      <c r="I105" s="104">
        <f t="shared" si="31"/>
        <v>251000000</v>
      </c>
      <c r="J105" s="36">
        <v>22338759</v>
      </c>
      <c r="K105" s="105">
        <v>250967028</v>
      </c>
      <c r="L105" s="36">
        <v>22338759</v>
      </c>
      <c r="M105" s="45">
        <v>250967028</v>
      </c>
      <c r="N105" s="45">
        <v>22338759</v>
      </c>
      <c r="O105" s="106">
        <v>250967028</v>
      </c>
      <c r="P105" s="45">
        <v>23803537</v>
      </c>
      <c r="Q105" s="45">
        <v>248440134</v>
      </c>
      <c r="R105" s="36">
        <v>0</v>
      </c>
      <c r="S105" s="105">
        <v>0</v>
      </c>
      <c r="T105" s="107">
        <v>2526894</v>
      </c>
    </row>
    <row r="106" spans="2:21" ht="15" customHeight="1" x14ac:dyDescent="0.2">
      <c r="B106" s="103" t="s">
        <v>348</v>
      </c>
      <c r="C106" s="58" t="s">
        <v>306</v>
      </c>
      <c r="D106" s="36">
        <v>258914501</v>
      </c>
      <c r="E106" s="36">
        <v>0</v>
      </c>
      <c r="F106" s="36">
        <v>0</v>
      </c>
      <c r="G106" s="36">
        <v>0</v>
      </c>
      <c r="H106" s="36">
        <f>113176857+15000000+2700000+5910000</f>
        <v>136786857</v>
      </c>
      <c r="I106" s="104">
        <f t="shared" si="31"/>
        <v>122127644</v>
      </c>
      <c r="J106" s="36">
        <v>1125983</v>
      </c>
      <c r="K106" s="105">
        <v>122081458</v>
      </c>
      <c r="L106" s="36">
        <v>1125983</v>
      </c>
      <c r="M106" s="45">
        <v>122081458</v>
      </c>
      <c r="N106" s="45">
        <v>18281813</v>
      </c>
      <c r="O106" s="106">
        <v>119164791</v>
      </c>
      <c r="P106" s="45">
        <v>12627560</v>
      </c>
      <c r="Q106" s="45">
        <v>113510538</v>
      </c>
      <c r="R106" s="36">
        <v>0</v>
      </c>
      <c r="S106" s="105">
        <v>2916667</v>
      </c>
      <c r="T106" s="107">
        <v>5654253</v>
      </c>
    </row>
    <row r="107" spans="2:21" ht="15" customHeight="1" x14ac:dyDescent="0.2">
      <c r="B107" s="103" t="s">
        <v>349</v>
      </c>
      <c r="C107" s="58" t="s">
        <v>308</v>
      </c>
      <c r="D107" s="36">
        <v>15000000</v>
      </c>
      <c r="E107" s="36">
        <v>0</v>
      </c>
      <c r="F107" s="36">
        <v>0</v>
      </c>
      <c r="G107" s="36">
        <v>0</v>
      </c>
      <c r="H107" s="36">
        <f>3000000+2000000</f>
        <v>5000000</v>
      </c>
      <c r="I107" s="104">
        <f t="shared" si="31"/>
        <v>10000000</v>
      </c>
      <c r="J107" s="36">
        <v>0</v>
      </c>
      <c r="K107" s="105">
        <v>7780970</v>
      </c>
      <c r="L107" s="36">
        <v>0</v>
      </c>
      <c r="M107" s="45">
        <v>7780970</v>
      </c>
      <c r="N107" s="45">
        <v>7000000</v>
      </c>
      <c r="O107" s="106">
        <v>7780970</v>
      </c>
      <c r="P107" s="45">
        <v>7000000</v>
      </c>
      <c r="Q107" s="45">
        <v>7780970</v>
      </c>
      <c r="R107" s="36">
        <v>0</v>
      </c>
      <c r="S107" s="105">
        <v>0</v>
      </c>
      <c r="T107" s="107">
        <v>0</v>
      </c>
    </row>
    <row r="108" spans="2:21" ht="15" customHeight="1" x14ac:dyDescent="0.2">
      <c r="B108" s="103" t="s">
        <v>350</v>
      </c>
      <c r="C108" s="58" t="s">
        <v>310</v>
      </c>
      <c r="D108" s="36">
        <v>40000000</v>
      </c>
      <c r="E108" s="36">
        <v>0</v>
      </c>
      <c r="F108" s="36">
        <v>0</v>
      </c>
      <c r="G108" s="36">
        <f>17000000+3000000</f>
        <v>20000000</v>
      </c>
      <c r="H108" s="36">
        <v>0</v>
      </c>
      <c r="I108" s="104">
        <f t="shared" si="31"/>
        <v>60000000</v>
      </c>
      <c r="J108" s="36">
        <v>268448</v>
      </c>
      <c r="K108" s="105">
        <v>59566410</v>
      </c>
      <c r="L108" s="36">
        <v>268448</v>
      </c>
      <c r="M108" s="45">
        <v>59566410</v>
      </c>
      <c r="N108" s="45">
        <v>1004166</v>
      </c>
      <c r="O108" s="106">
        <v>59566410</v>
      </c>
      <c r="P108" s="45">
        <v>1004166</v>
      </c>
      <c r="Q108" s="45">
        <v>59566410</v>
      </c>
      <c r="R108" s="36">
        <v>0</v>
      </c>
      <c r="S108" s="105">
        <v>0</v>
      </c>
      <c r="T108" s="107">
        <v>0</v>
      </c>
    </row>
    <row r="109" spans="2:21" ht="15" customHeight="1" x14ac:dyDescent="0.2">
      <c r="B109" s="103" t="s">
        <v>351</v>
      </c>
      <c r="C109" s="58" t="s">
        <v>312</v>
      </c>
      <c r="D109" s="36">
        <v>65000000</v>
      </c>
      <c r="E109" s="36">
        <v>0</v>
      </c>
      <c r="F109" s="36">
        <v>0</v>
      </c>
      <c r="G109" s="36">
        <v>37000000</v>
      </c>
      <c r="H109" s="36">
        <v>8000000</v>
      </c>
      <c r="I109" s="104">
        <f t="shared" si="31"/>
        <v>94000000</v>
      </c>
      <c r="J109" s="36">
        <v>418000</v>
      </c>
      <c r="K109" s="105">
        <v>90660535</v>
      </c>
      <c r="L109" s="36">
        <v>470000</v>
      </c>
      <c r="M109" s="45">
        <v>90660535</v>
      </c>
      <c r="N109" s="45">
        <v>2371700</v>
      </c>
      <c r="O109" s="106">
        <v>90065035</v>
      </c>
      <c r="P109" s="45">
        <v>2526700</v>
      </c>
      <c r="Q109" s="45">
        <v>90065035</v>
      </c>
      <c r="R109" s="36">
        <v>0</v>
      </c>
      <c r="S109" s="105">
        <v>595500</v>
      </c>
      <c r="T109" s="107">
        <v>0</v>
      </c>
    </row>
    <row r="110" spans="2:21" ht="15" customHeight="1" x14ac:dyDescent="0.2">
      <c r="B110" s="103" t="s">
        <v>352</v>
      </c>
      <c r="C110" s="58" t="s">
        <v>314</v>
      </c>
      <c r="D110" s="36">
        <v>5000000</v>
      </c>
      <c r="E110" s="36">
        <v>0</v>
      </c>
      <c r="F110" s="36">
        <v>0</v>
      </c>
      <c r="G110" s="36">
        <f>165000+10700000</f>
        <v>10865000</v>
      </c>
      <c r="H110" s="36">
        <v>555000</v>
      </c>
      <c r="I110" s="104">
        <f t="shared" si="31"/>
        <v>15310000</v>
      </c>
      <c r="J110" s="36">
        <v>0</v>
      </c>
      <c r="K110" s="105">
        <v>15306247</v>
      </c>
      <c r="L110" s="36">
        <v>0</v>
      </c>
      <c r="M110" s="45">
        <v>15306247</v>
      </c>
      <c r="N110" s="45">
        <v>0</v>
      </c>
      <c r="O110" s="106">
        <v>15306247</v>
      </c>
      <c r="P110" s="45">
        <v>0</v>
      </c>
      <c r="Q110" s="45">
        <v>15306247</v>
      </c>
      <c r="R110" s="36">
        <v>0</v>
      </c>
      <c r="S110" s="105">
        <v>0</v>
      </c>
      <c r="T110" s="107">
        <v>0</v>
      </c>
    </row>
    <row r="111" spans="2:21" ht="15" customHeight="1" x14ac:dyDescent="0.2">
      <c r="B111" s="103" t="s">
        <v>353</v>
      </c>
      <c r="C111" s="58" t="s">
        <v>316</v>
      </c>
      <c r="D111" s="36">
        <v>15000000</v>
      </c>
      <c r="E111" s="36">
        <v>0</v>
      </c>
      <c r="F111" s="36">
        <v>0</v>
      </c>
      <c r="G111" s="36">
        <v>0</v>
      </c>
      <c r="H111" s="36">
        <v>0</v>
      </c>
      <c r="I111" s="104">
        <f t="shared" si="31"/>
        <v>15000000</v>
      </c>
      <c r="J111" s="36">
        <v>0</v>
      </c>
      <c r="K111" s="105">
        <v>12814750</v>
      </c>
      <c r="L111" s="36">
        <v>0</v>
      </c>
      <c r="M111" s="45">
        <v>12814750</v>
      </c>
      <c r="N111" s="45">
        <v>0</v>
      </c>
      <c r="O111" s="106">
        <v>12814750</v>
      </c>
      <c r="P111" s="45">
        <v>0</v>
      </c>
      <c r="Q111" s="45">
        <v>12814750</v>
      </c>
      <c r="R111" s="36">
        <v>0</v>
      </c>
      <c r="S111" s="105">
        <v>0</v>
      </c>
      <c r="T111" s="107">
        <v>0</v>
      </c>
    </row>
    <row r="112" spans="2:21" ht="15" customHeight="1" x14ac:dyDescent="0.2">
      <c r="B112" s="103" t="s">
        <v>354</v>
      </c>
      <c r="C112" s="58" t="s">
        <v>355</v>
      </c>
      <c r="D112" s="36">
        <v>60000000</v>
      </c>
      <c r="E112" s="36">
        <v>0</v>
      </c>
      <c r="F112" s="36">
        <v>0</v>
      </c>
      <c r="G112" s="36">
        <v>0</v>
      </c>
      <c r="H112" s="36">
        <v>22590000</v>
      </c>
      <c r="I112" s="104">
        <f t="shared" si="31"/>
        <v>37410000</v>
      </c>
      <c r="J112" s="36">
        <v>-11400000</v>
      </c>
      <c r="K112" s="105">
        <v>26000000</v>
      </c>
      <c r="L112" s="36">
        <v>-11400000</v>
      </c>
      <c r="M112" s="45">
        <v>26000000</v>
      </c>
      <c r="N112" s="45">
        <v>15080000</v>
      </c>
      <c r="O112" s="106">
        <v>26000000</v>
      </c>
      <c r="P112" s="45">
        <v>7080000</v>
      </c>
      <c r="Q112" s="45">
        <v>18000000</v>
      </c>
      <c r="R112" s="36">
        <v>0</v>
      </c>
      <c r="S112" s="105">
        <v>0</v>
      </c>
      <c r="T112" s="107">
        <v>8000000</v>
      </c>
    </row>
    <row r="113" spans="2:21" ht="15" customHeight="1" x14ac:dyDescent="0.2">
      <c r="B113" s="103" t="s">
        <v>356</v>
      </c>
      <c r="C113" s="58" t="s">
        <v>292</v>
      </c>
      <c r="D113" s="36">
        <v>10000000</v>
      </c>
      <c r="E113" s="36">
        <v>0</v>
      </c>
      <c r="F113" s="36">
        <v>0</v>
      </c>
      <c r="G113" s="36">
        <v>0</v>
      </c>
      <c r="H113" s="36">
        <f>3000000+2000000</f>
        <v>5000000</v>
      </c>
      <c r="I113" s="104">
        <f t="shared" si="31"/>
        <v>5000000</v>
      </c>
      <c r="J113" s="36">
        <v>0</v>
      </c>
      <c r="K113" s="105">
        <v>2834770</v>
      </c>
      <c r="L113" s="36">
        <v>0</v>
      </c>
      <c r="M113" s="45">
        <v>2834770</v>
      </c>
      <c r="N113" s="45">
        <v>0</v>
      </c>
      <c r="O113" s="106">
        <v>2834770</v>
      </c>
      <c r="P113" s="45">
        <v>0</v>
      </c>
      <c r="Q113" s="45">
        <v>2834770</v>
      </c>
      <c r="R113" s="36">
        <v>0</v>
      </c>
      <c r="S113" s="105">
        <v>0</v>
      </c>
      <c r="T113" s="107">
        <v>0</v>
      </c>
    </row>
    <row r="114" spans="2:21" ht="15" customHeight="1" x14ac:dyDescent="0.2">
      <c r="B114" s="103" t="s">
        <v>357</v>
      </c>
      <c r="C114" s="58" t="s">
        <v>321</v>
      </c>
      <c r="D114" s="36">
        <v>100000000</v>
      </c>
      <c r="E114" s="36">
        <v>0</v>
      </c>
      <c r="F114" s="36">
        <v>0</v>
      </c>
      <c r="G114" s="36">
        <v>0</v>
      </c>
      <c r="H114" s="36">
        <f>5000000+12000000+5633000</f>
        <v>22633000</v>
      </c>
      <c r="I114" s="104">
        <f t="shared" si="31"/>
        <v>77367000</v>
      </c>
      <c r="J114" s="36">
        <v>0</v>
      </c>
      <c r="K114" s="105">
        <v>72366639</v>
      </c>
      <c r="L114" s="36">
        <v>0</v>
      </c>
      <c r="M114" s="45">
        <v>72366639</v>
      </c>
      <c r="N114" s="45">
        <v>957180</v>
      </c>
      <c r="O114" s="106">
        <v>62941726</v>
      </c>
      <c r="P114" s="45">
        <v>957180</v>
      </c>
      <c r="Q114" s="45">
        <v>62941726</v>
      </c>
      <c r="R114" s="36">
        <v>0</v>
      </c>
      <c r="S114" s="105">
        <v>9424913</v>
      </c>
      <c r="T114" s="107">
        <v>0</v>
      </c>
    </row>
    <row r="115" spans="2:21" ht="15" customHeight="1" x14ac:dyDescent="0.2">
      <c r="B115" s="103" t="s">
        <v>358</v>
      </c>
      <c r="C115" s="58" t="s">
        <v>359</v>
      </c>
      <c r="D115" s="36">
        <v>200000000</v>
      </c>
      <c r="E115" s="36">
        <v>0</v>
      </c>
      <c r="F115" s="36">
        <v>0</v>
      </c>
      <c r="G115" s="36">
        <v>0</v>
      </c>
      <c r="H115" s="36">
        <f>50000000+7000000+1095000</f>
        <v>58095000</v>
      </c>
      <c r="I115" s="104">
        <f t="shared" si="31"/>
        <v>141905000</v>
      </c>
      <c r="J115" s="36">
        <v>0</v>
      </c>
      <c r="K115" s="105">
        <v>141900354</v>
      </c>
      <c r="L115" s="36">
        <v>0</v>
      </c>
      <c r="M115" s="45">
        <v>141900354</v>
      </c>
      <c r="N115" s="45">
        <v>25005044</v>
      </c>
      <c r="O115" s="106">
        <v>137615486</v>
      </c>
      <c r="P115" s="45">
        <v>25005044</v>
      </c>
      <c r="Q115" s="45">
        <v>137615486</v>
      </c>
      <c r="R115" s="36">
        <v>0</v>
      </c>
      <c r="S115" s="105">
        <v>4284868</v>
      </c>
      <c r="T115" s="107">
        <v>0</v>
      </c>
    </row>
    <row r="116" spans="2:21" ht="15" customHeight="1" x14ac:dyDescent="0.2">
      <c r="B116" s="103" t="s">
        <v>360</v>
      </c>
      <c r="C116" s="58" t="s">
        <v>325</v>
      </c>
      <c r="D116" s="36">
        <v>200000000</v>
      </c>
      <c r="E116" s="36">
        <v>0</v>
      </c>
      <c r="F116" s="36">
        <v>0</v>
      </c>
      <c r="G116" s="36">
        <v>0</v>
      </c>
      <c r="H116" s="36">
        <f>94107000+1500000+2597000</f>
        <v>98204000</v>
      </c>
      <c r="I116" s="104">
        <f t="shared" si="31"/>
        <v>101796000</v>
      </c>
      <c r="J116" s="36">
        <v>5134467</v>
      </c>
      <c r="K116" s="105">
        <v>101794697</v>
      </c>
      <c r="L116" s="36">
        <v>5134467</v>
      </c>
      <c r="M116" s="45">
        <v>101794697</v>
      </c>
      <c r="N116" s="45">
        <v>8557445</v>
      </c>
      <c r="O116" s="106">
        <v>88102785</v>
      </c>
      <c r="P116" s="45">
        <v>25672335</v>
      </c>
      <c r="Q116" s="45">
        <v>88102785</v>
      </c>
      <c r="R116" s="36">
        <v>0</v>
      </c>
      <c r="S116" s="105">
        <v>13691912</v>
      </c>
      <c r="T116" s="107">
        <v>0</v>
      </c>
    </row>
    <row r="117" spans="2:21" s="14" customFormat="1" ht="15" customHeight="1" x14ac:dyDescent="0.25">
      <c r="B117" s="100" t="s">
        <v>361</v>
      </c>
      <c r="C117" s="101" t="s">
        <v>125</v>
      </c>
      <c r="D117" s="37">
        <f>SUM(D118:D120)</f>
        <v>700000000</v>
      </c>
      <c r="E117" s="37">
        <f>SUM(E118:E122)</f>
        <v>1713496900.3600001</v>
      </c>
      <c r="F117" s="37">
        <f t="shared" ref="F117:G117" si="32">SUM(F118:F120)</f>
        <v>0</v>
      </c>
      <c r="G117" s="37">
        <f t="shared" si="32"/>
        <v>89000000</v>
      </c>
      <c r="H117" s="37">
        <f>SUM(H118:H122)</f>
        <v>907776000</v>
      </c>
      <c r="I117" s="37">
        <f>SUM(I118:I122)</f>
        <v>1594720900.3600001</v>
      </c>
      <c r="J117" s="37">
        <f>SUM(J118:J122)</f>
        <v>84063035</v>
      </c>
      <c r="K117" s="37">
        <f>SUM(K118:K122)</f>
        <v>1591514029.3600001</v>
      </c>
      <c r="L117" s="37">
        <f>SUM(L118:L122)</f>
        <v>84063035</v>
      </c>
      <c r="M117" s="37">
        <f t="shared" ref="M117:Q117" si="33">SUM(M118:M122)</f>
        <v>1591514029.3600001</v>
      </c>
      <c r="N117" s="37">
        <f t="shared" si="33"/>
        <v>84063035</v>
      </c>
      <c r="O117" s="108">
        <f t="shared" si="33"/>
        <v>1591514029.3600001</v>
      </c>
      <c r="P117" s="37">
        <f t="shared" si="33"/>
        <v>84063035</v>
      </c>
      <c r="Q117" s="37">
        <f t="shared" si="33"/>
        <v>1591514029.3600001</v>
      </c>
      <c r="R117" s="37">
        <f t="shared" ref="R117:T117" si="34">SUM(R118:R121)</f>
        <v>0</v>
      </c>
      <c r="S117" s="37">
        <f t="shared" si="34"/>
        <v>0</v>
      </c>
      <c r="T117" s="109">
        <f t="shared" si="34"/>
        <v>0</v>
      </c>
      <c r="U117" s="93"/>
    </row>
    <row r="118" spans="2:21" ht="15" customHeight="1" x14ac:dyDescent="0.2">
      <c r="B118" s="103" t="s">
        <v>362</v>
      </c>
      <c r="C118" s="58" t="s">
        <v>328</v>
      </c>
      <c r="D118" s="36">
        <v>50000000</v>
      </c>
      <c r="E118" s="36">
        <v>0</v>
      </c>
      <c r="F118" s="36">
        <v>0</v>
      </c>
      <c r="G118" s="36">
        <v>42000000</v>
      </c>
      <c r="H118" s="36">
        <f>30000000+5000000+3616000</f>
        <v>38616000</v>
      </c>
      <c r="I118" s="104">
        <f>+D118+E118-F118+G118-H118</f>
        <v>53384000</v>
      </c>
      <c r="J118" s="36">
        <v>39035576</v>
      </c>
      <c r="K118" s="105">
        <v>50419399</v>
      </c>
      <c r="L118" s="36">
        <v>39035576</v>
      </c>
      <c r="M118" s="45">
        <v>50419399</v>
      </c>
      <c r="N118" s="45">
        <v>39035576</v>
      </c>
      <c r="O118" s="106">
        <v>50419399</v>
      </c>
      <c r="P118" s="45">
        <v>39035576</v>
      </c>
      <c r="Q118" s="45">
        <v>50419399</v>
      </c>
      <c r="R118" s="36">
        <v>0</v>
      </c>
      <c r="S118" s="105">
        <v>0</v>
      </c>
      <c r="T118" s="107">
        <v>0</v>
      </c>
    </row>
    <row r="119" spans="2:21" ht="15" customHeight="1" x14ac:dyDescent="0.2">
      <c r="B119" s="103" t="s">
        <v>363</v>
      </c>
      <c r="C119" s="58" t="s">
        <v>364</v>
      </c>
      <c r="D119" s="36">
        <v>150000000</v>
      </c>
      <c r="E119" s="36">
        <v>0</v>
      </c>
      <c r="F119" s="36">
        <v>0</v>
      </c>
      <c r="G119" s="36">
        <v>0</v>
      </c>
      <c r="H119" s="36">
        <f>140000000+5000000+4990000</f>
        <v>149990000</v>
      </c>
      <c r="I119" s="104">
        <f>+D119+E119-F119+G119-H119</f>
        <v>10000</v>
      </c>
      <c r="J119" s="36">
        <v>0</v>
      </c>
      <c r="K119" s="105">
        <v>0</v>
      </c>
      <c r="L119" s="36">
        <v>0</v>
      </c>
      <c r="M119" s="45">
        <v>0</v>
      </c>
      <c r="N119" s="45">
        <v>0</v>
      </c>
      <c r="O119" s="106">
        <v>0</v>
      </c>
      <c r="P119" s="45">
        <v>0</v>
      </c>
      <c r="Q119" s="45">
        <v>0</v>
      </c>
      <c r="R119" s="36">
        <v>0</v>
      </c>
      <c r="S119" s="105">
        <v>0</v>
      </c>
      <c r="T119" s="107">
        <v>0</v>
      </c>
    </row>
    <row r="120" spans="2:21" ht="15" customHeight="1" x14ac:dyDescent="0.2">
      <c r="B120" s="103" t="s">
        <v>365</v>
      </c>
      <c r="C120" s="58" t="s">
        <v>366</v>
      </c>
      <c r="D120" s="36">
        <v>500000000</v>
      </c>
      <c r="E120" s="36">
        <v>0</v>
      </c>
      <c r="F120" s="36">
        <v>0</v>
      </c>
      <c r="G120" s="36">
        <v>47000000</v>
      </c>
      <c r="H120" s="36">
        <v>80000000</v>
      </c>
      <c r="I120" s="104">
        <f>+D120+E120-F120+G120-H120</f>
        <v>467000000</v>
      </c>
      <c r="J120" s="36">
        <v>0</v>
      </c>
      <c r="K120" s="105">
        <v>466771539</v>
      </c>
      <c r="L120" s="36">
        <v>0</v>
      </c>
      <c r="M120" s="45">
        <v>466771539</v>
      </c>
      <c r="N120" s="45">
        <v>0</v>
      </c>
      <c r="O120" s="106">
        <v>466771539</v>
      </c>
      <c r="P120" s="45">
        <v>0</v>
      </c>
      <c r="Q120" s="45">
        <v>466771539</v>
      </c>
      <c r="R120" s="36">
        <v>0</v>
      </c>
      <c r="S120" s="105">
        <v>0</v>
      </c>
      <c r="T120" s="107">
        <v>0</v>
      </c>
    </row>
    <row r="121" spans="2:21" ht="15" customHeight="1" x14ac:dyDescent="0.2">
      <c r="B121" s="103" t="s">
        <v>367</v>
      </c>
      <c r="C121" s="58" t="s">
        <v>368</v>
      </c>
      <c r="D121" s="36">
        <v>0</v>
      </c>
      <c r="E121" s="36">
        <v>764355429</v>
      </c>
      <c r="F121" s="36">
        <v>0</v>
      </c>
      <c r="G121" s="36">
        <v>0</v>
      </c>
      <c r="H121" s="36">
        <f>630000000+9170000</f>
        <v>639170000</v>
      </c>
      <c r="I121" s="104">
        <f>+D121+E121-F121+G121-H121</f>
        <v>125185429</v>
      </c>
      <c r="J121" s="36">
        <v>0</v>
      </c>
      <c r="K121" s="105">
        <v>125181620</v>
      </c>
      <c r="L121" s="36">
        <v>0</v>
      </c>
      <c r="M121" s="45">
        <v>125181620</v>
      </c>
      <c r="N121" s="45">
        <v>0</v>
      </c>
      <c r="O121" s="106">
        <v>125181620</v>
      </c>
      <c r="P121" s="45">
        <v>0</v>
      </c>
      <c r="Q121" s="45">
        <v>125181620</v>
      </c>
      <c r="R121" s="36">
        <v>0</v>
      </c>
      <c r="S121" s="105">
        <v>0</v>
      </c>
      <c r="T121" s="107">
        <v>0</v>
      </c>
    </row>
    <row r="122" spans="2:21" ht="33.75" customHeight="1" x14ac:dyDescent="0.2">
      <c r="B122" s="103" t="s">
        <v>369</v>
      </c>
      <c r="C122" s="110" t="s">
        <v>370</v>
      </c>
      <c r="D122" s="36">
        <v>0</v>
      </c>
      <c r="E122" s="36">
        <f>871604715.36+32509297+45027459</f>
        <v>949141471.36000001</v>
      </c>
      <c r="F122" s="36">
        <v>0</v>
      </c>
      <c r="G122" s="36">
        <v>0</v>
      </c>
      <c r="H122" s="36">
        <v>0</v>
      </c>
      <c r="I122" s="104">
        <f>+D122+E122-F122+G122-H122</f>
        <v>949141471.36000001</v>
      </c>
      <c r="J122" s="36">
        <v>45027459</v>
      </c>
      <c r="K122" s="105">
        <v>949141471.36000001</v>
      </c>
      <c r="L122" s="36">
        <v>45027459</v>
      </c>
      <c r="M122" s="45">
        <v>949141471.36000001</v>
      </c>
      <c r="N122" s="45">
        <v>45027459</v>
      </c>
      <c r="O122" s="106">
        <v>949141471.36000001</v>
      </c>
      <c r="P122" s="45">
        <v>45027459</v>
      </c>
      <c r="Q122" s="45">
        <v>949141471.36000001</v>
      </c>
      <c r="R122" s="36">
        <v>0</v>
      </c>
      <c r="S122" s="105">
        <v>0</v>
      </c>
      <c r="T122" s="107">
        <v>0</v>
      </c>
    </row>
    <row r="123" spans="2:21" s="14" customFormat="1" ht="15" customHeight="1" x14ac:dyDescent="0.25">
      <c r="B123" s="98">
        <v>2.2000000000000002</v>
      </c>
      <c r="C123" s="34" t="s">
        <v>132</v>
      </c>
      <c r="D123" s="35">
        <f>+D124</f>
        <v>127986149829</v>
      </c>
      <c r="E123" s="35">
        <f>+E124</f>
        <v>24806906493</v>
      </c>
      <c r="F123" s="37">
        <f>+F124+F125</f>
        <v>0</v>
      </c>
      <c r="G123" s="35">
        <f>+G125</f>
        <v>4681955191</v>
      </c>
      <c r="H123" s="35">
        <f>+H125</f>
        <v>4681955191</v>
      </c>
      <c r="I123" s="48">
        <f>+I124</f>
        <v>152793056322</v>
      </c>
      <c r="J123" s="37">
        <f t="shared" ref="J123:T124" si="35">+J124</f>
        <v>911932208</v>
      </c>
      <c r="K123" s="38">
        <f t="shared" si="35"/>
        <v>152713116058</v>
      </c>
      <c r="L123" s="38">
        <f t="shared" si="35"/>
        <v>994526951</v>
      </c>
      <c r="M123" s="38">
        <f t="shared" si="35"/>
        <v>152715141058</v>
      </c>
      <c r="N123" s="38">
        <f t="shared" si="35"/>
        <v>10429258065</v>
      </c>
      <c r="O123" s="99">
        <f t="shared" si="35"/>
        <v>144887054034</v>
      </c>
      <c r="P123" s="38">
        <f t="shared" si="35"/>
        <v>12399706486</v>
      </c>
      <c r="Q123" s="38">
        <f t="shared" si="35"/>
        <v>143733032838</v>
      </c>
      <c r="R123" s="38">
        <f t="shared" si="35"/>
        <v>0</v>
      </c>
      <c r="S123" s="38">
        <f>+S124</f>
        <v>7828087024</v>
      </c>
      <c r="T123" s="40">
        <f>+T124</f>
        <v>1154021196</v>
      </c>
      <c r="U123" s="93"/>
    </row>
    <row r="124" spans="2:21" s="14" customFormat="1" ht="15" customHeight="1" x14ac:dyDescent="0.25">
      <c r="B124" s="98" t="s">
        <v>133</v>
      </c>
      <c r="C124" s="34" t="s">
        <v>134</v>
      </c>
      <c r="D124" s="35">
        <f>+D125</f>
        <v>127986149829</v>
      </c>
      <c r="E124" s="35">
        <f>+E125</f>
        <v>24806906493</v>
      </c>
      <c r="F124" s="37">
        <v>0</v>
      </c>
      <c r="G124" s="35">
        <f>+G125</f>
        <v>4681955191</v>
      </c>
      <c r="H124" s="35">
        <f>+H125</f>
        <v>4681955191</v>
      </c>
      <c r="I124" s="48">
        <f>+I125</f>
        <v>152793056322</v>
      </c>
      <c r="J124" s="37">
        <f t="shared" si="35"/>
        <v>911932208</v>
      </c>
      <c r="K124" s="38">
        <f t="shared" si="35"/>
        <v>152713116058</v>
      </c>
      <c r="L124" s="38">
        <f t="shared" si="35"/>
        <v>994526951</v>
      </c>
      <c r="M124" s="38">
        <f t="shared" si="35"/>
        <v>152715141058</v>
      </c>
      <c r="N124" s="38">
        <f t="shared" si="35"/>
        <v>10429258065</v>
      </c>
      <c r="O124" s="99">
        <f t="shared" si="35"/>
        <v>144887054034</v>
      </c>
      <c r="P124" s="38">
        <f t="shared" si="35"/>
        <v>12399706486</v>
      </c>
      <c r="Q124" s="38">
        <f t="shared" si="35"/>
        <v>143733032838</v>
      </c>
      <c r="R124" s="38">
        <f t="shared" si="35"/>
        <v>0</v>
      </c>
      <c r="S124" s="38">
        <f t="shared" si="35"/>
        <v>7828087024</v>
      </c>
      <c r="T124" s="40">
        <f t="shared" si="35"/>
        <v>1154021196</v>
      </c>
      <c r="U124" s="93"/>
    </row>
    <row r="125" spans="2:21" s="14" customFormat="1" ht="15" customHeight="1" x14ac:dyDescent="0.25">
      <c r="B125" s="98" t="s">
        <v>135</v>
      </c>
      <c r="C125" s="34" t="s">
        <v>136</v>
      </c>
      <c r="D125" s="35">
        <f>+D126+D139+D152</f>
        <v>127986149829</v>
      </c>
      <c r="E125" s="35">
        <f>+E126+E139+E152</f>
        <v>24806906493</v>
      </c>
      <c r="F125" s="37">
        <f>SUM(F126:F135)</f>
        <v>0</v>
      </c>
      <c r="G125" s="35">
        <f t="shared" ref="G125:Q125" si="36">+G126+G139+G152</f>
        <v>4681955191</v>
      </c>
      <c r="H125" s="35">
        <f t="shared" si="36"/>
        <v>4681955191</v>
      </c>
      <c r="I125" s="38">
        <f t="shared" si="36"/>
        <v>152793056322</v>
      </c>
      <c r="J125" s="38">
        <f t="shared" si="36"/>
        <v>911932208</v>
      </c>
      <c r="K125" s="38">
        <f t="shared" si="36"/>
        <v>152713116058</v>
      </c>
      <c r="L125" s="38">
        <f t="shared" si="36"/>
        <v>994526951</v>
      </c>
      <c r="M125" s="38">
        <f t="shared" si="36"/>
        <v>152715141058</v>
      </c>
      <c r="N125" s="38">
        <f t="shared" si="36"/>
        <v>10429258065</v>
      </c>
      <c r="O125" s="99">
        <f t="shared" si="36"/>
        <v>144887054034</v>
      </c>
      <c r="P125" s="38">
        <f t="shared" si="36"/>
        <v>12399706486</v>
      </c>
      <c r="Q125" s="38">
        <f t="shared" si="36"/>
        <v>143733032838</v>
      </c>
      <c r="R125" s="38">
        <f>+R126+R139+R152</f>
        <v>0</v>
      </c>
      <c r="S125" s="38">
        <f>+S126+S139+S152</f>
        <v>7828087024</v>
      </c>
      <c r="T125" s="40">
        <f>+T126+T139+T152</f>
        <v>1154021196</v>
      </c>
      <c r="U125" s="93"/>
    </row>
    <row r="126" spans="2:21" s="14" customFormat="1" ht="15" customHeight="1" x14ac:dyDescent="0.25">
      <c r="B126" s="98" t="s">
        <v>137</v>
      </c>
      <c r="C126" s="34" t="s">
        <v>138</v>
      </c>
      <c r="D126" s="35">
        <f>SUM(D127:D136)+D137</f>
        <v>115014079063</v>
      </c>
      <c r="E126" s="35">
        <f>SUM(E127:E136)+E137</f>
        <v>20059978006</v>
      </c>
      <c r="F126" s="35">
        <f t="shared" ref="F126:T126" si="37">SUM(F127:F136)+F137</f>
        <v>0</v>
      </c>
      <c r="G126" s="35">
        <f t="shared" si="37"/>
        <v>3686545600</v>
      </c>
      <c r="H126" s="35">
        <f t="shared" si="37"/>
        <v>3460165191</v>
      </c>
      <c r="I126" s="38">
        <f t="shared" si="37"/>
        <v>135300437478</v>
      </c>
      <c r="J126" s="35">
        <f t="shared" si="37"/>
        <v>603107513</v>
      </c>
      <c r="K126" s="35">
        <f t="shared" si="37"/>
        <v>135298013487</v>
      </c>
      <c r="L126" s="35">
        <f t="shared" si="37"/>
        <v>671307513</v>
      </c>
      <c r="M126" s="35">
        <f t="shared" si="37"/>
        <v>135298013487</v>
      </c>
      <c r="N126" s="35">
        <f t="shared" si="37"/>
        <v>9919591613</v>
      </c>
      <c r="O126" s="99">
        <f t="shared" si="37"/>
        <v>127824109586</v>
      </c>
      <c r="P126" s="35">
        <f t="shared" si="37"/>
        <v>11697701361</v>
      </c>
      <c r="Q126" s="35">
        <f t="shared" si="37"/>
        <v>126859100298</v>
      </c>
      <c r="R126" s="35">
        <f t="shared" si="37"/>
        <v>0</v>
      </c>
      <c r="S126" s="35">
        <f t="shared" si="37"/>
        <v>7475920430</v>
      </c>
      <c r="T126" s="102">
        <f t="shared" si="37"/>
        <v>965009288</v>
      </c>
      <c r="U126" s="93"/>
    </row>
    <row r="127" spans="2:21" s="14" customFormat="1" ht="15" customHeight="1" x14ac:dyDescent="0.25">
      <c r="B127" s="111" t="s">
        <v>139</v>
      </c>
      <c r="C127" s="43" t="s">
        <v>140</v>
      </c>
      <c r="D127" s="36">
        <v>17542641980</v>
      </c>
      <c r="E127" s="36">
        <f>1215742068+517000000+552108999+103700000+15000000</f>
        <v>2403551067</v>
      </c>
      <c r="F127" s="36">
        <v>0</v>
      </c>
      <c r="G127" s="36">
        <f>539000000+18800000+67100000</f>
        <v>624900000</v>
      </c>
      <c r="H127" s="36">
        <v>38800000</v>
      </c>
      <c r="I127" s="104">
        <f t="shared" ref="I127:I136" si="38">+D127+E127-F127+G127-H127</f>
        <v>20532293047</v>
      </c>
      <c r="J127" s="36">
        <v>-3086947</v>
      </c>
      <c r="K127" s="105">
        <v>20532259248</v>
      </c>
      <c r="L127" s="36">
        <v>46913053</v>
      </c>
      <c r="M127" s="45">
        <v>20532259248</v>
      </c>
      <c r="N127" s="45">
        <v>1421205347</v>
      </c>
      <c r="O127" s="106">
        <v>19278444362</v>
      </c>
      <c r="P127" s="45">
        <v>1752555809</v>
      </c>
      <c r="Q127" s="45">
        <v>19241146023</v>
      </c>
      <c r="R127" s="36">
        <v>0</v>
      </c>
      <c r="S127" s="105">
        <v>1253814886</v>
      </c>
      <c r="T127" s="107">
        <v>37298339</v>
      </c>
      <c r="U127" s="93"/>
    </row>
    <row r="128" spans="2:21" ht="15" customHeight="1" x14ac:dyDescent="0.2">
      <c r="B128" s="111" t="s">
        <v>141</v>
      </c>
      <c r="C128" s="43" t="s">
        <v>142</v>
      </c>
      <c r="D128" s="36">
        <v>38000000000</v>
      </c>
      <c r="E128" s="36">
        <f>3179417513+411000000+640000000+355636636+60000000+731000000+1+366700000+27800000</f>
        <v>5771554150</v>
      </c>
      <c r="F128" s="36">
        <v>0</v>
      </c>
      <c r="G128" s="36">
        <f>980000000+680000000</f>
        <v>1660000000</v>
      </c>
      <c r="H128" s="36">
        <f>137100000+4900000</f>
        <v>142000000</v>
      </c>
      <c r="I128" s="104">
        <f t="shared" si="38"/>
        <v>45289554150</v>
      </c>
      <c r="J128" s="36">
        <v>25293985</v>
      </c>
      <c r="K128" s="105">
        <v>45287729924</v>
      </c>
      <c r="L128" s="36">
        <v>37293985</v>
      </c>
      <c r="M128" s="45">
        <v>45287729924</v>
      </c>
      <c r="N128" s="45">
        <v>3946585209</v>
      </c>
      <c r="O128" s="106">
        <v>43686023480</v>
      </c>
      <c r="P128" s="45">
        <v>3939864054</v>
      </c>
      <c r="Q128" s="45">
        <v>43071596496</v>
      </c>
      <c r="R128" s="36">
        <v>0</v>
      </c>
      <c r="S128" s="105">
        <v>1601706444</v>
      </c>
      <c r="T128" s="107">
        <v>614426984</v>
      </c>
    </row>
    <row r="129" spans="1:21" ht="15" customHeight="1" x14ac:dyDescent="0.2">
      <c r="B129" s="111" t="s">
        <v>143</v>
      </c>
      <c r="C129" s="43" t="s">
        <v>144</v>
      </c>
      <c r="D129" s="36">
        <v>19700000000</v>
      </c>
      <c r="E129" s="36">
        <f>1909029450+730000000+635500000+186200000</f>
        <v>3460729450</v>
      </c>
      <c r="F129" s="36">
        <v>0</v>
      </c>
      <c r="G129" s="36">
        <f>150000000+20000000+50000000</f>
        <v>220000000</v>
      </c>
      <c r="H129" s="36">
        <f>820000000+50000000+65000000+39645600</f>
        <v>974645600</v>
      </c>
      <c r="I129" s="104">
        <f t="shared" si="38"/>
        <v>22406083850</v>
      </c>
      <c r="J129" s="36">
        <v>-39580666</v>
      </c>
      <c r="K129" s="105">
        <v>22406083841</v>
      </c>
      <c r="L129" s="36">
        <v>-39580666</v>
      </c>
      <c r="M129" s="45">
        <v>22406083841</v>
      </c>
      <c r="N129" s="45">
        <v>1564504893</v>
      </c>
      <c r="O129" s="106">
        <v>21166475543</v>
      </c>
      <c r="P129" s="45">
        <v>1566170078</v>
      </c>
      <c r="Q129" s="45">
        <v>21064748200</v>
      </c>
      <c r="R129" s="36">
        <v>0</v>
      </c>
      <c r="S129" s="105">
        <v>1239608298</v>
      </c>
      <c r="T129" s="107">
        <v>101727343</v>
      </c>
    </row>
    <row r="130" spans="1:21" ht="15" customHeight="1" x14ac:dyDescent="0.2">
      <c r="B130" s="111" t="s">
        <v>145</v>
      </c>
      <c r="C130" s="43" t="s">
        <v>146</v>
      </c>
      <c r="D130" s="36">
        <v>8000000000</v>
      </c>
      <c r="E130" s="36">
        <f>223848812+680977393+4000000+7041495</f>
        <v>915867700</v>
      </c>
      <c r="F130" s="36">
        <v>0</v>
      </c>
      <c r="G130" s="36">
        <v>403000000</v>
      </c>
      <c r="H130" s="36">
        <f>160000000+5000000</f>
        <v>165000000</v>
      </c>
      <c r="I130" s="104">
        <f t="shared" si="38"/>
        <v>9153867700</v>
      </c>
      <c r="J130" s="36">
        <v>410365265</v>
      </c>
      <c r="K130" s="105">
        <v>9153867167</v>
      </c>
      <c r="L130" s="36">
        <v>410365265</v>
      </c>
      <c r="M130" s="45">
        <v>9153867167</v>
      </c>
      <c r="N130" s="45">
        <v>462100243</v>
      </c>
      <c r="O130" s="106">
        <v>8967680713</v>
      </c>
      <c r="P130" s="45">
        <v>491467371</v>
      </c>
      <c r="Q130" s="45">
        <v>8931735969</v>
      </c>
      <c r="R130" s="36">
        <v>0</v>
      </c>
      <c r="S130" s="105">
        <v>186186454</v>
      </c>
      <c r="T130" s="107">
        <v>35944744</v>
      </c>
    </row>
    <row r="131" spans="1:21" ht="15" customHeight="1" x14ac:dyDescent="0.2">
      <c r="B131" s="111" t="s">
        <v>147</v>
      </c>
      <c r="C131" s="43" t="s">
        <v>148</v>
      </c>
      <c r="D131" s="36">
        <v>7150000000</v>
      </c>
      <c r="E131" s="36">
        <f>585895781+65686956</f>
        <v>651582737</v>
      </c>
      <c r="F131" s="36">
        <v>0</v>
      </c>
      <c r="G131" s="36">
        <v>26600000</v>
      </c>
      <c r="H131" s="36">
        <f>519000000+58119591+6000000+29000000</f>
        <v>612119591</v>
      </c>
      <c r="I131" s="104">
        <f t="shared" si="38"/>
        <v>7216063146</v>
      </c>
      <c r="J131" s="36">
        <v>23230654</v>
      </c>
      <c r="K131" s="105">
        <v>7215703713</v>
      </c>
      <c r="L131" s="36">
        <v>23230654</v>
      </c>
      <c r="M131" s="45">
        <v>7215703713</v>
      </c>
      <c r="N131" s="45">
        <v>492227519</v>
      </c>
      <c r="O131" s="106">
        <v>6568499634</v>
      </c>
      <c r="P131" s="45">
        <v>654988912</v>
      </c>
      <c r="Q131" s="45">
        <v>6497730784</v>
      </c>
      <c r="R131" s="36">
        <v>0</v>
      </c>
      <c r="S131" s="105">
        <v>647204079</v>
      </c>
      <c r="T131" s="107">
        <v>70768850</v>
      </c>
    </row>
    <row r="132" spans="1:21" ht="15" customHeight="1" x14ac:dyDescent="0.2">
      <c r="B132" s="111" t="s">
        <v>149</v>
      </c>
      <c r="C132" s="43" t="s">
        <v>150</v>
      </c>
      <c r="D132" s="36">
        <v>13089663116</v>
      </c>
      <c r="E132" s="36">
        <f>1496475184+490000000+1520000000+1032927140+263300000</f>
        <v>4802702324</v>
      </c>
      <c r="F132" s="36">
        <v>0</v>
      </c>
      <c r="G132" s="44">
        <f>94000000</f>
        <v>94000000</v>
      </c>
      <c r="H132" s="36">
        <f>560000000+10000000</f>
        <v>570000000</v>
      </c>
      <c r="I132" s="104">
        <f t="shared" si="38"/>
        <v>17416365440</v>
      </c>
      <c r="J132" s="36">
        <v>20000000</v>
      </c>
      <c r="K132" s="105">
        <v>17416340430</v>
      </c>
      <c r="L132" s="36">
        <v>20000000</v>
      </c>
      <c r="M132" s="45">
        <v>17416340430</v>
      </c>
      <c r="N132" s="45">
        <v>1070880282</v>
      </c>
      <c r="O132" s="106">
        <v>15092981032</v>
      </c>
      <c r="P132" s="36">
        <v>2287382459</v>
      </c>
      <c r="Q132" s="36">
        <v>15058137672</v>
      </c>
      <c r="R132" s="36">
        <v>0</v>
      </c>
      <c r="S132" s="105">
        <f>2323359398+2016529</f>
        <v>2325375927</v>
      </c>
      <c r="T132" s="107">
        <v>34843360</v>
      </c>
    </row>
    <row r="133" spans="1:21" ht="15" customHeight="1" x14ac:dyDescent="0.2">
      <c r="B133" s="111" t="s">
        <v>151</v>
      </c>
      <c r="C133" s="43" t="s">
        <v>152</v>
      </c>
      <c r="D133" s="36">
        <v>5350000000</v>
      </c>
      <c r="E133" s="36">
        <f>232432994+341486000+204240000+57275608</f>
        <v>835434602</v>
      </c>
      <c r="F133" s="36">
        <v>0</v>
      </c>
      <c r="G133" s="36">
        <f>400000000+1045600+53000000</f>
        <v>454045600</v>
      </c>
      <c r="H133" s="36">
        <v>0</v>
      </c>
      <c r="I133" s="104">
        <f t="shared" si="38"/>
        <v>6639480202</v>
      </c>
      <c r="J133" s="36">
        <v>131326000</v>
      </c>
      <c r="K133" s="105">
        <v>6639479612</v>
      </c>
      <c r="L133" s="36">
        <v>136526000</v>
      </c>
      <c r="M133" s="45">
        <v>6639479612</v>
      </c>
      <c r="N133" s="45">
        <v>319790862</v>
      </c>
      <c r="O133" s="106">
        <v>6597330815</v>
      </c>
      <c r="P133" s="45">
        <v>342052247</v>
      </c>
      <c r="Q133" s="45">
        <v>6591647901</v>
      </c>
      <c r="R133" s="36">
        <v>0</v>
      </c>
      <c r="S133" s="105">
        <v>42148797</v>
      </c>
      <c r="T133" s="107">
        <v>5682914</v>
      </c>
    </row>
    <row r="134" spans="1:21" ht="15" customHeight="1" x14ac:dyDescent="0.2">
      <c r="B134" s="111" t="s">
        <v>153</v>
      </c>
      <c r="C134" s="43" t="s">
        <v>154</v>
      </c>
      <c r="D134" s="36">
        <v>4581773967</v>
      </c>
      <c r="E134" s="36">
        <f>277486927+105463423+124000000+55040000</f>
        <v>561990350</v>
      </c>
      <c r="F134" s="36">
        <v>0</v>
      </c>
      <c r="G134" s="36">
        <v>60000000</v>
      </c>
      <c r="H134" s="36">
        <f>500000000+100000000+5000000</f>
        <v>605000000</v>
      </c>
      <c r="I134" s="104">
        <f t="shared" si="38"/>
        <v>4598764317</v>
      </c>
      <c r="J134" s="36">
        <v>-73000</v>
      </c>
      <c r="K134" s="105">
        <v>4598687854</v>
      </c>
      <c r="L134" s="36">
        <v>927000</v>
      </c>
      <c r="M134" s="45">
        <v>4598687854</v>
      </c>
      <c r="N134" s="45">
        <v>336767036</v>
      </c>
      <c r="O134" s="106">
        <v>4500438421</v>
      </c>
      <c r="P134" s="45">
        <v>382618209</v>
      </c>
      <c r="Q134" s="45">
        <v>4493436067</v>
      </c>
      <c r="R134" s="36">
        <v>0</v>
      </c>
      <c r="S134" s="105">
        <v>98249433</v>
      </c>
      <c r="T134" s="107">
        <v>7002354</v>
      </c>
    </row>
    <row r="135" spans="1:21" ht="15" customHeight="1" x14ac:dyDescent="0.2">
      <c r="B135" s="111" t="s">
        <v>155</v>
      </c>
      <c r="C135" s="43" t="s">
        <v>156</v>
      </c>
      <c r="D135" s="36">
        <v>800000000</v>
      </c>
      <c r="E135" s="36">
        <f>255983316+250000000+30000000+36433503+15000000</f>
        <v>587416819</v>
      </c>
      <c r="F135" s="36">
        <v>0</v>
      </c>
      <c r="G135" s="36">
        <f>1000000+106000000+12000000</f>
        <v>119000000</v>
      </c>
      <c r="H135" s="36">
        <v>0</v>
      </c>
      <c r="I135" s="104">
        <f t="shared" si="38"/>
        <v>1506416819</v>
      </c>
      <c r="J135" s="36">
        <v>27291000</v>
      </c>
      <c r="K135" s="105">
        <v>1506366816</v>
      </c>
      <c r="L135" s="36">
        <v>27291000</v>
      </c>
      <c r="M135" s="45">
        <v>1506366816</v>
      </c>
      <c r="N135" s="45">
        <v>177158400</v>
      </c>
      <c r="O135" s="106">
        <v>1433262116</v>
      </c>
      <c r="P135" s="45">
        <v>177158400</v>
      </c>
      <c r="Q135" s="45">
        <v>1433262116</v>
      </c>
      <c r="R135" s="36">
        <v>0</v>
      </c>
      <c r="S135" s="105">
        <v>73104700</v>
      </c>
      <c r="T135" s="107">
        <v>0</v>
      </c>
    </row>
    <row r="136" spans="1:21" ht="15" customHeight="1" x14ac:dyDescent="0.2">
      <c r="B136" s="103" t="s">
        <v>157</v>
      </c>
      <c r="C136" s="43" t="s">
        <v>158</v>
      </c>
      <c r="D136" s="36">
        <v>200000000</v>
      </c>
      <c r="E136" s="36">
        <f>25000000+15000000+3000000</f>
        <v>43000000</v>
      </c>
      <c r="F136" s="36">
        <v>0</v>
      </c>
      <c r="G136" s="36">
        <v>20000000</v>
      </c>
      <c r="H136" s="36">
        <v>0</v>
      </c>
      <c r="I136" s="104">
        <f t="shared" si="38"/>
        <v>263000000</v>
      </c>
      <c r="J136" s="36">
        <v>3178900</v>
      </c>
      <c r="K136" s="105">
        <v>262985072</v>
      </c>
      <c r="L136" s="36">
        <v>3178900</v>
      </c>
      <c r="M136" s="45">
        <v>262985072</v>
      </c>
      <c r="N136" s="45">
        <v>122302900</v>
      </c>
      <c r="O136" s="106">
        <v>255515072</v>
      </c>
      <c r="P136" s="45">
        <v>94589500</v>
      </c>
      <c r="Q136" s="45">
        <v>198200672</v>
      </c>
      <c r="R136" s="36">
        <v>0</v>
      </c>
      <c r="S136" s="105">
        <v>7470000</v>
      </c>
      <c r="T136" s="107">
        <v>57314400</v>
      </c>
    </row>
    <row r="137" spans="1:21" s="14" customFormat="1" ht="15" customHeight="1" x14ac:dyDescent="0.25">
      <c r="B137" s="100" t="s">
        <v>371</v>
      </c>
      <c r="C137" s="101" t="s">
        <v>372</v>
      </c>
      <c r="D137" s="35">
        <f>SUM(D138:D138)</f>
        <v>600000000</v>
      </c>
      <c r="E137" s="57">
        <f>+E138</f>
        <v>26148807</v>
      </c>
      <c r="F137" s="57">
        <v>0</v>
      </c>
      <c r="G137" s="35">
        <f t="shared" ref="G137:T137" si="39">SUM(G138:G138)</f>
        <v>5000000</v>
      </c>
      <c r="H137" s="35">
        <f t="shared" si="39"/>
        <v>352600000</v>
      </c>
      <c r="I137" s="38">
        <f t="shared" si="39"/>
        <v>278548807</v>
      </c>
      <c r="J137" s="38">
        <f t="shared" si="39"/>
        <v>5162322</v>
      </c>
      <c r="K137" s="38">
        <f t="shared" si="39"/>
        <v>278509810</v>
      </c>
      <c r="L137" s="38">
        <f t="shared" si="39"/>
        <v>5162322</v>
      </c>
      <c r="M137" s="38">
        <f t="shared" si="39"/>
        <v>278509810</v>
      </c>
      <c r="N137" s="38">
        <f t="shared" si="39"/>
        <v>6068922</v>
      </c>
      <c r="O137" s="99">
        <f t="shared" si="39"/>
        <v>277458398</v>
      </c>
      <c r="P137" s="38">
        <f t="shared" si="39"/>
        <v>8854322</v>
      </c>
      <c r="Q137" s="38">
        <f t="shared" si="39"/>
        <v>277458398</v>
      </c>
      <c r="R137" s="38">
        <f t="shared" si="39"/>
        <v>0</v>
      </c>
      <c r="S137" s="38">
        <f t="shared" si="39"/>
        <v>1051412</v>
      </c>
      <c r="T137" s="40">
        <f t="shared" si="39"/>
        <v>0</v>
      </c>
      <c r="U137" s="93"/>
    </row>
    <row r="138" spans="1:21" ht="15" customHeight="1" x14ac:dyDescent="0.2">
      <c r="B138" s="103" t="s">
        <v>373</v>
      </c>
      <c r="C138" s="58" t="s">
        <v>374</v>
      </c>
      <c r="D138" s="36">
        <v>600000000</v>
      </c>
      <c r="E138" s="54">
        <v>26148807</v>
      </c>
      <c r="F138" s="54">
        <v>0</v>
      </c>
      <c r="G138" s="54">
        <v>5000000</v>
      </c>
      <c r="H138" s="36">
        <f>350000000+2600000</f>
        <v>352600000</v>
      </c>
      <c r="I138" s="104">
        <f>+D138+E138-F138+G138-H138</f>
        <v>278548807</v>
      </c>
      <c r="J138" s="36">
        <v>5162322</v>
      </c>
      <c r="K138" s="105">
        <v>278509810</v>
      </c>
      <c r="L138" s="36">
        <v>5162322</v>
      </c>
      <c r="M138" s="45">
        <v>278509810</v>
      </c>
      <c r="N138" s="45">
        <v>6068922</v>
      </c>
      <c r="O138" s="106">
        <v>277458398</v>
      </c>
      <c r="P138" s="45">
        <v>8854322</v>
      </c>
      <c r="Q138" s="45">
        <v>277458398</v>
      </c>
      <c r="R138" s="36">
        <v>0</v>
      </c>
      <c r="S138" s="105">
        <v>1051412</v>
      </c>
      <c r="T138" s="107">
        <v>0</v>
      </c>
    </row>
    <row r="139" spans="1:21" s="14" customFormat="1" ht="15" customHeight="1" x14ac:dyDescent="0.25">
      <c r="B139" s="98" t="s">
        <v>169</v>
      </c>
      <c r="C139" s="34" t="s">
        <v>170</v>
      </c>
      <c r="D139" s="35">
        <f>SUM(D140:D151)</f>
        <v>4890296799</v>
      </c>
      <c r="E139" s="35">
        <f>SUM(E140:E151)</f>
        <v>1579307433</v>
      </c>
      <c r="F139" s="59">
        <v>0</v>
      </c>
      <c r="G139" s="35">
        <f t="shared" ref="G139:T139" si="40">SUM(G140:G151)</f>
        <v>656000000</v>
      </c>
      <c r="H139" s="35">
        <f t="shared" si="40"/>
        <v>635790000</v>
      </c>
      <c r="I139" s="38">
        <f t="shared" si="40"/>
        <v>6489814232</v>
      </c>
      <c r="J139" s="38">
        <f t="shared" si="40"/>
        <v>180706253</v>
      </c>
      <c r="K139" s="48">
        <f t="shared" si="40"/>
        <v>6412368448</v>
      </c>
      <c r="L139" s="48">
        <f t="shared" si="40"/>
        <v>195100996</v>
      </c>
      <c r="M139" s="48">
        <f t="shared" si="40"/>
        <v>6414393448</v>
      </c>
      <c r="N139" s="48">
        <f t="shared" si="40"/>
        <v>381404830</v>
      </c>
      <c r="O139" s="108">
        <f t="shared" si="40"/>
        <v>6060273654</v>
      </c>
      <c r="P139" s="48">
        <f t="shared" si="40"/>
        <v>374740247</v>
      </c>
      <c r="Q139" s="48">
        <f t="shared" si="40"/>
        <v>5946075368</v>
      </c>
      <c r="R139" s="48">
        <f t="shared" si="40"/>
        <v>0</v>
      </c>
      <c r="S139" s="38">
        <f t="shared" si="40"/>
        <v>352166594</v>
      </c>
      <c r="T139" s="40">
        <f t="shared" si="40"/>
        <v>114198286</v>
      </c>
      <c r="U139" s="93"/>
    </row>
    <row r="140" spans="1:21" s="12" customFormat="1" ht="15" customHeight="1" x14ac:dyDescent="0.2">
      <c r="A140" s="60"/>
      <c r="B140" s="111" t="s">
        <v>171</v>
      </c>
      <c r="C140" s="43" t="s">
        <v>140</v>
      </c>
      <c r="D140" s="36">
        <v>600000000</v>
      </c>
      <c r="E140" s="36">
        <f>5200000+8000000+50021823</f>
        <v>63221823</v>
      </c>
      <c r="F140" s="36">
        <v>0</v>
      </c>
      <c r="G140" s="36">
        <f>10000000+32500000+10000000</f>
        <v>52500000</v>
      </c>
      <c r="H140" s="36">
        <v>1200000</v>
      </c>
      <c r="I140" s="104">
        <f t="shared" ref="I140:I151" si="41">+D140+E140-F140+G140-H140</f>
        <v>714521823</v>
      </c>
      <c r="J140" s="36">
        <v>4699939</v>
      </c>
      <c r="K140" s="105">
        <v>714469518</v>
      </c>
      <c r="L140" s="36">
        <v>4699939</v>
      </c>
      <c r="M140" s="45">
        <v>714469518</v>
      </c>
      <c r="N140" s="45">
        <v>35692262</v>
      </c>
      <c r="O140" s="106">
        <v>671849974</v>
      </c>
      <c r="P140" s="45">
        <v>34774051</v>
      </c>
      <c r="Q140" s="45">
        <v>665045740</v>
      </c>
      <c r="R140" s="36">
        <v>0</v>
      </c>
      <c r="S140" s="105">
        <v>42619544</v>
      </c>
      <c r="T140" s="107">
        <v>6804234</v>
      </c>
      <c r="U140" s="85"/>
    </row>
    <row r="141" spans="1:21" s="12" customFormat="1" ht="15" customHeight="1" x14ac:dyDescent="0.2">
      <c r="A141" s="60"/>
      <c r="B141" s="111" t="s">
        <v>172</v>
      </c>
      <c r="C141" s="43" t="s">
        <v>142</v>
      </c>
      <c r="D141" s="36">
        <v>1300000000</v>
      </c>
      <c r="E141" s="36">
        <f>427000000+73000000+91600000</f>
        <v>591600000</v>
      </c>
      <c r="F141" s="36">
        <v>0</v>
      </c>
      <c r="G141" s="36">
        <f>119000000+148500000+19000000</f>
        <v>286500000</v>
      </c>
      <c r="H141" s="36">
        <v>1700000</v>
      </c>
      <c r="I141" s="104">
        <f t="shared" si="41"/>
        <v>2176400000</v>
      </c>
      <c r="J141" s="36">
        <v>-599240</v>
      </c>
      <c r="K141" s="105">
        <v>2176187183</v>
      </c>
      <c r="L141" s="36">
        <v>1480760</v>
      </c>
      <c r="M141" s="45">
        <v>2176187183</v>
      </c>
      <c r="N141" s="45">
        <v>40023453</v>
      </c>
      <c r="O141" s="106">
        <v>2076536082</v>
      </c>
      <c r="P141" s="45">
        <v>53256380</v>
      </c>
      <c r="Q141" s="45">
        <v>2074495986</v>
      </c>
      <c r="R141" s="36">
        <v>0</v>
      </c>
      <c r="S141" s="105">
        <v>99651101</v>
      </c>
      <c r="T141" s="107">
        <v>2040096</v>
      </c>
      <c r="U141" s="85"/>
    </row>
    <row r="142" spans="1:21" s="12" customFormat="1" ht="15" customHeight="1" x14ac:dyDescent="0.2">
      <c r="A142" s="60"/>
      <c r="B142" s="111" t="s">
        <v>173</v>
      </c>
      <c r="C142" s="43" t="s">
        <v>144</v>
      </c>
      <c r="D142" s="36">
        <v>700000000</v>
      </c>
      <c r="E142" s="36">
        <f>42000000+5000000+81000000+27500000</f>
        <v>155500000</v>
      </c>
      <c r="F142" s="36">
        <v>0</v>
      </c>
      <c r="G142" s="36">
        <f>26800000+20000000</f>
        <v>46800000</v>
      </c>
      <c r="H142" s="36">
        <f>13000000+20000000+3300000</f>
        <v>36300000</v>
      </c>
      <c r="I142" s="104">
        <f t="shared" si="41"/>
        <v>866000000</v>
      </c>
      <c r="J142" s="36">
        <v>16759229</v>
      </c>
      <c r="K142" s="105">
        <v>865929020</v>
      </c>
      <c r="L142" s="36">
        <v>16759229</v>
      </c>
      <c r="M142" s="45">
        <v>865929020</v>
      </c>
      <c r="N142" s="45">
        <v>38455718</v>
      </c>
      <c r="O142" s="106">
        <v>767370533</v>
      </c>
      <c r="P142" s="45">
        <v>38494590</v>
      </c>
      <c r="Q142" s="45">
        <v>767370533</v>
      </c>
      <c r="R142" s="36">
        <v>0</v>
      </c>
      <c r="S142" s="105">
        <v>98558487</v>
      </c>
      <c r="T142" s="107">
        <v>0</v>
      </c>
      <c r="U142" s="85"/>
    </row>
    <row r="143" spans="1:21" s="12" customFormat="1" ht="15" customHeight="1" x14ac:dyDescent="0.2">
      <c r="A143" s="60"/>
      <c r="B143" s="111" t="s">
        <v>174</v>
      </c>
      <c r="C143" s="43" t="s">
        <v>146</v>
      </c>
      <c r="D143" s="36">
        <v>300000000</v>
      </c>
      <c r="E143" s="36">
        <v>33347341</v>
      </c>
      <c r="F143" s="36">
        <v>0</v>
      </c>
      <c r="G143" s="36">
        <v>74000000</v>
      </c>
      <c r="H143" s="36">
        <f>26000000+10000000+30000000</f>
        <v>66000000</v>
      </c>
      <c r="I143" s="104">
        <f t="shared" si="41"/>
        <v>341347341</v>
      </c>
      <c r="J143" s="36">
        <v>13906940</v>
      </c>
      <c r="K143" s="105">
        <v>341347144</v>
      </c>
      <c r="L143" s="36">
        <v>13906940</v>
      </c>
      <c r="M143" s="45">
        <v>341347144</v>
      </c>
      <c r="N143" s="45">
        <v>24925400</v>
      </c>
      <c r="O143" s="106">
        <v>327618086</v>
      </c>
      <c r="P143" s="45">
        <v>20569535</v>
      </c>
      <c r="Q143" s="45">
        <v>321220637</v>
      </c>
      <c r="R143" s="36">
        <v>0</v>
      </c>
      <c r="S143" s="105">
        <v>13729058</v>
      </c>
      <c r="T143" s="107">
        <v>6397449</v>
      </c>
      <c r="U143" s="85"/>
    </row>
    <row r="144" spans="1:21" s="12" customFormat="1" ht="15" customHeight="1" x14ac:dyDescent="0.2">
      <c r="A144" s="60"/>
      <c r="B144" s="111" t="s">
        <v>175</v>
      </c>
      <c r="C144" s="43" t="s">
        <v>148</v>
      </c>
      <c r="D144" s="36">
        <v>200000000</v>
      </c>
      <c r="E144" s="36">
        <f>2000000+13000000+37465625</f>
        <v>52465625</v>
      </c>
      <c r="F144" s="36">
        <v>0</v>
      </c>
      <c r="G144" s="36">
        <f>47000000+31000000+19000000</f>
        <v>97000000</v>
      </c>
      <c r="H144" s="36">
        <v>4700000</v>
      </c>
      <c r="I144" s="104">
        <f t="shared" si="41"/>
        <v>344765625</v>
      </c>
      <c r="J144" s="36">
        <v>134023</v>
      </c>
      <c r="K144" s="105">
        <v>343448067</v>
      </c>
      <c r="L144" s="36">
        <v>223766</v>
      </c>
      <c r="M144" s="45">
        <v>343448067</v>
      </c>
      <c r="N144" s="45">
        <v>12915125</v>
      </c>
      <c r="O144" s="106">
        <v>297414866</v>
      </c>
      <c r="P144" s="45">
        <v>22228735</v>
      </c>
      <c r="Q144" s="45">
        <v>294188081</v>
      </c>
      <c r="R144" s="36">
        <v>0</v>
      </c>
      <c r="S144" s="105">
        <v>46033201</v>
      </c>
      <c r="T144" s="107">
        <v>3226785</v>
      </c>
      <c r="U144" s="85"/>
    </row>
    <row r="145" spans="1:21" s="12" customFormat="1" ht="15" customHeight="1" x14ac:dyDescent="0.2">
      <c r="A145" s="60"/>
      <c r="B145" s="111" t="s">
        <v>176</v>
      </c>
      <c r="C145" s="43" t="s">
        <v>150</v>
      </c>
      <c r="D145" s="36">
        <v>753831799</v>
      </c>
      <c r="E145" s="36">
        <f>7000000+162000000+50251868+53200000</f>
        <v>272451868</v>
      </c>
      <c r="F145" s="36">
        <v>0</v>
      </c>
      <c r="G145" s="36">
        <v>10000000</v>
      </c>
      <c r="H145" s="36">
        <f>120000000+58000000+5600000</f>
        <v>183600000</v>
      </c>
      <c r="I145" s="104">
        <f t="shared" si="41"/>
        <v>852683667</v>
      </c>
      <c r="J145" s="36">
        <v>0</v>
      </c>
      <c r="K145" s="105">
        <v>852671983</v>
      </c>
      <c r="L145" s="36">
        <v>0</v>
      </c>
      <c r="M145" s="45">
        <v>852671983</v>
      </c>
      <c r="N145" s="45">
        <v>64433025</v>
      </c>
      <c r="O145" s="106">
        <v>812176534</v>
      </c>
      <c r="P145" s="45">
        <v>65115743</v>
      </c>
      <c r="Q145" s="45">
        <v>812150884</v>
      </c>
      <c r="R145" s="36">
        <v>0</v>
      </c>
      <c r="S145" s="105">
        <v>40495449</v>
      </c>
      <c r="T145" s="107">
        <v>25650</v>
      </c>
      <c r="U145" s="85"/>
    </row>
    <row r="146" spans="1:21" s="12" customFormat="1" ht="15" customHeight="1" x14ac:dyDescent="0.2">
      <c r="A146" s="60"/>
      <c r="B146" s="111" t="s">
        <v>177</v>
      </c>
      <c r="C146" s="43" t="s">
        <v>152</v>
      </c>
      <c r="D146" s="36">
        <v>170000000</v>
      </c>
      <c r="E146" s="36">
        <v>0</v>
      </c>
      <c r="F146" s="36">
        <v>0</v>
      </c>
      <c r="G146" s="36">
        <v>0</v>
      </c>
      <c r="H146" s="36">
        <f>10000000+33000000</f>
        <v>43000000</v>
      </c>
      <c r="I146" s="104">
        <f t="shared" si="41"/>
        <v>127000000</v>
      </c>
      <c r="J146" s="36">
        <v>0</v>
      </c>
      <c r="K146" s="105">
        <v>125221594</v>
      </c>
      <c r="L146" s="36">
        <v>0</v>
      </c>
      <c r="M146" s="45">
        <v>125221594</v>
      </c>
      <c r="N146" s="45">
        <v>2583973</v>
      </c>
      <c r="O146" s="106">
        <v>123687985</v>
      </c>
      <c r="P146" s="45">
        <v>2583973</v>
      </c>
      <c r="Q146" s="45">
        <v>123039496</v>
      </c>
      <c r="R146" s="36">
        <v>0</v>
      </c>
      <c r="S146" s="105">
        <v>1533609</v>
      </c>
      <c r="T146" s="107">
        <v>648489</v>
      </c>
      <c r="U146" s="85"/>
    </row>
    <row r="147" spans="1:21" s="12" customFormat="1" ht="15" customHeight="1" x14ac:dyDescent="0.2">
      <c r="A147" s="60"/>
      <c r="B147" s="111" t="s">
        <v>178</v>
      </c>
      <c r="C147" s="43" t="s">
        <v>154</v>
      </c>
      <c r="D147" s="36">
        <v>150000000</v>
      </c>
      <c r="E147" s="36">
        <v>200000</v>
      </c>
      <c r="F147" s="36">
        <v>0</v>
      </c>
      <c r="G147" s="36">
        <f>2200000+7000000</f>
        <v>9200000</v>
      </c>
      <c r="H147" s="36">
        <f>20000000+8400000</f>
        <v>28400000</v>
      </c>
      <c r="I147" s="104">
        <f t="shared" si="41"/>
        <v>131000000</v>
      </c>
      <c r="J147" s="36">
        <v>0</v>
      </c>
      <c r="K147" s="105">
        <v>130930419</v>
      </c>
      <c r="L147" s="36">
        <f>10200000+2025000</f>
        <v>12225000</v>
      </c>
      <c r="M147" s="45">
        <f>130930419+2025000</f>
        <v>132955419</v>
      </c>
      <c r="N147" s="45">
        <v>4500000</v>
      </c>
      <c r="O147" s="106">
        <v>127900194</v>
      </c>
      <c r="P147" s="45">
        <v>4749461</v>
      </c>
      <c r="Q147" s="45">
        <v>127804769</v>
      </c>
      <c r="R147" s="36">
        <v>0</v>
      </c>
      <c r="S147" s="105">
        <v>3030225</v>
      </c>
      <c r="T147" s="107">
        <v>95425</v>
      </c>
      <c r="U147" s="85"/>
    </row>
    <row r="148" spans="1:21" s="12" customFormat="1" ht="15" customHeight="1" x14ac:dyDescent="0.2">
      <c r="A148" s="60"/>
      <c r="B148" s="111" t="s">
        <v>179</v>
      </c>
      <c r="C148" s="43" t="s">
        <v>180</v>
      </c>
      <c r="D148" s="36">
        <v>1000000</v>
      </c>
      <c r="E148" s="36">
        <v>0</v>
      </c>
      <c r="F148" s="36">
        <v>0</v>
      </c>
      <c r="G148" s="112">
        <v>0</v>
      </c>
      <c r="H148" s="36">
        <v>890000</v>
      </c>
      <c r="I148" s="104">
        <f t="shared" si="41"/>
        <v>110000</v>
      </c>
      <c r="J148" s="36">
        <v>0</v>
      </c>
      <c r="K148" s="105">
        <v>106000</v>
      </c>
      <c r="L148" s="36"/>
      <c r="M148" s="45">
        <v>106000</v>
      </c>
      <c r="N148" s="36">
        <v>0</v>
      </c>
      <c r="O148" s="106">
        <v>106000</v>
      </c>
      <c r="P148" s="45">
        <v>0</v>
      </c>
      <c r="Q148" s="45">
        <v>106000</v>
      </c>
      <c r="R148" s="36">
        <v>0</v>
      </c>
      <c r="S148" s="105">
        <v>0</v>
      </c>
      <c r="T148" s="107">
        <v>0</v>
      </c>
      <c r="U148" s="85"/>
    </row>
    <row r="149" spans="1:21" s="12" customFormat="1" ht="15" customHeight="1" x14ac:dyDescent="0.2">
      <c r="A149" s="60"/>
      <c r="B149" s="111" t="s">
        <v>181</v>
      </c>
      <c r="C149" s="43" t="s">
        <v>182</v>
      </c>
      <c r="D149" s="36">
        <v>288165000</v>
      </c>
      <c r="E149" s="36">
        <f>10000000+40000000+20000000+25520776+20000000</f>
        <v>115520776</v>
      </c>
      <c r="F149" s="36">
        <v>0</v>
      </c>
      <c r="G149" s="36">
        <v>30000000</v>
      </c>
      <c r="H149" s="36">
        <f>100000000+20000000</f>
        <v>120000000</v>
      </c>
      <c r="I149" s="104">
        <f t="shared" si="41"/>
        <v>313685776</v>
      </c>
      <c r="J149" s="36">
        <v>40739434</v>
      </c>
      <c r="K149" s="105">
        <v>306462857</v>
      </c>
      <c r="L149" s="36">
        <v>40739434</v>
      </c>
      <c r="M149" s="45">
        <v>306462857</v>
      </c>
      <c r="N149" s="45">
        <v>51641211</v>
      </c>
      <c r="O149" s="106">
        <v>306534657</v>
      </c>
      <c r="P149" s="45">
        <v>35224475</v>
      </c>
      <c r="Q149" s="45">
        <v>266794903</v>
      </c>
      <c r="R149" s="36">
        <v>0</v>
      </c>
      <c r="S149" s="105">
        <v>0</v>
      </c>
      <c r="T149" s="107">
        <v>39739754</v>
      </c>
      <c r="U149" s="85"/>
    </row>
    <row r="150" spans="1:21" s="12" customFormat="1" ht="15" customHeight="1" x14ac:dyDescent="0.2">
      <c r="A150" s="60"/>
      <c r="B150" s="111" t="s">
        <v>183</v>
      </c>
      <c r="C150" s="43" t="s">
        <v>184</v>
      </c>
      <c r="D150" s="36">
        <v>426300000</v>
      </c>
      <c r="E150" s="36">
        <f>15000000+50000000+60000000+60000000+110000000</f>
        <v>295000000</v>
      </c>
      <c r="F150" s="36">
        <v>0</v>
      </c>
      <c r="G150" s="36">
        <f>30000000+20000000</f>
        <v>50000000</v>
      </c>
      <c r="H150" s="36">
        <f>100000000+50000000</f>
        <v>150000000</v>
      </c>
      <c r="I150" s="104">
        <f t="shared" si="41"/>
        <v>621300000</v>
      </c>
      <c r="J150" s="36">
        <v>105065928</v>
      </c>
      <c r="K150" s="105">
        <v>554694663</v>
      </c>
      <c r="L150" s="36">
        <v>105065928</v>
      </c>
      <c r="M150" s="45">
        <v>554694663</v>
      </c>
      <c r="N150" s="45">
        <v>106234663</v>
      </c>
      <c r="O150" s="106">
        <v>549078743</v>
      </c>
      <c r="P150" s="45">
        <v>97743304</v>
      </c>
      <c r="Q150" s="45">
        <v>493858339</v>
      </c>
      <c r="R150" s="36">
        <v>0</v>
      </c>
      <c r="S150" s="105">
        <v>5615920</v>
      </c>
      <c r="T150" s="107">
        <v>55220404</v>
      </c>
      <c r="U150" s="85"/>
    </row>
    <row r="151" spans="1:21" s="12" customFormat="1" ht="15" customHeight="1" x14ac:dyDescent="0.2">
      <c r="A151" s="60"/>
      <c r="B151" s="111" t="s">
        <v>185</v>
      </c>
      <c r="C151" s="43" t="s">
        <v>158</v>
      </c>
      <c r="D151" s="36">
        <v>1000000</v>
      </c>
      <c r="E151" s="36">
        <v>0</v>
      </c>
      <c r="F151" s="36">
        <v>0</v>
      </c>
      <c r="G151" s="36">
        <v>0</v>
      </c>
      <c r="H151" s="36">
        <v>0</v>
      </c>
      <c r="I151" s="104">
        <f t="shared" si="41"/>
        <v>1000000</v>
      </c>
      <c r="J151" s="36">
        <v>0</v>
      </c>
      <c r="K151" s="105">
        <v>900000</v>
      </c>
      <c r="L151" s="36">
        <v>0</v>
      </c>
      <c r="M151" s="45">
        <v>900000</v>
      </c>
      <c r="N151" s="45">
        <v>0</v>
      </c>
      <c r="O151" s="106">
        <v>0</v>
      </c>
      <c r="P151" s="45">
        <v>0</v>
      </c>
      <c r="Q151" s="45">
        <v>0</v>
      </c>
      <c r="R151" s="36">
        <v>0</v>
      </c>
      <c r="S151" s="105">
        <v>900000</v>
      </c>
      <c r="T151" s="107">
        <v>0</v>
      </c>
      <c r="U151" s="85"/>
    </row>
    <row r="152" spans="1:21" s="113" customFormat="1" ht="10.5" x14ac:dyDescent="0.25">
      <c r="B152" s="114" t="s">
        <v>375</v>
      </c>
      <c r="C152" s="115" t="s">
        <v>376</v>
      </c>
      <c r="D152" s="116">
        <f>SUM(D153:D154)</f>
        <v>8081773967</v>
      </c>
      <c r="E152" s="116">
        <f>SUM(E153:E154)</f>
        <v>3167621054</v>
      </c>
      <c r="F152" s="116">
        <f t="shared" ref="F152:S152" si="42">SUM(F153:F154)</f>
        <v>0</v>
      </c>
      <c r="G152" s="116">
        <f t="shared" si="42"/>
        <v>339409591</v>
      </c>
      <c r="H152" s="116">
        <f t="shared" si="42"/>
        <v>586000000</v>
      </c>
      <c r="I152" s="116">
        <f t="shared" si="42"/>
        <v>11002804612</v>
      </c>
      <c r="J152" s="116">
        <f t="shared" si="42"/>
        <v>128118442</v>
      </c>
      <c r="K152" s="108">
        <f>+K153+K154</f>
        <v>11002734123</v>
      </c>
      <c r="L152" s="116">
        <f>SUM(L153:L154)</f>
        <v>128118442</v>
      </c>
      <c r="M152" s="116">
        <f t="shared" si="42"/>
        <v>11002734123</v>
      </c>
      <c r="N152" s="116">
        <f t="shared" si="42"/>
        <v>128261622</v>
      </c>
      <c r="O152" s="116">
        <f t="shared" si="42"/>
        <v>11002670794</v>
      </c>
      <c r="P152" s="116">
        <f t="shared" si="42"/>
        <v>327264878</v>
      </c>
      <c r="Q152" s="116">
        <f t="shared" si="42"/>
        <v>10927857172</v>
      </c>
      <c r="R152" s="116">
        <f t="shared" si="42"/>
        <v>0</v>
      </c>
      <c r="S152" s="116">
        <f t="shared" si="42"/>
        <v>0</v>
      </c>
      <c r="T152" s="117">
        <f>SUM(T153:T154)</f>
        <v>74813622</v>
      </c>
      <c r="U152" s="118"/>
    </row>
    <row r="153" spans="1:21" s="12" customFormat="1" ht="10.5" x14ac:dyDescent="0.2">
      <c r="B153" s="103" t="s">
        <v>377</v>
      </c>
      <c r="C153" s="58" t="s">
        <v>378</v>
      </c>
      <c r="D153" s="36">
        <v>7681773967</v>
      </c>
      <c r="E153" s="36">
        <f>943027399+1200000000+40000000+487239209+74817451</f>
        <v>2745084059</v>
      </c>
      <c r="F153" s="36">
        <v>0</v>
      </c>
      <c r="G153" s="36">
        <f>5000000+183000000+53090000</f>
        <v>241090000</v>
      </c>
      <c r="H153" s="36">
        <v>403000000</v>
      </c>
      <c r="I153" s="104">
        <f>+D153+E153-F153+G153-H153</f>
        <v>10264948026</v>
      </c>
      <c r="J153" s="36">
        <v>128118442</v>
      </c>
      <c r="K153" s="105">
        <v>10264943936</v>
      </c>
      <c r="L153" s="36">
        <v>128118442</v>
      </c>
      <c r="M153" s="45">
        <v>10264943936</v>
      </c>
      <c r="N153" s="45">
        <v>128261622</v>
      </c>
      <c r="O153" s="106">
        <v>10264943936</v>
      </c>
      <c r="P153" s="45">
        <v>327024878</v>
      </c>
      <c r="Q153" s="45">
        <v>10190130314</v>
      </c>
      <c r="R153" s="36">
        <v>0</v>
      </c>
      <c r="S153" s="105">
        <v>0</v>
      </c>
      <c r="T153" s="107">
        <v>74813622</v>
      </c>
      <c r="U153" s="85"/>
    </row>
    <row r="154" spans="1:21" s="12" customFormat="1" ht="11" thickBot="1" x14ac:dyDescent="0.25">
      <c r="B154" s="119" t="s">
        <v>379</v>
      </c>
      <c r="C154" s="120" t="s">
        <v>380</v>
      </c>
      <c r="D154" s="68">
        <v>400000000</v>
      </c>
      <c r="E154" s="68">
        <f>26680409+150000000+80000000+165856586</f>
        <v>422536995</v>
      </c>
      <c r="F154" s="68">
        <v>0</v>
      </c>
      <c r="G154" s="68">
        <v>98319591</v>
      </c>
      <c r="H154" s="68">
        <v>183000000</v>
      </c>
      <c r="I154" s="121">
        <f>+D154+E154-F154+G154-H154</f>
        <v>737856586</v>
      </c>
      <c r="J154" s="68">
        <v>0</v>
      </c>
      <c r="K154" s="68">
        <v>737790187</v>
      </c>
      <c r="L154" s="68">
        <v>0</v>
      </c>
      <c r="M154" s="70">
        <v>737790187</v>
      </c>
      <c r="N154" s="70">
        <v>0</v>
      </c>
      <c r="O154" s="122">
        <v>737726858</v>
      </c>
      <c r="P154" s="70">
        <v>240000</v>
      </c>
      <c r="Q154" s="70">
        <v>737726858</v>
      </c>
      <c r="R154" s="68">
        <v>0</v>
      </c>
      <c r="S154" s="123">
        <v>0</v>
      </c>
      <c r="T154" s="124">
        <v>0</v>
      </c>
      <c r="U154" s="85"/>
    </row>
    <row r="155" spans="1:21" s="60" customFormat="1" x14ac:dyDescent="0.2">
      <c r="B155" s="125"/>
      <c r="C155" s="1"/>
      <c r="D155" s="72"/>
      <c r="E155" s="72"/>
      <c r="F155" s="72"/>
      <c r="G155" s="72"/>
      <c r="H155" s="72"/>
      <c r="I155" s="73"/>
      <c r="J155" s="73"/>
      <c r="K155" s="74"/>
      <c r="L155" s="73"/>
      <c r="M155" s="74"/>
      <c r="N155" s="74"/>
      <c r="O155" s="126"/>
      <c r="P155" s="74"/>
      <c r="Q155" s="74"/>
      <c r="S155" s="74"/>
      <c r="T155" s="74"/>
      <c r="U155" s="75"/>
    </row>
    <row r="156" spans="1:21" s="60" customFormat="1" x14ac:dyDescent="0.2">
      <c r="B156" s="125"/>
      <c r="C156" s="1"/>
      <c r="D156" s="72"/>
      <c r="E156" s="72"/>
      <c r="F156" s="72"/>
      <c r="G156" s="72"/>
      <c r="H156" s="72"/>
      <c r="I156" s="73"/>
      <c r="J156" s="73"/>
      <c r="K156" s="47"/>
      <c r="L156" s="73"/>
      <c r="M156" s="74"/>
      <c r="N156" s="74"/>
      <c r="O156" s="126"/>
      <c r="P156" s="74"/>
      <c r="Q156" s="74"/>
      <c r="S156" s="74"/>
      <c r="T156" s="127"/>
      <c r="U156" s="75"/>
    </row>
    <row r="157" spans="1:21" s="60" customFormat="1" x14ac:dyDescent="0.2">
      <c r="B157" s="125"/>
      <c r="C157" s="1"/>
      <c r="D157" s="72"/>
      <c r="E157" s="72"/>
      <c r="F157" s="72"/>
      <c r="G157" s="72"/>
      <c r="H157" s="72"/>
      <c r="I157" s="73"/>
      <c r="J157" s="73"/>
      <c r="K157" s="47"/>
      <c r="L157" s="73"/>
      <c r="M157" s="74"/>
      <c r="N157" s="74"/>
      <c r="O157" s="126"/>
      <c r="P157" s="74"/>
      <c r="Q157" s="74"/>
      <c r="S157" s="74"/>
      <c r="T157" s="74"/>
      <c r="U157" s="75"/>
    </row>
    <row r="158" spans="1:21" s="78" customFormat="1" ht="15" customHeight="1" x14ac:dyDescent="0.25">
      <c r="B158" s="128"/>
      <c r="C158" s="79" t="s">
        <v>381</v>
      </c>
      <c r="D158" s="80"/>
      <c r="E158" s="80"/>
      <c r="F158" s="80"/>
      <c r="G158" s="539" t="s">
        <v>382</v>
      </c>
      <c r="H158" s="539"/>
      <c r="I158" s="539"/>
      <c r="J158" s="539"/>
      <c r="K158" s="539"/>
      <c r="L158" s="539"/>
      <c r="M158" s="80"/>
      <c r="N158" s="540" t="s">
        <v>189</v>
      </c>
      <c r="O158" s="540"/>
      <c r="P158" s="540"/>
      <c r="Q158" s="540"/>
      <c r="U158" s="85"/>
    </row>
    <row r="159" spans="1:21" s="78" customFormat="1" ht="15" customHeight="1" x14ac:dyDescent="0.2">
      <c r="B159" s="128"/>
      <c r="C159" s="81" t="s">
        <v>383</v>
      </c>
      <c r="D159" s="72"/>
      <c r="E159" s="514" t="s">
        <v>384</v>
      </c>
      <c r="F159" s="514"/>
      <c r="G159" s="514"/>
      <c r="H159" s="514"/>
      <c r="I159" s="514"/>
      <c r="J159" s="514"/>
      <c r="K159" s="514"/>
      <c r="L159" s="514"/>
      <c r="M159" s="514"/>
      <c r="N159" s="514" t="s">
        <v>192</v>
      </c>
      <c r="O159" s="514"/>
      <c r="P159" s="514"/>
      <c r="Q159" s="514"/>
      <c r="U159" s="85"/>
    </row>
    <row r="160" spans="1:21" s="12" customFormat="1" x14ac:dyDescent="0.2">
      <c r="B160" s="125"/>
      <c r="C160" s="1"/>
      <c r="D160" s="72"/>
      <c r="E160" s="72"/>
      <c r="F160" s="72"/>
      <c r="G160" s="72"/>
      <c r="H160" s="72"/>
      <c r="I160" s="73"/>
      <c r="J160" s="73"/>
      <c r="K160" s="74"/>
      <c r="L160" s="73"/>
      <c r="M160" s="74"/>
      <c r="N160" s="74"/>
      <c r="O160" s="126"/>
      <c r="P160" s="74"/>
      <c r="Q160" s="74"/>
      <c r="U160" s="85"/>
    </row>
    <row r="161" spans="2:21" s="12" customFormat="1" x14ac:dyDescent="0.2">
      <c r="B161" s="125"/>
      <c r="C161" s="1"/>
      <c r="D161" s="72"/>
      <c r="E161" s="72"/>
      <c r="F161" s="72"/>
      <c r="G161" s="72"/>
      <c r="H161" s="72"/>
      <c r="I161" s="73"/>
      <c r="J161" s="73"/>
      <c r="K161" s="129"/>
      <c r="L161" s="73"/>
      <c r="M161" s="72"/>
      <c r="N161" s="72"/>
      <c r="O161" s="130"/>
      <c r="P161" s="72"/>
      <c r="Q161" s="84"/>
      <c r="U161" s="85"/>
    </row>
    <row r="162" spans="2:21" s="12" customFormat="1" x14ac:dyDescent="0.2">
      <c r="B162" s="125"/>
      <c r="C162" s="1"/>
      <c r="D162" s="72"/>
      <c r="E162" s="72"/>
      <c r="F162" s="72"/>
      <c r="G162" s="72"/>
      <c r="H162" s="72"/>
      <c r="I162" s="73"/>
      <c r="J162" s="73"/>
      <c r="K162" s="72"/>
      <c r="L162" s="73"/>
      <c r="M162" s="72"/>
      <c r="N162" s="72"/>
      <c r="O162" s="130"/>
      <c r="P162" s="72"/>
      <c r="Q162" s="84"/>
      <c r="U162" s="85"/>
    </row>
    <row r="163" spans="2:21" s="72" customFormat="1" x14ac:dyDescent="0.2">
      <c r="B163" s="125"/>
      <c r="C163" s="1"/>
      <c r="I163" s="73"/>
      <c r="J163" s="73"/>
      <c r="L163" s="73"/>
      <c r="O163" s="130"/>
      <c r="Q163" s="84"/>
      <c r="R163" s="12"/>
      <c r="S163" s="12"/>
      <c r="U163" s="85"/>
    </row>
    <row r="164" spans="2:21" s="72" customFormat="1" x14ac:dyDescent="0.2">
      <c r="B164" s="125"/>
      <c r="C164" s="1"/>
      <c r="I164" s="73"/>
      <c r="J164" s="73"/>
      <c r="L164" s="73"/>
      <c r="O164" s="130"/>
      <c r="Q164" s="84"/>
      <c r="R164" s="12"/>
      <c r="S164" s="12"/>
      <c r="U164" s="85"/>
    </row>
    <row r="165" spans="2:21" s="72" customFormat="1" x14ac:dyDescent="0.2">
      <c r="B165" s="125"/>
      <c r="C165" s="1"/>
      <c r="I165" s="73"/>
      <c r="J165" s="73"/>
      <c r="L165" s="73"/>
      <c r="O165" s="130"/>
      <c r="Q165" s="84"/>
      <c r="R165" s="12"/>
      <c r="S165" s="12"/>
      <c r="U165" s="85"/>
    </row>
    <row r="166" spans="2:21" s="72" customFormat="1" x14ac:dyDescent="0.2">
      <c r="B166" s="125"/>
      <c r="C166" s="1"/>
      <c r="I166" s="73"/>
      <c r="J166" s="73"/>
      <c r="L166" s="73"/>
      <c r="O166" s="130"/>
      <c r="Q166" s="84"/>
      <c r="R166" s="12"/>
      <c r="S166" s="12"/>
      <c r="U166" s="85"/>
    </row>
  </sheetData>
  <mergeCells count="24">
    <mergeCell ref="E159:M159"/>
    <mergeCell ref="N159:Q159"/>
    <mergeCell ref="P6:Q6"/>
    <mergeCell ref="R6:R7"/>
    <mergeCell ref="S6:S7"/>
    <mergeCell ref="T6:T7"/>
    <mergeCell ref="G158:L158"/>
    <mergeCell ref="N158:Q158"/>
    <mergeCell ref="C6:C7"/>
    <mergeCell ref="E6:F6"/>
    <mergeCell ref="G6:H6"/>
    <mergeCell ref="J6:K6"/>
    <mergeCell ref="L6:M6"/>
    <mergeCell ref="N6:O6"/>
    <mergeCell ref="B1:S1"/>
    <mergeCell ref="B2:S2"/>
    <mergeCell ref="B5:C5"/>
    <mergeCell ref="D5:D7"/>
    <mergeCell ref="E5:H5"/>
    <mergeCell ref="I5:I7"/>
    <mergeCell ref="J5:O5"/>
    <mergeCell ref="P5:Q5"/>
    <mergeCell ref="R5:S5"/>
    <mergeCell ref="B6:B7"/>
  </mergeCells>
  <printOptions horizontalCentered="1"/>
  <pageMargins left="0.98425196850393704" right="3.937007874015748E-2" top="0.15748031496062992" bottom="0.19685039370078741" header="0.11811023622047245" footer="0.11811023622047245"/>
  <pageSetup paperSize="5"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zoomScaleNormal="100" workbookViewId="0">
      <pane xSplit="2" topLeftCell="C1" activePane="topRight" state="frozen"/>
      <selection activeCell="A7" sqref="A7"/>
      <selection pane="topRight" activeCell="B19" sqref="B19"/>
    </sheetView>
  </sheetViews>
  <sheetFormatPr baseColWidth="10" defaultColWidth="11.453125" defaultRowHeight="10" x14ac:dyDescent="0.2"/>
  <cols>
    <col min="1" max="1" width="14.7265625" style="263" customWidth="1"/>
    <col min="2" max="2" width="35.26953125" style="263" customWidth="1"/>
    <col min="3" max="3" width="19.26953125" style="264" customWidth="1"/>
    <col min="4" max="4" width="15.453125" style="265" customWidth="1"/>
    <col min="5" max="5" width="10" style="264" customWidth="1"/>
    <col min="6" max="6" width="4.7265625" style="264" customWidth="1"/>
    <col min="7" max="7" width="10.26953125" style="264" customWidth="1"/>
    <col min="8" max="8" width="18" style="264" customWidth="1"/>
    <col min="9" max="9" width="7" style="264" customWidth="1"/>
    <col min="10" max="10" width="18.81640625" style="264" customWidth="1"/>
    <col min="11" max="11" width="16.7265625" style="264" customWidth="1"/>
    <col min="12" max="12" width="16.81640625" style="264" customWidth="1"/>
    <col min="13" max="13" width="16.54296875" style="267" customWidth="1"/>
    <col min="14" max="14" width="18.453125" style="264" customWidth="1"/>
    <col min="15" max="15" width="16.1796875" style="264" customWidth="1"/>
    <col min="16" max="16" width="11.26953125" style="268" customWidth="1"/>
    <col min="17" max="17" width="14.7265625" style="263" bestFit="1" customWidth="1"/>
    <col min="18" max="18" width="15" style="263" bestFit="1" customWidth="1"/>
    <col min="19" max="16384" width="11.453125" style="263"/>
  </cols>
  <sheetData>
    <row r="1" spans="1:17" ht="13" x14ac:dyDescent="0.3">
      <c r="A1" s="572" t="s">
        <v>0</v>
      </c>
      <c r="B1" s="572"/>
      <c r="C1" s="572"/>
      <c r="D1" s="572"/>
      <c r="E1" s="572"/>
      <c r="F1" s="572"/>
      <c r="G1" s="572"/>
      <c r="H1" s="572"/>
      <c r="I1" s="572"/>
      <c r="J1" s="572"/>
      <c r="K1" s="572"/>
      <c r="L1" s="572"/>
      <c r="M1" s="572"/>
      <c r="N1" s="572"/>
      <c r="O1" s="572"/>
      <c r="P1" s="572"/>
    </row>
    <row r="2" spans="1:17" x14ac:dyDescent="0.2">
      <c r="A2" s="573" t="s">
        <v>561</v>
      </c>
      <c r="B2" s="573"/>
      <c r="C2" s="573"/>
      <c r="D2" s="573"/>
      <c r="E2" s="573"/>
      <c r="F2" s="573"/>
      <c r="G2" s="573"/>
      <c r="H2" s="573"/>
      <c r="I2" s="573"/>
      <c r="J2" s="573"/>
      <c r="K2" s="573"/>
      <c r="L2" s="573"/>
      <c r="M2" s="573"/>
      <c r="N2" s="573"/>
      <c r="O2" s="573"/>
      <c r="P2" s="573"/>
    </row>
    <row r="3" spans="1:17" x14ac:dyDescent="0.2">
      <c r="A3" s="263" t="s">
        <v>562</v>
      </c>
      <c r="L3" s="266"/>
      <c r="N3" s="266"/>
    </row>
    <row r="4" spans="1:17" ht="10.5" x14ac:dyDescent="0.25">
      <c r="A4" s="269" t="s">
        <v>563</v>
      </c>
      <c r="B4" s="270"/>
      <c r="C4" s="271"/>
      <c r="D4" s="272"/>
      <c r="E4" s="271"/>
      <c r="F4" s="263"/>
      <c r="G4" s="263"/>
      <c r="H4" s="273"/>
      <c r="I4" s="263"/>
      <c r="J4" s="263"/>
      <c r="K4" s="274"/>
      <c r="L4" s="275"/>
      <c r="N4" s="274"/>
      <c r="O4" s="263"/>
      <c r="P4" s="263"/>
    </row>
    <row r="5" spans="1:17" ht="10.5" x14ac:dyDescent="0.25">
      <c r="A5" s="276" t="s">
        <v>666</v>
      </c>
      <c r="B5" s="270"/>
      <c r="C5" s="271"/>
      <c r="D5" s="272"/>
      <c r="E5" s="271"/>
      <c r="F5" s="263"/>
      <c r="G5" s="277"/>
      <c r="H5" s="278"/>
      <c r="I5" s="263"/>
      <c r="J5" s="263"/>
      <c r="K5" s="279"/>
      <c r="L5" s="279"/>
      <c r="M5" s="279"/>
      <c r="N5" s="279"/>
      <c r="O5" s="279"/>
      <c r="P5" s="263"/>
    </row>
    <row r="6" spans="1:17" ht="10.5" thickBot="1" x14ac:dyDescent="0.25">
      <c r="A6" s="270"/>
      <c r="B6" s="270"/>
      <c r="C6" s="271"/>
      <c r="D6" s="280"/>
      <c r="E6" s="271"/>
      <c r="F6" s="263"/>
      <c r="G6" s="263"/>
      <c r="H6" s="275"/>
      <c r="I6" s="263"/>
      <c r="J6" s="263"/>
      <c r="K6" s="279"/>
      <c r="L6" s="279"/>
      <c r="M6" s="279"/>
      <c r="N6" s="279"/>
      <c r="O6" s="279"/>
      <c r="P6" s="263"/>
    </row>
    <row r="7" spans="1:17" ht="23.25" customHeight="1" thickBot="1" x14ac:dyDescent="0.25">
      <c r="A7" s="574" t="s">
        <v>4</v>
      </c>
      <c r="B7" s="575"/>
      <c r="C7" s="576" t="s">
        <v>5</v>
      </c>
      <c r="D7" s="579" t="s">
        <v>565</v>
      </c>
      <c r="E7" s="580"/>
      <c r="F7" s="580"/>
      <c r="G7" s="581"/>
      <c r="H7" s="582" t="s">
        <v>566</v>
      </c>
      <c r="I7" s="584" t="s">
        <v>567</v>
      </c>
      <c r="J7" s="585"/>
      <c r="K7" s="579" t="s">
        <v>568</v>
      </c>
      <c r="L7" s="588"/>
      <c r="M7" s="588"/>
      <c r="N7" s="589"/>
      <c r="O7" s="590" t="s">
        <v>569</v>
      </c>
      <c r="P7" s="591"/>
    </row>
    <row r="8" spans="1:17" s="276" customFormat="1" ht="36.75" customHeight="1" thickBot="1" x14ac:dyDescent="0.3">
      <c r="A8" s="592" t="s">
        <v>10</v>
      </c>
      <c r="B8" s="594" t="s">
        <v>11</v>
      </c>
      <c r="C8" s="577"/>
      <c r="D8" s="595" t="s">
        <v>12</v>
      </c>
      <c r="E8" s="596"/>
      <c r="F8" s="596" t="s">
        <v>13</v>
      </c>
      <c r="G8" s="597"/>
      <c r="H8" s="583"/>
      <c r="I8" s="586"/>
      <c r="J8" s="587"/>
      <c r="K8" s="598" t="s">
        <v>570</v>
      </c>
      <c r="L8" s="599"/>
      <c r="M8" s="598" t="s">
        <v>571</v>
      </c>
      <c r="N8" s="599"/>
      <c r="O8" s="600" t="s">
        <v>572</v>
      </c>
      <c r="P8" s="601"/>
    </row>
    <row r="9" spans="1:17" s="276" customFormat="1" ht="21.5" thickBot="1" x14ac:dyDescent="0.3">
      <c r="A9" s="592"/>
      <c r="B9" s="594"/>
      <c r="C9" s="578"/>
      <c r="D9" s="281" t="s">
        <v>21</v>
      </c>
      <c r="E9" s="281" t="s">
        <v>22</v>
      </c>
      <c r="F9" s="281" t="s">
        <v>21</v>
      </c>
      <c r="G9" s="282" t="s">
        <v>22</v>
      </c>
      <c r="H9" s="583"/>
      <c r="I9" s="283" t="s">
        <v>23</v>
      </c>
      <c r="J9" s="284" t="s">
        <v>24</v>
      </c>
      <c r="K9" s="281" t="s">
        <v>23</v>
      </c>
      <c r="L9" s="281" t="s">
        <v>24</v>
      </c>
      <c r="M9" s="285" t="s">
        <v>23</v>
      </c>
      <c r="N9" s="281" t="s">
        <v>573</v>
      </c>
      <c r="O9" s="281" t="s">
        <v>24</v>
      </c>
      <c r="P9" s="286" t="s">
        <v>574</v>
      </c>
    </row>
    <row r="10" spans="1:17" s="276" customFormat="1" ht="10.5" x14ac:dyDescent="0.25">
      <c r="A10" s="287" t="s">
        <v>623</v>
      </c>
      <c r="B10" s="288" t="s">
        <v>575</v>
      </c>
      <c r="C10" s="289">
        <f t="shared" ref="C10:G12" si="0">+C11</f>
        <v>143326649640</v>
      </c>
      <c r="D10" s="290">
        <f t="shared" si="0"/>
        <v>27552832168.939999</v>
      </c>
      <c r="E10" s="291">
        <f t="shared" si="0"/>
        <v>0</v>
      </c>
      <c r="F10" s="291">
        <f t="shared" si="0"/>
        <v>0</v>
      </c>
      <c r="G10" s="291">
        <f t="shared" si="0"/>
        <v>0</v>
      </c>
      <c r="H10" s="292">
        <f>+H11</f>
        <v>170879481808.94</v>
      </c>
      <c r="I10" s="293"/>
      <c r="J10" s="293"/>
      <c r="K10" s="289">
        <f>+K11+K27</f>
        <v>15793118793.990002</v>
      </c>
      <c r="L10" s="289">
        <f>+L11+L27</f>
        <v>170343044277.12003</v>
      </c>
      <c r="M10" s="289">
        <f>+M11+M27</f>
        <v>15793118793.990002</v>
      </c>
      <c r="N10" s="289">
        <f>+N11+N27</f>
        <v>170182768952.12003</v>
      </c>
      <c r="O10" s="289">
        <f>+O11+O27</f>
        <v>160275325</v>
      </c>
      <c r="P10" s="232">
        <f>N10/H10</f>
        <v>0.9959227822472041</v>
      </c>
    </row>
    <row r="11" spans="1:17" s="276" customFormat="1" ht="10.5" x14ac:dyDescent="0.25">
      <c r="A11" s="294" t="s">
        <v>624</v>
      </c>
      <c r="B11" s="295" t="s">
        <v>576</v>
      </c>
      <c r="C11" s="296">
        <f t="shared" si="0"/>
        <v>143326649640</v>
      </c>
      <c r="D11" s="297">
        <f t="shared" si="0"/>
        <v>27552832168.939999</v>
      </c>
      <c r="E11" s="298">
        <f t="shared" si="0"/>
        <v>0</v>
      </c>
      <c r="F11" s="298">
        <f t="shared" si="0"/>
        <v>0</v>
      </c>
      <c r="G11" s="298">
        <f t="shared" si="0"/>
        <v>0</v>
      </c>
      <c r="H11" s="299">
        <f>+H12</f>
        <v>170879481808.94</v>
      </c>
      <c r="I11" s="296"/>
      <c r="J11" s="296"/>
      <c r="K11" s="296">
        <f t="shared" ref="K11:O14" si="1">+K12</f>
        <v>15540072848.710001</v>
      </c>
      <c r="L11" s="296">
        <f t="shared" si="1"/>
        <v>168542833624.11002</v>
      </c>
      <c r="M11" s="296">
        <f t="shared" si="1"/>
        <v>15540072848.710001</v>
      </c>
      <c r="N11" s="296">
        <f t="shared" si="1"/>
        <v>168382558299.11002</v>
      </c>
      <c r="O11" s="296">
        <f t="shared" si="1"/>
        <v>160275325</v>
      </c>
      <c r="P11" s="235">
        <f t="shared" ref="P11:P42" si="2">N11/H11</f>
        <v>0.98538780968084982</v>
      </c>
    </row>
    <row r="12" spans="1:17" s="276" customFormat="1" ht="10.5" x14ac:dyDescent="0.25">
      <c r="A12" s="294" t="s">
        <v>625</v>
      </c>
      <c r="B12" s="295" t="s">
        <v>626</v>
      </c>
      <c r="C12" s="296">
        <f t="shared" si="0"/>
        <v>143326649640</v>
      </c>
      <c r="D12" s="297">
        <f t="shared" si="0"/>
        <v>27552832168.939999</v>
      </c>
      <c r="E12" s="300">
        <f>+E13+E14+E17</f>
        <v>0</v>
      </c>
      <c r="F12" s="300">
        <f>+F13+F14+F17</f>
        <v>0</v>
      </c>
      <c r="G12" s="300">
        <f>+G13+G14+G17</f>
        <v>0</v>
      </c>
      <c r="H12" s="299">
        <f t="shared" ref="H12:H26" si="3">+C12+D12-E12+F12-G12</f>
        <v>170879481808.94</v>
      </c>
      <c r="I12" s="301"/>
      <c r="J12" s="301"/>
      <c r="K12" s="296">
        <f t="shared" si="1"/>
        <v>15540072848.710001</v>
      </c>
      <c r="L12" s="296">
        <f t="shared" si="1"/>
        <v>168542833624.11002</v>
      </c>
      <c r="M12" s="296">
        <f t="shared" si="1"/>
        <v>15540072848.710001</v>
      </c>
      <c r="N12" s="296">
        <f t="shared" si="1"/>
        <v>168382558299.11002</v>
      </c>
      <c r="O12" s="296">
        <f t="shared" si="1"/>
        <v>160275325</v>
      </c>
      <c r="P12" s="235">
        <f t="shared" si="2"/>
        <v>0.98538780968084982</v>
      </c>
    </row>
    <row r="13" spans="1:17" s="276" customFormat="1" ht="10.5" x14ac:dyDescent="0.25">
      <c r="A13" s="294" t="s">
        <v>627</v>
      </c>
      <c r="B13" s="295" t="s">
        <v>628</v>
      </c>
      <c r="C13" s="296">
        <f>+C14+C27</f>
        <v>143326649640</v>
      </c>
      <c r="D13" s="297">
        <f>+D14+D27</f>
        <v>27552832168.939999</v>
      </c>
      <c r="E13" s="300">
        <f>+E14+E17+E18</f>
        <v>0</v>
      </c>
      <c r="F13" s="300">
        <f>+F14+F17+F18</f>
        <v>0</v>
      </c>
      <c r="G13" s="300">
        <f>+G14+G17+G18</f>
        <v>0</v>
      </c>
      <c r="H13" s="299">
        <f t="shared" si="3"/>
        <v>170879481808.94</v>
      </c>
      <c r="I13" s="301"/>
      <c r="J13" s="301"/>
      <c r="K13" s="296">
        <f t="shared" si="1"/>
        <v>15540072848.710001</v>
      </c>
      <c r="L13" s="296">
        <f t="shared" si="1"/>
        <v>168542833624.11002</v>
      </c>
      <c r="M13" s="296">
        <f t="shared" si="1"/>
        <v>15540072848.710001</v>
      </c>
      <c r="N13" s="296">
        <f t="shared" si="1"/>
        <v>168382558299.11002</v>
      </c>
      <c r="O13" s="296">
        <f t="shared" si="1"/>
        <v>160275325</v>
      </c>
      <c r="P13" s="235">
        <f t="shared" si="2"/>
        <v>0.98538780968084982</v>
      </c>
    </row>
    <row r="14" spans="1:17" s="276" customFormat="1" ht="10.5" x14ac:dyDescent="0.25">
      <c r="A14" s="294" t="s">
        <v>629</v>
      </c>
      <c r="B14" s="295" t="s">
        <v>630</v>
      </c>
      <c r="C14" s="296">
        <f>+C15</f>
        <v>142954457640</v>
      </c>
      <c r="D14" s="297">
        <f>+D15</f>
        <v>25887036700.639999</v>
      </c>
      <c r="E14" s="298">
        <v>0</v>
      </c>
      <c r="F14" s="298">
        <v>0</v>
      </c>
      <c r="G14" s="298">
        <v>0</v>
      </c>
      <c r="H14" s="299">
        <f t="shared" si="3"/>
        <v>168841494340.64001</v>
      </c>
      <c r="I14" s="301"/>
      <c r="J14" s="301"/>
      <c r="K14" s="296">
        <f t="shared" si="1"/>
        <v>15540072848.710001</v>
      </c>
      <c r="L14" s="296">
        <f t="shared" si="1"/>
        <v>168542833624.11002</v>
      </c>
      <c r="M14" s="296">
        <f t="shared" si="1"/>
        <v>15540072848.710001</v>
      </c>
      <c r="N14" s="296">
        <f t="shared" si="1"/>
        <v>168382558299.11002</v>
      </c>
      <c r="O14" s="296">
        <f t="shared" si="1"/>
        <v>160275325</v>
      </c>
      <c r="P14" s="235">
        <f t="shared" si="2"/>
        <v>0.99728185276183301</v>
      </c>
    </row>
    <row r="15" spans="1:17" s="276" customFormat="1" ht="10.5" x14ac:dyDescent="0.25">
      <c r="A15" s="294" t="s">
        <v>631</v>
      </c>
      <c r="B15" s="295" t="s">
        <v>632</v>
      </c>
      <c r="C15" s="302">
        <f>+C16+C21</f>
        <v>142954457640</v>
      </c>
      <c r="D15" s="303">
        <f>+D16+D21</f>
        <v>25887036700.639999</v>
      </c>
      <c r="E15" s="298">
        <v>0</v>
      </c>
      <c r="F15" s="298">
        <v>0</v>
      </c>
      <c r="G15" s="298">
        <v>0</v>
      </c>
      <c r="H15" s="299">
        <f t="shared" si="3"/>
        <v>168841494340.64001</v>
      </c>
      <c r="I15" s="301"/>
      <c r="J15" s="301"/>
      <c r="K15" s="296">
        <f>+K16+K21</f>
        <v>15540072848.710001</v>
      </c>
      <c r="L15" s="296">
        <f>+L16+L21</f>
        <v>168542833624.11002</v>
      </c>
      <c r="M15" s="296">
        <f>+M16+M21</f>
        <v>15540072848.710001</v>
      </c>
      <c r="N15" s="296">
        <f>+N16+N21</f>
        <v>168382558299.11002</v>
      </c>
      <c r="O15" s="296">
        <f>+O16+O21</f>
        <v>160275325</v>
      </c>
      <c r="P15" s="238">
        <f t="shared" si="2"/>
        <v>0.99728185276183301</v>
      </c>
      <c r="Q15" s="304">
        <f>+N15-N26</f>
        <v>167143538245.11002</v>
      </c>
    </row>
    <row r="16" spans="1:17" s="276" customFormat="1" ht="10.5" x14ac:dyDescent="0.25">
      <c r="A16" s="294" t="s">
        <v>633</v>
      </c>
      <c r="B16" s="295" t="s">
        <v>634</v>
      </c>
      <c r="C16" s="302">
        <f>SUM(C17:C19)</f>
        <v>5388097434</v>
      </c>
      <c r="D16" s="303">
        <f>SUM(D17:D20)</f>
        <v>4464893471.0100002</v>
      </c>
      <c r="E16" s="298">
        <v>0</v>
      </c>
      <c r="F16" s="298">
        <v>0</v>
      </c>
      <c r="G16" s="298">
        <v>0</v>
      </c>
      <c r="H16" s="299">
        <f t="shared" si="3"/>
        <v>9852990905.0100002</v>
      </c>
      <c r="I16" s="301"/>
      <c r="J16" s="301"/>
      <c r="K16" s="302">
        <f>SUM(K17:K20)</f>
        <v>929719591.38999999</v>
      </c>
      <c r="L16" s="302">
        <f>SUM(L17:L20)</f>
        <v>10356639406.629999</v>
      </c>
      <c r="M16" s="302">
        <f>SUM(M17:M20)</f>
        <v>929719591.38999999</v>
      </c>
      <c r="N16" s="302">
        <f>SUM(N17:N20)</f>
        <v>10356639406.629999</v>
      </c>
      <c r="O16" s="302">
        <f>SUM(O17:O19)</f>
        <v>0</v>
      </c>
      <c r="P16" s="238">
        <f t="shared" si="2"/>
        <v>1.0511163063556577</v>
      </c>
    </row>
    <row r="17" spans="1:21" x14ac:dyDescent="0.2">
      <c r="A17" s="50" t="s">
        <v>635</v>
      </c>
      <c r="B17" s="58" t="s">
        <v>636</v>
      </c>
      <c r="C17" s="159">
        <v>5364097434</v>
      </c>
      <c r="D17" s="305">
        <f>437653235+2233816602+1110582325</f>
        <v>3782052162</v>
      </c>
      <c r="E17" s="306">
        <v>0</v>
      </c>
      <c r="F17" s="306">
        <v>0</v>
      </c>
      <c r="G17" s="306">
        <v>0</v>
      </c>
      <c r="H17" s="307">
        <f t="shared" si="3"/>
        <v>9146149596</v>
      </c>
      <c r="I17" s="308"/>
      <c r="J17" s="308"/>
      <c r="K17" s="159">
        <v>887571736</v>
      </c>
      <c r="L17" s="159">
        <f>8719459332+K17</f>
        <v>9607031068</v>
      </c>
      <c r="M17" s="159">
        <v>887571736</v>
      </c>
      <c r="N17" s="159">
        <f>8719459332+M17</f>
        <v>9607031068</v>
      </c>
      <c r="O17" s="159">
        <v>0</v>
      </c>
      <c r="P17" s="238">
        <f t="shared" si="2"/>
        <v>1.050390764677801</v>
      </c>
      <c r="Q17" s="267"/>
      <c r="R17" s="278"/>
    </row>
    <row r="18" spans="1:21" x14ac:dyDescent="0.2">
      <c r="A18" s="50" t="s">
        <v>637</v>
      </c>
      <c r="B18" s="58" t="s">
        <v>586</v>
      </c>
      <c r="C18" s="159">
        <v>23000000</v>
      </c>
      <c r="D18" s="305">
        <v>0</v>
      </c>
      <c r="E18" s="306">
        <v>0</v>
      </c>
      <c r="F18" s="306">
        <v>0</v>
      </c>
      <c r="G18" s="306">
        <v>0</v>
      </c>
      <c r="H18" s="307">
        <f t="shared" si="3"/>
        <v>23000000</v>
      </c>
      <c r="I18" s="308"/>
      <c r="J18" s="308"/>
      <c r="K18" s="159">
        <v>1401628</v>
      </c>
      <c r="L18" s="159">
        <v>22545457</v>
      </c>
      <c r="M18" s="159">
        <v>1401628</v>
      </c>
      <c r="N18" s="159">
        <v>22545457</v>
      </c>
      <c r="O18" s="159">
        <v>0</v>
      </c>
      <c r="P18" s="238">
        <f t="shared" si="2"/>
        <v>0.9802372608695652</v>
      </c>
      <c r="Q18" s="309"/>
    </row>
    <row r="19" spans="1:21" ht="20" x14ac:dyDescent="0.25">
      <c r="A19" s="50" t="s">
        <v>638</v>
      </c>
      <c r="B19" s="110" t="s">
        <v>667</v>
      </c>
      <c r="C19" s="159">
        <v>1000000</v>
      </c>
      <c r="D19" s="305">
        <f>14124211.32+13980429.69</f>
        <v>28104641.009999998</v>
      </c>
      <c r="E19" s="306">
        <v>0</v>
      </c>
      <c r="F19" s="306">
        <v>0</v>
      </c>
      <c r="G19" s="306">
        <v>0</v>
      </c>
      <c r="H19" s="307">
        <f t="shared" si="3"/>
        <v>29104641.009999998</v>
      </c>
      <c r="I19" s="301"/>
      <c r="J19" s="301"/>
      <c r="K19" s="159">
        <v>3462585.39</v>
      </c>
      <c r="L19" s="159">
        <v>35042571.630000003</v>
      </c>
      <c r="M19" s="159">
        <v>3462585.39</v>
      </c>
      <c r="N19" s="159">
        <v>35042571.630000003</v>
      </c>
      <c r="O19" s="159">
        <v>0</v>
      </c>
      <c r="P19" s="238">
        <f t="shared" si="2"/>
        <v>1.2040200605106177</v>
      </c>
      <c r="Q19" s="309"/>
      <c r="R19" s="267"/>
    </row>
    <row r="20" spans="1:21" ht="13.5" customHeight="1" x14ac:dyDescent="0.25">
      <c r="A20" s="50" t="s">
        <v>668</v>
      </c>
      <c r="B20" s="58" t="s">
        <v>640</v>
      </c>
      <c r="C20" s="159">
        <v>0</v>
      </c>
      <c r="D20" s="305">
        <f>262940707+138225975+111490012+142079974</f>
        <v>654736668</v>
      </c>
      <c r="E20" s="306">
        <v>0</v>
      </c>
      <c r="F20" s="306">
        <v>0</v>
      </c>
      <c r="G20" s="306">
        <v>0</v>
      </c>
      <c r="H20" s="307">
        <f t="shared" si="3"/>
        <v>654736668</v>
      </c>
      <c r="I20" s="301"/>
      <c r="J20" s="301"/>
      <c r="K20" s="159">
        <v>37283642</v>
      </c>
      <c r="L20" s="159">
        <v>692020310</v>
      </c>
      <c r="M20" s="159">
        <v>37283642</v>
      </c>
      <c r="N20" s="159">
        <v>692020310</v>
      </c>
      <c r="O20" s="159">
        <v>0</v>
      </c>
      <c r="P20" s="238">
        <f t="shared" si="2"/>
        <v>1.0569444844350768</v>
      </c>
      <c r="Q20" s="267"/>
    </row>
    <row r="21" spans="1:21" s="276" customFormat="1" ht="10.5" x14ac:dyDescent="0.25">
      <c r="A21" s="294" t="s">
        <v>641</v>
      </c>
      <c r="B21" s="295" t="s">
        <v>642</v>
      </c>
      <c r="C21" s="296">
        <f>SUM(C22:C25)</f>
        <v>137566360206</v>
      </c>
      <c r="D21" s="310">
        <f>SUM(D22:D26)</f>
        <v>21422143229.630001</v>
      </c>
      <c r="E21" s="300">
        <v>0</v>
      </c>
      <c r="F21" s="300">
        <v>0</v>
      </c>
      <c r="G21" s="300">
        <v>0</v>
      </c>
      <c r="H21" s="296">
        <f>SUM(H22:H26)</f>
        <v>158988503435.63</v>
      </c>
      <c r="I21" s="301"/>
      <c r="J21" s="301"/>
      <c r="K21" s="296">
        <f t="shared" ref="K21:O21" si="4">SUM(K22:K26)</f>
        <v>14610353257.320002</v>
      </c>
      <c r="L21" s="296">
        <f t="shared" si="4"/>
        <v>158186194217.48001</v>
      </c>
      <c r="M21" s="296">
        <f t="shared" si="4"/>
        <v>14610353257.320002</v>
      </c>
      <c r="N21" s="296">
        <f t="shared" si="4"/>
        <v>158025918892.48001</v>
      </c>
      <c r="O21" s="296">
        <f t="shared" si="4"/>
        <v>160275325</v>
      </c>
      <c r="P21" s="235">
        <f t="shared" si="2"/>
        <v>0.99394557139447681</v>
      </c>
    </row>
    <row r="22" spans="1:21" x14ac:dyDescent="0.2">
      <c r="A22" s="50" t="s">
        <v>643</v>
      </c>
      <c r="B22" s="58" t="s">
        <v>644</v>
      </c>
      <c r="C22" s="159">
        <v>137444360206</v>
      </c>
      <c r="D22" s="305">
        <f>7172781631+9853392365+2434334998</f>
        <v>19460508994</v>
      </c>
      <c r="E22" s="311">
        <v>0</v>
      </c>
      <c r="F22" s="311">
        <v>0</v>
      </c>
      <c r="G22" s="311">
        <v>0</v>
      </c>
      <c r="H22" s="307">
        <f t="shared" si="3"/>
        <v>156904869200</v>
      </c>
      <c r="I22" s="308"/>
      <c r="J22" s="308"/>
      <c r="K22" s="159">
        <v>12655020160.290001</v>
      </c>
      <c r="L22" s="159">
        <v>155983138833.85001</v>
      </c>
      <c r="M22" s="159">
        <v>12655020160.290001</v>
      </c>
      <c r="N22" s="159">
        <v>155983138833.85001</v>
      </c>
      <c r="O22" s="159">
        <v>0</v>
      </c>
      <c r="P22" s="238">
        <f t="shared" si="2"/>
        <v>0.9941255464483062</v>
      </c>
      <c r="Q22" s="267"/>
    </row>
    <row r="23" spans="1:21" x14ac:dyDescent="0.2">
      <c r="A23" s="50" t="s">
        <v>645</v>
      </c>
      <c r="B23" s="58" t="s">
        <v>586</v>
      </c>
      <c r="C23" s="159">
        <v>120000000</v>
      </c>
      <c r="D23" s="305">
        <v>0</v>
      </c>
      <c r="E23" s="308">
        <v>0</v>
      </c>
      <c r="F23" s="308">
        <v>0</v>
      </c>
      <c r="G23" s="308">
        <v>0</v>
      </c>
      <c r="H23" s="307">
        <f t="shared" si="3"/>
        <v>120000000</v>
      </c>
      <c r="I23" s="308"/>
      <c r="J23" s="308"/>
      <c r="K23" s="159">
        <v>12646421</v>
      </c>
      <c r="L23" s="159">
        <v>83030087</v>
      </c>
      <c r="M23" s="159">
        <v>12646421</v>
      </c>
      <c r="N23" s="159">
        <v>83030087</v>
      </c>
      <c r="O23" s="159">
        <v>0</v>
      </c>
      <c r="P23" s="238">
        <f t="shared" si="2"/>
        <v>0.69191739166666666</v>
      </c>
      <c r="Q23" s="309"/>
    </row>
    <row r="24" spans="1:21" ht="20" x14ac:dyDescent="0.2">
      <c r="A24" s="50" t="s">
        <v>646</v>
      </c>
      <c r="B24" s="110" t="s">
        <v>667</v>
      </c>
      <c r="C24" s="159">
        <v>1000000</v>
      </c>
      <c r="D24" s="305">
        <f>7593463.74+7576150.89</f>
        <v>15169614.629999999</v>
      </c>
      <c r="E24" s="308">
        <v>0</v>
      </c>
      <c r="F24" s="308">
        <v>0</v>
      </c>
      <c r="G24" s="308">
        <v>0</v>
      </c>
      <c r="H24" s="307">
        <f t="shared" si="3"/>
        <v>16169614.629999999</v>
      </c>
      <c r="I24" s="308"/>
      <c r="J24" s="308"/>
      <c r="K24" s="159">
        <v>1894306.03</v>
      </c>
      <c r="L24" s="159">
        <v>18957601.630000003</v>
      </c>
      <c r="M24" s="159">
        <v>1894306.03</v>
      </c>
      <c r="N24" s="159">
        <v>18957601.629999999</v>
      </c>
      <c r="O24" s="159">
        <v>0</v>
      </c>
      <c r="P24" s="238">
        <f>N24/H24</f>
        <v>1.1724213633902789</v>
      </c>
    </row>
    <row r="25" spans="1:21" x14ac:dyDescent="0.2">
      <c r="A25" s="50" t="s">
        <v>647</v>
      </c>
      <c r="B25" s="58" t="s">
        <v>590</v>
      </c>
      <c r="C25" s="159">
        <v>1000000</v>
      </c>
      <c r="D25" s="305">
        <v>707444567</v>
      </c>
      <c r="E25" s="308">
        <v>0</v>
      </c>
      <c r="F25" s="308">
        <v>0</v>
      </c>
      <c r="G25" s="308">
        <v>0</v>
      </c>
      <c r="H25" s="307">
        <f t="shared" si="3"/>
        <v>708444567</v>
      </c>
      <c r="I25" s="308"/>
      <c r="J25" s="308"/>
      <c r="K25" s="159">
        <v>701772316</v>
      </c>
      <c r="L25" s="159">
        <v>701772316</v>
      </c>
      <c r="M25" s="159">
        <v>701772316</v>
      </c>
      <c r="N25" s="159">
        <v>701772316</v>
      </c>
      <c r="O25" s="159">
        <v>0</v>
      </c>
      <c r="P25" s="238">
        <f t="shared" si="2"/>
        <v>0.9905818305188584</v>
      </c>
      <c r="Q25" s="275"/>
    </row>
    <row r="26" spans="1:21" x14ac:dyDescent="0.2">
      <c r="A26" s="50" t="s">
        <v>669</v>
      </c>
      <c r="B26" s="58" t="s">
        <v>670</v>
      </c>
      <c r="C26" s="159">
        <v>0</v>
      </c>
      <c r="D26" s="305">
        <v>1239020054</v>
      </c>
      <c r="E26" s="308">
        <v>0</v>
      </c>
      <c r="F26" s="308">
        <v>0</v>
      </c>
      <c r="G26" s="308">
        <v>0</v>
      </c>
      <c r="H26" s="307">
        <f t="shared" si="3"/>
        <v>1239020054</v>
      </c>
      <c r="I26" s="308"/>
      <c r="J26" s="308"/>
      <c r="K26" s="159">
        <v>1239020054</v>
      </c>
      <c r="L26" s="159">
        <v>1399295379</v>
      </c>
      <c r="M26" s="159">
        <v>1239020054</v>
      </c>
      <c r="N26" s="159">
        <v>1239020054</v>
      </c>
      <c r="O26" s="159">
        <v>160275325</v>
      </c>
      <c r="P26" s="238">
        <f t="shared" si="2"/>
        <v>1</v>
      </c>
      <c r="Q26" s="275"/>
    </row>
    <row r="27" spans="1:21" s="276" customFormat="1" ht="10.5" x14ac:dyDescent="0.25">
      <c r="A27" s="312">
        <v>1.2</v>
      </c>
      <c r="B27" s="313" t="s">
        <v>602</v>
      </c>
      <c r="C27" s="296">
        <f>+C28</f>
        <v>372192000</v>
      </c>
      <c r="D27" s="297">
        <f>+D28</f>
        <v>1665795468.3</v>
      </c>
      <c r="E27" s="301">
        <v>0</v>
      </c>
      <c r="F27" s="301">
        <v>0</v>
      </c>
      <c r="G27" s="301">
        <v>0</v>
      </c>
      <c r="H27" s="296">
        <f>+H28</f>
        <v>2037987468.3</v>
      </c>
      <c r="I27" s="301"/>
      <c r="J27" s="301"/>
      <c r="K27" s="296">
        <f t="shared" ref="K27:O28" si="5">+K28</f>
        <v>253045945.28</v>
      </c>
      <c r="L27" s="296">
        <f t="shared" si="5"/>
        <v>1800210653.01</v>
      </c>
      <c r="M27" s="296">
        <f t="shared" si="5"/>
        <v>253045945.28</v>
      </c>
      <c r="N27" s="296">
        <f t="shared" si="5"/>
        <v>1800210653.01</v>
      </c>
      <c r="O27" s="296">
        <f t="shared" si="5"/>
        <v>0</v>
      </c>
      <c r="P27" s="235">
        <f t="shared" si="2"/>
        <v>0.88332763621537724</v>
      </c>
    </row>
    <row r="28" spans="1:21" ht="10.5" x14ac:dyDescent="0.25">
      <c r="A28" s="314" t="s">
        <v>603</v>
      </c>
      <c r="B28" s="313" t="s">
        <v>604</v>
      </c>
      <c r="C28" s="296">
        <f>+C29+C34</f>
        <v>372192000</v>
      </c>
      <c r="D28" s="297">
        <f>+D29+D34</f>
        <v>1665795468.3</v>
      </c>
      <c r="E28" s="301">
        <v>0</v>
      </c>
      <c r="F28" s="301">
        <v>0</v>
      </c>
      <c r="G28" s="301">
        <v>0</v>
      </c>
      <c r="H28" s="296">
        <f>+H29+H34</f>
        <v>2037987468.3</v>
      </c>
      <c r="I28" s="196"/>
      <c r="J28" s="196"/>
      <c r="K28" s="296">
        <f>+K29+K34</f>
        <v>253045945.28</v>
      </c>
      <c r="L28" s="296">
        <f>+L29+L34</f>
        <v>1800210653.01</v>
      </c>
      <c r="M28" s="296">
        <f>+M29+M34</f>
        <v>253045945.28</v>
      </c>
      <c r="N28" s="296">
        <f>+N29+N34</f>
        <v>1800210653.01</v>
      </c>
      <c r="O28" s="296">
        <f t="shared" si="5"/>
        <v>0</v>
      </c>
      <c r="P28" s="235">
        <f t="shared" si="2"/>
        <v>0.88332763621537724</v>
      </c>
      <c r="Q28" s="315"/>
      <c r="R28" s="264"/>
      <c r="S28" s="268"/>
      <c r="T28" s="264"/>
      <c r="U28" s="264"/>
    </row>
    <row r="29" spans="1:21" s="276" customFormat="1" ht="10.5" x14ac:dyDescent="0.25">
      <c r="A29" s="314" t="s">
        <v>605</v>
      </c>
      <c r="B29" s="313" t="s">
        <v>606</v>
      </c>
      <c r="C29" s="296">
        <f>+C30</f>
        <v>249000000</v>
      </c>
      <c r="D29" s="297">
        <f>+D30</f>
        <v>0</v>
      </c>
      <c r="E29" s="301">
        <v>0</v>
      </c>
      <c r="F29" s="301">
        <v>0</v>
      </c>
      <c r="G29" s="301">
        <v>0</v>
      </c>
      <c r="H29" s="296">
        <f>+H30</f>
        <v>249000000</v>
      </c>
      <c r="I29" s="301"/>
      <c r="J29" s="301"/>
      <c r="K29" s="296">
        <f>+K30</f>
        <v>13558399.98</v>
      </c>
      <c r="L29" s="296">
        <f>+L30</f>
        <v>134105684.71000001</v>
      </c>
      <c r="M29" s="296">
        <f>+M30</f>
        <v>13558399.98</v>
      </c>
      <c r="N29" s="296">
        <f>SUM(N31:N33)</f>
        <v>134105684.71000001</v>
      </c>
      <c r="O29" s="296">
        <f>SUM(O31:O33)</f>
        <v>0</v>
      </c>
      <c r="P29" s="235">
        <f t="shared" si="2"/>
        <v>0.53857704702811249</v>
      </c>
      <c r="R29" s="276" t="s">
        <v>607</v>
      </c>
    </row>
    <row r="30" spans="1:21" s="276" customFormat="1" ht="10.5" x14ac:dyDescent="0.25">
      <c r="A30" s="314" t="s">
        <v>608</v>
      </c>
      <c r="B30" s="313" t="s">
        <v>648</v>
      </c>
      <c r="C30" s="296">
        <f>SUM(C31:C33)</f>
        <v>249000000</v>
      </c>
      <c r="D30" s="297">
        <f>SUM(D31:D33)</f>
        <v>0</v>
      </c>
      <c r="E30" s="301">
        <v>0</v>
      </c>
      <c r="F30" s="301">
        <v>0</v>
      </c>
      <c r="G30" s="301">
        <v>0</v>
      </c>
      <c r="H30" s="296">
        <f>SUM(H31:H33)</f>
        <v>249000000</v>
      </c>
      <c r="I30" s="301"/>
      <c r="J30" s="301"/>
      <c r="K30" s="296">
        <f>SUM(K31:K33)</f>
        <v>13558399.98</v>
      </c>
      <c r="L30" s="296">
        <f>SUM(L31:L33)</f>
        <v>134105684.71000001</v>
      </c>
      <c r="M30" s="296">
        <f>SUM(M31:M33)</f>
        <v>13558399.98</v>
      </c>
      <c r="N30" s="296">
        <f>SUM(N31:N33)</f>
        <v>134105684.71000001</v>
      </c>
      <c r="O30" s="296">
        <f>+O29</f>
        <v>0</v>
      </c>
      <c r="P30" s="235">
        <f t="shared" si="2"/>
        <v>0.53857704702811249</v>
      </c>
    </row>
    <row r="31" spans="1:21" x14ac:dyDescent="0.2">
      <c r="A31" s="50" t="s">
        <v>649</v>
      </c>
      <c r="B31" s="58" t="s">
        <v>650</v>
      </c>
      <c r="C31" s="159">
        <v>183000000</v>
      </c>
      <c r="D31" s="305">
        <v>0</v>
      </c>
      <c r="E31" s="308">
        <v>0</v>
      </c>
      <c r="F31" s="308">
        <v>0</v>
      </c>
      <c r="G31" s="308">
        <v>0</v>
      </c>
      <c r="H31" s="307">
        <f t="shared" ref="H31:H42" si="6">+C31+D31-E31+F31-G31</f>
        <v>183000000</v>
      </c>
      <c r="I31" s="308"/>
      <c r="J31" s="308"/>
      <c r="K31" s="159">
        <v>11973053.98</v>
      </c>
      <c r="L31" s="159">
        <v>93663138.890000015</v>
      </c>
      <c r="M31" s="159">
        <v>11973053.98</v>
      </c>
      <c r="N31" s="159">
        <v>93663138.890000001</v>
      </c>
      <c r="O31" s="159">
        <v>0</v>
      </c>
      <c r="P31" s="238">
        <f t="shared" si="2"/>
        <v>0.51182043109289621</v>
      </c>
    </row>
    <row r="32" spans="1:21" x14ac:dyDescent="0.2">
      <c r="A32" s="50" t="s">
        <v>651</v>
      </c>
      <c r="B32" s="58" t="s">
        <v>652</v>
      </c>
      <c r="C32" s="159">
        <v>16000000</v>
      </c>
      <c r="D32" s="305">
        <v>0</v>
      </c>
      <c r="E32" s="308">
        <v>0</v>
      </c>
      <c r="F32" s="308">
        <v>0</v>
      </c>
      <c r="G32" s="308">
        <v>0</v>
      </c>
      <c r="H32" s="307">
        <f t="shared" si="6"/>
        <v>16000000</v>
      </c>
      <c r="I32" s="308"/>
      <c r="J32" s="308"/>
      <c r="K32" s="159">
        <v>1286735</v>
      </c>
      <c r="L32" s="159">
        <v>15242175</v>
      </c>
      <c r="M32" s="159">
        <v>1286735</v>
      </c>
      <c r="N32" s="159">
        <v>15242175</v>
      </c>
      <c r="O32" s="159">
        <v>0</v>
      </c>
      <c r="P32" s="238">
        <f>N32/H32</f>
        <v>0.95263593749999997</v>
      </c>
    </row>
    <row r="33" spans="1:20" x14ac:dyDescent="0.2">
      <c r="A33" s="50" t="s">
        <v>653</v>
      </c>
      <c r="B33" s="58" t="s">
        <v>613</v>
      </c>
      <c r="C33" s="159">
        <v>50000000</v>
      </c>
      <c r="D33" s="305">
        <v>0</v>
      </c>
      <c r="E33" s="308">
        <v>0</v>
      </c>
      <c r="F33" s="308">
        <v>0</v>
      </c>
      <c r="G33" s="308">
        <v>0</v>
      </c>
      <c r="H33" s="307">
        <f t="shared" si="6"/>
        <v>50000000</v>
      </c>
      <c r="I33" s="308"/>
      <c r="J33" s="308"/>
      <c r="K33" s="159">
        <v>298611</v>
      </c>
      <c r="L33" s="159">
        <v>25200370.82</v>
      </c>
      <c r="M33" s="159">
        <v>298611</v>
      </c>
      <c r="N33" s="159">
        <v>25200370.82</v>
      </c>
      <c r="O33" s="159">
        <v>0</v>
      </c>
      <c r="P33" s="238">
        <f>N33/H33</f>
        <v>0.50400741640000002</v>
      </c>
    </row>
    <row r="34" spans="1:20" s="276" customFormat="1" ht="10.5" x14ac:dyDescent="0.25">
      <c r="A34" s="294" t="s">
        <v>654</v>
      </c>
      <c r="B34" s="295" t="s">
        <v>655</v>
      </c>
      <c r="C34" s="296">
        <f>SUM(C35:C37)</f>
        <v>123192000</v>
      </c>
      <c r="D34" s="297">
        <f>SUM(D35:D42)</f>
        <v>1665795468.3</v>
      </c>
      <c r="E34" s="301"/>
      <c r="F34" s="301"/>
      <c r="G34" s="301"/>
      <c r="H34" s="296">
        <f>SUM(H35:H42)</f>
        <v>1788987468.3</v>
      </c>
      <c r="I34" s="301"/>
      <c r="J34" s="301"/>
      <c r="K34" s="296">
        <f t="shared" ref="K34:O34" si="7">SUM(K35:K42)</f>
        <v>239487545.30000001</v>
      </c>
      <c r="L34" s="296">
        <f t="shared" si="7"/>
        <v>1666104968.3</v>
      </c>
      <c r="M34" s="296">
        <f t="shared" si="7"/>
        <v>239487545.30000001</v>
      </c>
      <c r="N34" s="296">
        <f t="shared" si="7"/>
        <v>1666104968.3</v>
      </c>
      <c r="O34" s="296">
        <f t="shared" si="7"/>
        <v>0</v>
      </c>
      <c r="P34" s="238">
        <f>N34/H34</f>
        <v>0.93131170442643174</v>
      </c>
    </row>
    <row r="35" spans="1:20" x14ac:dyDescent="0.2">
      <c r="A35" s="50" t="s">
        <v>671</v>
      </c>
      <c r="B35" s="58" t="s">
        <v>672</v>
      </c>
      <c r="C35" s="159">
        <v>2829000</v>
      </c>
      <c r="D35" s="316">
        <v>0</v>
      </c>
      <c r="E35" s="308">
        <v>0</v>
      </c>
      <c r="F35" s="308">
        <v>0</v>
      </c>
      <c r="G35" s="308">
        <v>0</v>
      </c>
      <c r="H35" s="307">
        <f t="shared" si="6"/>
        <v>2829000</v>
      </c>
      <c r="I35" s="308"/>
      <c r="J35" s="308"/>
      <c r="K35" s="159">
        <v>0</v>
      </c>
      <c r="L35" s="159">
        <v>0</v>
      </c>
      <c r="M35" s="159">
        <v>0</v>
      </c>
      <c r="N35" s="159">
        <v>0</v>
      </c>
      <c r="O35" s="159">
        <v>0</v>
      </c>
      <c r="P35" s="238">
        <f t="shared" si="2"/>
        <v>0</v>
      </c>
    </row>
    <row r="36" spans="1:20" x14ac:dyDescent="0.2">
      <c r="A36" s="50" t="s">
        <v>673</v>
      </c>
      <c r="B36" s="58" t="s">
        <v>674</v>
      </c>
      <c r="C36" s="159">
        <v>120000000</v>
      </c>
      <c r="D36" s="316">
        <v>0</v>
      </c>
      <c r="E36" s="308">
        <v>0</v>
      </c>
      <c r="F36" s="308">
        <v>0</v>
      </c>
      <c r="G36" s="308">
        <v>0</v>
      </c>
      <c r="H36" s="307">
        <f t="shared" si="6"/>
        <v>120000000</v>
      </c>
      <c r="I36" s="308"/>
      <c r="J36" s="308"/>
      <c r="K36" s="159">
        <v>0</v>
      </c>
      <c r="L36" s="159">
        <v>0</v>
      </c>
      <c r="M36" s="159">
        <v>0</v>
      </c>
      <c r="N36" s="159">
        <v>0</v>
      </c>
      <c r="O36" s="159">
        <v>0</v>
      </c>
      <c r="P36" s="238">
        <f t="shared" si="2"/>
        <v>0</v>
      </c>
    </row>
    <row r="37" spans="1:20" x14ac:dyDescent="0.2">
      <c r="A37" s="50" t="s">
        <v>675</v>
      </c>
      <c r="B37" s="58" t="s">
        <v>615</v>
      </c>
      <c r="C37" s="159">
        <v>363000</v>
      </c>
      <c r="D37" s="316">
        <v>0</v>
      </c>
      <c r="E37" s="308">
        <v>0</v>
      </c>
      <c r="F37" s="308">
        <v>0</v>
      </c>
      <c r="G37" s="308">
        <v>0</v>
      </c>
      <c r="H37" s="307">
        <f t="shared" si="6"/>
        <v>363000</v>
      </c>
      <c r="I37" s="308"/>
      <c r="J37" s="308"/>
      <c r="K37" s="159">
        <v>10000</v>
      </c>
      <c r="L37" s="159">
        <v>309500</v>
      </c>
      <c r="M37" s="159">
        <v>10000</v>
      </c>
      <c r="N37" s="159">
        <v>309500</v>
      </c>
      <c r="O37" s="159">
        <v>0</v>
      </c>
      <c r="P37" s="238">
        <f t="shared" si="2"/>
        <v>0.85261707988980717</v>
      </c>
    </row>
    <row r="38" spans="1:20" x14ac:dyDescent="0.2">
      <c r="A38" s="50" t="s">
        <v>676</v>
      </c>
      <c r="B38" s="58" t="s">
        <v>387</v>
      </c>
      <c r="C38" s="308">
        <v>0</v>
      </c>
      <c r="D38" s="317">
        <v>137810000</v>
      </c>
      <c r="E38" s="308">
        <v>0</v>
      </c>
      <c r="F38" s="308">
        <v>0</v>
      </c>
      <c r="G38" s="308">
        <v>0</v>
      </c>
      <c r="H38" s="307">
        <f t="shared" si="6"/>
        <v>137810000</v>
      </c>
      <c r="I38" s="308"/>
      <c r="J38" s="308"/>
      <c r="K38" s="159">
        <v>0</v>
      </c>
      <c r="L38" s="159">
        <v>137810000</v>
      </c>
      <c r="M38" s="159">
        <v>0</v>
      </c>
      <c r="N38" s="159">
        <v>137810000</v>
      </c>
      <c r="O38" s="159">
        <v>0</v>
      </c>
      <c r="P38" s="238">
        <f t="shared" si="2"/>
        <v>1</v>
      </c>
    </row>
    <row r="39" spans="1:20" x14ac:dyDescent="0.2">
      <c r="A39" s="50" t="s">
        <v>677</v>
      </c>
      <c r="B39" s="58" t="s">
        <v>617</v>
      </c>
      <c r="C39" s="308">
        <v>0</v>
      </c>
      <c r="D39" s="317">
        <v>266806991</v>
      </c>
      <c r="E39" s="308">
        <v>0</v>
      </c>
      <c r="F39" s="308">
        <v>0</v>
      </c>
      <c r="G39" s="308">
        <v>0</v>
      </c>
      <c r="H39" s="307">
        <f t="shared" si="6"/>
        <v>266806991</v>
      </c>
      <c r="I39" s="308"/>
      <c r="J39" s="308"/>
      <c r="K39" s="159">
        <v>0</v>
      </c>
      <c r="L39" s="159">
        <v>266806991</v>
      </c>
      <c r="M39" s="159">
        <v>0</v>
      </c>
      <c r="N39" s="159">
        <v>266806991</v>
      </c>
      <c r="O39" s="159">
        <v>0</v>
      </c>
      <c r="P39" s="238">
        <f t="shared" si="2"/>
        <v>1</v>
      </c>
    </row>
    <row r="40" spans="1:20" x14ac:dyDescent="0.2">
      <c r="A40" s="50" t="s">
        <v>678</v>
      </c>
      <c r="B40" s="58" t="s">
        <v>619</v>
      </c>
      <c r="C40" s="308">
        <v>0</v>
      </c>
      <c r="D40" s="317">
        <v>75077746</v>
      </c>
      <c r="E40" s="308">
        <v>0</v>
      </c>
      <c r="F40" s="308">
        <v>0</v>
      </c>
      <c r="G40" s="308">
        <v>0</v>
      </c>
      <c r="H40" s="307">
        <f t="shared" si="6"/>
        <v>75077746</v>
      </c>
      <c r="I40" s="308"/>
      <c r="J40" s="308"/>
      <c r="K40" s="159">
        <v>0</v>
      </c>
      <c r="L40" s="159">
        <v>75077746</v>
      </c>
      <c r="M40" s="159">
        <v>0</v>
      </c>
      <c r="N40" s="159">
        <v>75077746</v>
      </c>
      <c r="O40" s="159">
        <v>0</v>
      </c>
      <c r="P40" s="238">
        <f t="shared" si="2"/>
        <v>1</v>
      </c>
    </row>
    <row r="41" spans="1:20" x14ac:dyDescent="0.2">
      <c r="A41" s="50" t="s">
        <v>679</v>
      </c>
      <c r="B41" s="58" t="s">
        <v>680</v>
      </c>
      <c r="C41" s="308">
        <v>0</v>
      </c>
      <c r="D41" s="317">
        <f>68478880+68478880+33568030+16784016.3</f>
        <v>187309806.30000001</v>
      </c>
      <c r="E41" s="308">
        <v>0</v>
      </c>
      <c r="F41" s="308">
        <v>0</v>
      </c>
      <c r="G41" s="308">
        <v>0</v>
      </c>
      <c r="H41" s="307">
        <f t="shared" si="6"/>
        <v>187309806.30000001</v>
      </c>
      <c r="I41" s="308"/>
      <c r="J41" s="308"/>
      <c r="K41" s="159">
        <v>16784016.300000001</v>
      </c>
      <c r="L41" s="159">
        <v>187309806.30000001</v>
      </c>
      <c r="M41" s="159">
        <v>16784016.300000001</v>
      </c>
      <c r="N41" s="159">
        <v>187309806.30000001</v>
      </c>
      <c r="O41" s="159">
        <v>0</v>
      </c>
      <c r="P41" s="238">
        <f t="shared" si="2"/>
        <v>1</v>
      </c>
    </row>
    <row r="42" spans="1:20" s="216" customFormat="1" ht="15" customHeight="1" thickBot="1" x14ac:dyDescent="0.3">
      <c r="A42" s="318" t="s">
        <v>681</v>
      </c>
      <c r="B42" s="120" t="s">
        <v>682</v>
      </c>
      <c r="C42" s="319">
        <v>0</v>
      </c>
      <c r="D42" s="320">
        <f>193830839+137586522+139463501+305216534+142363560+80329969</f>
        <v>998790925</v>
      </c>
      <c r="E42" s="319">
        <v>0</v>
      </c>
      <c r="F42" s="319">
        <v>0</v>
      </c>
      <c r="G42" s="319">
        <v>0</v>
      </c>
      <c r="H42" s="321">
        <f t="shared" si="6"/>
        <v>998790925</v>
      </c>
      <c r="I42" s="322"/>
      <c r="J42" s="322"/>
      <c r="K42" s="172">
        <v>222693529</v>
      </c>
      <c r="L42" s="172">
        <v>998790925</v>
      </c>
      <c r="M42" s="172">
        <v>222693529</v>
      </c>
      <c r="N42" s="172">
        <v>998790925</v>
      </c>
      <c r="O42" s="172">
        <v>0</v>
      </c>
      <c r="P42" s="245">
        <f t="shared" si="2"/>
        <v>1</v>
      </c>
      <c r="T42" s="278"/>
    </row>
    <row r="43" spans="1:20" s="216" customFormat="1" ht="15" customHeight="1" x14ac:dyDescent="0.25">
      <c r="A43" s="323"/>
      <c r="B43" s="323"/>
      <c r="C43" s="247"/>
      <c r="D43" s="246"/>
      <c r="E43" s="246"/>
      <c r="F43" s="246"/>
      <c r="G43" s="246"/>
      <c r="H43" s="246"/>
      <c r="I43" s="246"/>
      <c r="J43" s="246"/>
      <c r="K43" s="246"/>
      <c r="L43" s="247"/>
      <c r="M43" s="324"/>
      <c r="N43" s="324"/>
      <c r="O43" s="324"/>
      <c r="P43" s="324"/>
      <c r="T43" s="278"/>
    </row>
    <row r="44" spans="1:20" s="216" customFormat="1" ht="15" customHeight="1" x14ac:dyDescent="0.25">
      <c r="A44" s="323"/>
      <c r="B44" s="323"/>
      <c r="C44" s="247"/>
      <c r="D44" s="246"/>
      <c r="E44" s="246"/>
      <c r="F44" s="246"/>
      <c r="G44" s="246"/>
      <c r="H44" s="246"/>
      <c r="I44" s="246"/>
      <c r="J44" s="246"/>
      <c r="K44" s="246"/>
      <c r="L44" s="247"/>
      <c r="M44" s="324"/>
      <c r="N44" s="324"/>
      <c r="O44" s="324"/>
      <c r="P44" s="324"/>
      <c r="T44" s="278"/>
    </row>
    <row r="45" spans="1:20" s="216" customFormat="1" ht="15" customHeight="1" x14ac:dyDescent="0.25">
      <c r="A45" s="246"/>
      <c r="B45" s="246" t="s">
        <v>187</v>
      </c>
      <c r="C45" s="247"/>
      <c r="D45" s="246"/>
      <c r="E45" s="246"/>
      <c r="F45" s="512" t="s">
        <v>188</v>
      </c>
      <c r="G45" s="512"/>
      <c r="H45" s="512"/>
      <c r="I45" s="512"/>
      <c r="J45" s="512"/>
      <c r="K45" s="512"/>
      <c r="L45" s="247"/>
      <c r="M45" s="593" t="s">
        <v>189</v>
      </c>
      <c r="N45" s="593"/>
      <c r="O45" s="593"/>
      <c r="P45" s="593"/>
      <c r="T45" s="278"/>
    </row>
    <row r="46" spans="1:20" s="216" customFormat="1" ht="15" customHeight="1" x14ac:dyDescent="0.2">
      <c r="A46" s="325"/>
      <c r="B46" s="248" t="s">
        <v>190</v>
      </c>
      <c r="C46" s="83"/>
      <c r="D46" s="515" t="s">
        <v>191</v>
      </c>
      <c r="E46" s="515"/>
      <c r="F46" s="515"/>
      <c r="G46" s="515"/>
      <c r="H46" s="515"/>
      <c r="I46" s="515"/>
      <c r="J46" s="515"/>
      <c r="K46" s="515"/>
      <c r="L46" s="515"/>
      <c r="M46" s="515" t="s">
        <v>192</v>
      </c>
      <c r="N46" s="515"/>
      <c r="O46" s="515"/>
      <c r="P46" s="515"/>
      <c r="T46" s="278"/>
    </row>
  </sheetData>
  <autoFilter ref="A10:P42"/>
  <mergeCells count="20">
    <mergeCell ref="F45:K45"/>
    <mergeCell ref="M45:P45"/>
    <mergeCell ref="D46:L46"/>
    <mergeCell ref="M46:P46"/>
    <mergeCell ref="B8:B9"/>
    <mergeCell ref="D8:E8"/>
    <mergeCell ref="F8:G8"/>
    <mergeCell ref="K8:L8"/>
    <mergeCell ref="M8:N8"/>
    <mergeCell ref="O8:P8"/>
    <mergeCell ref="A1:P1"/>
    <mergeCell ref="A2:P2"/>
    <mergeCell ref="A7:B7"/>
    <mergeCell ref="C7:C9"/>
    <mergeCell ref="D7:G7"/>
    <mergeCell ref="H7:H9"/>
    <mergeCell ref="I7:J8"/>
    <mergeCell ref="K7:N7"/>
    <mergeCell ref="O7:P7"/>
    <mergeCell ref="A8:A9"/>
  </mergeCells>
  <printOptions horizontalCentered="1" verticalCentered="1"/>
  <pageMargins left="0.79" right="0.23622047244094491" top="0.74803149606299213" bottom="0.74803149606299213" header="0.31496062992125984" footer="0.31496062992125984"/>
  <pageSetup paperSize="5" scale="6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1"/>
  <sheetViews>
    <sheetView workbookViewId="0">
      <pane xSplit="8" topLeftCell="I1" activePane="topRight" state="frozen"/>
      <selection pane="topRight" activeCell="J8" sqref="J8"/>
    </sheetView>
  </sheetViews>
  <sheetFormatPr baseColWidth="10" defaultColWidth="11.453125" defaultRowHeight="10" x14ac:dyDescent="0.2"/>
  <cols>
    <col min="1" max="1" width="6.453125" style="1" customWidth="1"/>
    <col min="2" max="2" width="12.54296875" style="125" customWidth="1"/>
    <col min="3" max="3" width="26" style="1" customWidth="1"/>
    <col min="4" max="4" width="14.81640625" style="72" customWidth="1"/>
    <col min="5" max="5" width="16.26953125" style="176" customWidth="1"/>
    <col min="6" max="6" width="7" style="176" customWidth="1"/>
    <col min="7" max="7" width="15.26953125" style="176" customWidth="1"/>
    <col min="8" max="8" width="16" style="177" customWidth="1"/>
    <col min="9" max="9" width="16.453125" style="72" customWidth="1"/>
    <col min="10" max="11" width="15" style="72" customWidth="1"/>
    <col min="12" max="12" width="16.453125" style="72" customWidth="1"/>
    <col min="13" max="13" width="14.81640625" style="72" customWidth="1"/>
    <col min="14" max="14" width="14" style="72" customWidth="1"/>
    <col min="15" max="15" width="14.81640625" style="72" customWidth="1"/>
    <col min="16" max="16" width="14.7265625" style="72" customWidth="1"/>
    <col min="17" max="17" width="14.81640625" style="179" customWidth="1"/>
    <col min="18" max="18" width="13.81640625" style="166" customWidth="1"/>
    <col min="19" max="19" width="14.54296875" style="166" customWidth="1"/>
    <col min="20" max="20" width="14.1796875" style="125" customWidth="1"/>
    <col min="21" max="21" width="14.1796875" style="132" bestFit="1" customWidth="1"/>
    <col min="22" max="22" width="15" style="1" bestFit="1" customWidth="1"/>
    <col min="23" max="16384" width="11.453125" style="1"/>
  </cols>
  <sheetData>
    <row r="1" spans="2:21" ht="15.75" customHeight="1" x14ac:dyDescent="0.25">
      <c r="B1" s="525" t="s">
        <v>0</v>
      </c>
      <c r="C1" s="524"/>
      <c r="D1" s="524"/>
      <c r="E1" s="524"/>
      <c r="F1" s="524"/>
      <c r="G1" s="524"/>
      <c r="H1" s="524"/>
      <c r="I1" s="524"/>
      <c r="J1" s="524"/>
      <c r="K1" s="524"/>
      <c r="L1" s="524"/>
      <c r="M1" s="524"/>
      <c r="N1" s="524"/>
      <c r="O1" s="524"/>
      <c r="P1" s="524"/>
      <c r="Q1" s="524"/>
      <c r="R1" s="524"/>
      <c r="S1" s="524"/>
      <c r="T1" s="131"/>
    </row>
    <row r="2" spans="2:21" ht="15.75" customHeight="1" x14ac:dyDescent="0.25">
      <c r="B2" s="525" t="s">
        <v>1</v>
      </c>
      <c r="C2" s="524"/>
      <c r="D2" s="524"/>
      <c r="E2" s="524"/>
      <c r="F2" s="524"/>
      <c r="G2" s="524"/>
      <c r="H2" s="524"/>
      <c r="I2" s="524"/>
      <c r="J2" s="524"/>
      <c r="K2" s="524"/>
      <c r="L2" s="524"/>
      <c r="M2" s="524"/>
      <c r="N2" s="524"/>
      <c r="O2" s="524"/>
      <c r="P2" s="524"/>
      <c r="Q2" s="524"/>
      <c r="R2" s="524"/>
      <c r="S2" s="524"/>
    </row>
    <row r="3" spans="2:21" ht="18" customHeight="1" x14ac:dyDescent="0.25">
      <c r="B3" s="602" t="s">
        <v>2</v>
      </c>
      <c r="C3" s="602"/>
      <c r="D3" s="4"/>
      <c r="E3" s="133"/>
      <c r="F3" s="134"/>
      <c r="G3" s="135"/>
      <c r="H3" s="136"/>
      <c r="I3" s="7"/>
      <c r="J3" s="137"/>
      <c r="K3" s="138"/>
      <c r="L3" s="139"/>
      <c r="M3" s="140"/>
      <c r="N3" s="140"/>
      <c r="O3" s="140"/>
      <c r="P3" s="140"/>
      <c r="Q3" s="140"/>
      <c r="R3" s="141"/>
      <c r="S3" s="142"/>
      <c r="T3" s="143"/>
    </row>
    <row r="4" spans="2:21" ht="17.25" customHeight="1" thickBot="1" x14ac:dyDescent="0.3">
      <c r="B4" s="603" t="s">
        <v>385</v>
      </c>
      <c r="C4" s="603"/>
      <c r="D4" s="4"/>
      <c r="E4" s="133"/>
      <c r="F4" s="134"/>
      <c r="G4" s="144"/>
      <c r="H4" s="145"/>
      <c r="I4" s="146"/>
      <c r="J4" s="137"/>
      <c r="K4" s="137"/>
      <c r="L4" s="147"/>
      <c r="M4" s="139"/>
      <c r="N4" s="147"/>
      <c r="O4" s="139"/>
      <c r="P4" s="148"/>
      <c r="Q4" s="140"/>
      <c r="R4" s="149"/>
      <c r="S4" s="150"/>
      <c r="T4" s="150"/>
    </row>
    <row r="5" spans="2:21" ht="23.25" customHeight="1" x14ac:dyDescent="0.2">
      <c r="B5" s="604" t="s">
        <v>4</v>
      </c>
      <c r="C5" s="605"/>
      <c r="D5" s="605" t="s">
        <v>5</v>
      </c>
      <c r="E5" s="608" t="s">
        <v>6</v>
      </c>
      <c r="F5" s="608"/>
      <c r="G5" s="608"/>
      <c r="H5" s="608"/>
      <c r="I5" s="605" t="s">
        <v>7</v>
      </c>
      <c r="J5" s="608"/>
      <c r="K5" s="608"/>
      <c r="L5" s="608"/>
      <c r="M5" s="608"/>
      <c r="N5" s="608"/>
      <c r="O5" s="608"/>
      <c r="P5" s="608" t="s">
        <v>8</v>
      </c>
      <c r="Q5" s="608"/>
      <c r="R5" s="609" t="s">
        <v>9</v>
      </c>
      <c r="S5" s="609"/>
      <c r="T5" s="151"/>
    </row>
    <row r="6" spans="2:21" ht="20.25" customHeight="1" x14ac:dyDescent="0.2">
      <c r="B6" s="610" t="s">
        <v>10</v>
      </c>
      <c r="C6" s="541" t="s">
        <v>11</v>
      </c>
      <c r="D6" s="606"/>
      <c r="E6" s="543" t="s">
        <v>12</v>
      </c>
      <c r="F6" s="543"/>
      <c r="G6" s="544" t="s">
        <v>13</v>
      </c>
      <c r="H6" s="544"/>
      <c r="I6" s="606"/>
      <c r="J6" s="544" t="s">
        <v>14</v>
      </c>
      <c r="K6" s="544"/>
      <c r="L6" s="544" t="s">
        <v>15</v>
      </c>
      <c r="M6" s="544"/>
      <c r="N6" s="544" t="s">
        <v>16</v>
      </c>
      <c r="O6" s="544"/>
      <c r="P6" s="544" t="s">
        <v>17</v>
      </c>
      <c r="Q6" s="544"/>
      <c r="R6" s="612" t="s">
        <v>18</v>
      </c>
      <c r="S6" s="612" t="s">
        <v>19</v>
      </c>
      <c r="T6" s="614" t="s">
        <v>20</v>
      </c>
    </row>
    <row r="7" spans="2:21" s="14" customFormat="1" ht="39.75" customHeight="1" thickBot="1" x14ac:dyDescent="0.3">
      <c r="B7" s="611"/>
      <c r="C7" s="542"/>
      <c r="D7" s="607"/>
      <c r="E7" s="21" t="s">
        <v>21</v>
      </c>
      <c r="F7" s="21" t="s">
        <v>22</v>
      </c>
      <c r="G7" s="21" t="s">
        <v>21</v>
      </c>
      <c r="H7" s="152" t="s">
        <v>22</v>
      </c>
      <c r="I7" s="607"/>
      <c r="J7" s="21" t="s">
        <v>23</v>
      </c>
      <c r="K7" s="21" t="s">
        <v>24</v>
      </c>
      <c r="L7" s="21" t="s">
        <v>23</v>
      </c>
      <c r="M7" s="21" t="s">
        <v>24</v>
      </c>
      <c r="N7" s="21" t="s">
        <v>23</v>
      </c>
      <c r="O7" s="21" t="s">
        <v>24</v>
      </c>
      <c r="P7" s="21" t="s">
        <v>23</v>
      </c>
      <c r="Q7" s="21" t="s">
        <v>25</v>
      </c>
      <c r="R7" s="613"/>
      <c r="S7" s="613"/>
      <c r="T7" s="615" t="s">
        <v>20</v>
      </c>
      <c r="U7" s="153"/>
    </row>
    <row r="8" spans="2:21" s="14" customFormat="1" ht="15" customHeight="1" x14ac:dyDescent="0.25">
      <c r="B8" s="94">
        <v>2</v>
      </c>
      <c r="C8" s="26" t="s">
        <v>26</v>
      </c>
      <c r="D8" s="27">
        <f>+D9+D123</f>
        <v>143326649640</v>
      </c>
      <c r="E8" s="154">
        <f>+E9+E123</f>
        <v>27552832168.939999</v>
      </c>
      <c r="F8" s="154">
        <f>SUM(F9:F17)</f>
        <v>0</v>
      </c>
      <c r="G8" s="154">
        <f>+G9+G123</f>
        <v>22772623603</v>
      </c>
      <c r="H8" s="28">
        <f>+H9+H123</f>
        <v>22772623603</v>
      </c>
      <c r="I8" s="28">
        <f>+D8+E8--F8+G8-H8</f>
        <v>170879481808.94</v>
      </c>
      <c r="J8" s="27">
        <f t="shared" ref="J8:T8" si="0">+J9+J123</f>
        <v>3084110985.3000002</v>
      </c>
      <c r="K8" s="27">
        <f t="shared" si="0"/>
        <v>169543981794.92999</v>
      </c>
      <c r="L8" s="27">
        <f t="shared" si="0"/>
        <v>3409333118.3000002</v>
      </c>
      <c r="M8" s="27">
        <f t="shared" si="0"/>
        <v>169543981794.92999</v>
      </c>
      <c r="N8" s="27">
        <f t="shared" si="0"/>
        <v>12821756745.93</v>
      </c>
      <c r="O8" s="27">
        <f t="shared" si="0"/>
        <v>158390578441.92999</v>
      </c>
      <c r="P8" s="27">
        <f t="shared" si="0"/>
        <v>12989372905</v>
      </c>
      <c r="Q8" s="27">
        <f t="shared" si="0"/>
        <v>156823470171</v>
      </c>
      <c r="R8" s="27">
        <f t="shared" si="0"/>
        <v>0</v>
      </c>
      <c r="S8" s="27">
        <f t="shared" si="0"/>
        <v>11153403353</v>
      </c>
      <c r="T8" s="131">
        <f t="shared" si="0"/>
        <v>1567108270.9300001</v>
      </c>
      <c r="U8" s="155"/>
    </row>
    <row r="9" spans="2:21" s="14" customFormat="1" ht="15" customHeight="1" x14ac:dyDescent="0.25">
      <c r="B9" s="98">
        <v>2.1</v>
      </c>
      <c r="C9" s="34" t="s">
        <v>27</v>
      </c>
      <c r="D9" s="35">
        <f>+D10+D69</f>
        <v>10103873983</v>
      </c>
      <c r="E9" s="156">
        <f>+E10+E69</f>
        <v>1988351339.3</v>
      </c>
      <c r="F9" s="156">
        <f>SUM(F10:F18)</f>
        <v>0</v>
      </c>
      <c r="G9" s="156">
        <f>+G10+G21+G69</f>
        <v>1264400000</v>
      </c>
      <c r="H9" s="37">
        <f>+H10+H21+H69</f>
        <v>1264400000</v>
      </c>
      <c r="I9" s="37">
        <f>+D9+E9--F9+G9-H9</f>
        <v>12092225322.299999</v>
      </c>
      <c r="J9" s="35">
        <f>+J10+J69</f>
        <v>706958488.29999995</v>
      </c>
      <c r="K9" s="35">
        <f>+K10+K69</f>
        <v>10869008193.93</v>
      </c>
      <c r="L9" s="35">
        <f>+L10+L69</f>
        <v>798853256.29999995</v>
      </c>
      <c r="M9" s="35">
        <f t="shared" ref="M9:T9" si="1">+M10+M69</f>
        <v>10869008193.93</v>
      </c>
      <c r="N9" s="35">
        <f t="shared" si="1"/>
        <v>1889609751.9300001</v>
      </c>
      <c r="O9" s="35">
        <f t="shared" si="1"/>
        <v>10692891393.93</v>
      </c>
      <c r="P9" s="35">
        <f t="shared" si="1"/>
        <v>1745754782</v>
      </c>
      <c r="Q9" s="35">
        <f t="shared" si="1"/>
        <v>10484863654</v>
      </c>
      <c r="R9" s="35">
        <f t="shared" si="1"/>
        <v>0</v>
      </c>
      <c r="S9" s="35">
        <f t="shared" si="1"/>
        <v>176116800</v>
      </c>
      <c r="T9" s="102">
        <f t="shared" si="1"/>
        <v>208027739</v>
      </c>
      <c r="U9" s="157"/>
    </row>
    <row r="10" spans="2:21" s="14" customFormat="1" ht="15" customHeight="1" x14ac:dyDescent="0.25">
      <c r="B10" s="98" t="s">
        <v>28</v>
      </c>
      <c r="C10" s="34" t="s">
        <v>29</v>
      </c>
      <c r="D10" s="35">
        <f>+D11+D41</f>
        <v>7638873983</v>
      </c>
      <c r="E10" s="156">
        <f>+E11+E22+E41</f>
        <v>1684041533</v>
      </c>
      <c r="F10" s="156">
        <f>SUM(F11:F19)</f>
        <v>0</v>
      </c>
      <c r="G10" s="156">
        <f>+G11+G22+G27+G51+G55+G42</f>
        <v>955000000</v>
      </c>
      <c r="H10" s="37">
        <f>+H11+H22+H27+H41</f>
        <v>725000000</v>
      </c>
      <c r="I10" s="37">
        <f>+D10+E10--F10+G10-H10</f>
        <v>9552915516</v>
      </c>
      <c r="J10" s="35">
        <f t="shared" ref="J10:T10" si="2">+J11+J41</f>
        <v>656564800</v>
      </c>
      <c r="K10" s="35">
        <f t="shared" si="2"/>
        <v>8969420395</v>
      </c>
      <c r="L10" s="35">
        <f t="shared" si="2"/>
        <v>741121466</v>
      </c>
      <c r="M10" s="35">
        <f t="shared" si="2"/>
        <v>8969420395</v>
      </c>
      <c r="N10" s="35">
        <f t="shared" si="2"/>
        <v>1585685047</v>
      </c>
      <c r="O10" s="35">
        <f t="shared" si="2"/>
        <v>8835373696</v>
      </c>
      <c r="P10" s="35">
        <f t="shared" si="2"/>
        <v>1415458055</v>
      </c>
      <c r="Q10" s="35">
        <f t="shared" si="2"/>
        <v>8641112474</v>
      </c>
      <c r="R10" s="35">
        <f t="shared" si="2"/>
        <v>0</v>
      </c>
      <c r="S10" s="35">
        <f t="shared" si="2"/>
        <v>134046699</v>
      </c>
      <c r="T10" s="102">
        <f t="shared" si="2"/>
        <v>194261222</v>
      </c>
      <c r="U10" s="153"/>
    </row>
    <row r="11" spans="2:21" s="14" customFormat="1" ht="15" customHeight="1" x14ac:dyDescent="0.25">
      <c r="B11" s="98" t="s">
        <v>30</v>
      </c>
      <c r="C11" s="34" t="s">
        <v>31</v>
      </c>
      <c r="D11" s="35">
        <f>+D12+D22+D27</f>
        <v>7321105214</v>
      </c>
      <c r="E11" s="156">
        <f>SUM(E13:E20)</f>
        <v>0</v>
      </c>
      <c r="F11" s="35">
        <f>+F12+F22+F27</f>
        <v>0</v>
      </c>
      <c r="G11" s="156">
        <f>SUM(G13:G20)</f>
        <v>52000000</v>
      </c>
      <c r="H11" s="37">
        <f>+H12</f>
        <v>302000000</v>
      </c>
      <c r="I11" s="37">
        <f>+D11+E11--F11+G11-H11</f>
        <v>7071105214</v>
      </c>
      <c r="J11" s="35">
        <f t="shared" ref="J11:T11" si="3">+J12+J22+J27</f>
        <v>602671931</v>
      </c>
      <c r="K11" s="35">
        <f t="shared" si="3"/>
        <v>8648399122</v>
      </c>
      <c r="L11" s="35">
        <f t="shared" si="3"/>
        <v>686408597</v>
      </c>
      <c r="M11" s="35">
        <f t="shared" si="3"/>
        <v>8648399122</v>
      </c>
      <c r="N11" s="35">
        <f t="shared" si="3"/>
        <v>1508316195</v>
      </c>
      <c r="O11" s="35">
        <f t="shared" si="3"/>
        <v>8514352423</v>
      </c>
      <c r="P11" s="35">
        <f t="shared" si="3"/>
        <v>1348078711</v>
      </c>
      <c r="Q11" s="35">
        <f t="shared" si="3"/>
        <v>8334480709</v>
      </c>
      <c r="R11" s="35">
        <f t="shared" si="3"/>
        <v>0</v>
      </c>
      <c r="S11" s="35">
        <f t="shared" si="3"/>
        <v>134046699</v>
      </c>
      <c r="T11" s="102">
        <f t="shared" si="3"/>
        <v>179871714</v>
      </c>
      <c r="U11" s="153"/>
    </row>
    <row r="12" spans="2:21" s="14" customFormat="1" ht="15" customHeight="1" x14ac:dyDescent="0.25">
      <c r="B12" s="98" t="s">
        <v>194</v>
      </c>
      <c r="C12" s="101" t="s">
        <v>33</v>
      </c>
      <c r="D12" s="35">
        <f>SUM(D13:D21)</f>
        <v>1700000000</v>
      </c>
      <c r="E12" s="158">
        <f t="shared" ref="E12:T12" si="4">SUM(E13:E21)</f>
        <v>0</v>
      </c>
      <c r="F12" s="158">
        <f t="shared" si="4"/>
        <v>0</v>
      </c>
      <c r="G12" s="158">
        <f t="shared" si="4"/>
        <v>52000000</v>
      </c>
      <c r="H12" s="35">
        <f>SUM(H13:H21)</f>
        <v>302000000</v>
      </c>
      <c r="I12" s="37">
        <f>+D12+E12--F12+G12-H12</f>
        <v>1450000000</v>
      </c>
      <c r="J12" s="35">
        <f t="shared" si="4"/>
        <v>203324119</v>
      </c>
      <c r="K12" s="35">
        <f t="shared" si="4"/>
        <v>1282320933</v>
      </c>
      <c r="L12" s="35">
        <f t="shared" si="4"/>
        <v>203324119</v>
      </c>
      <c r="M12" s="35">
        <f t="shared" si="4"/>
        <v>1282320933</v>
      </c>
      <c r="N12" s="35">
        <f t="shared" si="4"/>
        <v>203324119</v>
      </c>
      <c r="O12" s="35">
        <f t="shared" si="4"/>
        <v>1282320933</v>
      </c>
      <c r="P12" s="35">
        <f t="shared" si="4"/>
        <v>183958765</v>
      </c>
      <c r="Q12" s="35">
        <f t="shared" si="4"/>
        <v>1255971349</v>
      </c>
      <c r="R12" s="35">
        <f t="shared" si="4"/>
        <v>0</v>
      </c>
      <c r="S12" s="35">
        <f t="shared" si="4"/>
        <v>0</v>
      </c>
      <c r="T12" s="102">
        <f t="shared" si="4"/>
        <v>26349584</v>
      </c>
      <c r="U12" s="153"/>
    </row>
    <row r="13" spans="2:21" s="14" customFormat="1" ht="15" customHeight="1" x14ac:dyDescent="0.25">
      <c r="B13" s="111" t="s">
        <v>195</v>
      </c>
      <c r="C13" s="58" t="s">
        <v>196</v>
      </c>
      <c r="D13" s="159">
        <v>1225000000</v>
      </c>
      <c r="E13" s="160">
        <v>0</v>
      </c>
      <c r="F13" s="160">
        <v>0</v>
      </c>
      <c r="G13" s="160">
        <v>52000000</v>
      </c>
      <c r="H13" s="36">
        <v>250000000</v>
      </c>
      <c r="I13" s="36">
        <f t="shared" ref="I13:I21" si="5">+D13+E13-F13+G13-H13</f>
        <v>1027000000</v>
      </c>
      <c r="J13" s="159">
        <v>85838670</v>
      </c>
      <c r="K13" s="161">
        <v>1008717224</v>
      </c>
      <c r="L13" s="159">
        <v>85838670</v>
      </c>
      <c r="M13" s="159">
        <v>1008717224</v>
      </c>
      <c r="N13" s="159">
        <v>85838670</v>
      </c>
      <c r="O13" s="159">
        <v>1008717224</v>
      </c>
      <c r="P13" s="159">
        <v>85838670</v>
      </c>
      <c r="Q13" s="159">
        <v>1008717224</v>
      </c>
      <c r="R13" s="161">
        <v>0</v>
      </c>
      <c r="S13" s="161">
        <v>0</v>
      </c>
      <c r="T13" s="162">
        <v>0</v>
      </c>
      <c r="U13" s="153"/>
    </row>
    <row r="14" spans="2:21" ht="15" customHeight="1" x14ac:dyDescent="0.2">
      <c r="B14" s="111" t="s">
        <v>197</v>
      </c>
      <c r="C14" s="58" t="s">
        <v>198</v>
      </c>
      <c r="D14" s="159">
        <v>85000000</v>
      </c>
      <c r="E14" s="160">
        <v>0</v>
      </c>
      <c r="F14" s="160">
        <v>0</v>
      </c>
      <c r="G14" s="160">
        <v>0</v>
      </c>
      <c r="H14" s="36">
        <v>52000000</v>
      </c>
      <c r="I14" s="36">
        <f t="shared" si="5"/>
        <v>33000000</v>
      </c>
      <c r="J14" s="159">
        <v>1540763</v>
      </c>
      <c r="K14" s="161">
        <v>24910583</v>
      </c>
      <c r="L14" s="159">
        <v>1540763</v>
      </c>
      <c r="M14" s="159">
        <v>24910583</v>
      </c>
      <c r="N14" s="159">
        <v>1540763</v>
      </c>
      <c r="O14" s="159">
        <v>24910583</v>
      </c>
      <c r="P14" s="159">
        <v>1540763</v>
      </c>
      <c r="Q14" s="159">
        <v>24910583</v>
      </c>
      <c r="R14" s="161">
        <v>0</v>
      </c>
      <c r="S14" s="161">
        <v>0</v>
      </c>
      <c r="T14" s="162">
        <v>0</v>
      </c>
    </row>
    <row r="15" spans="2:21" ht="15" customHeight="1" x14ac:dyDescent="0.2">
      <c r="B15" s="111" t="s">
        <v>199</v>
      </c>
      <c r="C15" s="58" t="s">
        <v>200</v>
      </c>
      <c r="D15" s="159">
        <v>20000000</v>
      </c>
      <c r="E15" s="160">
        <v>0</v>
      </c>
      <c r="F15" s="160">
        <v>0</v>
      </c>
      <c r="G15" s="160">
        <v>0</v>
      </c>
      <c r="H15" s="36">
        <v>0</v>
      </c>
      <c r="I15" s="36">
        <f t="shared" si="5"/>
        <v>20000000</v>
      </c>
      <c r="J15" s="159">
        <v>0</v>
      </c>
      <c r="K15" s="161">
        <v>16558595</v>
      </c>
      <c r="L15" s="159">
        <v>0</v>
      </c>
      <c r="M15" s="159">
        <v>16558595</v>
      </c>
      <c r="N15" s="159">
        <v>0</v>
      </c>
      <c r="O15" s="159">
        <v>16558595</v>
      </c>
      <c r="P15" s="159">
        <v>6984230</v>
      </c>
      <c r="Q15" s="159">
        <v>16558595</v>
      </c>
      <c r="R15" s="161">
        <v>0</v>
      </c>
      <c r="S15" s="161">
        <v>0</v>
      </c>
      <c r="T15" s="162">
        <v>0</v>
      </c>
    </row>
    <row r="16" spans="2:21" ht="15" customHeight="1" x14ac:dyDescent="0.2">
      <c r="B16" s="111" t="s">
        <v>201</v>
      </c>
      <c r="C16" s="58" t="s">
        <v>202</v>
      </c>
      <c r="D16" s="159">
        <v>80000000</v>
      </c>
      <c r="E16" s="160">
        <v>0</v>
      </c>
      <c r="F16" s="160">
        <v>0</v>
      </c>
      <c r="G16" s="160">
        <v>0</v>
      </c>
      <c r="H16" s="36">
        <v>0</v>
      </c>
      <c r="I16" s="36">
        <f t="shared" si="5"/>
        <v>80000000</v>
      </c>
      <c r="J16" s="159">
        <v>1050520</v>
      </c>
      <c r="K16" s="161">
        <v>28441097</v>
      </c>
      <c r="L16" s="159">
        <v>1050520</v>
      </c>
      <c r="M16" s="159">
        <v>28441097</v>
      </c>
      <c r="N16" s="159">
        <v>1050520</v>
      </c>
      <c r="O16" s="159">
        <v>28441097</v>
      </c>
      <c r="P16" s="159">
        <v>1050520</v>
      </c>
      <c r="Q16" s="159">
        <v>28441097</v>
      </c>
      <c r="R16" s="161">
        <v>0</v>
      </c>
      <c r="S16" s="161">
        <v>0</v>
      </c>
      <c r="T16" s="162">
        <v>0</v>
      </c>
    </row>
    <row r="17" spans="2:21" ht="15" customHeight="1" x14ac:dyDescent="0.2">
      <c r="B17" s="111" t="s">
        <v>203</v>
      </c>
      <c r="C17" s="58" t="s">
        <v>204</v>
      </c>
      <c r="D17" s="159">
        <v>10000000</v>
      </c>
      <c r="E17" s="160">
        <v>0</v>
      </c>
      <c r="F17" s="160">
        <v>0</v>
      </c>
      <c r="G17" s="160">
        <v>0</v>
      </c>
      <c r="H17" s="36">
        <v>0</v>
      </c>
      <c r="I17" s="36">
        <f t="shared" si="5"/>
        <v>10000000</v>
      </c>
      <c r="J17" s="159">
        <v>130508</v>
      </c>
      <c r="K17" s="161">
        <v>3535789</v>
      </c>
      <c r="L17" s="159">
        <v>130508</v>
      </c>
      <c r="M17" s="159">
        <v>3535789</v>
      </c>
      <c r="N17" s="159">
        <v>130508</v>
      </c>
      <c r="O17" s="159">
        <v>3535789</v>
      </c>
      <c r="P17" s="159">
        <v>130508</v>
      </c>
      <c r="Q17" s="159">
        <v>3535789</v>
      </c>
      <c r="R17" s="161">
        <v>0</v>
      </c>
      <c r="S17" s="161">
        <v>0</v>
      </c>
      <c r="T17" s="162">
        <v>0</v>
      </c>
    </row>
    <row r="18" spans="2:21" ht="15" customHeight="1" x14ac:dyDescent="0.2">
      <c r="B18" s="111" t="s">
        <v>205</v>
      </c>
      <c r="C18" s="58" t="s">
        <v>206</v>
      </c>
      <c r="D18" s="159">
        <v>45000000</v>
      </c>
      <c r="E18" s="160">
        <v>0</v>
      </c>
      <c r="F18" s="160">
        <v>0</v>
      </c>
      <c r="G18" s="160">
        <v>0</v>
      </c>
      <c r="H18" s="36">
        <v>0</v>
      </c>
      <c r="I18" s="36">
        <f t="shared" si="5"/>
        <v>45000000</v>
      </c>
      <c r="J18" s="159">
        <v>5633630</v>
      </c>
      <c r="K18" s="161">
        <v>30886974</v>
      </c>
      <c r="L18" s="159">
        <v>5633630</v>
      </c>
      <c r="M18" s="159">
        <v>30886974</v>
      </c>
      <c r="N18" s="159">
        <v>5633630</v>
      </c>
      <c r="O18" s="159">
        <v>30886974</v>
      </c>
      <c r="P18" s="159">
        <v>5633630</v>
      </c>
      <c r="Q18" s="159">
        <v>30886974</v>
      </c>
      <c r="R18" s="161">
        <v>0</v>
      </c>
      <c r="S18" s="161">
        <v>0</v>
      </c>
      <c r="T18" s="162">
        <v>0</v>
      </c>
    </row>
    <row r="19" spans="2:21" ht="15" customHeight="1" x14ac:dyDescent="0.2">
      <c r="B19" s="111" t="s">
        <v>207</v>
      </c>
      <c r="C19" s="58" t="s">
        <v>208</v>
      </c>
      <c r="D19" s="159">
        <v>70000000</v>
      </c>
      <c r="E19" s="160">
        <v>0</v>
      </c>
      <c r="F19" s="160">
        <v>0</v>
      </c>
      <c r="G19" s="160">
        <v>0</v>
      </c>
      <c r="H19" s="36">
        <v>0</v>
      </c>
      <c r="I19" s="36">
        <f t="shared" si="5"/>
        <v>70000000</v>
      </c>
      <c r="J19" s="159">
        <v>0</v>
      </c>
      <c r="K19" s="161">
        <v>46294817</v>
      </c>
      <c r="L19" s="159">
        <v>0</v>
      </c>
      <c r="M19" s="159">
        <v>46294817</v>
      </c>
      <c r="N19" s="159">
        <v>0</v>
      </c>
      <c r="O19" s="159">
        <v>46294817</v>
      </c>
      <c r="P19" s="159">
        <v>0</v>
      </c>
      <c r="Q19" s="159">
        <v>46294817</v>
      </c>
      <c r="R19" s="161">
        <v>0</v>
      </c>
      <c r="S19" s="161">
        <v>0</v>
      </c>
      <c r="T19" s="162">
        <v>0</v>
      </c>
    </row>
    <row r="20" spans="2:21" s="14" customFormat="1" ht="15" customHeight="1" x14ac:dyDescent="0.25">
      <c r="B20" s="111" t="s">
        <v>209</v>
      </c>
      <c r="C20" s="58" t="s">
        <v>210</v>
      </c>
      <c r="D20" s="159">
        <v>115000000</v>
      </c>
      <c r="E20" s="160">
        <v>0</v>
      </c>
      <c r="F20" s="160">
        <f>+F22+F23+F24</f>
        <v>0</v>
      </c>
      <c r="G20" s="160">
        <v>0</v>
      </c>
      <c r="H20" s="36">
        <v>0</v>
      </c>
      <c r="I20" s="36">
        <f t="shared" si="5"/>
        <v>115000000</v>
      </c>
      <c r="J20" s="159">
        <v>82780444</v>
      </c>
      <c r="K20" s="161">
        <v>96626270</v>
      </c>
      <c r="L20" s="159">
        <v>82780444</v>
      </c>
      <c r="M20" s="159">
        <v>96626270</v>
      </c>
      <c r="N20" s="159">
        <v>82780444</v>
      </c>
      <c r="O20" s="159">
        <v>96626270</v>
      </c>
      <c r="P20" s="159">
        <v>82780444</v>
      </c>
      <c r="Q20" s="159">
        <v>96626270</v>
      </c>
      <c r="R20" s="161">
        <v>0</v>
      </c>
      <c r="S20" s="161">
        <v>0</v>
      </c>
      <c r="T20" s="162">
        <v>0</v>
      </c>
      <c r="U20" s="153"/>
    </row>
    <row r="21" spans="2:21" s="14" customFormat="1" ht="15" customHeight="1" x14ac:dyDescent="0.25">
      <c r="B21" s="111" t="s">
        <v>211</v>
      </c>
      <c r="C21" s="58" t="s">
        <v>212</v>
      </c>
      <c r="D21" s="159">
        <v>50000000</v>
      </c>
      <c r="E21" s="160">
        <v>0</v>
      </c>
      <c r="F21" s="160">
        <f>+F23+F24+F25</f>
        <v>0</v>
      </c>
      <c r="G21" s="160">
        <v>0</v>
      </c>
      <c r="H21" s="36">
        <v>0</v>
      </c>
      <c r="I21" s="36">
        <f t="shared" si="5"/>
        <v>50000000</v>
      </c>
      <c r="J21" s="159">
        <v>26349584</v>
      </c>
      <c r="K21" s="161">
        <v>26349584</v>
      </c>
      <c r="L21" s="159">
        <v>26349584</v>
      </c>
      <c r="M21" s="159">
        <v>26349584</v>
      </c>
      <c r="N21" s="159">
        <v>26349584</v>
      </c>
      <c r="O21" s="159">
        <v>26349584</v>
      </c>
      <c r="P21" s="159">
        <v>0</v>
      </c>
      <c r="Q21" s="159">
        <v>0</v>
      </c>
      <c r="R21" s="161">
        <v>0</v>
      </c>
      <c r="S21" s="161">
        <v>0</v>
      </c>
      <c r="T21" s="162">
        <v>26349584</v>
      </c>
      <c r="U21" s="153"/>
    </row>
    <row r="22" spans="2:21" s="14" customFormat="1" ht="15" customHeight="1" x14ac:dyDescent="0.25">
      <c r="B22" s="98" t="s">
        <v>213</v>
      </c>
      <c r="C22" s="101" t="s">
        <v>49</v>
      </c>
      <c r="D22" s="35">
        <f t="shared" ref="D22:H22" si="6">SUM(D23:D25)</f>
        <v>5021105214</v>
      </c>
      <c r="E22" s="158">
        <f>SUM(E23:E26)</f>
        <v>1658260573</v>
      </c>
      <c r="F22" s="158">
        <f>SUM(F23:F26)</f>
        <v>0</v>
      </c>
      <c r="G22" s="158">
        <f>SUM(G23:G26)</f>
        <v>848000000</v>
      </c>
      <c r="H22" s="35">
        <f t="shared" si="6"/>
        <v>423000000</v>
      </c>
      <c r="I22" s="37">
        <f>SUM(I23:I26)</f>
        <v>7104365787</v>
      </c>
      <c r="J22" s="35">
        <f>SUM(J23:J26)</f>
        <v>288898520</v>
      </c>
      <c r="K22" s="35">
        <f>SUM(K23:K26)</f>
        <v>6934541238</v>
      </c>
      <c r="L22" s="35">
        <f>SUM(L23:L26)</f>
        <v>372635186</v>
      </c>
      <c r="M22" s="35">
        <f>SUM(M23:M26)</f>
        <v>6934541238</v>
      </c>
      <c r="N22" s="35">
        <f t="shared" ref="N22:T22" si="7">SUM(N23:N26)</f>
        <v>1194542784</v>
      </c>
      <c r="O22" s="35">
        <f t="shared" si="7"/>
        <v>6800494539</v>
      </c>
      <c r="P22" s="35">
        <f t="shared" si="7"/>
        <v>1136571446</v>
      </c>
      <c r="Q22" s="35">
        <f t="shared" si="7"/>
        <v>6729873201</v>
      </c>
      <c r="R22" s="35">
        <f t="shared" si="7"/>
        <v>0</v>
      </c>
      <c r="S22" s="35">
        <f t="shared" si="7"/>
        <v>134046699</v>
      </c>
      <c r="T22" s="102">
        <f t="shared" si="7"/>
        <v>70621338</v>
      </c>
      <c r="U22" s="153"/>
    </row>
    <row r="23" spans="2:21" s="14" customFormat="1" ht="15" customHeight="1" x14ac:dyDescent="0.25">
      <c r="B23" s="111" t="s">
        <v>214</v>
      </c>
      <c r="C23" s="58" t="s">
        <v>215</v>
      </c>
      <c r="D23" s="159">
        <v>30000000</v>
      </c>
      <c r="E23" s="160">
        <v>0</v>
      </c>
      <c r="F23" s="160">
        <v>0</v>
      </c>
      <c r="G23" s="160">
        <v>0</v>
      </c>
      <c r="H23" s="36">
        <v>23000000</v>
      </c>
      <c r="I23" s="36">
        <f>+D23+E23-F23+G23-H23</f>
        <v>7000000</v>
      </c>
      <c r="J23" s="159">
        <v>0</v>
      </c>
      <c r="K23" s="161">
        <v>0</v>
      </c>
      <c r="L23" s="159">
        <v>0</v>
      </c>
      <c r="M23" s="159">
        <v>0</v>
      </c>
      <c r="N23" s="159">
        <v>0</v>
      </c>
      <c r="O23" s="159">
        <v>0</v>
      </c>
      <c r="P23" s="159">
        <v>0</v>
      </c>
      <c r="Q23" s="159">
        <v>0</v>
      </c>
      <c r="R23" s="161">
        <v>0</v>
      </c>
      <c r="S23" s="161">
        <v>0</v>
      </c>
      <c r="T23" s="162">
        <v>0</v>
      </c>
      <c r="U23" s="153"/>
    </row>
    <row r="24" spans="2:21" ht="15" customHeight="1" x14ac:dyDescent="0.2">
      <c r="B24" s="111" t="s">
        <v>216</v>
      </c>
      <c r="C24" s="58" t="s">
        <v>217</v>
      </c>
      <c r="D24" s="159">
        <v>3391105214</v>
      </c>
      <c r="E24" s="160">
        <f>422094714+540000000+270355859</f>
        <v>1232450573</v>
      </c>
      <c r="F24" s="160">
        <v>0</v>
      </c>
      <c r="G24" s="160">
        <f>600000000+150000000+18000000</f>
        <v>768000000</v>
      </c>
      <c r="H24" s="36">
        <v>0</v>
      </c>
      <c r="I24" s="36">
        <f>+D24+E24-F24+G24-H24</f>
        <v>5391555787</v>
      </c>
      <c r="J24" s="159">
        <v>286733418</v>
      </c>
      <c r="K24" s="161">
        <v>5372519137</v>
      </c>
      <c r="L24" s="159">
        <v>325073418</v>
      </c>
      <c r="M24" s="159">
        <v>5372519137</v>
      </c>
      <c r="N24" s="159">
        <v>955693383</v>
      </c>
      <c r="O24" s="159">
        <v>5288599138</v>
      </c>
      <c r="P24" s="159">
        <v>915210379</v>
      </c>
      <c r="Q24" s="159">
        <v>5237166134</v>
      </c>
      <c r="R24" s="161">
        <v>0</v>
      </c>
      <c r="S24" s="161">
        <v>83919999</v>
      </c>
      <c r="T24" s="162">
        <v>51433004</v>
      </c>
    </row>
    <row r="25" spans="2:21" s="14" customFormat="1" ht="15" customHeight="1" x14ac:dyDescent="0.25">
      <c r="B25" s="111" t="s">
        <v>218</v>
      </c>
      <c r="C25" s="58" t="s">
        <v>219</v>
      </c>
      <c r="D25" s="159">
        <v>1600000000</v>
      </c>
      <c r="E25" s="160">
        <v>288000000</v>
      </c>
      <c r="F25" s="160">
        <v>0</v>
      </c>
      <c r="G25" s="160">
        <v>80000000</v>
      </c>
      <c r="H25" s="36">
        <v>400000000</v>
      </c>
      <c r="I25" s="36">
        <f>+D25+E25-F25+G25-H25</f>
        <v>1568000000</v>
      </c>
      <c r="J25" s="159">
        <v>2165102</v>
      </c>
      <c r="K25" s="161">
        <v>1562022101</v>
      </c>
      <c r="L25" s="159">
        <v>47561768</v>
      </c>
      <c r="M25" s="159">
        <v>1562022101</v>
      </c>
      <c r="N25" s="159">
        <v>238849401</v>
      </c>
      <c r="O25" s="159">
        <v>1511895401</v>
      </c>
      <c r="P25" s="159">
        <v>221361067</v>
      </c>
      <c r="Q25" s="159">
        <v>1492707067</v>
      </c>
      <c r="R25" s="161">
        <v>0</v>
      </c>
      <c r="S25" s="161">
        <v>50126700</v>
      </c>
      <c r="T25" s="162">
        <v>19188334</v>
      </c>
      <c r="U25" s="153"/>
    </row>
    <row r="26" spans="2:21" s="14" customFormat="1" ht="15" customHeight="1" x14ac:dyDescent="0.25">
      <c r="B26" s="111" t="s">
        <v>386</v>
      </c>
      <c r="C26" s="58" t="s">
        <v>387</v>
      </c>
      <c r="D26" s="159">
        <v>0</v>
      </c>
      <c r="E26" s="160">
        <v>137810000</v>
      </c>
      <c r="F26" s="160">
        <v>0</v>
      </c>
      <c r="G26" s="160">
        <v>0</v>
      </c>
      <c r="H26" s="36">
        <v>0</v>
      </c>
      <c r="I26" s="36">
        <f>+D26+E26-F26+G26-H26</f>
        <v>137810000</v>
      </c>
      <c r="J26" s="159">
        <v>0</v>
      </c>
      <c r="K26" s="161">
        <v>0</v>
      </c>
      <c r="L26" s="159">
        <v>0</v>
      </c>
      <c r="M26" s="159">
        <v>0</v>
      </c>
      <c r="N26" s="159">
        <v>0</v>
      </c>
      <c r="O26" s="159">
        <v>0</v>
      </c>
      <c r="P26" s="159">
        <v>0</v>
      </c>
      <c r="Q26" s="159">
        <v>0</v>
      </c>
      <c r="R26" s="161">
        <v>0</v>
      </c>
      <c r="S26" s="161">
        <v>0</v>
      </c>
      <c r="T26" s="162">
        <v>0</v>
      </c>
      <c r="U26" s="153"/>
    </row>
    <row r="27" spans="2:21" s="14" customFormat="1" ht="15" customHeight="1" x14ac:dyDescent="0.25">
      <c r="B27" s="98" t="s">
        <v>220</v>
      </c>
      <c r="C27" s="101" t="s">
        <v>221</v>
      </c>
      <c r="D27" s="35">
        <f>+D28+D32+D37+D38+D39+D40</f>
        <v>600000000</v>
      </c>
      <c r="E27" s="158">
        <f t="shared" ref="E27:R27" si="8">+E28+E32+E37+E38+E39+E40</f>
        <v>0</v>
      </c>
      <c r="F27" s="158">
        <f t="shared" si="8"/>
        <v>0</v>
      </c>
      <c r="G27" s="158">
        <f t="shared" si="8"/>
        <v>0</v>
      </c>
      <c r="H27" s="35">
        <f>+H28+H32+H36</f>
        <v>0</v>
      </c>
      <c r="I27" s="35">
        <f>+I28+I32+I36</f>
        <v>600000000</v>
      </c>
      <c r="J27" s="35">
        <f t="shared" si="8"/>
        <v>110449292</v>
      </c>
      <c r="K27" s="35">
        <f t="shared" si="8"/>
        <v>431536951</v>
      </c>
      <c r="L27" s="35">
        <f t="shared" si="8"/>
        <v>110449292</v>
      </c>
      <c r="M27" s="35">
        <f t="shared" si="8"/>
        <v>431536951</v>
      </c>
      <c r="N27" s="35">
        <f t="shared" si="8"/>
        <v>110449292</v>
      </c>
      <c r="O27" s="35">
        <f t="shared" si="8"/>
        <v>431536951</v>
      </c>
      <c r="P27" s="35">
        <f t="shared" si="8"/>
        <v>27548500</v>
      </c>
      <c r="Q27" s="35">
        <f t="shared" si="8"/>
        <v>348636159</v>
      </c>
      <c r="R27" s="35">
        <f t="shared" si="8"/>
        <v>0</v>
      </c>
      <c r="S27" s="35">
        <f>+S28+S32+S37+S38+S39+S40</f>
        <v>0</v>
      </c>
      <c r="T27" s="102">
        <f>+T28+T32+T37+T38+T39+T40</f>
        <v>82900792</v>
      </c>
      <c r="U27" s="153"/>
    </row>
    <row r="28" spans="2:21" s="14" customFormat="1" ht="15" customHeight="1" x14ac:dyDescent="0.25">
      <c r="B28" s="98" t="s">
        <v>222</v>
      </c>
      <c r="C28" s="101" t="s">
        <v>223</v>
      </c>
      <c r="D28" s="35">
        <f t="shared" ref="D28:R28" si="9">SUM(D29:D31)</f>
        <v>245000000</v>
      </c>
      <c r="E28" s="158">
        <f t="shared" si="9"/>
        <v>0</v>
      </c>
      <c r="F28" s="158">
        <f t="shared" si="9"/>
        <v>0</v>
      </c>
      <c r="G28" s="158">
        <f t="shared" si="9"/>
        <v>0</v>
      </c>
      <c r="H28" s="35">
        <f t="shared" si="9"/>
        <v>0</v>
      </c>
      <c r="I28" s="35">
        <f t="shared" si="9"/>
        <v>245000000</v>
      </c>
      <c r="J28" s="35">
        <f t="shared" si="9"/>
        <v>56333578</v>
      </c>
      <c r="K28" s="35">
        <f t="shared" si="9"/>
        <v>169441345</v>
      </c>
      <c r="L28" s="35">
        <f t="shared" si="9"/>
        <v>56333578</v>
      </c>
      <c r="M28" s="35">
        <f t="shared" si="9"/>
        <v>169441345</v>
      </c>
      <c r="N28" s="35">
        <f t="shared" si="9"/>
        <v>56333578</v>
      </c>
      <c r="O28" s="35">
        <f t="shared" si="9"/>
        <v>169441345</v>
      </c>
      <c r="P28" s="35">
        <f t="shared" si="9"/>
        <v>9930700</v>
      </c>
      <c r="Q28" s="35">
        <f t="shared" si="9"/>
        <v>123038467</v>
      </c>
      <c r="R28" s="35">
        <f t="shared" si="9"/>
        <v>0</v>
      </c>
      <c r="S28" s="35">
        <f>SUM(S29:S31)</f>
        <v>0</v>
      </c>
      <c r="T28" s="102">
        <f>SUM(T29:T31)</f>
        <v>46402878</v>
      </c>
      <c r="U28" s="153"/>
    </row>
    <row r="29" spans="2:21" s="14" customFormat="1" ht="15" customHeight="1" x14ac:dyDescent="0.25">
      <c r="B29" s="111" t="s">
        <v>224</v>
      </c>
      <c r="C29" s="58" t="s">
        <v>225</v>
      </c>
      <c r="D29" s="159">
        <v>118000000</v>
      </c>
      <c r="E29" s="160">
        <v>0</v>
      </c>
      <c r="F29" s="160">
        <v>0</v>
      </c>
      <c r="G29" s="160">
        <v>0</v>
      </c>
      <c r="H29" s="36">
        <v>0</v>
      </c>
      <c r="I29" s="36">
        <f>+D29+E29-F29+G29-H29</f>
        <v>118000000</v>
      </c>
      <c r="J29" s="159">
        <v>7635800</v>
      </c>
      <c r="K29" s="161">
        <v>87686904</v>
      </c>
      <c r="L29" s="159">
        <v>7635800</v>
      </c>
      <c r="M29" s="159">
        <v>87686904</v>
      </c>
      <c r="N29" s="159">
        <v>7635800</v>
      </c>
      <c r="O29" s="159">
        <v>87686904</v>
      </c>
      <c r="P29" s="159">
        <v>7635800</v>
      </c>
      <c r="Q29" s="159">
        <v>87686904</v>
      </c>
      <c r="R29" s="161">
        <v>0</v>
      </c>
      <c r="S29" s="161">
        <v>0</v>
      </c>
      <c r="T29" s="162">
        <v>0</v>
      </c>
      <c r="U29" s="153"/>
    </row>
    <row r="30" spans="2:21" ht="15" customHeight="1" x14ac:dyDescent="0.2">
      <c r="B30" s="111" t="s">
        <v>226</v>
      </c>
      <c r="C30" s="58" t="s">
        <v>227</v>
      </c>
      <c r="D30" s="159">
        <v>87000000</v>
      </c>
      <c r="E30" s="160">
        <v>0</v>
      </c>
      <c r="F30" s="160">
        <v>0</v>
      </c>
      <c r="G30" s="160">
        <v>0</v>
      </c>
      <c r="H30" s="36">
        <v>0</v>
      </c>
      <c r="I30" s="36">
        <f>+D30+E30-F30+G30-H30</f>
        <v>87000000</v>
      </c>
      <c r="J30" s="159">
        <v>46402878</v>
      </c>
      <c r="K30" s="161">
        <v>55164485</v>
      </c>
      <c r="L30" s="159">
        <v>46402878</v>
      </c>
      <c r="M30" s="159">
        <v>55164485</v>
      </c>
      <c r="N30" s="159">
        <v>46402878</v>
      </c>
      <c r="O30" s="159">
        <v>55164485</v>
      </c>
      <c r="P30" s="159">
        <v>0</v>
      </c>
      <c r="Q30" s="159">
        <v>8761607</v>
      </c>
      <c r="R30" s="161">
        <v>0</v>
      </c>
      <c r="S30" s="161">
        <v>0</v>
      </c>
      <c r="T30" s="162">
        <v>46402878</v>
      </c>
    </row>
    <row r="31" spans="2:21" ht="15" customHeight="1" x14ac:dyDescent="0.2">
      <c r="B31" s="111" t="s">
        <v>228</v>
      </c>
      <c r="C31" s="58" t="s">
        <v>229</v>
      </c>
      <c r="D31" s="159">
        <v>40000000</v>
      </c>
      <c r="E31" s="160">
        <v>0</v>
      </c>
      <c r="F31" s="160">
        <v>0</v>
      </c>
      <c r="G31" s="160">
        <v>0</v>
      </c>
      <c r="H31" s="36">
        <v>0</v>
      </c>
      <c r="I31" s="36">
        <f>+D31+E31-F31+G31-H31</f>
        <v>40000000</v>
      </c>
      <c r="J31" s="159">
        <v>2294900</v>
      </c>
      <c r="K31" s="161">
        <v>26589956</v>
      </c>
      <c r="L31" s="159">
        <v>2294900</v>
      </c>
      <c r="M31" s="159">
        <v>26589956</v>
      </c>
      <c r="N31" s="159">
        <v>2294900</v>
      </c>
      <c r="O31" s="159">
        <v>26589956</v>
      </c>
      <c r="P31" s="159">
        <v>2294900</v>
      </c>
      <c r="Q31" s="159">
        <v>26589956</v>
      </c>
      <c r="R31" s="161">
        <v>0</v>
      </c>
      <c r="S31" s="161">
        <v>0</v>
      </c>
      <c r="T31" s="162">
        <v>0</v>
      </c>
    </row>
    <row r="32" spans="2:21" s="14" customFormat="1" ht="15" customHeight="1" x14ac:dyDescent="0.25">
      <c r="B32" s="98" t="s">
        <v>230</v>
      </c>
      <c r="C32" s="101" t="s">
        <v>231</v>
      </c>
      <c r="D32" s="35">
        <f>SUM(D33:D35)</f>
        <v>237000000</v>
      </c>
      <c r="E32" s="158">
        <f>SUM(E33:E40)</f>
        <v>0</v>
      </c>
      <c r="F32" s="158">
        <f t="shared" ref="F32:G32" si="10">SUM(F33:F40)</f>
        <v>0</v>
      </c>
      <c r="G32" s="158">
        <f t="shared" si="10"/>
        <v>0</v>
      </c>
      <c r="H32" s="35">
        <f>SUM(H33:H35)</f>
        <v>0</v>
      </c>
      <c r="I32" s="35">
        <f>SUM(I33:I35)</f>
        <v>237000000</v>
      </c>
      <c r="J32" s="35">
        <f t="shared" ref="J32:R32" si="11">SUM(J33:J35)</f>
        <v>45265514</v>
      </c>
      <c r="K32" s="35">
        <f t="shared" si="11"/>
        <v>150109276</v>
      </c>
      <c r="L32" s="35">
        <f t="shared" si="11"/>
        <v>45265514</v>
      </c>
      <c r="M32" s="35">
        <f t="shared" si="11"/>
        <v>150109276</v>
      </c>
      <c r="N32" s="35">
        <f t="shared" si="11"/>
        <v>45265514</v>
      </c>
      <c r="O32" s="35">
        <f t="shared" si="11"/>
        <v>150109276</v>
      </c>
      <c r="P32" s="35">
        <f t="shared" si="11"/>
        <v>8767600</v>
      </c>
      <c r="Q32" s="35">
        <f t="shared" si="11"/>
        <v>113611362</v>
      </c>
      <c r="R32" s="35">
        <f t="shared" si="11"/>
        <v>0</v>
      </c>
      <c r="S32" s="35">
        <f>SUM(S33:S35)</f>
        <v>0</v>
      </c>
      <c r="T32" s="102">
        <f>SUM(T33:T35)</f>
        <v>36497914</v>
      </c>
      <c r="U32" s="153"/>
    </row>
    <row r="33" spans="2:21" ht="15" customHeight="1" x14ac:dyDescent="0.2">
      <c r="B33" s="111" t="s">
        <v>232</v>
      </c>
      <c r="C33" s="58" t="s">
        <v>233</v>
      </c>
      <c r="D33" s="159">
        <v>55000000</v>
      </c>
      <c r="E33" s="160">
        <v>0</v>
      </c>
      <c r="F33" s="160">
        <v>0</v>
      </c>
      <c r="G33" s="160">
        <v>0</v>
      </c>
      <c r="H33" s="36">
        <v>0</v>
      </c>
      <c r="I33" s="36">
        <f>+D33+E33-F33+G33-H33</f>
        <v>55000000</v>
      </c>
      <c r="J33" s="159">
        <v>3310400</v>
      </c>
      <c r="K33" s="161">
        <v>42556323</v>
      </c>
      <c r="L33" s="159">
        <v>3310400</v>
      </c>
      <c r="M33" s="159">
        <v>42556323</v>
      </c>
      <c r="N33" s="159">
        <v>3310400</v>
      </c>
      <c r="O33" s="159">
        <v>42556323</v>
      </c>
      <c r="P33" s="159">
        <v>3310400</v>
      </c>
      <c r="Q33" s="159">
        <v>42556323</v>
      </c>
      <c r="R33" s="161">
        <v>0</v>
      </c>
      <c r="S33" s="161">
        <v>0</v>
      </c>
      <c r="T33" s="162">
        <v>0</v>
      </c>
    </row>
    <row r="34" spans="2:21" ht="15" customHeight="1" x14ac:dyDescent="0.2">
      <c r="B34" s="111" t="s">
        <v>234</v>
      </c>
      <c r="C34" s="58" t="s">
        <v>235</v>
      </c>
      <c r="D34" s="159">
        <v>87000000</v>
      </c>
      <c r="E34" s="160">
        <v>0</v>
      </c>
      <c r="F34" s="160">
        <v>0</v>
      </c>
      <c r="G34" s="160">
        <v>0</v>
      </c>
      <c r="H34" s="36">
        <v>0</v>
      </c>
      <c r="I34" s="36">
        <f>+D34+E34-F34+G34-H34</f>
        <v>87000000</v>
      </c>
      <c r="J34" s="159">
        <v>36497914</v>
      </c>
      <c r="K34" s="161">
        <v>43252085</v>
      </c>
      <c r="L34" s="159">
        <v>36497914</v>
      </c>
      <c r="M34" s="159">
        <v>43252085</v>
      </c>
      <c r="N34" s="159">
        <v>36497914</v>
      </c>
      <c r="O34" s="159">
        <v>43252085</v>
      </c>
      <c r="P34" s="159">
        <v>0</v>
      </c>
      <c r="Q34" s="159">
        <v>6754171</v>
      </c>
      <c r="R34" s="161">
        <v>0</v>
      </c>
      <c r="S34" s="161">
        <v>0</v>
      </c>
      <c r="T34" s="162">
        <v>36497914</v>
      </c>
    </row>
    <row r="35" spans="2:21" ht="15" customHeight="1" x14ac:dyDescent="0.2">
      <c r="B35" s="111" t="s">
        <v>236</v>
      </c>
      <c r="C35" s="58" t="s">
        <v>229</v>
      </c>
      <c r="D35" s="159">
        <v>95000000</v>
      </c>
      <c r="E35" s="160">
        <v>0</v>
      </c>
      <c r="F35" s="160">
        <v>0</v>
      </c>
      <c r="G35" s="160">
        <v>0</v>
      </c>
      <c r="H35" s="36">
        <v>0</v>
      </c>
      <c r="I35" s="36">
        <f>+D35+E35-F35+G35-H35</f>
        <v>95000000</v>
      </c>
      <c r="J35" s="159">
        <v>5457200</v>
      </c>
      <c r="K35" s="161">
        <v>64300868</v>
      </c>
      <c r="L35" s="159">
        <v>5457200</v>
      </c>
      <c r="M35" s="159">
        <v>64300868</v>
      </c>
      <c r="N35" s="159">
        <v>5457200</v>
      </c>
      <c r="O35" s="159">
        <v>64300868</v>
      </c>
      <c r="P35" s="159">
        <v>5457200</v>
      </c>
      <c r="Q35" s="159">
        <v>64300868</v>
      </c>
      <c r="R35" s="161">
        <v>0</v>
      </c>
      <c r="S35" s="161">
        <v>0</v>
      </c>
      <c r="T35" s="162">
        <v>0</v>
      </c>
    </row>
    <row r="36" spans="2:21" s="14" customFormat="1" ht="15" customHeight="1" x14ac:dyDescent="0.25">
      <c r="B36" s="98" t="s">
        <v>237</v>
      </c>
      <c r="C36" s="101" t="s">
        <v>238</v>
      </c>
      <c r="D36" s="37">
        <f>SUM(D37:D40)</f>
        <v>118000000</v>
      </c>
      <c r="E36" s="156">
        <v>0</v>
      </c>
      <c r="F36" s="156">
        <v>0</v>
      </c>
      <c r="G36" s="156">
        <v>0</v>
      </c>
      <c r="H36" s="37">
        <f>SUM(H37:H40)</f>
        <v>0</v>
      </c>
      <c r="I36" s="37">
        <f>SUM(I37:I40)</f>
        <v>118000000</v>
      </c>
      <c r="J36" s="37">
        <f>SUM(J37:J40)</f>
        <v>8850200</v>
      </c>
      <c r="K36" s="37">
        <f>SUM(K37:K40)</f>
        <v>111986330</v>
      </c>
      <c r="L36" s="37">
        <f t="shared" ref="L36:T36" si="12">SUM(L37:L40)</f>
        <v>8850200</v>
      </c>
      <c r="M36" s="37">
        <f t="shared" si="12"/>
        <v>111986330</v>
      </c>
      <c r="N36" s="37">
        <f t="shared" si="12"/>
        <v>8850200</v>
      </c>
      <c r="O36" s="37">
        <f t="shared" si="12"/>
        <v>111986330</v>
      </c>
      <c r="P36" s="37">
        <f t="shared" si="12"/>
        <v>8850200</v>
      </c>
      <c r="Q36" s="37">
        <f t="shared" si="12"/>
        <v>111986330</v>
      </c>
      <c r="R36" s="37">
        <f t="shared" si="12"/>
        <v>0</v>
      </c>
      <c r="S36" s="37">
        <f t="shared" si="12"/>
        <v>0</v>
      </c>
      <c r="T36" s="109">
        <f t="shared" si="12"/>
        <v>0</v>
      </c>
      <c r="U36" s="153"/>
    </row>
    <row r="37" spans="2:21" ht="15" customHeight="1" x14ac:dyDescent="0.2">
      <c r="B37" s="111" t="s">
        <v>239</v>
      </c>
      <c r="C37" s="58" t="s">
        <v>240</v>
      </c>
      <c r="D37" s="159">
        <v>36000000</v>
      </c>
      <c r="E37" s="160">
        <v>0</v>
      </c>
      <c r="F37" s="160">
        <v>0</v>
      </c>
      <c r="G37" s="160">
        <v>0</v>
      </c>
      <c r="H37" s="36">
        <v>0</v>
      </c>
      <c r="I37" s="36">
        <f>+D37+E37-F37+G37-H37</f>
        <v>36000000</v>
      </c>
      <c r="J37" s="159">
        <v>2736700</v>
      </c>
      <c r="K37" s="161">
        <v>35119380</v>
      </c>
      <c r="L37" s="159">
        <v>2736700</v>
      </c>
      <c r="M37" s="159">
        <v>35119380</v>
      </c>
      <c r="N37" s="159">
        <v>2736700</v>
      </c>
      <c r="O37" s="159">
        <v>35119380</v>
      </c>
      <c r="P37" s="159">
        <v>2736700</v>
      </c>
      <c r="Q37" s="159">
        <v>35119380</v>
      </c>
      <c r="R37" s="161">
        <v>0</v>
      </c>
      <c r="S37" s="161">
        <v>0</v>
      </c>
      <c r="T37" s="162">
        <v>0</v>
      </c>
    </row>
    <row r="38" spans="2:21" ht="15" customHeight="1" x14ac:dyDescent="0.2">
      <c r="B38" s="111" t="s">
        <v>241</v>
      </c>
      <c r="C38" s="58" t="s">
        <v>242</v>
      </c>
      <c r="D38" s="159">
        <v>25000000</v>
      </c>
      <c r="E38" s="160">
        <v>0</v>
      </c>
      <c r="F38" s="160">
        <v>0</v>
      </c>
      <c r="G38" s="160">
        <v>0</v>
      </c>
      <c r="H38" s="36">
        <v>0</v>
      </c>
      <c r="I38" s="36">
        <f>+D38+E38-F38+G38-H38</f>
        <v>25000000</v>
      </c>
      <c r="J38" s="159">
        <v>1824700</v>
      </c>
      <c r="K38" s="161">
        <v>23306750</v>
      </c>
      <c r="L38" s="159">
        <v>1824700</v>
      </c>
      <c r="M38" s="159">
        <v>23306750</v>
      </c>
      <c r="N38" s="159">
        <v>1824700</v>
      </c>
      <c r="O38" s="159">
        <v>23306750</v>
      </c>
      <c r="P38" s="159">
        <v>1824700</v>
      </c>
      <c r="Q38" s="159">
        <v>23306750</v>
      </c>
      <c r="R38" s="161">
        <v>0</v>
      </c>
      <c r="S38" s="161">
        <v>0</v>
      </c>
      <c r="T38" s="162">
        <v>0</v>
      </c>
    </row>
    <row r="39" spans="2:21" ht="15" customHeight="1" x14ac:dyDescent="0.2">
      <c r="B39" s="111" t="s">
        <v>243</v>
      </c>
      <c r="C39" s="58" t="s">
        <v>244</v>
      </c>
      <c r="D39" s="159">
        <v>47000000</v>
      </c>
      <c r="E39" s="160">
        <v>0</v>
      </c>
      <c r="F39" s="160">
        <v>0</v>
      </c>
      <c r="G39" s="160">
        <v>0</v>
      </c>
      <c r="H39" s="36">
        <v>0</v>
      </c>
      <c r="I39" s="36">
        <f>+D39+E39-F39+G39-H39</f>
        <v>47000000</v>
      </c>
      <c r="J39" s="159">
        <v>3649200</v>
      </c>
      <c r="K39" s="161">
        <v>46603300</v>
      </c>
      <c r="L39" s="159">
        <v>3649200</v>
      </c>
      <c r="M39" s="159">
        <v>46603300</v>
      </c>
      <c r="N39" s="159">
        <v>3649200</v>
      </c>
      <c r="O39" s="159">
        <v>46603300</v>
      </c>
      <c r="P39" s="159">
        <v>3649200</v>
      </c>
      <c r="Q39" s="159">
        <v>46603300</v>
      </c>
      <c r="R39" s="161">
        <v>0</v>
      </c>
      <c r="S39" s="161">
        <v>0</v>
      </c>
      <c r="T39" s="162">
        <v>0</v>
      </c>
    </row>
    <row r="40" spans="2:21" ht="15" customHeight="1" x14ac:dyDescent="0.2">
      <c r="B40" s="111" t="s">
        <v>245</v>
      </c>
      <c r="C40" s="58" t="s">
        <v>246</v>
      </c>
      <c r="D40" s="159">
        <v>10000000</v>
      </c>
      <c r="E40" s="160">
        <v>0</v>
      </c>
      <c r="F40" s="160">
        <v>0</v>
      </c>
      <c r="G40" s="160">
        <v>0</v>
      </c>
      <c r="H40" s="36">
        <v>0</v>
      </c>
      <c r="I40" s="36">
        <f>+D40+E40-F40+G40-H40</f>
        <v>10000000</v>
      </c>
      <c r="J40" s="159">
        <v>639600</v>
      </c>
      <c r="K40" s="161">
        <v>6956900</v>
      </c>
      <c r="L40" s="159">
        <v>639600</v>
      </c>
      <c r="M40" s="159">
        <v>6956900</v>
      </c>
      <c r="N40" s="159">
        <v>639600</v>
      </c>
      <c r="O40" s="159">
        <v>6956900</v>
      </c>
      <c r="P40" s="159">
        <v>639600</v>
      </c>
      <c r="Q40" s="159">
        <v>6956900</v>
      </c>
      <c r="R40" s="161">
        <v>0</v>
      </c>
      <c r="S40" s="161">
        <v>0</v>
      </c>
      <c r="T40" s="162">
        <v>0</v>
      </c>
    </row>
    <row r="41" spans="2:21" s="14" customFormat="1" ht="15" customHeight="1" x14ac:dyDescent="0.25">
      <c r="B41" s="98" t="s">
        <v>247</v>
      </c>
      <c r="C41" s="101" t="s">
        <v>248</v>
      </c>
      <c r="D41" s="37">
        <f>+D42+D51+D55</f>
        <v>317768769</v>
      </c>
      <c r="E41" s="156">
        <f>+E51</f>
        <v>25780960</v>
      </c>
      <c r="F41" s="156">
        <v>0</v>
      </c>
      <c r="G41" s="37">
        <f>+G42+G51+G55</f>
        <v>55000000</v>
      </c>
      <c r="H41" s="37">
        <f>+H42+H51+H55</f>
        <v>0</v>
      </c>
      <c r="I41" s="37">
        <f>+I42+I51+I55</f>
        <v>398549729</v>
      </c>
      <c r="J41" s="37">
        <f t="shared" ref="J41:T41" si="13">+J42+J51+J55</f>
        <v>53892869</v>
      </c>
      <c r="K41" s="37">
        <f t="shared" si="13"/>
        <v>321021273</v>
      </c>
      <c r="L41" s="37">
        <f>+L42+L55+L51</f>
        <v>54712869</v>
      </c>
      <c r="M41" s="37">
        <f t="shared" si="13"/>
        <v>321021273</v>
      </c>
      <c r="N41" s="37">
        <f t="shared" si="13"/>
        <v>77368852</v>
      </c>
      <c r="O41" s="37">
        <f t="shared" si="13"/>
        <v>321021273</v>
      </c>
      <c r="P41" s="37">
        <f t="shared" si="13"/>
        <v>67379344</v>
      </c>
      <c r="Q41" s="37">
        <f t="shared" si="13"/>
        <v>306631765</v>
      </c>
      <c r="R41" s="37">
        <f t="shared" si="13"/>
        <v>0</v>
      </c>
      <c r="S41" s="37">
        <f t="shared" si="13"/>
        <v>0</v>
      </c>
      <c r="T41" s="109">
        <f t="shared" si="13"/>
        <v>14389508</v>
      </c>
      <c r="U41" s="153"/>
    </row>
    <row r="42" spans="2:21" ht="15" customHeight="1" x14ac:dyDescent="0.25">
      <c r="B42" s="98" t="s">
        <v>249</v>
      </c>
      <c r="C42" s="101" t="s">
        <v>250</v>
      </c>
      <c r="D42" s="37">
        <f>SUM(D43:D50)</f>
        <v>100000000</v>
      </c>
      <c r="E42" s="156">
        <f t="shared" ref="E42:T42" si="14">SUM(E43:E50)</f>
        <v>0</v>
      </c>
      <c r="F42" s="156">
        <f t="shared" si="14"/>
        <v>0</v>
      </c>
      <c r="G42" s="156">
        <f t="shared" si="14"/>
        <v>15000000</v>
      </c>
      <c r="H42" s="37">
        <f>SUM(H43:H50)</f>
        <v>0</v>
      </c>
      <c r="I42" s="37">
        <f t="shared" si="14"/>
        <v>115000000</v>
      </c>
      <c r="J42" s="37">
        <f t="shared" si="14"/>
        <v>15144565</v>
      </c>
      <c r="K42" s="37">
        <f t="shared" si="14"/>
        <v>105271275</v>
      </c>
      <c r="L42" s="37">
        <f>SUM(L43:L50)</f>
        <v>15144565</v>
      </c>
      <c r="M42" s="37">
        <f t="shared" si="14"/>
        <v>105271275</v>
      </c>
      <c r="N42" s="37">
        <f t="shared" si="14"/>
        <v>15144565</v>
      </c>
      <c r="O42" s="37">
        <f t="shared" si="14"/>
        <v>105271275</v>
      </c>
      <c r="P42" s="37">
        <f t="shared" si="14"/>
        <v>15144565</v>
      </c>
      <c r="Q42" s="37">
        <f t="shared" si="14"/>
        <v>105271275</v>
      </c>
      <c r="R42" s="37">
        <f t="shared" si="14"/>
        <v>0</v>
      </c>
      <c r="S42" s="37">
        <f t="shared" si="14"/>
        <v>0</v>
      </c>
      <c r="T42" s="109">
        <f t="shared" si="14"/>
        <v>0</v>
      </c>
    </row>
    <row r="43" spans="2:21" ht="15" customHeight="1" x14ac:dyDescent="0.2">
      <c r="B43" s="111" t="s">
        <v>251</v>
      </c>
      <c r="C43" s="58" t="s">
        <v>196</v>
      </c>
      <c r="D43" s="159">
        <v>69300000</v>
      </c>
      <c r="E43" s="160">
        <v>0</v>
      </c>
      <c r="F43" s="160">
        <v>0</v>
      </c>
      <c r="G43" s="160">
        <v>15000000</v>
      </c>
      <c r="H43" s="36">
        <v>0</v>
      </c>
      <c r="I43" s="36">
        <f t="shared" ref="I43:I50" si="15">+D43+E43-F43+G43-H43</f>
        <v>84300000</v>
      </c>
      <c r="J43" s="159">
        <v>7150465</v>
      </c>
      <c r="K43" s="161">
        <v>83598633</v>
      </c>
      <c r="L43" s="159">
        <v>7150465</v>
      </c>
      <c r="M43" s="159">
        <v>83598633</v>
      </c>
      <c r="N43" s="159">
        <v>7150465</v>
      </c>
      <c r="O43" s="159">
        <v>83598633</v>
      </c>
      <c r="P43" s="159">
        <v>7150465</v>
      </c>
      <c r="Q43" s="159">
        <v>83598633</v>
      </c>
      <c r="R43" s="161">
        <v>0</v>
      </c>
      <c r="S43" s="161">
        <v>0</v>
      </c>
      <c r="T43" s="162">
        <v>0</v>
      </c>
    </row>
    <row r="44" spans="2:21" ht="15" customHeight="1" x14ac:dyDescent="0.2">
      <c r="B44" s="111" t="s">
        <v>252</v>
      </c>
      <c r="C44" s="58" t="s">
        <v>198</v>
      </c>
      <c r="D44" s="159">
        <v>5000000</v>
      </c>
      <c r="E44" s="160">
        <v>0</v>
      </c>
      <c r="F44" s="160">
        <v>0</v>
      </c>
      <c r="G44" s="160">
        <v>0</v>
      </c>
      <c r="H44" s="36">
        <v>0</v>
      </c>
      <c r="I44" s="36">
        <f t="shared" si="15"/>
        <v>5000000</v>
      </c>
      <c r="J44" s="159">
        <v>0</v>
      </c>
      <c r="K44" s="161">
        <v>5000000</v>
      </c>
      <c r="L44" s="159">
        <v>0</v>
      </c>
      <c r="M44" s="159">
        <v>5000000</v>
      </c>
      <c r="N44" s="159">
        <v>0</v>
      </c>
      <c r="O44" s="159">
        <v>5000000</v>
      </c>
      <c r="P44" s="159">
        <v>0</v>
      </c>
      <c r="Q44" s="159">
        <v>5000000</v>
      </c>
      <c r="R44" s="161">
        <v>0</v>
      </c>
      <c r="S44" s="161">
        <v>0</v>
      </c>
      <c r="T44" s="162">
        <v>0</v>
      </c>
    </row>
    <row r="45" spans="2:21" ht="15" customHeight="1" x14ac:dyDescent="0.2">
      <c r="B45" s="111" t="s">
        <v>253</v>
      </c>
      <c r="C45" s="58" t="s">
        <v>200</v>
      </c>
      <c r="D45" s="159">
        <v>100000</v>
      </c>
      <c r="E45" s="160">
        <v>0</v>
      </c>
      <c r="F45" s="160">
        <v>0</v>
      </c>
      <c r="G45" s="160">
        <v>0</v>
      </c>
      <c r="H45" s="36">
        <v>0</v>
      </c>
      <c r="I45" s="36">
        <f t="shared" si="15"/>
        <v>100000</v>
      </c>
      <c r="J45" s="159">
        <v>0</v>
      </c>
      <c r="K45" s="161">
        <v>0</v>
      </c>
      <c r="L45" s="159">
        <v>0</v>
      </c>
      <c r="M45" s="159">
        <v>0</v>
      </c>
      <c r="N45" s="159">
        <v>0</v>
      </c>
      <c r="O45" s="159">
        <v>0</v>
      </c>
      <c r="P45" s="159">
        <v>0</v>
      </c>
      <c r="Q45" s="159">
        <v>0</v>
      </c>
      <c r="R45" s="161">
        <v>0</v>
      </c>
      <c r="S45" s="161">
        <v>0</v>
      </c>
      <c r="T45" s="162">
        <v>0</v>
      </c>
    </row>
    <row r="46" spans="2:21" ht="15" customHeight="1" x14ac:dyDescent="0.2">
      <c r="B46" s="111" t="s">
        <v>254</v>
      </c>
      <c r="C46" s="58" t="s">
        <v>202</v>
      </c>
      <c r="D46" s="159">
        <v>6000000</v>
      </c>
      <c r="E46" s="160">
        <v>0</v>
      </c>
      <c r="F46" s="160">
        <v>0</v>
      </c>
      <c r="G46" s="160">
        <v>0</v>
      </c>
      <c r="H46" s="36">
        <v>0</v>
      </c>
      <c r="I46" s="36">
        <f t="shared" si="15"/>
        <v>6000000</v>
      </c>
      <c r="J46" s="159">
        <v>0</v>
      </c>
      <c r="K46" s="161">
        <v>3837168</v>
      </c>
      <c r="L46" s="159">
        <v>0</v>
      </c>
      <c r="M46" s="159">
        <v>3837168</v>
      </c>
      <c r="N46" s="159">
        <v>0</v>
      </c>
      <c r="O46" s="159">
        <v>3837168</v>
      </c>
      <c r="P46" s="159">
        <v>0</v>
      </c>
      <c r="Q46" s="159">
        <v>3837168</v>
      </c>
      <c r="R46" s="161">
        <v>0</v>
      </c>
      <c r="S46" s="161">
        <v>0</v>
      </c>
      <c r="T46" s="162">
        <v>0</v>
      </c>
    </row>
    <row r="47" spans="2:21" ht="15" customHeight="1" x14ac:dyDescent="0.2">
      <c r="B47" s="111" t="s">
        <v>255</v>
      </c>
      <c r="C47" s="58" t="s">
        <v>256</v>
      </c>
      <c r="D47" s="159">
        <v>600000</v>
      </c>
      <c r="E47" s="160">
        <v>0</v>
      </c>
      <c r="F47" s="160">
        <v>0</v>
      </c>
      <c r="G47" s="160">
        <v>0</v>
      </c>
      <c r="H47" s="36">
        <v>0</v>
      </c>
      <c r="I47" s="36">
        <f t="shared" si="15"/>
        <v>600000</v>
      </c>
      <c r="J47" s="159">
        <v>0</v>
      </c>
      <c r="K47" s="161">
        <v>476698</v>
      </c>
      <c r="L47" s="159">
        <v>0</v>
      </c>
      <c r="M47" s="159">
        <v>476698</v>
      </c>
      <c r="N47" s="159">
        <v>0</v>
      </c>
      <c r="O47" s="159">
        <v>476698</v>
      </c>
      <c r="P47" s="159">
        <v>0</v>
      </c>
      <c r="Q47" s="159">
        <v>476698</v>
      </c>
      <c r="R47" s="161">
        <v>0</v>
      </c>
      <c r="S47" s="161">
        <v>0</v>
      </c>
      <c r="T47" s="162">
        <v>0</v>
      </c>
    </row>
    <row r="48" spans="2:21" ht="15" customHeight="1" x14ac:dyDescent="0.2">
      <c r="B48" s="111" t="s">
        <v>257</v>
      </c>
      <c r="C48" s="58" t="s">
        <v>258</v>
      </c>
      <c r="D48" s="159">
        <v>4000000</v>
      </c>
      <c r="E48" s="160">
        <v>0</v>
      </c>
      <c r="F48" s="160">
        <v>0</v>
      </c>
      <c r="G48" s="160">
        <v>0</v>
      </c>
      <c r="H48" s="36">
        <v>0</v>
      </c>
      <c r="I48" s="36">
        <f t="shared" si="15"/>
        <v>4000000</v>
      </c>
      <c r="J48" s="159">
        <v>0</v>
      </c>
      <c r="K48" s="161">
        <v>685166</v>
      </c>
      <c r="L48" s="159">
        <v>0</v>
      </c>
      <c r="M48" s="159">
        <v>685166</v>
      </c>
      <c r="N48" s="159">
        <v>0</v>
      </c>
      <c r="O48" s="159">
        <v>685166</v>
      </c>
      <c r="P48" s="159">
        <v>0</v>
      </c>
      <c r="Q48" s="159">
        <v>685166</v>
      </c>
      <c r="R48" s="161">
        <v>0</v>
      </c>
      <c r="S48" s="161">
        <v>0</v>
      </c>
      <c r="T48" s="162">
        <v>0</v>
      </c>
    </row>
    <row r="49" spans="2:21" ht="15" customHeight="1" x14ac:dyDescent="0.2">
      <c r="B49" s="111" t="s">
        <v>259</v>
      </c>
      <c r="C49" s="58" t="s">
        <v>208</v>
      </c>
      <c r="D49" s="159">
        <v>7000000</v>
      </c>
      <c r="E49" s="160">
        <v>0</v>
      </c>
      <c r="F49" s="160">
        <v>0</v>
      </c>
      <c r="G49" s="160">
        <v>0</v>
      </c>
      <c r="H49" s="36">
        <v>0</v>
      </c>
      <c r="I49" s="36">
        <f t="shared" si="15"/>
        <v>7000000</v>
      </c>
      <c r="J49" s="159">
        <v>0</v>
      </c>
      <c r="K49" s="161">
        <v>3679510</v>
      </c>
      <c r="L49" s="159">
        <v>0</v>
      </c>
      <c r="M49" s="159">
        <v>3679510</v>
      </c>
      <c r="N49" s="159">
        <v>0</v>
      </c>
      <c r="O49" s="159">
        <v>3679510</v>
      </c>
      <c r="P49" s="159">
        <v>0</v>
      </c>
      <c r="Q49" s="159">
        <v>3679510</v>
      </c>
      <c r="R49" s="161">
        <v>0</v>
      </c>
      <c r="S49" s="161">
        <v>0</v>
      </c>
      <c r="T49" s="162">
        <v>0</v>
      </c>
    </row>
    <row r="50" spans="2:21" ht="15" customHeight="1" x14ac:dyDescent="0.2">
      <c r="B50" s="111" t="s">
        <v>260</v>
      </c>
      <c r="C50" s="58" t="s">
        <v>210</v>
      </c>
      <c r="D50" s="159">
        <v>8000000</v>
      </c>
      <c r="E50" s="160">
        <v>0</v>
      </c>
      <c r="F50" s="160">
        <v>0</v>
      </c>
      <c r="G50" s="160">
        <v>0</v>
      </c>
      <c r="H50" s="36">
        <v>0</v>
      </c>
      <c r="I50" s="36">
        <f t="shared" si="15"/>
        <v>8000000</v>
      </c>
      <c r="J50" s="159">
        <v>7994100</v>
      </c>
      <c r="K50" s="161">
        <v>7994100</v>
      </c>
      <c r="L50" s="159">
        <v>7994100</v>
      </c>
      <c r="M50" s="159">
        <v>7994100</v>
      </c>
      <c r="N50" s="159">
        <v>7994100</v>
      </c>
      <c r="O50" s="159">
        <v>7994100</v>
      </c>
      <c r="P50" s="159">
        <v>7994100</v>
      </c>
      <c r="Q50" s="159">
        <v>7994100</v>
      </c>
      <c r="R50" s="161">
        <v>0</v>
      </c>
      <c r="S50" s="161">
        <v>0</v>
      </c>
      <c r="T50" s="162">
        <v>0</v>
      </c>
    </row>
    <row r="51" spans="2:21" s="14" customFormat="1" ht="15" customHeight="1" x14ac:dyDescent="0.25">
      <c r="B51" s="98" t="s">
        <v>261</v>
      </c>
      <c r="C51" s="101" t="s">
        <v>262</v>
      </c>
      <c r="D51" s="37">
        <f>SUM(D52:D54)</f>
        <v>150000000</v>
      </c>
      <c r="E51" s="156">
        <f>SUM(E52:E54)</f>
        <v>25780960</v>
      </c>
      <c r="F51" s="156">
        <f t="shared" ref="F51:T51" si="16">SUM(F52:F54)</f>
        <v>0</v>
      </c>
      <c r="G51" s="156">
        <f t="shared" si="16"/>
        <v>40000000</v>
      </c>
      <c r="H51" s="37">
        <f t="shared" si="16"/>
        <v>0</v>
      </c>
      <c r="I51" s="37">
        <f t="shared" si="16"/>
        <v>215780960</v>
      </c>
      <c r="J51" s="37">
        <f t="shared" si="16"/>
        <v>26393296</v>
      </c>
      <c r="K51" s="37">
        <f t="shared" si="16"/>
        <v>180009679</v>
      </c>
      <c r="L51" s="37">
        <f t="shared" si="16"/>
        <v>27213296</v>
      </c>
      <c r="M51" s="37">
        <f t="shared" si="16"/>
        <v>180009679</v>
      </c>
      <c r="N51" s="37">
        <f t="shared" si="16"/>
        <v>49831979</v>
      </c>
      <c r="O51" s="37">
        <f t="shared" si="16"/>
        <v>180009679</v>
      </c>
      <c r="P51" s="37">
        <f t="shared" si="16"/>
        <v>49541979</v>
      </c>
      <c r="Q51" s="37">
        <f t="shared" si="16"/>
        <v>175319679</v>
      </c>
      <c r="R51" s="37">
        <f t="shared" si="16"/>
        <v>0</v>
      </c>
      <c r="S51" s="37">
        <f t="shared" si="16"/>
        <v>0</v>
      </c>
      <c r="T51" s="109">
        <f t="shared" si="16"/>
        <v>4690000</v>
      </c>
      <c r="U51" s="153"/>
    </row>
    <row r="52" spans="2:21" ht="15" customHeight="1" x14ac:dyDescent="0.2">
      <c r="B52" s="111" t="s">
        <v>263</v>
      </c>
      <c r="C52" s="58" t="s">
        <v>215</v>
      </c>
      <c r="D52" s="159">
        <v>4000000</v>
      </c>
      <c r="E52" s="160">
        <v>0</v>
      </c>
      <c r="F52" s="160">
        <v>0</v>
      </c>
      <c r="G52" s="160">
        <v>0</v>
      </c>
      <c r="H52" s="36">
        <v>0</v>
      </c>
      <c r="I52" s="36">
        <f>+D52+E52-F52+G52-H52</f>
        <v>4000000</v>
      </c>
      <c r="J52" s="159">
        <v>0</v>
      </c>
      <c r="K52" s="161">
        <v>0</v>
      </c>
      <c r="L52" s="159">
        <v>0</v>
      </c>
      <c r="M52" s="159">
        <v>0</v>
      </c>
      <c r="N52" s="159">
        <v>0</v>
      </c>
      <c r="O52" s="159">
        <v>0</v>
      </c>
      <c r="P52" s="159">
        <v>0</v>
      </c>
      <c r="Q52" s="159">
        <v>0</v>
      </c>
      <c r="R52" s="161">
        <v>0</v>
      </c>
      <c r="S52" s="161">
        <v>0</v>
      </c>
      <c r="T52" s="162">
        <v>0</v>
      </c>
    </row>
    <row r="53" spans="2:21" ht="15" customHeight="1" x14ac:dyDescent="0.2">
      <c r="B53" s="111" t="s">
        <v>264</v>
      </c>
      <c r="C53" s="58" t="s">
        <v>217</v>
      </c>
      <c r="D53" s="159">
        <v>100000000</v>
      </c>
      <c r="E53" s="160">
        <v>0</v>
      </c>
      <c r="F53" s="160">
        <v>0</v>
      </c>
      <c r="G53" s="160">
        <v>30000000</v>
      </c>
      <c r="H53" s="36">
        <v>0</v>
      </c>
      <c r="I53" s="36">
        <f>+D53+E53-F53+G53-H53</f>
        <v>130000000</v>
      </c>
      <c r="J53" s="159">
        <v>24503296</v>
      </c>
      <c r="K53" s="161">
        <v>100469679</v>
      </c>
      <c r="L53" s="159">
        <v>25323296</v>
      </c>
      <c r="M53" s="159">
        <v>100469679</v>
      </c>
      <c r="N53" s="159">
        <v>36941979</v>
      </c>
      <c r="O53" s="159">
        <v>100469679</v>
      </c>
      <c r="P53" s="159">
        <v>36941979</v>
      </c>
      <c r="Q53" s="159">
        <v>100469679</v>
      </c>
      <c r="R53" s="161">
        <v>0</v>
      </c>
      <c r="S53" s="161">
        <v>0</v>
      </c>
      <c r="T53" s="162">
        <v>0</v>
      </c>
    </row>
    <row r="54" spans="2:21" ht="15" customHeight="1" x14ac:dyDescent="0.2">
      <c r="B54" s="111" t="s">
        <v>265</v>
      </c>
      <c r="C54" s="58" t="s">
        <v>266</v>
      </c>
      <c r="D54" s="159">
        <v>46000000</v>
      </c>
      <c r="E54" s="160">
        <v>25780960</v>
      </c>
      <c r="F54" s="160">
        <v>0</v>
      </c>
      <c r="G54" s="160">
        <v>10000000</v>
      </c>
      <c r="H54" s="36">
        <v>0</v>
      </c>
      <c r="I54" s="36">
        <f>+D54+E54-F54+G54-H54</f>
        <v>81780960</v>
      </c>
      <c r="J54" s="159">
        <v>1890000</v>
      </c>
      <c r="K54" s="161">
        <v>79540000</v>
      </c>
      <c r="L54" s="159">
        <v>1890000</v>
      </c>
      <c r="M54" s="159">
        <v>79540000</v>
      </c>
      <c r="N54" s="159">
        <v>12890000</v>
      </c>
      <c r="O54" s="159">
        <v>79540000</v>
      </c>
      <c r="P54" s="159">
        <v>12600000</v>
      </c>
      <c r="Q54" s="159">
        <v>74850000</v>
      </c>
      <c r="R54" s="161">
        <v>0</v>
      </c>
      <c r="S54" s="161">
        <v>0</v>
      </c>
      <c r="T54" s="162">
        <v>4690000</v>
      </c>
    </row>
    <row r="55" spans="2:21" s="14" customFormat="1" ht="15" customHeight="1" x14ac:dyDescent="0.25">
      <c r="B55" s="98" t="s">
        <v>267</v>
      </c>
      <c r="C55" s="101" t="s">
        <v>268</v>
      </c>
      <c r="D55" s="37">
        <f>+D56+D60+D64</f>
        <v>67768769</v>
      </c>
      <c r="E55" s="156">
        <v>0</v>
      </c>
      <c r="F55" s="156">
        <v>0</v>
      </c>
      <c r="G55" s="156">
        <f>+G56+G60+G64</f>
        <v>0</v>
      </c>
      <c r="H55" s="37">
        <f>+H56+H60</f>
        <v>0</v>
      </c>
      <c r="I55" s="37">
        <f t="shared" ref="I55:T55" si="17">+I56+I60+I64</f>
        <v>67768769</v>
      </c>
      <c r="J55" s="37">
        <f t="shared" si="17"/>
        <v>12355008</v>
      </c>
      <c r="K55" s="37">
        <f t="shared" si="17"/>
        <v>35740319</v>
      </c>
      <c r="L55" s="37">
        <f>+L56+L60+L64</f>
        <v>12355008</v>
      </c>
      <c r="M55" s="37">
        <f t="shared" si="17"/>
        <v>35740319</v>
      </c>
      <c r="N55" s="37">
        <f t="shared" si="17"/>
        <v>12392308</v>
      </c>
      <c r="O55" s="37">
        <f t="shared" si="17"/>
        <v>35740319</v>
      </c>
      <c r="P55" s="37">
        <f t="shared" si="17"/>
        <v>2692800</v>
      </c>
      <c r="Q55" s="37">
        <f t="shared" si="17"/>
        <v>26040811</v>
      </c>
      <c r="R55" s="37">
        <f t="shared" si="17"/>
        <v>0</v>
      </c>
      <c r="S55" s="37">
        <f t="shared" si="17"/>
        <v>0</v>
      </c>
      <c r="T55" s="109">
        <f t="shared" si="17"/>
        <v>9699508</v>
      </c>
      <c r="U55" s="153"/>
    </row>
    <row r="56" spans="2:21" s="14" customFormat="1" ht="15" customHeight="1" x14ac:dyDescent="0.25">
      <c r="B56" s="98" t="s">
        <v>269</v>
      </c>
      <c r="C56" s="101" t="s">
        <v>59</v>
      </c>
      <c r="D56" s="37">
        <f>SUM(D57:D59)</f>
        <v>23000000</v>
      </c>
      <c r="E56" s="156">
        <f>SUM(E57:E59)</f>
        <v>0</v>
      </c>
      <c r="F56" s="156">
        <f t="shared" ref="F56:T56" si="18">SUM(F57:F59)</f>
        <v>0</v>
      </c>
      <c r="G56" s="156">
        <f t="shared" si="18"/>
        <v>0</v>
      </c>
      <c r="H56" s="37">
        <f t="shared" si="18"/>
        <v>0</v>
      </c>
      <c r="I56" s="37">
        <f t="shared" si="18"/>
        <v>23000000</v>
      </c>
      <c r="J56" s="37">
        <f t="shared" si="18"/>
        <v>7885227</v>
      </c>
      <c r="K56" s="37">
        <f t="shared" si="18"/>
        <v>14774531</v>
      </c>
      <c r="L56" s="37">
        <f t="shared" si="18"/>
        <v>7885227</v>
      </c>
      <c r="M56" s="37">
        <f t="shared" si="18"/>
        <v>14774531</v>
      </c>
      <c r="N56" s="37">
        <f t="shared" si="18"/>
        <v>7885227</v>
      </c>
      <c r="O56" s="37">
        <f t="shared" si="18"/>
        <v>14774531</v>
      </c>
      <c r="P56" s="37">
        <f t="shared" si="18"/>
        <v>841200</v>
      </c>
      <c r="Q56" s="37">
        <f t="shared" si="18"/>
        <v>7730504</v>
      </c>
      <c r="R56" s="37">
        <f t="shared" si="18"/>
        <v>0</v>
      </c>
      <c r="S56" s="37">
        <f t="shared" si="18"/>
        <v>0</v>
      </c>
      <c r="T56" s="109">
        <f t="shared" si="18"/>
        <v>7044027</v>
      </c>
      <c r="U56" s="153"/>
    </row>
    <row r="57" spans="2:21" ht="15" customHeight="1" x14ac:dyDescent="0.2">
      <c r="B57" s="111" t="s">
        <v>270</v>
      </c>
      <c r="C57" s="58" t="s">
        <v>233</v>
      </c>
      <c r="D57" s="159">
        <v>10000000</v>
      </c>
      <c r="E57" s="160">
        <v>0</v>
      </c>
      <c r="F57" s="160">
        <v>0</v>
      </c>
      <c r="G57" s="160">
        <v>0</v>
      </c>
      <c r="H57" s="36">
        <v>0</v>
      </c>
      <c r="I57" s="36">
        <f>+D57+E57-F57+G57-H57</f>
        <v>10000000</v>
      </c>
      <c r="J57" s="159">
        <v>841200</v>
      </c>
      <c r="K57" s="161">
        <v>7730504</v>
      </c>
      <c r="L57" s="159">
        <v>841200</v>
      </c>
      <c r="M57" s="159">
        <v>7730504</v>
      </c>
      <c r="N57" s="159">
        <v>841200</v>
      </c>
      <c r="O57" s="159">
        <v>7730504</v>
      </c>
      <c r="P57" s="159">
        <v>841200</v>
      </c>
      <c r="Q57" s="159">
        <v>7730504</v>
      </c>
      <c r="R57" s="161">
        <v>0</v>
      </c>
      <c r="S57" s="161">
        <v>0</v>
      </c>
      <c r="T57" s="162">
        <v>0</v>
      </c>
    </row>
    <row r="58" spans="2:21" ht="15" customHeight="1" x14ac:dyDescent="0.2">
      <c r="B58" s="111" t="s">
        <v>271</v>
      </c>
      <c r="C58" s="58" t="s">
        <v>227</v>
      </c>
      <c r="D58" s="159">
        <v>10000000</v>
      </c>
      <c r="E58" s="160">
        <v>0</v>
      </c>
      <c r="F58" s="160">
        <v>0</v>
      </c>
      <c r="G58" s="160">
        <v>0</v>
      </c>
      <c r="H58" s="36">
        <v>0</v>
      </c>
      <c r="I58" s="36">
        <f>+D58+E58-F58+G58-H58</f>
        <v>10000000</v>
      </c>
      <c r="J58" s="159">
        <v>7044027</v>
      </c>
      <c r="K58" s="161">
        <v>7044027</v>
      </c>
      <c r="L58" s="159">
        <v>7044027</v>
      </c>
      <c r="M58" s="159">
        <v>7044027</v>
      </c>
      <c r="N58" s="159">
        <v>7044027</v>
      </c>
      <c r="O58" s="159">
        <v>7044027</v>
      </c>
      <c r="P58" s="159">
        <v>0</v>
      </c>
      <c r="Q58" s="159">
        <v>0</v>
      </c>
      <c r="R58" s="161">
        <v>0</v>
      </c>
      <c r="S58" s="161">
        <v>0</v>
      </c>
      <c r="T58" s="162">
        <v>7044027</v>
      </c>
    </row>
    <row r="59" spans="2:21" ht="15" customHeight="1" x14ac:dyDescent="0.2">
      <c r="B59" s="111" t="s">
        <v>272</v>
      </c>
      <c r="C59" s="58" t="s">
        <v>229</v>
      </c>
      <c r="D59" s="159">
        <v>3000000</v>
      </c>
      <c r="E59" s="160">
        <v>0</v>
      </c>
      <c r="F59" s="160">
        <v>0</v>
      </c>
      <c r="G59" s="160">
        <v>0</v>
      </c>
      <c r="H59" s="36">
        <v>0</v>
      </c>
      <c r="I59" s="36">
        <f>+D59+E59-F59+G59-H59</f>
        <v>3000000</v>
      </c>
      <c r="J59" s="159">
        <v>0</v>
      </c>
      <c r="K59" s="161">
        <v>0</v>
      </c>
      <c r="L59" s="159">
        <v>0</v>
      </c>
      <c r="M59" s="159">
        <v>0</v>
      </c>
      <c r="N59" s="159">
        <v>0</v>
      </c>
      <c r="O59" s="159">
        <v>0</v>
      </c>
      <c r="P59" s="159">
        <v>0</v>
      </c>
      <c r="Q59" s="159">
        <v>0</v>
      </c>
      <c r="R59" s="161">
        <v>0</v>
      </c>
      <c r="S59" s="161">
        <v>0</v>
      </c>
      <c r="T59" s="162">
        <v>0</v>
      </c>
    </row>
    <row r="60" spans="2:21" s="14" customFormat="1" ht="15" customHeight="1" x14ac:dyDescent="0.25">
      <c r="B60" s="98" t="s">
        <v>273</v>
      </c>
      <c r="C60" s="101" t="s">
        <v>67</v>
      </c>
      <c r="D60" s="37">
        <f>SUM(D61:D63)</f>
        <v>31868769</v>
      </c>
      <c r="E60" s="156">
        <v>0</v>
      </c>
      <c r="F60" s="156">
        <v>0</v>
      </c>
      <c r="G60" s="156">
        <f>SUM(G61:G63)</f>
        <v>0</v>
      </c>
      <c r="H60" s="37">
        <f>SUM(H61:H63)</f>
        <v>0</v>
      </c>
      <c r="I60" s="37">
        <f>SUM(I61:I63)</f>
        <v>31868769</v>
      </c>
      <c r="J60" s="37">
        <f t="shared" ref="J60:T60" si="19">SUM(J61:J63)</f>
        <v>3652681</v>
      </c>
      <c r="K60" s="37">
        <f t="shared" si="19"/>
        <v>12540788</v>
      </c>
      <c r="L60" s="37">
        <f t="shared" si="19"/>
        <v>3652681</v>
      </c>
      <c r="M60" s="37">
        <f t="shared" si="19"/>
        <v>12540788</v>
      </c>
      <c r="N60" s="37">
        <f t="shared" si="19"/>
        <v>3652681</v>
      </c>
      <c r="O60" s="37">
        <f t="shared" si="19"/>
        <v>12540788</v>
      </c>
      <c r="P60" s="37">
        <f t="shared" si="19"/>
        <v>997200</v>
      </c>
      <c r="Q60" s="37">
        <f t="shared" si="19"/>
        <v>9885307</v>
      </c>
      <c r="R60" s="37">
        <f t="shared" si="19"/>
        <v>0</v>
      </c>
      <c r="S60" s="37">
        <f t="shared" si="19"/>
        <v>0</v>
      </c>
      <c r="T60" s="109">
        <f t="shared" si="19"/>
        <v>2655481</v>
      </c>
      <c r="U60" s="153"/>
    </row>
    <row r="61" spans="2:21" ht="15" customHeight="1" x14ac:dyDescent="0.2">
      <c r="B61" s="111" t="s">
        <v>274</v>
      </c>
      <c r="C61" s="58" t="s">
        <v>233</v>
      </c>
      <c r="D61" s="159">
        <v>10000000</v>
      </c>
      <c r="E61" s="160">
        <v>0</v>
      </c>
      <c r="F61" s="160">
        <v>0</v>
      </c>
      <c r="G61" s="160">
        <v>0</v>
      </c>
      <c r="H61" s="36">
        <v>0</v>
      </c>
      <c r="I61" s="36">
        <f>+D61+E61-F61+G61-H61</f>
        <v>10000000</v>
      </c>
      <c r="J61" s="159">
        <v>234900</v>
      </c>
      <c r="K61" s="161">
        <v>2919449</v>
      </c>
      <c r="L61" s="159">
        <v>234900</v>
      </c>
      <c r="M61" s="159">
        <v>2919449</v>
      </c>
      <c r="N61" s="159">
        <v>234900</v>
      </c>
      <c r="O61" s="159">
        <v>2919449</v>
      </c>
      <c r="P61" s="159">
        <v>234900</v>
      </c>
      <c r="Q61" s="159">
        <v>2919449</v>
      </c>
      <c r="R61" s="161">
        <v>0</v>
      </c>
      <c r="S61" s="161">
        <v>0</v>
      </c>
      <c r="T61" s="162">
        <v>0</v>
      </c>
    </row>
    <row r="62" spans="2:21" ht="15" customHeight="1" x14ac:dyDescent="0.2">
      <c r="B62" s="111" t="s">
        <v>275</v>
      </c>
      <c r="C62" s="58" t="s">
        <v>276</v>
      </c>
      <c r="D62" s="159">
        <v>11868769</v>
      </c>
      <c r="E62" s="160">
        <v>0</v>
      </c>
      <c r="F62" s="160">
        <v>0</v>
      </c>
      <c r="G62" s="160">
        <v>0</v>
      </c>
      <c r="H62" s="36">
        <v>0</v>
      </c>
      <c r="I62" s="36">
        <f>+D62+E62-F62+G62-H62</f>
        <v>11868769</v>
      </c>
      <c r="J62" s="159">
        <v>2655481</v>
      </c>
      <c r="K62" s="161">
        <v>2655481</v>
      </c>
      <c r="L62" s="159">
        <v>2655481</v>
      </c>
      <c r="M62" s="159">
        <v>2655481</v>
      </c>
      <c r="N62" s="159">
        <v>2655481</v>
      </c>
      <c r="O62" s="159">
        <v>2655481</v>
      </c>
      <c r="P62" s="159">
        <v>0</v>
      </c>
      <c r="Q62" s="159">
        <v>0</v>
      </c>
      <c r="R62" s="161">
        <v>0</v>
      </c>
      <c r="S62" s="161">
        <v>0</v>
      </c>
      <c r="T62" s="162">
        <v>2655481</v>
      </c>
    </row>
    <row r="63" spans="2:21" ht="15" customHeight="1" x14ac:dyDescent="0.2">
      <c r="B63" s="111" t="s">
        <v>277</v>
      </c>
      <c r="C63" s="58" t="s">
        <v>229</v>
      </c>
      <c r="D63" s="159">
        <v>10000000</v>
      </c>
      <c r="E63" s="160">
        <v>0</v>
      </c>
      <c r="F63" s="160">
        <v>0</v>
      </c>
      <c r="G63" s="160">
        <v>0</v>
      </c>
      <c r="H63" s="36">
        <v>0</v>
      </c>
      <c r="I63" s="36">
        <f>+D63+E63-F63+G63-H63</f>
        <v>10000000</v>
      </c>
      <c r="J63" s="159">
        <v>762300</v>
      </c>
      <c r="K63" s="161">
        <v>6965858</v>
      </c>
      <c r="L63" s="159">
        <v>762300</v>
      </c>
      <c r="M63" s="159">
        <v>6965858</v>
      </c>
      <c r="N63" s="159">
        <v>762300</v>
      </c>
      <c r="O63" s="159">
        <v>6965858</v>
      </c>
      <c r="P63" s="159">
        <v>762300</v>
      </c>
      <c r="Q63" s="159">
        <v>6965858</v>
      </c>
      <c r="R63" s="161">
        <v>0</v>
      </c>
      <c r="S63" s="161">
        <v>0</v>
      </c>
      <c r="T63" s="162">
        <v>0</v>
      </c>
    </row>
    <row r="64" spans="2:21" s="14" customFormat="1" ht="15" customHeight="1" x14ac:dyDescent="0.25">
      <c r="B64" s="98" t="s">
        <v>278</v>
      </c>
      <c r="C64" s="101" t="s">
        <v>238</v>
      </c>
      <c r="D64" s="37">
        <f>SUM(D65:D68)</f>
        <v>12900000</v>
      </c>
      <c r="E64" s="156">
        <f>SUM(E65:E68)</f>
        <v>0</v>
      </c>
      <c r="F64" s="156">
        <f t="shared" ref="F64:T64" si="20">SUM(F65:F68)</f>
        <v>0</v>
      </c>
      <c r="G64" s="156">
        <f t="shared" si="20"/>
        <v>0</v>
      </c>
      <c r="H64" s="37">
        <f t="shared" si="20"/>
        <v>0</v>
      </c>
      <c r="I64" s="37">
        <f t="shared" si="20"/>
        <v>12900000</v>
      </c>
      <c r="J64" s="37">
        <f t="shared" si="20"/>
        <v>817100</v>
      </c>
      <c r="K64" s="37">
        <f t="shared" si="20"/>
        <v>8425000</v>
      </c>
      <c r="L64" s="37">
        <f t="shared" si="20"/>
        <v>817100</v>
      </c>
      <c r="M64" s="37">
        <f t="shared" si="20"/>
        <v>8425000</v>
      </c>
      <c r="N64" s="37">
        <f t="shared" si="20"/>
        <v>854400</v>
      </c>
      <c r="O64" s="37">
        <f t="shared" si="20"/>
        <v>8425000</v>
      </c>
      <c r="P64" s="37">
        <f t="shared" si="20"/>
        <v>854400</v>
      </c>
      <c r="Q64" s="37">
        <f t="shared" si="20"/>
        <v>8425000</v>
      </c>
      <c r="R64" s="37">
        <f t="shared" si="20"/>
        <v>0</v>
      </c>
      <c r="S64" s="37">
        <f t="shared" si="20"/>
        <v>0</v>
      </c>
      <c r="T64" s="109">
        <f t="shared" si="20"/>
        <v>0</v>
      </c>
      <c r="U64" s="153"/>
    </row>
    <row r="65" spans="2:21" ht="15" customHeight="1" x14ac:dyDescent="0.2">
      <c r="B65" s="111" t="s">
        <v>279</v>
      </c>
      <c r="C65" s="58" t="s">
        <v>240</v>
      </c>
      <c r="D65" s="159">
        <v>4000000</v>
      </c>
      <c r="E65" s="160">
        <v>0</v>
      </c>
      <c r="F65" s="160">
        <v>0</v>
      </c>
      <c r="G65" s="160">
        <v>0</v>
      </c>
      <c r="H65" s="36">
        <v>0</v>
      </c>
      <c r="I65" s="36">
        <f>+D65+E65-F65+G65-H65</f>
        <v>4000000</v>
      </c>
      <c r="J65" s="159">
        <v>269200</v>
      </c>
      <c r="K65" s="161">
        <v>2675900</v>
      </c>
      <c r="L65" s="159">
        <v>269200</v>
      </c>
      <c r="M65" s="159">
        <v>2675900</v>
      </c>
      <c r="N65" s="159">
        <v>269200</v>
      </c>
      <c r="O65" s="159">
        <v>2675900</v>
      </c>
      <c r="P65" s="159">
        <v>269200</v>
      </c>
      <c r="Q65" s="159">
        <v>2675900</v>
      </c>
      <c r="R65" s="161">
        <v>0</v>
      </c>
      <c r="S65" s="161">
        <v>0</v>
      </c>
      <c r="T65" s="162">
        <v>0</v>
      </c>
    </row>
    <row r="66" spans="2:21" ht="15" customHeight="1" x14ac:dyDescent="0.2">
      <c r="B66" s="111" t="s">
        <v>280</v>
      </c>
      <c r="C66" s="58" t="s">
        <v>242</v>
      </c>
      <c r="D66" s="159">
        <v>3000000</v>
      </c>
      <c r="E66" s="160">
        <v>0</v>
      </c>
      <c r="F66" s="160">
        <v>0</v>
      </c>
      <c r="G66" s="160">
        <v>0</v>
      </c>
      <c r="H66" s="36">
        <v>0</v>
      </c>
      <c r="I66" s="36">
        <f>+D66+E66-F66+G66-H66</f>
        <v>3000000</v>
      </c>
      <c r="J66" s="159">
        <v>179500</v>
      </c>
      <c r="K66" s="161">
        <v>1784600</v>
      </c>
      <c r="L66" s="159">
        <v>179500</v>
      </c>
      <c r="M66" s="159">
        <v>1784600</v>
      </c>
      <c r="N66" s="159">
        <v>179500</v>
      </c>
      <c r="O66" s="159">
        <v>1784600</v>
      </c>
      <c r="P66" s="159">
        <v>179500</v>
      </c>
      <c r="Q66" s="159">
        <v>1784600</v>
      </c>
      <c r="R66" s="161">
        <v>0</v>
      </c>
      <c r="S66" s="161">
        <v>0</v>
      </c>
      <c r="T66" s="162">
        <v>0</v>
      </c>
    </row>
    <row r="67" spans="2:21" ht="15" customHeight="1" x14ac:dyDescent="0.2">
      <c r="B67" s="111" t="s">
        <v>281</v>
      </c>
      <c r="C67" s="58" t="s">
        <v>244</v>
      </c>
      <c r="D67" s="159">
        <v>5000000</v>
      </c>
      <c r="E67" s="160">
        <v>0</v>
      </c>
      <c r="F67" s="160">
        <v>0</v>
      </c>
      <c r="G67" s="160">
        <v>0</v>
      </c>
      <c r="H67" s="36">
        <v>0</v>
      </c>
      <c r="I67" s="36">
        <f>+D67+E67-F67+G67-H67</f>
        <v>5000000</v>
      </c>
      <c r="J67" s="159">
        <v>358900</v>
      </c>
      <c r="K67" s="161">
        <v>3567600</v>
      </c>
      <c r="L67" s="159">
        <v>358900</v>
      </c>
      <c r="M67" s="159">
        <v>3567600</v>
      </c>
      <c r="N67" s="159">
        <v>358900</v>
      </c>
      <c r="O67" s="159">
        <v>3567600</v>
      </c>
      <c r="P67" s="159">
        <v>358900</v>
      </c>
      <c r="Q67" s="159">
        <v>3567600</v>
      </c>
      <c r="R67" s="161">
        <v>0</v>
      </c>
      <c r="S67" s="161">
        <v>0</v>
      </c>
      <c r="T67" s="162">
        <v>0</v>
      </c>
    </row>
    <row r="68" spans="2:21" ht="15" customHeight="1" x14ac:dyDescent="0.2">
      <c r="B68" s="111" t="s">
        <v>282</v>
      </c>
      <c r="C68" s="58" t="s">
        <v>246</v>
      </c>
      <c r="D68" s="159">
        <v>900000</v>
      </c>
      <c r="E68" s="160">
        <v>0</v>
      </c>
      <c r="F68" s="160">
        <v>0</v>
      </c>
      <c r="G68" s="160">
        <v>0</v>
      </c>
      <c r="H68" s="36">
        <v>0</v>
      </c>
      <c r="I68" s="36">
        <f>+D68+E68-F68+G68-H68</f>
        <v>900000</v>
      </c>
      <c r="J68" s="159">
        <v>9500</v>
      </c>
      <c r="K68" s="161">
        <v>396900</v>
      </c>
      <c r="L68" s="159">
        <v>9500</v>
      </c>
      <c r="M68" s="159">
        <v>396900</v>
      </c>
      <c r="N68" s="159">
        <v>46800</v>
      </c>
      <c r="O68" s="159">
        <v>396900</v>
      </c>
      <c r="P68" s="159">
        <v>46800</v>
      </c>
      <c r="Q68" s="159">
        <v>396900</v>
      </c>
      <c r="R68" s="161">
        <v>0</v>
      </c>
      <c r="S68" s="161">
        <v>0</v>
      </c>
      <c r="T68" s="162">
        <v>0</v>
      </c>
    </row>
    <row r="69" spans="2:21" s="14" customFormat="1" ht="15" customHeight="1" x14ac:dyDescent="0.25">
      <c r="B69" s="98" t="s">
        <v>283</v>
      </c>
      <c r="C69" s="101" t="s">
        <v>80</v>
      </c>
      <c r="D69" s="37">
        <f>+D96+D70</f>
        <v>2465000000</v>
      </c>
      <c r="E69" s="156">
        <f t="shared" ref="E69:T69" si="21">+E96+E70</f>
        <v>304309806.30000001</v>
      </c>
      <c r="F69" s="156">
        <f t="shared" si="21"/>
        <v>0</v>
      </c>
      <c r="G69" s="156">
        <f t="shared" si="21"/>
        <v>309400000</v>
      </c>
      <c r="H69" s="37">
        <f>+H96+H70</f>
        <v>539400000</v>
      </c>
      <c r="I69" s="37">
        <f t="shared" si="21"/>
        <v>2539309806.3000002</v>
      </c>
      <c r="J69" s="37">
        <f t="shared" si="21"/>
        <v>50393688.299999997</v>
      </c>
      <c r="K69" s="37">
        <f t="shared" si="21"/>
        <v>1899587798.9300001</v>
      </c>
      <c r="L69" s="37">
        <f t="shared" si="21"/>
        <v>57731790.299999997</v>
      </c>
      <c r="M69" s="37">
        <f t="shared" si="21"/>
        <v>1899587798.9300001</v>
      </c>
      <c r="N69" s="37">
        <f t="shared" si="21"/>
        <v>303924704.93000001</v>
      </c>
      <c r="O69" s="37">
        <f t="shared" si="21"/>
        <v>1857517697.9300001</v>
      </c>
      <c r="P69" s="37">
        <f t="shared" si="21"/>
        <v>330296727</v>
      </c>
      <c r="Q69" s="37">
        <f t="shared" si="21"/>
        <v>1843751180</v>
      </c>
      <c r="R69" s="37">
        <f t="shared" si="21"/>
        <v>0</v>
      </c>
      <c r="S69" s="37">
        <f t="shared" si="21"/>
        <v>42070101</v>
      </c>
      <c r="T69" s="109">
        <f t="shared" si="21"/>
        <v>13766517</v>
      </c>
      <c r="U69" s="153"/>
    </row>
    <row r="70" spans="2:21" s="14" customFormat="1" ht="15" customHeight="1" x14ac:dyDescent="0.25">
      <c r="B70" s="98" t="s">
        <v>284</v>
      </c>
      <c r="C70" s="101" t="s">
        <v>285</v>
      </c>
      <c r="D70" s="37">
        <f>+D71+D78+D92</f>
        <v>165000000</v>
      </c>
      <c r="E70" s="156">
        <f t="shared" ref="E70:T70" si="22">+E71+E78+E92</f>
        <v>0</v>
      </c>
      <c r="F70" s="156">
        <f t="shared" si="22"/>
        <v>0</v>
      </c>
      <c r="G70" s="156">
        <f t="shared" si="22"/>
        <v>0</v>
      </c>
      <c r="H70" s="37">
        <f t="shared" si="22"/>
        <v>17000000</v>
      </c>
      <c r="I70" s="37">
        <f t="shared" si="22"/>
        <v>148000000</v>
      </c>
      <c r="J70" s="37">
        <f t="shared" si="22"/>
        <v>3111794</v>
      </c>
      <c r="K70" s="37">
        <f t="shared" si="22"/>
        <v>93444554</v>
      </c>
      <c r="L70" s="37">
        <f t="shared" si="22"/>
        <v>3964294</v>
      </c>
      <c r="M70" s="37">
        <f t="shared" si="22"/>
        <v>93444554</v>
      </c>
      <c r="N70" s="37">
        <f t="shared" si="22"/>
        <v>30235526</v>
      </c>
      <c r="O70" s="37">
        <f t="shared" si="22"/>
        <v>91204180</v>
      </c>
      <c r="P70" s="37">
        <f t="shared" si="22"/>
        <v>30447526</v>
      </c>
      <c r="Q70" s="37">
        <f t="shared" si="22"/>
        <v>91004180</v>
      </c>
      <c r="R70" s="37">
        <f t="shared" si="22"/>
        <v>0</v>
      </c>
      <c r="S70" s="37">
        <f t="shared" si="22"/>
        <v>2240374</v>
      </c>
      <c r="T70" s="109">
        <f t="shared" si="22"/>
        <v>200000</v>
      </c>
      <c r="U70" s="153"/>
    </row>
    <row r="71" spans="2:21" s="14" customFormat="1" ht="15" customHeight="1" x14ac:dyDescent="0.25">
      <c r="B71" s="98" t="s">
        <v>286</v>
      </c>
      <c r="C71" s="101" t="s">
        <v>82</v>
      </c>
      <c r="D71" s="37">
        <f>SUM(D72:D77)</f>
        <v>80000000</v>
      </c>
      <c r="E71" s="156">
        <f>SUM(E72:E77)</f>
        <v>0</v>
      </c>
      <c r="F71" s="156">
        <f t="shared" ref="F71:T71" si="23">SUM(F72:F77)</f>
        <v>0</v>
      </c>
      <c r="G71" s="156">
        <f t="shared" si="23"/>
        <v>0</v>
      </c>
      <c r="H71" s="37">
        <f t="shared" si="23"/>
        <v>15000000</v>
      </c>
      <c r="I71" s="37">
        <f t="shared" si="23"/>
        <v>65000000</v>
      </c>
      <c r="J71" s="37">
        <f t="shared" si="23"/>
        <v>0</v>
      </c>
      <c r="K71" s="37">
        <f t="shared" si="23"/>
        <v>31064798</v>
      </c>
      <c r="L71" s="37">
        <f t="shared" si="23"/>
        <v>852500</v>
      </c>
      <c r="M71" s="37">
        <f t="shared" si="23"/>
        <v>31064798</v>
      </c>
      <c r="N71" s="37">
        <f t="shared" si="23"/>
        <v>20200000</v>
      </c>
      <c r="O71" s="37">
        <f t="shared" si="23"/>
        <v>30212298</v>
      </c>
      <c r="P71" s="37">
        <f t="shared" si="23"/>
        <v>20000000</v>
      </c>
      <c r="Q71" s="37">
        <f t="shared" si="23"/>
        <v>30012298</v>
      </c>
      <c r="R71" s="37">
        <f t="shared" si="23"/>
        <v>0</v>
      </c>
      <c r="S71" s="37">
        <f t="shared" si="23"/>
        <v>852500</v>
      </c>
      <c r="T71" s="109">
        <f t="shared" si="23"/>
        <v>200000</v>
      </c>
      <c r="U71" s="153"/>
    </row>
    <row r="72" spans="2:21" ht="15" customHeight="1" x14ac:dyDescent="0.2">
      <c r="B72" s="111" t="s">
        <v>287</v>
      </c>
      <c r="C72" s="58" t="s">
        <v>288</v>
      </c>
      <c r="D72" s="159">
        <v>20000000</v>
      </c>
      <c r="E72" s="160">
        <v>0</v>
      </c>
      <c r="F72" s="160">
        <v>0</v>
      </c>
      <c r="G72" s="160">
        <v>0</v>
      </c>
      <c r="H72" s="36">
        <v>0</v>
      </c>
      <c r="I72" s="36">
        <f t="shared" ref="I72:I77" si="24">+D72+E72-F72+G72-H72</f>
        <v>20000000</v>
      </c>
      <c r="J72" s="159">
        <v>0</v>
      </c>
      <c r="K72" s="161">
        <v>15000000</v>
      </c>
      <c r="L72" s="159">
        <v>0</v>
      </c>
      <c r="M72" s="159">
        <v>15000000</v>
      </c>
      <c r="N72" s="159">
        <v>15000000</v>
      </c>
      <c r="O72" s="159">
        <v>15000000</v>
      </c>
      <c r="P72" s="159">
        <v>15000000</v>
      </c>
      <c r="Q72" s="159">
        <v>15000000</v>
      </c>
      <c r="R72" s="161">
        <v>0</v>
      </c>
      <c r="S72" s="161">
        <v>0</v>
      </c>
      <c r="T72" s="162">
        <v>0</v>
      </c>
    </row>
    <row r="73" spans="2:21" ht="15" customHeight="1" x14ac:dyDescent="0.2">
      <c r="B73" s="111" t="s">
        <v>289</v>
      </c>
      <c r="C73" s="58" t="s">
        <v>290</v>
      </c>
      <c r="D73" s="159">
        <v>19000000</v>
      </c>
      <c r="E73" s="160">
        <v>0</v>
      </c>
      <c r="F73" s="160">
        <v>0</v>
      </c>
      <c r="G73" s="160">
        <v>0</v>
      </c>
      <c r="H73" s="36">
        <v>0</v>
      </c>
      <c r="I73" s="36">
        <f t="shared" si="24"/>
        <v>19000000</v>
      </c>
      <c r="J73" s="159">
        <v>0</v>
      </c>
      <c r="K73" s="161">
        <v>11544195</v>
      </c>
      <c r="L73" s="159">
        <v>0</v>
      </c>
      <c r="M73" s="159">
        <v>11544195</v>
      </c>
      <c r="N73" s="159">
        <v>5000000</v>
      </c>
      <c r="O73" s="159">
        <v>11544195</v>
      </c>
      <c r="P73" s="159">
        <v>5000000</v>
      </c>
      <c r="Q73" s="159">
        <v>11544195</v>
      </c>
      <c r="R73" s="161">
        <v>0</v>
      </c>
      <c r="S73" s="161">
        <v>0</v>
      </c>
      <c r="T73" s="162">
        <v>0</v>
      </c>
    </row>
    <row r="74" spans="2:21" ht="15" customHeight="1" x14ac:dyDescent="0.2">
      <c r="B74" s="111" t="s">
        <v>291</v>
      </c>
      <c r="C74" s="58" t="s">
        <v>292</v>
      </c>
      <c r="D74" s="159">
        <v>1000000</v>
      </c>
      <c r="E74" s="160">
        <v>0</v>
      </c>
      <c r="F74" s="160">
        <v>0</v>
      </c>
      <c r="G74" s="160">
        <v>0</v>
      </c>
      <c r="H74" s="36">
        <v>0</v>
      </c>
      <c r="I74" s="36">
        <f t="shared" si="24"/>
        <v>1000000</v>
      </c>
      <c r="J74" s="159">
        <v>0</v>
      </c>
      <c r="K74" s="161">
        <v>0</v>
      </c>
      <c r="L74" s="159">
        <v>0</v>
      </c>
      <c r="M74" s="159">
        <v>0</v>
      </c>
      <c r="N74" s="159">
        <v>0</v>
      </c>
      <c r="O74" s="159">
        <v>0</v>
      </c>
      <c r="P74" s="159">
        <v>0</v>
      </c>
      <c r="Q74" s="159">
        <v>0</v>
      </c>
      <c r="R74" s="161">
        <v>0</v>
      </c>
      <c r="S74" s="161">
        <v>0</v>
      </c>
      <c r="T74" s="162">
        <v>0</v>
      </c>
    </row>
    <row r="75" spans="2:21" ht="15" customHeight="1" x14ac:dyDescent="0.2">
      <c r="B75" s="111" t="s">
        <v>293</v>
      </c>
      <c r="C75" s="58" t="s">
        <v>294</v>
      </c>
      <c r="D75" s="159">
        <v>20000000</v>
      </c>
      <c r="E75" s="160">
        <v>0</v>
      </c>
      <c r="F75" s="160">
        <v>0</v>
      </c>
      <c r="G75" s="160">
        <v>0</v>
      </c>
      <c r="H75" s="36">
        <v>10000000</v>
      </c>
      <c r="I75" s="36">
        <f t="shared" si="24"/>
        <v>10000000</v>
      </c>
      <c r="J75" s="159">
        <v>0</v>
      </c>
      <c r="K75" s="161">
        <v>0</v>
      </c>
      <c r="L75" s="159">
        <v>0</v>
      </c>
      <c r="M75" s="159">
        <v>0</v>
      </c>
      <c r="N75" s="159">
        <v>0</v>
      </c>
      <c r="O75" s="159">
        <v>0</v>
      </c>
      <c r="P75" s="159">
        <v>0</v>
      </c>
      <c r="Q75" s="159">
        <v>0</v>
      </c>
      <c r="R75" s="161">
        <v>0</v>
      </c>
      <c r="S75" s="161">
        <v>0</v>
      </c>
      <c r="T75" s="162">
        <v>0</v>
      </c>
    </row>
    <row r="76" spans="2:21" ht="15" customHeight="1" x14ac:dyDescent="0.2">
      <c r="B76" s="111" t="s">
        <v>295</v>
      </c>
      <c r="C76" s="58" t="s">
        <v>296</v>
      </c>
      <c r="D76" s="159">
        <v>10000000</v>
      </c>
      <c r="E76" s="160">
        <v>0</v>
      </c>
      <c r="F76" s="160">
        <v>0</v>
      </c>
      <c r="G76" s="160">
        <v>0</v>
      </c>
      <c r="H76" s="36">
        <v>0</v>
      </c>
      <c r="I76" s="36">
        <f t="shared" si="24"/>
        <v>10000000</v>
      </c>
      <c r="J76" s="159">
        <v>0</v>
      </c>
      <c r="K76" s="161">
        <v>4520603</v>
      </c>
      <c r="L76" s="159">
        <v>852500</v>
      </c>
      <c r="M76" s="159">
        <v>4520603</v>
      </c>
      <c r="N76" s="159">
        <v>200000</v>
      </c>
      <c r="O76" s="159">
        <v>3668103</v>
      </c>
      <c r="P76" s="159">
        <v>0</v>
      </c>
      <c r="Q76" s="159">
        <v>3468103</v>
      </c>
      <c r="R76" s="161">
        <v>0</v>
      </c>
      <c r="S76" s="161">
        <v>852500</v>
      </c>
      <c r="T76" s="162">
        <v>200000</v>
      </c>
    </row>
    <row r="77" spans="2:21" ht="15" customHeight="1" x14ac:dyDescent="0.2">
      <c r="B77" s="111" t="s">
        <v>297</v>
      </c>
      <c r="C77" s="58" t="s">
        <v>298</v>
      </c>
      <c r="D77" s="159">
        <v>10000000</v>
      </c>
      <c r="E77" s="160">
        <v>0</v>
      </c>
      <c r="F77" s="160">
        <v>0</v>
      </c>
      <c r="G77" s="160">
        <v>0</v>
      </c>
      <c r="H77" s="36">
        <v>5000000</v>
      </c>
      <c r="I77" s="36">
        <f t="shared" si="24"/>
        <v>5000000</v>
      </c>
      <c r="J77" s="159">
        <v>0</v>
      </c>
      <c r="K77" s="161">
        <v>0</v>
      </c>
      <c r="L77" s="159">
        <v>0</v>
      </c>
      <c r="M77" s="159">
        <v>0</v>
      </c>
      <c r="N77" s="159">
        <v>0</v>
      </c>
      <c r="O77" s="159">
        <v>0</v>
      </c>
      <c r="P77" s="159">
        <v>0</v>
      </c>
      <c r="Q77" s="159">
        <v>0</v>
      </c>
      <c r="R77" s="161">
        <v>0</v>
      </c>
      <c r="S77" s="161">
        <v>0</v>
      </c>
      <c r="T77" s="162">
        <v>0</v>
      </c>
    </row>
    <row r="78" spans="2:21" s="14" customFormat="1" ht="15" customHeight="1" x14ac:dyDescent="0.25">
      <c r="B78" s="98" t="s">
        <v>299</v>
      </c>
      <c r="C78" s="101" t="s">
        <v>300</v>
      </c>
      <c r="D78" s="37">
        <f>SUM(D79:D91)</f>
        <v>80000000</v>
      </c>
      <c r="E78" s="156">
        <f>SUM(E79:E91)</f>
        <v>0</v>
      </c>
      <c r="F78" s="156">
        <f t="shared" ref="F78:T78" si="25">SUM(F79:F91)</f>
        <v>0</v>
      </c>
      <c r="G78" s="156">
        <f t="shared" si="25"/>
        <v>0</v>
      </c>
      <c r="H78" s="37">
        <f t="shared" si="25"/>
        <v>2000000</v>
      </c>
      <c r="I78" s="37">
        <f>SUM(I79:I91)</f>
        <v>78000000</v>
      </c>
      <c r="J78" s="37">
        <f t="shared" si="25"/>
        <v>2361794</v>
      </c>
      <c r="K78" s="37">
        <f t="shared" si="25"/>
        <v>61629756</v>
      </c>
      <c r="L78" s="37">
        <f t="shared" si="25"/>
        <v>2361794</v>
      </c>
      <c r="M78" s="37">
        <f t="shared" si="25"/>
        <v>61629756</v>
      </c>
      <c r="N78" s="37">
        <f t="shared" si="25"/>
        <v>9285526</v>
      </c>
      <c r="O78" s="37">
        <f t="shared" si="25"/>
        <v>60241882</v>
      </c>
      <c r="P78" s="37">
        <f t="shared" si="25"/>
        <v>9697526</v>
      </c>
      <c r="Q78" s="37">
        <f t="shared" si="25"/>
        <v>60241882</v>
      </c>
      <c r="R78" s="37">
        <f t="shared" si="25"/>
        <v>0</v>
      </c>
      <c r="S78" s="37">
        <f t="shared" si="25"/>
        <v>1387874</v>
      </c>
      <c r="T78" s="109">
        <f t="shared" si="25"/>
        <v>0</v>
      </c>
      <c r="U78" s="153"/>
    </row>
    <row r="79" spans="2:21" ht="15" customHeight="1" x14ac:dyDescent="0.2">
      <c r="B79" s="111" t="s">
        <v>301</v>
      </c>
      <c r="C79" s="58" t="s">
        <v>302</v>
      </c>
      <c r="D79" s="159">
        <v>10000000</v>
      </c>
      <c r="E79" s="160">
        <v>0</v>
      </c>
      <c r="F79" s="160">
        <v>0</v>
      </c>
      <c r="G79" s="160">
        <v>0</v>
      </c>
      <c r="H79" s="36">
        <v>0</v>
      </c>
      <c r="I79" s="36">
        <f t="shared" ref="I79:I91" si="26">+D79+E79-F79+G79-H79</f>
        <v>10000000</v>
      </c>
      <c r="J79" s="159">
        <v>0</v>
      </c>
      <c r="K79" s="161">
        <v>9999000</v>
      </c>
      <c r="L79" s="159">
        <v>0</v>
      </c>
      <c r="M79" s="159">
        <v>9999000</v>
      </c>
      <c r="N79" s="159">
        <v>500000</v>
      </c>
      <c r="O79" s="159">
        <v>9999000</v>
      </c>
      <c r="P79" s="159">
        <v>500000</v>
      </c>
      <c r="Q79" s="159">
        <v>9999000</v>
      </c>
      <c r="R79" s="161">
        <v>0</v>
      </c>
      <c r="S79" s="161">
        <v>0</v>
      </c>
      <c r="T79" s="162">
        <v>0</v>
      </c>
    </row>
    <row r="80" spans="2:21" ht="15" customHeight="1" x14ac:dyDescent="0.2">
      <c r="B80" s="111" t="s">
        <v>303</v>
      </c>
      <c r="C80" s="58" t="s">
        <v>304</v>
      </c>
      <c r="D80" s="159">
        <v>15000000</v>
      </c>
      <c r="E80" s="160">
        <v>0</v>
      </c>
      <c r="F80" s="160">
        <v>0</v>
      </c>
      <c r="G80" s="160">
        <v>0</v>
      </c>
      <c r="H80" s="36">
        <v>0</v>
      </c>
      <c r="I80" s="36">
        <f t="shared" si="26"/>
        <v>15000000</v>
      </c>
      <c r="J80" s="159">
        <v>2438026</v>
      </c>
      <c r="K80" s="161">
        <v>14999335</v>
      </c>
      <c r="L80" s="159">
        <v>2438026</v>
      </c>
      <c r="M80" s="159">
        <v>14999335</v>
      </c>
      <c r="N80" s="159">
        <v>2438026</v>
      </c>
      <c r="O80" s="159">
        <v>14999335</v>
      </c>
      <c r="P80" s="159">
        <v>2438026</v>
      </c>
      <c r="Q80" s="159">
        <v>14999335</v>
      </c>
      <c r="R80" s="161">
        <v>0</v>
      </c>
      <c r="S80" s="161">
        <v>0</v>
      </c>
      <c r="T80" s="162">
        <v>0</v>
      </c>
    </row>
    <row r="81" spans="2:21" ht="15" customHeight="1" x14ac:dyDescent="0.2">
      <c r="B81" s="111" t="s">
        <v>305</v>
      </c>
      <c r="C81" s="58" t="s">
        <v>306</v>
      </c>
      <c r="D81" s="159">
        <v>17000000</v>
      </c>
      <c r="E81" s="160">
        <v>0</v>
      </c>
      <c r="F81" s="160">
        <v>0</v>
      </c>
      <c r="G81" s="160">
        <v>0</v>
      </c>
      <c r="H81" s="36">
        <v>0</v>
      </c>
      <c r="I81" s="36">
        <f t="shared" si="26"/>
        <v>17000000</v>
      </c>
      <c r="J81" s="159">
        <v>-76232</v>
      </c>
      <c r="K81" s="161">
        <v>16921500</v>
      </c>
      <c r="L81" s="159">
        <v>-76232</v>
      </c>
      <c r="M81" s="159">
        <v>16921500</v>
      </c>
      <c r="N81" s="159">
        <v>4347500</v>
      </c>
      <c r="O81" s="159">
        <v>16921500</v>
      </c>
      <c r="P81" s="159">
        <v>4759500</v>
      </c>
      <c r="Q81" s="159">
        <v>16921500</v>
      </c>
      <c r="R81" s="161">
        <v>0</v>
      </c>
      <c r="S81" s="161">
        <v>0</v>
      </c>
      <c r="T81" s="162">
        <v>0</v>
      </c>
    </row>
    <row r="82" spans="2:21" ht="15" customHeight="1" x14ac:dyDescent="0.2">
      <c r="B82" s="111" t="s">
        <v>307</v>
      </c>
      <c r="C82" s="58" t="s">
        <v>308</v>
      </c>
      <c r="D82" s="159">
        <v>3000000</v>
      </c>
      <c r="E82" s="160">
        <v>0</v>
      </c>
      <c r="F82" s="160">
        <v>0</v>
      </c>
      <c r="G82" s="160">
        <v>0</v>
      </c>
      <c r="H82" s="36">
        <v>0</v>
      </c>
      <c r="I82" s="36">
        <f t="shared" si="26"/>
        <v>3000000</v>
      </c>
      <c r="J82" s="159">
        <v>0</v>
      </c>
      <c r="K82" s="161">
        <v>495000</v>
      </c>
      <c r="L82" s="159">
        <v>0</v>
      </c>
      <c r="M82" s="159">
        <v>495000</v>
      </c>
      <c r="N82" s="159">
        <v>0</v>
      </c>
      <c r="O82" s="159">
        <v>495000</v>
      </c>
      <c r="P82" s="159">
        <v>0</v>
      </c>
      <c r="Q82" s="159">
        <v>495000</v>
      </c>
      <c r="R82" s="161">
        <v>0</v>
      </c>
      <c r="S82" s="161">
        <v>0</v>
      </c>
      <c r="T82" s="162">
        <v>0</v>
      </c>
    </row>
    <row r="83" spans="2:21" ht="15" customHeight="1" x14ac:dyDescent="0.2">
      <c r="B83" s="111" t="s">
        <v>309</v>
      </c>
      <c r="C83" s="58" t="s">
        <v>310</v>
      </c>
      <c r="D83" s="159">
        <v>1500000</v>
      </c>
      <c r="E83" s="160">
        <v>0</v>
      </c>
      <c r="F83" s="160">
        <v>0</v>
      </c>
      <c r="G83" s="160">
        <v>0</v>
      </c>
      <c r="H83" s="36">
        <v>0</v>
      </c>
      <c r="I83" s="36">
        <f t="shared" si="26"/>
        <v>1500000</v>
      </c>
      <c r="J83" s="159">
        <v>0</v>
      </c>
      <c r="K83" s="161">
        <v>0</v>
      </c>
      <c r="L83" s="159">
        <v>0</v>
      </c>
      <c r="M83" s="159">
        <v>0</v>
      </c>
      <c r="N83" s="159">
        <v>0</v>
      </c>
      <c r="O83" s="159">
        <v>0</v>
      </c>
      <c r="P83" s="159">
        <v>0</v>
      </c>
      <c r="Q83" s="159">
        <v>0</v>
      </c>
      <c r="R83" s="161">
        <v>0</v>
      </c>
      <c r="S83" s="161">
        <v>0</v>
      </c>
      <c r="T83" s="162">
        <v>0</v>
      </c>
    </row>
    <row r="84" spans="2:21" ht="15" customHeight="1" x14ac:dyDescent="0.2">
      <c r="B84" s="111" t="s">
        <v>311</v>
      </c>
      <c r="C84" s="58" t="s">
        <v>312</v>
      </c>
      <c r="D84" s="159">
        <v>1500000</v>
      </c>
      <c r="E84" s="160">
        <v>0</v>
      </c>
      <c r="F84" s="160">
        <v>0</v>
      </c>
      <c r="G84" s="160">
        <v>0</v>
      </c>
      <c r="H84" s="36">
        <v>0</v>
      </c>
      <c r="I84" s="36">
        <f t="shared" si="26"/>
        <v>1500000</v>
      </c>
      <c r="J84" s="159">
        <v>0</v>
      </c>
      <c r="K84" s="161">
        <v>1000000</v>
      </c>
      <c r="L84" s="159">
        <v>0</v>
      </c>
      <c r="M84" s="159">
        <v>1000000</v>
      </c>
      <c r="N84" s="159">
        <v>0</v>
      </c>
      <c r="O84" s="159">
        <v>1000000</v>
      </c>
      <c r="P84" s="159">
        <v>0</v>
      </c>
      <c r="Q84" s="159">
        <v>1000000</v>
      </c>
      <c r="R84" s="161">
        <v>0</v>
      </c>
      <c r="S84" s="161">
        <v>0</v>
      </c>
      <c r="T84" s="162">
        <v>0</v>
      </c>
    </row>
    <row r="85" spans="2:21" ht="15" customHeight="1" x14ac:dyDescent="0.2">
      <c r="B85" s="111" t="s">
        <v>313</v>
      </c>
      <c r="C85" s="58" t="s">
        <v>314</v>
      </c>
      <c r="D85" s="159">
        <v>1000000</v>
      </c>
      <c r="E85" s="160">
        <v>0</v>
      </c>
      <c r="F85" s="160">
        <v>0</v>
      </c>
      <c r="G85" s="160">
        <v>0</v>
      </c>
      <c r="H85" s="36">
        <v>0</v>
      </c>
      <c r="I85" s="36">
        <f t="shared" si="26"/>
        <v>1000000</v>
      </c>
      <c r="J85" s="159">
        <v>0</v>
      </c>
      <c r="K85" s="161">
        <v>668464</v>
      </c>
      <c r="L85" s="159">
        <v>0</v>
      </c>
      <c r="M85" s="159">
        <v>668464</v>
      </c>
      <c r="N85" s="159">
        <v>0</v>
      </c>
      <c r="O85" s="159">
        <v>668464</v>
      </c>
      <c r="P85" s="159">
        <v>0</v>
      </c>
      <c r="Q85" s="159">
        <v>668464</v>
      </c>
      <c r="R85" s="161">
        <v>0</v>
      </c>
      <c r="S85" s="161">
        <v>0</v>
      </c>
      <c r="T85" s="162">
        <v>0</v>
      </c>
    </row>
    <row r="86" spans="2:21" ht="15" customHeight="1" x14ac:dyDescent="0.2">
      <c r="B86" s="111" t="s">
        <v>315</v>
      </c>
      <c r="C86" s="58" t="s">
        <v>316</v>
      </c>
      <c r="D86" s="159">
        <v>2000000</v>
      </c>
      <c r="E86" s="160">
        <v>0</v>
      </c>
      <c r="F86" s="160">
        <v>0</v>
      </c>
      <c r="G86" s="160">
        <v>0</v>
      </c>
      <c r="H86" s="36">
        <v>0</v>
      </c>
      <c r="I86" s="36">
        <f t="shared" si="26"/>
        <v>2000000</v>
      </c>
      <c r="J86" s="159">
        <v>0</v>
      </c>
      <c r="K86" s="161">
        <v>500000</v>
      </c>
      <c r="L86" s="159">
        <v>0</v>
      </c>
      <c r="M86" s="159">
        <v>500000</v>
      </c>
      <c r="N86" s="159">
        <v>0</v>
      </c>
      <c r="O86" s="159">
        <v>500000</v>
      </c>
      <c r="P86" s="159">
        <v>0</v>
      </c>
      <c r="Q86" s="159">
        <v>500000</v>
      </c>
      <c r="R86" s="161">
        <v>0</v>
      </c>
      <c r="S86" s="161">
        <v>0</v>
      </c>
      <c r="T86" s="162">
        <v>0</v>
      </c>
    </row>
    <row r="87" spans="2:21" ht="15" customHeight="1" x14ac:dyDescent="0.2">
      <c r="B87" s="111" t="s">
        <v>317</v>
      </c>
      <c r="C87" s="58" t="s">
        <v>318</v>
      </c>
      <c r="D87" s="159">
        <v>5000000</v>
      </c>
      <c r="E87" s="160">
        <v>0</v>
      </c>
      <c r="F87" s="160">
        <v>0</v>
      </c>
      <c r="G87" s="160">
        <v>0</v>
      </c>
      <c r="H87" s="36">
        <v>0</v>
      </c>
      <c r="I87" s="36">
        <f t="shared" si="26"/>
        <v>5000000</v>
      </c>
      <c r="J87" s="159">
        <v>0</v>
      </c>
      <c r="K87" s="161">
        <v>1000000</v>
      </c>
      <c r="L87" s="159">
        <v>0</v>
      </c>
      <c r="M87" s="159">
        <v>1000000</v>
      </c>
      <c r="N87" s="159">
        <v>0</v>
      </c>
      <c r="O87" s="159">
        <v>1000000</v>
      </c>
      <c r="P87" s="159">
        <v>0</v>
      </c>
      <c r="Q87" s="159">
        <v>1000000</v>
      </c>
      <c r="R87" s="161">
        <v>0</v>
      </c>
      <c r="S87" s="161">
        <v>0</v>
      </c>
      <c r="T87" s="162">
        <v>0</v>
      </c>
    </row>
    <row r="88" spans="2:21" ht="15" customHeight="1" x14ac:dyDescent="0.2">
      <c r="B88" s="111" t="s">
        <v>319</v>
      </c>
      <c r="C88" s="58" t="s">
        <v>292</v>
      </c>
      <c r="D88" s="159">
        <v>1000000</v>
      </c>
      <c r="E88" s="160">
        <v>0</v>
      </c>
      <c r="F88" s="160">
        <v>0</v>
      </c>
      <c r="G88" s="160">
        <v>0</v>
      </c>
      <c r="H88" s="36">
        <v>0</v>
      </c>
      <c r="I88" s="36">
        <f t="shared" si="26"/>
        <v>1000000</v>
      </c>
      <c r="J88" s="159">
        <v>0</v>
      </c>
      <c r="K88" s="161">
        <v>0</v>
      </c>
      <c r="L88" s="159">
        <v>0</v>
      </c>
      <c r="M88" s="159">
        <v>0</v>
      </c>
      <c r="N88" s="159">
        <v>0</v>
      </c>
      <c r="O88" s="159">
        <v>0</v>
      </c>
      <c r="P88" s="159">
        <v>0</v>
      </c>
      <c r="Q88" s="159">
        <v>0</v>
      </c>
      <c r="R88" s="161">
        <v>0</v>
      </c>
      <c r="S88" s="161">
        <v>0</v>
      </c>
      <c r="T88" s="162">
        <v>0</v>
      </c>
    </row>
    <row r="89" spans="2:21" ht="15" customHeight="1" x14ac:dyDescent="0.2">
      <c r="B89" s="111" t="s">
        <v>320</v>
      </c>
      <c r="C89" s="58" t="s">
        <v>321</v>
      </c>
      <c r="D89" s="159">
        <v>3000000</v>
      </c>
      <c r="E89" s="160">
        <v>0</v>
      </c>
      <c r="F89" s="160">
        <v>0</v>
      </c>
      <c r="G89" s="160">
        <v>0</v>
      </c>
      <c r="H89" s="36">
        <v>0</v>
      </c>
      <c r="I89" s="36">
        <f t="shared" si="26"/>
        <v>3000000</v>
      </c>
      <c r="J89" s="159">
        <v>0</v>
      </c>
      <c r="K89" s="161">
        <v>3000000</v>
      </c>
      <c r="L89" s="159">
        <v>0</v>
      </c>
      <c r="M89" s="159">
        <v>3000000</v>
      </c>
      <c r="N89" s="159">
        <v>0</v>
      </c>
      <c r="O89" s="159">
        <v>2000000</v>
      </c>
      <c r="P89" s="159">
        <v>0</v>
      </c>
      <c r="Q89" s="159">
        <v>2000000</v>
      </c>
      <c r="R89" s="161">
        <v>0</v>
      </c>
      <c r="S89" s="161">
        <v>1000000</v>
      </c>
      <c r="T89" s="162">
        <v>0</v>
      </c>
    </row>
    <row r="90" spans="2:21" ht="15" customHeight="1" x14ac:dyDescent="0.2">
      <c r="B90" s="111" t="s">
        <v>322</v>
      </c>
      <c r="C90" s="58" t="s">
        <v>323</v>
      </c>
      <c r="D90" s="159">
        <v>10000000</v>
      </c>
      <c r="E90" s="160">
        <v>0</v>
      </c>
      <c r="F90" s="160">
        <v>0</v>
      </c>
      <c r="G90" s="160">
        <v>0</v>
      </c>
      <c r="H90" s="36">
        <v>2000000</v>
      </c>
      <c r="I90" s="36">
        <f t="shared" si="26"/>
        <v>8000000</v>
      </c>
      <c r="J90" s="159">
        <v>0</v>
      </c>
      <c r="K90" s="161">
        <v>7000000</v>
      </c>
      <c r="L90" s="159">
        <v>0</v>
      </c>
      <c r="M90" s="159">
        <v>7000000</v>
      </c>
      <c r="N90" s="159">
        <v>2000000</v>
      </c>
      <c r="O90" s="159">
        <v>7000000</v>
      </c>
      <c r="P90" s="159">
        <v>2000000</v>
      </c>
      <c r="Q90" s="159">
        <v>7000000</v>
      </c>
      <c r="R90" s="161">
        <v>0</v>
      </c>
      <c r="S90" s="161">
        <v>0</v>
      </c>
      <c r="T90" s="162">
        <v>0</v>
      </c>
    </row>
    <row r="91" spans="2:21" ht="15" customHeight="1" x14ac:dyDescent="0.2">
      <c r="B91" s="111" t="s">
        <v>324</v>
      </c>
      <c r="C91" s="58" t="s">
        <v>325</v>
      </c>
      <c r="D91" s="159">
        <v>10000000</v>
      </c>
      <c r="E91" s="160">
        <v>0</v>
      </c>
      <c r="F91" s="160">
        <v>0</v>
      </c>
      <c r="G91" s="160">
        <v>0</v>
      </c>
      <c r="H91" s="36">
        <v>0</v>
      </c>
      <c r="I91" s="36">
        <f t="shared" si="26"/>
        <v>10000000</v>
      </c>
      <c r="J91" s="159">
        <v>0</v>
      </c>
      <c r="K91" s="161">
        <v>6046457</v>
      </c>
      <c r="L91" s="159">
        <v>0</v>
      </c>
      <c r="M91" s="159">
        <v>6046457</v>
      </c>
      <c r="N91" s="159">
        <v>0</v>
      </c>
      <c r="O91" s="159">
        <v>5658583</v>
      </c>
      <c r="P91" s="159">
        <v>0</v>
      </c>
      <c r="Q91" s="159">
        <v>5658583</v>
      </c>
      <c r="R91" s="161">
        <v>0</v>
      </c>
      <c r="S91" s="161">
        <v>387874</v>
      </c>
      <c r="T91" s="162">
        <v>0</v>
      </c>
    </row>
    <row r="92" spans="2:21" s="14" customFormat="1" ht="15" customHeight="1" x14ac:dyDescent="0.25">
      <c r="B92" s="98" t="s">
        <v>326</v>
      </c>
      <c r="C92" s="101" t="s">
        <v>125</v>
      </c>
      <c r="D92" s="37">
        <f>SUM(D93:D95)</f>
        <v>5000000</v>
      </c>
      <c r="E92" s="156">
        <f t="shared" ref="E92:T92" si="27">SUM(E93:E95)</f>
        <v>0</v>
      </c>
      <c r="F92" s="156">
        <f t="shared" si="27"/>
        <v>0</v>
      </c>
      <c r="G92" s="156">
        <f t="shared" si="27"/>
        <v>0</v>
      </c>
      <c r="H92" s="37">
        <f t="shared" si="27"/>
        <v>0</v>
      </c>
      <c r="I92" s="37">
        <f t="shared" si="27"/>
        <v>5000000</v>
      </c>
      <c r="J92" s="37">
        <f t="shared" si="27"/>
        <v>750000</v>
      </c>
      <c r="K92" s="37">
        <f t="shared" si="27"/>
        <v>750000</v>
      </c>
      <c r="L92" s="37">
        <f t="shared" si="27"/>
        <v>750000</v>
      </c>
      <c r="M92" s="37">
        <f t="shared" si="27"/>
        <v>750000</v>
      </c>
      <c r="N92" s="37">
        <f t="shared" si="27"/>
        <v>750000</v>
      </c>
      <c r="O92" s="37">
        <f t="shared" si="27"/>
        <v>750000</v>
      </c>
      <c r="P92" s="37">
        <f t="shared" si="27"/>
        <v>750000</v>
      </c>
      <c r="Q92" s="37">
        <f t="shared" si="27"/>
        <v>750000</v>
      </c>
      <c r="R92" s="37">
        <f t="shared" si="27"/>
        <v>0</v>
      </c>
      <c r="S92" s="37">
        <f t="shared" si="27"/>
        <v>0</v>
      </c>
      <c r="T92" s="109">
        <f t="shared" si="27"/>
        <v>0</v>
      </c>
      <c r="U92" s="153"/>
    </row>
    <row r="93" spans="2:21" ht="15" customHeight="1" x14ac:dyDescent="0.2">
      <c r="B93" s="111" t="s">
        <v>327</v>
      </c>
      <c r="C93" s="58" t="s">
        <v>328</v>
      </c>
      <c r="D93" s="159">
        <v>750000</v>
      </c>
      <c r="E93" s="160">
        <v>0</v>
      </c>
      <c r="F93" s="160">
        <v>0</v>
      </c>
      <c r="G93" s="160">
        <v>0</v>
      </c>
      <c r="H93" s="36">
        <v>0</v>
      </c>
      <c r="I93" s="36">
        <f>+D93+E93-F93+G93-H93</f>
        <v>750000</v>
      </c>
      <c r="J93" s="159">
        <v>750000</v>
      </c>
      <c r="K93" s="161">
        <v>750000</v>
      </c>
      <c r="L93" s="159">
        <v>750000</v>
      </c>
      <c r="M93" s="159">
        <v>750000</v>
      </c>
      <c r="N93" s="159">
        <v>750000</v>
      </c>
      <c r="O93" s="159">
        <v>750000</v>
      </c>
      <c r="P93" s="159">
        <v>750000</v>
      </c>
      <c r="Q93" s="159">
        <v>750000</v>
      </c>
      <c r="R93" s="161">
        <v>0</v>
      </c>
      <c r="S93" s="161">
        <v>0</v>
      </c>
      <c r="T93" s="162">
        <v>0</v>
      </c>
    </row>
    <row r="94" spans="2:21" ht="15" customHeight="1" x14ac:dyDescent="0.2">
      <c r="B94" s="111" t="s">
        <v>329</v>
      </c>
      <c r="C94" s="58" t="s">
        <v>388</v>
      </c>
      <c r="D94" s="159">
        <v>750000</v>
      </c>
      <c r="E94" s="160">
        <v>0</v>
      </c>
      <c r="F94" s="160">
        <v>0</v>
      </c>
      <c r="G94" s="160">
        <v>0</v>
      </c>
      <c r="H94" s="36">
        <v>0</v>
      </c>
      <c r="I94" s="36">
        <f>+D94+E94-F94+G94-H94</f>
        <v>750000</v>
      </c>
      <c r="J94" s="159">
        <v>0</v>
      </c>
      <c r="K94" s="161">
        <v>0</v>
      </c>
      <c r="L94" s="159">
        <v>0</v>
      </c>
      <c r="M94" s="159">
        <v>0</v>
      </c>
      <c r="N94" s="159">
        <v>0</v>
      </c>
      <c r="O94" s="159">
        <v>0</v>
      </c>
      <c r="P94" s="159">
        <v>0</v>
      </c>
      <c r="Q94" s="159">
        <v>0</v>
      </c>
      <c r="R94" s="161">
        <v>0</v>
      </c>
      <c r="S94" s="161">
        <v>0</v>
      </c>
      <c r="T94" s="162">
        <v>0</v>
      </c>
    </row>
    <row r="95" spans="2:21" ht="15" customHeight="1" x14ac:dyDescent="0.2">
      <c r="B95" s="111" t="s">
        <v>331</v>
      </c>
      <c r="C95" s="58" t="s">
        <v>332</v>
      </c>
      <c r="D95" s="159">
        <v>3500000</v>
      </c>
      <c r="E95" s="160">
        <v>0</v>
      </c>
      <c r="F95" s="160">
        <v>0</v>
      </c>
      <c r="G95" s="160">
        <v>0</v>
      </c>
      <c r="H95" s="36">
        <v>0</v>
      </c>
      <c r="I95" s="36">
        <f>+D95+E95-F95+G95-H95</f>
        <v>3500000</v>
      </c>
      <c r="J95" s="159">
        <v>0</v>
      </c>
      <c r="K95" s="161">
        <v>0</v>
      </c>
      <c r="L95" s="159">
        <v>0</v>
      </c>
      <c r="M95" s="159">
        <v>0</v>
      </c>
      <c r="N95" s="159">
        <v>0</v>
      </c>
      <c r="O95" s="159">
        <v>0</v>
      </c>
      <c r="P95" s="159">
        <v>0</v>
      </c>
      <c r="Q95" s="159">
        <v>0</v>
      </c>
      <c r="R95" s="161">
        <v>0</v>
      </c>
      <c r="S95" s="161">
        <v>0</v>
      </c>
      <c r="T95" s="162">
        <v>0</v>
      </c>
    </row>
    <row r="96" spans="2:21" s="14" customFormat="1" ht="15" customHeight="1" x14ac:dyDescent="0.25">
      <c r="B96" s="98" t="s">
        <v>333</v>
      </c>
      <c r="C96" s="101" t="s">
        <v>334</v>
      </c>
      <c r="D96" s="37">
        <f>+D97+D104+D118</f>
        <v>2300000000</v>
      </c>
      <c r="E96" s="156">
        <f t="shared" ref="E96:T96" si="28">+E97+E104+E118</f>
        <v>304309806.30000001</v>
      </c>
      <c r="F96" s="156">
        <f t="shared" si="28"/>
        <v>0</v>
      </c>
      <c r="G96" s="156">
        <f t="shared" si="28"/>
        <v>309400000</v>
      </c>
      <c r="H96" s="37">
        <f>+H97+H104+H118</f>
        <v>522400000</v>
      </c>
      <c r="I96" s="37">
        <f t="shared" si="28"/>
        <v>2391309806.3000002</v>
      </c>
      <c r="J96" s="37">
        <f t="shared" si="28"/>
        <v>47281894.299999997</v>
      </c>
      <c r="K96" s="37">
        <f t="shared" si="28"/>
        <v>1806143244.9300001</v>
      </c>
      <c r="L96" s="37">
        <f t="shared" si="28"/>
        <v>53767496.299999997</v>
      </c>
      <c r="M96" s="37">
        <f t="shared" si="28"/>
        <v>1806143244.9300001</v>
      </c>
      <c r="N96" s="37">
        <f t="shared" si="28"/>
        <v>273689178.93000001</v>
      </c>
      <c r="O96" s="37">
        <f t="shared" si="28"/>
        <v>1766313517.9300001</v>
      </c>
      <c r="P96" s="37">
        <f t="shared" si="28"/>
        <v>299849201</v>
      </c>
      <c r="Q96" s="37">
        <f t="shared" si="28"/>
        <v>1752747000</v>
      </c>
      <c r="R96" s="37">
        <f t="shared" si="28"/>
        <v>0</v>
      </c>
      <c r="S96" s="37">
        <f t="shared" si="28"/>
        <v>39829727</v>
      </c>
      <c r="T96" s="109">
        <f t="shared" si="28"/>
        <v>13566517</v>
      </c>
      <c r="U96" s="153"/>
    </row>
    <row r="97" spans="2:21" s="14" customFormat="1" ht="15" customHeight="1" x14ac:dyDescent="0.25">
      <c r="B97" s="98" t="s">
        <v>335</v>
      </c>
      <c r="C97" s="101" t="s">
        <v>82</v>
      </c>
      <c r="D97" s="37">
        <f>SUM(D98:D103)</f>
        <v>800000000</v>
      </c>
      <c r="E97" s="156">
        <f t="shared" ref="E97:T97" si="29">SUM(E98:E103)</f>
        <v>0</v>
      </c>
      <c r="F97" s="156">
        <f t="shared" si="29"/>
        <v>0</v>
      </c>
      <c r="G97" s="156">
        <f t="shared" si="29"/>
        <v>221000000</v>
      </c>
      <c r="H97" s="37">
        <f t="shared" si="29"/>
        <v>245200000</v>
      </c>
      <c r="I97" s="37">
        <f t="shared" si="29"/>
        <v>775800000</v>
      </c>
      <c r="J97" s="37">
        <f t="shared" si="29"/>
        <v>4500000</v>
      </c>
      <c r="K97" s="37">
        <f t="shared" si="29"/>
        <v>490225423</v>
      </c>
      <c r="L97" s="37">
        <f t="shared" si="29"/>
        <v>10800000</v>
      </c>
      <c r="M97" s="37">
        <f t="shared" si="29"/>
        <v>490225423</v>
      </c>
      <c r="N97" s="37">
        <f t="shared" si="29"/>
        <v>97498095</v>
      </c>
      <c r="O97" s="37">
        <f t="shared" si="29"/>
        <v>470733943</v>
      </c>
      <c r="P97" s="37">
        <f t="shared" si="29"/>
        <v>89711895</v>
      </c>
      <c r="Q97" s="37">
        <f t="shared" si="29"/>
        <v>462947743</v>
      </c>
      <c r="R97" s="37">
        <f t="shared" si="29"/>
        <v>0</v>
      </c>
      <c r="S97" s="37">
        <f t="shared" si="29"/>
        <v>19491480</v>
      </c>
      <c r="T97" s="109">
        <f t="shared" si="29"/>
        <v>7786200</v>
      </c>
      <c r="U97" s="153"/>
    </row>
    <row r="98" spans="2:21" ht="15" customHeight="1" x14ac:dyDescent="0.2">
      <c r="B98" s="111" t="s">
        <v>336</v>
      </c>
      <c r="C98" s="58" t="s">
        <v>288</v>
      </c>
      <c r="D98" s="159">
        <v>200000000</v>
      </c>
      <c r="E98" s="160">
        <v>0</v>
      </c>
      <c r="F98" s="160">
        <v>0</v>
      </c>
      <c r="G98" s="160">
        <v>131000000</v>
      </c>
      <c r="H98" s="36">
        <v>55000000</v>
      </c>
      <c r="I98" s="36">
        <f t="shared" ref="I98:I103" si="30">+D98+E98-F98+G98-H98</f>
        <v>276000000</v>
      </c>
      <c r="J98" s="159">
        <v>0</v>
      </c>
      <c r="K98" s="161">
        <v>138412670</v>
      </c>
      <c r="L98" s="159">
        <v>0</v>
      </c>
      <c r="M98" s="159">
        <v>138412670</v>
      </c>
      <c r="N98" s="159">
        <v>66817974</v>
      </c>
      <c r="O98" s="159">
        <v>138412670</v>
      </c>
      <c r="P98" s="159">
        <v>66817974</v>
      </c>
      <c r="Q98" s="159">
        <v>138412670</v>
      </c>
      <c r="R98" s="161">
        <v>0</v>
      </c>
      <c r="S98" s="161">
        <v>0</v>
      </c>
      <c r="T98" s="162">
        <v>0</v>
      </c>
    </row>
    <row r="99" spans="2:21" ht="15" customHeight="1" x14ac:dyDescent="0.2">
      <c r="B99" s="111" t="s">
        <v>337</v>
      </c>
      <c r="C99" s="58" t="s">
        <v>338</v>
      </c>
      <c r="D99" s="159">
        <v>350000000</v>
      </c>
      <c r="E99" s="160">
        <v>0</v>
      </c>
      <c r="F99" s="160">
        <v>0</v>
      </c>
      <c r="G99" s="160">
        <v>0</v>
      </c>
      <c r="H99" s="36">
        <f>90000000+10200000</f>
        <v>100200000</v>
      </c>
      <c r="I99" s="36">
        <f t="shared" si="30"/>
        <v>249800000</v>
      </c>
      <c r="J99" s="159">
        <v>0</v>
      </c>
      <c r="K99" s="161">
        <v>227399667</v>
      </c>
      <c r="L99" s="159">
        <v>0</v>
      </c>
      <c r="M99" s="159">
        <v>227399667</v>
      </c>
      <c r="N99" s="159">
        <v>15174070</v>
      </c>
      <c r="O99" s="159">
        <v>210001867</v>
      </c>
      <c r="P99" s="159">
        <v>15174070</v>
      </c>
      <c r="Q99" s="159">
        <v>210001867</v>
      </c>
      <c r="R99" s="161">
        <v>0</v>
      </c>
      <c r="S99" s="161">
        <v>17397800</v>
      </c>
      <c r="T99" s="162">
        <v>0</v>
      </c>
    </row>
    <row r="100" spans="2:21" ht="15" customHeight="1" x14ac:dyDescent="0.2">
      <c r="B100" s="111" t="s">
        <v>339</v>
      </c>
      <c r="C100" s="58" t="s">
        <v>292</v>
      </c>
      <c r="D100" s="159">
        <v>7000000</v>
      </c>
      <c r="E100" s="160">
        <v>0</v>
      </c>
      <c r="F100" s="160">
        <v>0</v>
      </c>
      <c r="G100" s="160">
        <v>0</v>
      </c>
      <c r="H100" s="36">
        <v>0</v>
      </c>
      <c r="I100" s="36">
        <f t="shared" si="30"/>
        <v>7000000</v>
      </c>
      <c r="J100" s="159">
        <v>0</v>
      </c>
      <c r="K100" s="161">
        <v>0</v>
      </c>
      <c r="L100" s="159">
        <v>0</v>
      </c>
      <c r="M100" s="159">
        <v>0</v>
      </c>
      <c r="N100" s="159">
        <v>0</v>
      </c>
      <c r="O100" s="159">
        <v>0</v>
      </c>
      <c r="P100" s="159">
        <v>0</v>
      </c>
      <c r="Q100" s="159">
        <v>0</v>
      </c>
      <c r="R100" s="161">
        <v>0</v>
      </c>
      <c r="S100" s="161">
        <v>0</v>
      </c>
      <c r="T100" s="162">
        <v>0</v>
      </c>
    </row>
    <row r="101" spans="2:21" ht="15" customHeight="1" x14ac:dyDescent="0.2">
      <c r="B101" s="111" t="s">
        <v>340</v>
      </c>
      <c r="C101" s="58" t="s">
        <v>294</v>
      </c>
      <c r="D101" s="159">
        <v>150000000</v>
      </c>
      <c r="E101" s="160">
        <v>0</v>
      </c>
      <c r="F101" s="160">
        <v>0</v>
      </c>
      <c r="G101" s="160">
        <v>0</v>
      </c>
      <c r="H101" s="36">
        <v>70000000</v>
      </c>
      <c r="I101" s="36">
        <f t="shared" si="30"/>
        <v>80000000</v>
      </c>
      <c r="J101" s="159">
        <v>0</v>
      </c>
      <c r="K101" s="161">
        <v>21344486</v>
      </c>
      <c r="L101" s="159">
        <v>0</v>
      </c>
      <c r="M101" s="159">
        <v>21344486</v>
      </c>
      <c r="N101" s="159">
        <v>3219851</v>
      </c>
      <c r="O101" s="159">
        <v>19319106</v>
      </c>
      <c r="P101" s="159">
        <v>3219851</v>
      </c>
      <c r="Q101" s="159">
        <v>19319106</v>
      </c>
      <c r="R101" s="161">
        <v>0</v>
      </c>
      <c r="S101" s="161">
        <v>2025380</v>
      </c>
      <c r="T101" s="162">
        <v>0</v>
      </c>
    </row>
    <row r="102" spans="2:21" ht="15" customHeight="1" x14ac:dyDescent="0.2">
      <c r="B102" s="111" t="s">
        <v>341</v>
      </c>
      <c r="C102" s="58" t="s">
        <v>342</v>
      </c>
      <c r="D102" s="159">
        <v>30000000</v>
      </c>
      <c r="E102" s="160">
        <v>0</v>
      </c>
      <c r="F102" s="160">
        <v>0</v>
      </c>
      <c r="G102" s="160">
        <v>90000000</v>
      </c>
      <c r="H102" s="36"/>
      <c r="I102" s="36">
        <f t="shared" si="30"/>
        <v>120000000</v>
      </c>
      <c r="J102" s="159">
        <v>0</v>
      </c>
      <c r="K102" s="161">
        <v>98568600</v>
      </c>
      <c r="L102" s="159">
        <v>6300000</v>
      </c>
      <c r="M102" s="159">
        <v>98568600</v>
      </c>
      <c r="N102" s="159">
        <v>7786200</v>
      </c>
      <c r="O102" s="159">
        <v>98500300</v>
      </c>
      <c r="P102" s="159">
        <v>0</v>
      </c>
      <c r="Q102" s="159">
        <v>90714100</v>
      </c>
      <c r="R102" s="161">
        <v>0</v>
      </c>
      <c r="S102" s="161">
        <v>68300</v>
      </c>
      <c r="T102" s="162">
        <v>7786200</v>
      </c>
    </row>
    <row r="103" spans="2:21" ht="15" customHeight="1" x14ac:dyDescent="0.2">
      <c r="B103" s="111" t="s">
        <v>343</v>
      </c>
      <c r="C103" s="58" t="s">
        <v>344</v>
      </c>
      <c r="D103" s="159">
        <v>63000000</v>
      </c>
      <c r="E103" s="160">
        <v>0</v>
      </c>
      <c r="F103" s="160">
        <v>0</v>
      </c>
      <c r="G103" s="160">
        <v>0</v>
      </c>
      <c r="H103" s="36">
        <v>20000000</v>
      </c>
      <c r="I103" s="36">
        <f t="shared" si="30"/>
        <v>43000000</v>
      </c>
      <c r="J103" s="159">
        <v>4500000</v>
      </c>
      <c r="K103" s="161">
        <v>4500000</v>
      </c>
      <c r="L103" s="159">
        <v>4500000</v>
      </c>
      <c r="M103" s="159">
        <v>4500000</v>
      </c>
      <c r="N103" s="159">
        <v>4500000</v>
      </c>
      <c r="O103" s="159">
        <v>4500000</v>
      </c>
      <c r="P103" s="159">
        <v>4500000</v>
      </c>
      <c r="Q103" s="159">
        <v>4500000</v>
      </c>
      <c r="R103" s="161">
        <v>0</v>
      </c>
      <c r="S103" s="161">
        <v>0</v>
      </c>
      <c r="T103" s="162">
        <v>0</v>
      </c>
    </row>
    <row r="104" spans="2:21" s="14" customFormat="1" ht="15" customHeight="1" x14ac:dyDescent="0.25">
      <c r="B104" s="98" t="s">
        <v>345</v>
      </c>
      <c r="C104" s="101" t="s">
        <v>300</v>
      </c>
      <c r="D104" s="37">
        <f>SUM(D105:D117)</f>
        <v>800000000</v>
      </c>
      <c r="E104" s="156">
        <f>SUM(E105:E117)</f>
        <v>117000000</v>
      </c>
      <c r="F104" s="156">
        <f t="shared" ref="F104:T104" si="31">SUM(F105:F117)</f>
        <v>0</v>
      </c>
      <c r="G104" s="156">
        <f t="shared" si="31"/>
        <v>80200000</v>
      </c>
      <c r="H104" s="37">
        <f>SUM(H105:H117)</f>
        <v>24000000</v>
      </c>
      <c r="I104" s="37">
        <f t="shared" si="31"/>
        <v>973200000</v>
      </c>
      <c r="J104" s="37">
        <f t="shared" si="31"/>
        <v>3980232</v>
      </c>
      <c r="K104" s="37">
        <f t="shared" si="31"/>
        <v>843475664.63</v>
      </c>
      <c r="L104" s="37">
        <f t="shared" si="31"/>
        <v>4165834</v>
      </c>
      <c r="M104" s="37">
        <f t="shared" si="31"/>
        <v>843475664.63</v>
      </c>
      <c r="N104" s="37">
        <f t="shared" si="31"/>
        <v>137389421.63</v>
      </c>
      <c r="O104" s="37">
        <f t="shared" si="31"/>
        <v>823137417.63</v>
      </c>
      <c r="P104" s="37">
        <f t="shared" si="31"/>
        <v>171335644</v>
      </c>
      <c r="Q104" s="37">
        <f t="shared" si="31"/>
        <v>817357100</v>
      </c>
      <c r="R104" s="37">
        <f t="shared" si="31"/>
        <v>0</v>
      </c>
      <c r="S104" s="37">
        <f t="shared" si="31"/>
        <v>20338247</v>
      </c>
      <c r="T104" s="109">
        <f t="shared" si="31"/>
        <v>5780317</v>
      </c>
      <c r="U104" s="153"/>
    </row>
    <row r="105" spans="2:21" ht="15" customHeight="1" x14ac:dyDescent="0.2">
      <c r="B105" s="111" t="s">
        <v>346</v>
      </c>
      <c r="C105" s="58" t="s">
        <v>302</v>
      </c>
      <c r="D105" s="159">
        <v>40000000</v>
      </c>
      <c r="E105" s="160">
        <v>0</v>
      </c>
      <c r="F105" s="160">
        <v>0</v>
      </c>
      <c r="G105" s="160">
        <v>0</v>
      </c>
      <c r="H105" s="36">
        <v>14000000</v>
      </c>
      <c r="I105" s="36">
        <f t="shared" ref="I105:I117" si="32">+D105+E105-F105+G105-H105</f>
        <v>26000000</v>
      </c>
      <c r="J105" s="159">
        <v>0</v>
      </c>
      <c r="K105" s="161">
        <v>25740425</v>
      </c>
      <c r="L105" s="159">
        <v>0</v>
      </c>
      <c r="M105" s="159">
        <v>25740425</v>
      </c>
      <c r="N105" s="159">
        <v>10161425</v>
      </c>
      <c r="O105" s="159">
        <v>25740425</v>
      </c>
      <c r="P105" s="159">
        <v>5761425</v>
      </c>
      <c r="Q105" s="159">
        <v>21340425</v>
      </c>
      <c r="R105" s="161">
        <v>0</v>
      </c>
      <c r="S105" s="161">
        <v>0</v>
      </c>
      <c r="T105" s="162">
        <v>4400000</v>
      </c>
    </row>
    <row r="106" spans="2:21" ht="15" customHeight="1" x14ac:dyDescent="0.2">
      <c r="B106" s="111" t="s">
        <v>347</v>
      </c>
      <c r="C106" s="58" t="s">
        <v>304</v>
      </c>
      <c r="D106" s="159">
        <v>158000000</v>
      </c>
      <c r="E106" s="160">
        <v>80000000</v>
      </c>
      <c r="F106" s="160">
        <v>0</v>
      </c>
      <c r="G106" s="160">
        <v>5000000</v>
      </c>
      <c r="H106" s="36">
        <v>0</v>
      </c>
      <c r="I106" s="36">
        <f t="shared" si="32"/>
        <v>243000000</v>
      </c>
      <c r="J106" s="159">
        <v>22314627</v>
      </c>
      <c r="K106" s="161">
        <v>240375529.63</v>
      </c>
      <c r="L106" s="159">
        <v>22314627</v>
      </c>
      <c r="M106" s="159">
        <v>240375529.63</v>
      </c>
      <c r="N106" s="159">
        <v>22400217.629999999</v>
      </c>
      <c r="O106" s="159">
        <v>240375529.63</v>
      </c>
      <c r="P106" s="159">
        <v>23802292</v>
      </c>
      <c r="Q106" s="159">
        <v>239473427</v>
      </c>
      <c r="R106" s="161">
        <v>0</v>
      </c>
      <c r="S106" s="161">
        <v>0</v>
      </c>
      <c r="T106" s="162">
        <v>902102</v>
      </c>
    </row>
    <row r="107" spans="2:21" ht="15" customHeight="1" x14ac:dyDescent="0.2">
      <c r="B107" s="111" t="s">
        <v>348</v>
      </c>
      <c r="C107" s="58" t="s">
        <v>306</v>
      </c>
      <c r="D107" s="159">
        <v>140000000</v>
      </c>
      <c r="E107" s="160">
        <v>0</v>
      </c>
      <c r="F107" s="160">
        <v>0</v>
      </c>
      <c r="G107" s="160">
        <v>0</v>
      </c>
      <c r="H107" s="36">
        <v>0</v>
      </c>
      <c r="I107" s="36">
        <f t="shared" si="32"/>
        <v>140000000</v>
      </c>
      <c r="J107" s="159">
        <v>1020154</v>
      </c>
      <c r="K107" s="161">
        <v>134483686</v>
      </c>
      <c r="L107" s="159">
        <v>1020154</v>
      </c>
      <c r="M107" s="159">
        <v>134483686</v>
      </c>
      <c r="N107" s="159">
        <v>11753513</v>
      </c>
      <c r="O107" s="159">
        <v>128287653</v>
      </c>
      <c r="P107" s="159">
        <v>12563899</v>
      </c>
      <c r="Q107" s="159">
        <v>128220320</v>
      </c>
      <c r="R107" s="161">
        <v>0</v>
      </c>
      <c r="S107" s="161">
        <v>6196033</v>
      </c>
      <c r="T107" s="162">
        <v>67333</v>
      </c>
    </row>
    <row r="108" spans="2:21" ht="15" customHeight="1" x14ac:dyDescent="0.2">
      <c r="B108" s="111" t="s">
        <v>349</v>
      </c>
      <c r="C108" s="58" t="s">
        <v>308</v>
      </c>
      <c r="D108" s="159">
        <v>15000000</v>
      </c>
      <c r="E108" s="160">
        <v>0</v>
      </c>
      <c r="F108" s="160">
        <v>0</v>
      </c>
      <c r="G108" s="160">
        <v>0</v>
      </c>
      <c r="H108" s="36">
        <v>5000000</v>
      </c>
      <c r="I108" s="36">
        <f t="shared" si="32"/>
        <v>10000000</v>
      </c>
      <c r="J108" s="159">
        <v>0</v>
      </c>
      <c r="K108" s="161">
        <v>1228900</v>
      </c>
      <c r="L108" s="159">
        <v>0</v>
      </c>
      <c r="M108" s="159">
        <v>1228900</v>
      </c>
      <c r="N108" s="159">
        <v>0</v>
      </c>
      <c r="O108" s="159">
        <v>1228900</v>
      </c>
      <c r="P108" s="159">
        <v>0</v>
      </c>
      <c r="Q108" s="159">
        <v>1228900</v>
      </c>
      <c r="R108" s="161">
        <v>0</v>
      </c>
      <c r="S108" s="161">
        <v>0</v>
      </c>
      <c r="T108" s="162">
        <v>0</v>
      </c>
    </row>
    <row r="109" spans="2:21" ht="15" customHeight="1" x14ac:dyDescent="0.2">
      <c r="B109" s="111" t="s">
        <v>350</v>
      </c>
      <c r="C109" s="58" t="s">
        <v>310</v>
      </c>
      <c r="D109" s="159">
        <v>58000000</v>
      </c>
      <c r="E109" s="160">
        <v>0</v>
      </c>
      <c r="F109" s="160">
        <v>0</v>
      </c>
      <c r="G109" s="160">
        <v>0</v>
      </c>
      <c r="H109" s="36">
        <v>5000000</v>
      </c>
      <c r="I109" s="36">
        <f t="shared" si="32"/>
        <v>53000000</v>
      </c>
      <c r="J109" s="159">
        <v>764421</v>
      </c>
      <c r="K109" s="161">
        <v>17460719</v>
      </c>
      <c r="L109" s="159">
        <v>852023</v>
      </c>
      <c r="M109" s="159">
        <v>17460719</v>
      </c>
      <c r="N109" s="159">
        <v>1866202</v>
      </c>
      <c r="O109" s="159">
        <v>17460719</v>
      </c>
      <c r="P109" s="159">
        <v>1816764</v>
      </c>
      <c r="Q109" s="159">
        <v>17358737</v>
      </c>
      <c r="R109" s="161">
        <v>0</v>
      </c>
      <c r="S109" s="161">
        <v>0</v>
      </c>
      <c r="T109" s="162">
        <v>101982</v>
      </c>
    </row>
    <row r="110" spans="2:21" ht="15" customHeight="1" x14ac:dyDescent="0.2">
      <c r="B110" s="111" t="s">
        <v>351</v>
      </c>
      <c r="C110" s="58" t="s">
        <v>312</v>
      </c>
      <c r="D110" s="159">
        <v>60000000</v>
      </c>
      <c r="E110" s="160">
        <v>0</v>
      </c>
      <c r="F110" s="160">
        <v>0</v>
      </c>
      <c r="G110" s="160">
        <v>0</v>
      </c>
      <c r="H110" s="36">
        <v>0</v>
      </c>
      <c r="I110" s="36">
        <f t="shared" si="32"/>
        <v>60000000</v>
      </c>
      <c r="J110" s="159">
        <v>-22819200</v>
      </c>
      <c r="K110" s="161">
        <v>34342500</v>
      </c>
      <c r="L110" s="159">
        <v>-22721200</v>
      </c>
      <c r="M110" s="159">
        <v>34342500</v>
      </c>
      <c r="N110" s="159">
        <v>7436300</v>
      </c>
      <c r="O110" s="159">
        <v>33343900</v>
      </c>
      <c r="P110" s="159">
        <v>7170300</v>
      </c>
      <c r="Q110" s="159">
        <v>33035000</v>
      </c>
      <c r="R110" s="161">
        <v>0</v>
      </c>
      <c r="S110" s="161">
        <v>998600</v>
      </c>
      <c r="T110" s="162">
        <v>308900</v>
      </c>
    </row>
    <row r="111" spans="2:21" ht="15" customHeight="1" x14ac:dyDescent="0.2">
      <c r="B111" s="111" t="s">
        <v>352</v>
      </c>
      <c r="C111" s="58" t="s">
        <v>314</v>
      </c>
      <c r="D111" s="159">
        <v>5000000</v>
      </c>
      <c r="E111" s="160">
        <v>0</v>
      </c>
      <c r="F111" s="160">
        <v>0</v>
      </c>
      <c r="G111" s="160">
        <v>10200000</v>
      </c>
      <c r="H111" s="36">
        <v>0</v>
      </c>
      <c r="I111" s="36">
        <f t="shared" si="32"/>
        <v>15200000</v>
      </c>
      <c r="J111" s="159">
        <v>0</v>
      </c>
      <c r="K111" s="161">
        <v>15188758</v>
      </c>
      <c r="L111" s="159">
        <v>0</v>
      </c>
      <c r="M111" s="159">
        <v>15188758</v>
      </c>
      <c r="N111" s="159">
        <v>0</v>
      </c>
      <c r="O111" s="159">
        <v>15188758</v>
      </c>
      <c r="P111" s="159">
        <v>0</v>
      </c>
      <c r="Q111" s="159">
        <v>15188758</v>
      </c>
      <c r="R111" s="161">
        <v>0</v>
      </c>
      <c r="S111" s="161">
        <v>0</v>
      </c>
      <c r="T111" s="162">
        <v>0</v>
      </c>
    </row>
    <row r="112" spans="2:21" ht="15" customHeight="1" x14ac:dyDescent="0.2">
      <c r="B112" s="111" t="s">
        <v>353</v>
      </c>
      <c r="C112" s="58" t="s">
        <v>316</v>
      </c>
      <c r="D112" s="159">
        <v>16000000</v>
      </c>
      <c r="E112" s="160">
        <v>0</v>
      </c>
      <c r="F112" s="160">
        <v>0</v>
      </c>
      <c r="G112" s="160">
        <v>0</v>
      </c>
      <c r="H112" s="36">
        <v>0</v>
      </c>
      <c r="I112" s="36">
        <f t="shared" si="32"/>
        <v>16000000</v>
      </c>
      <c r="J112" s="159">
        <v>0</v>
      </c>
      <c r="K112" s="161">
        <v>4976000</v>
      </c>
      <c r="L112" s="159">
        <v>0</v>
      </c>
      <c r="M112" s="159">
        <v>4976000</v>
      </c>
      <c r="N112" s="159">
        <v>0</v>
      </c>
      <c r="O112" s="159">
        <v>4976000</v>
      </c>
      <c r="P112" s="159">
        <v>0</v>
      </c>
      <c r="Q112" s="159">
        <v>4976000</v>
      </c>
      <c r="R112" s="161">
        <v>0</v>
      </c>
      <c r="S112" s="161">
        <v>0</v>
      </c>
      <c r="T112" s="162">
        <v>0</v>
      </c>
    </row>
    <row r="113" spans="2:22" ht="15" customHeight="1" x14ac:dyDescent="0.2">
      <c r="B113" s="111" t="s">
        <v>354</v>
      </c>
      <c r="C113" s="58" t="s">
        <v>355</v>
      </c>
      <c r="D113" s="159">
        <v>48000000</v>
      </c>
      <c r="E113" s="160">
        <v>0</v>
      </c>
      <c r="F113" s="160">
        <v>0</v>
      </c>
      <c r="G113" s="160">
        <v>0</v>
      </c>
      <c r="H113" s="36">
        <v>0</v>
      </c>
      <c r="I113" s="36">
        <f t="shared" si="32"/>
        <v>48000000</v>
      </c>
      <c r="J113" s="159">
        <v>0</v>
      </c>
      <c r="K113" s="161">
        <v>20000000</v>
      </c>
      <c r="L113" s="159">
        <v>0</v>
      </c>
      <c r="M113" s="159">
        <v>20000000</v>
      </c>
      <c r="N113" s="159">
        <v>10808333</v>
      </c>
      <c r="O113" s="159">
        <v>18641666</v>
      </c>
      <c r="P113" s="159">
        <v>10808333</v>
      </c>
      <c r="Q113" s="159">
        <v>18641666</v>
      </c>
      <c r="R113" s="161">
        <v>0</v>
      </c>
      <c r="S113" s="161">
        <v>1358334</v>
      </c>
      <c r="T113" s="162">
        <v>0</v>
      </c>
    </row>
    <row r="114" spans="2:22" ht="15" customHeight="1" x14ac:dyDescent="0.2">
      <c r="B114" s="111" t="s">
        <v>356</v>
      </c>
      <c r="C114" s="58" t="s">
        <v>292</v>
      </c>
      <c r="D114" s="159">
        <v>10000000</v>
      </c>
      <c r="E114" s="160">
        <v>0</v>
      </c>
      <c r="F114" s="160">
        <v>0</v>
      </c>
      <c r="G114" s="160">
        <v>0</v>
      </c>
      <c r="H114" s="36">
        <v>0</v>
      </c>
      <c r="I114" s="36">
        <f t="shared" si="32"/>
        <v>10000000</v>
      </c>
      <c r="J114" s="159">
        <v>0</v>
      </c>
      <c r="K114" s="161">
        <v>5302262</v>
      </c>
      <c r="L114" s="159">
        <v>0</v>
      </c>
      <c r="M114" s="159">
        <v>5302262</v>
      </c>
      <c r="N114" s="159">
        <v>0</v>
      </c>
      <c r="O114" s="159">
        <v>5302262</v>
      </c>
      <c r="P114" s="159">
        <v>0</v>
      </c>
      <c r="Q114" s="159">
        <v>5302262</v>
      </c>
      <c r="R114" s="161">
        <v>0</v>
      </c>
      <c r="S114" s="161">
        <v>0</v>
      </c>
      <c r="T114" s="162">
        <v>0</v>
      </c>
    </row>
    <row r="115" spans="2:22" ht="15" customHeight="1" x14ac:dyDescent="0.2">
      <c r="B115" s="111" t="s">
        <v>357</v>
      </c>
      <c r="C115" s="58" t="s">
        <v>321</v>
      </c>
      <c r="D115" s="159">
        <v>50000000</v>
      </c>
      <c r="E115" s="160">
        <v>37000000</v>
      </c>
      <c r="F115" s="160">
        <v>0</v>
      </c>
      <c r="G115" s="160">
        <v>0</v>
      </c>
      <c r="H115" s="36">
        <v>0</v>
      </c>
      <c r="I115" s="36">
        <f t="shared" si="32"/>
        <v>87000000</v>
      </c>
      <c r="J115" s="159">
        <v>0</v>
      </c>
      <c r="K115" s="161">
        <v>86611105</v>
      </c>
      <c r="L115" s="159">
        <v>0</v>
      </c>
      <c r="M115" s="159">
        <v>86611105</v>
      </c>
      <c r="N115" s="159">
        <v>38779100</v>
      </c>
      <c r="O115" s="159">
        <v>81942055</v>
      </c>
      <c r="P115" s="159">
        <v>75228300</v>
      </c>
      <c r="Q115" s="159">
        <v>81942055</v>
      </c>
      <c r="R115" s="161">
        <v>0</v>
      </c>
      <c r="S115" s="161">
        <v>4669050</v>
      </c>
      <c r="T115" s="162">
        <v>0</v>
      </c>
    </row>
    <row r="116" spans="2:22" ht="15" customHeight="1" x14ac:dyDescent="0.2">
      <c r="B116" s="111" t="s">
        <v>358</v>
      </c>
      <c r="C116" s="58" t="s">
        <v>359</v>
      </c>
      <c r="D116" s="159">
        <v>100000000</v>
      </c>
      <c r="E116" s="160">
        <v>0</v>
      </c>
      <c r="F116" s="160">
        <v>0</v>
      </c>
      <c r="G116" s="160">
        <v>65000000</v>
      </c>
      <c r="H116" s="36">
        <v>0</v>
      </c>
      <c r="I116" s="36">
        <f t="shared" si="32"/>
        <v>165000000</v>
      </c>
      <c r="J116" s="159">
        <v>-474583</v>
      </c>
      <c r="K116" s="161">
        <v>161063720</v>
      </c>
      <c r="L116" s="159">
        <v>-474583</v>
      </c>
      <c r="M116" s="159">
        <v>161063720</v>
      </c>
      <c r="N116" s="159">
        <v>25525748</v>
      </c>
      <c r="O116" s="159">
        <v>161063720</v>
      </c>
      <c r="P116" s="159">
        <v>25525748</v>
      </c>
      <c r="Q116" s="159">
        <v>161063720</v>
      </c>
      <c r="R116" s="161">
        <v>0</v>
      </c>
      <c r="S116" s="161">
        <v>0</v>
      </c>
      <c r="T116" s="162">
        <v>0</v>
      </c>
    </row>
    <row r="117" spans="2:22" ht="15" customHeight="1" x14ac:dyDescent="0.2">
      <c r="B117" s="111" t="s">
        <v>360</v>
      </c>
      <c r="C117" s="58" t="s">
        <v>325</v>
      </c>
      <c r="D117" s="159">
        <v>100000000</v>
      </c>
      <c r="E117" s="160">
        <v>0</v>
      </c>
      <c r="F117" s="160">
        <v>0</v>
      </c>
      <c r="G117" s="160">
        <v>0</v>
      </c>
      <c r="H117" s="36">
        <v>0</v>
      </c>
      <c r="I117" s="36">
        <f t="shared" si="32"/>
        <v>100000000</v>
      </c>
      <c r="J117" s="159">
        <v>3174813</v>
      </c>
      <c r="K117" s="161">
        <v>96702060</v>
      </c>
      <c r="L117" s="159">
        <v>3174813</v>
      </c>
      <c r="M117" s="159">
        <v>96702060</v>
      </c>
      <c r="N117" s="159">
        <v>8658583</v>
      </c>
      <c r="O117" s="159">
        <v>89585830</v>
      </c>
      <c r="P117" s="159">
        <v>8658583</v>
      </c>
      <c r="Q117" s="159">
        <v>89585830</v>
      </c>
      <c r="R117" s="161">
        <v>0</v>
      </c>
      <c r="S117" s="161">
        <v>7116230</v>
      </c>
      <c r="T117" s="162">
        <v>0</v>
      </c>
    </row>
    <row r="118" spans="2:22" s="14" customFormat="1" ht="15" customHeight="1" x14ac:dyDescent="0.25">
      <c r="B118" s="98" t="s">
        <v>361</v>
      </c>
      <c r="C118" s="101" t="s">
        <v>125</v>
      </c>
      <c r="D118" s="37">
        <f>SUM(D119:D121)</f>
        <v>700000000</v>
      </c>
      <c r="E118" s="156">
        <f>SUM(E119:E122)</f>
        <v>187309806.30000001</v>
      </c>
      <c r="F118" s="156">
        <f t="shared" ref="F118:T118" si="33">SUM(F119:F121)</f>
        <v>0</v>
      </c>
      <c r="G118" s="156">
        <f t="shared" si="33"/>
        <v>8200000</v>
      </c>
      <c r="H118" s="37">
        <f t="shared" si="33"/>
        <v>253200000</v>
      </c>
      <c r="I118" s="37">
        <f>SUM(I119:I122)</f>
        <v>642309806.29999995</v>
      </c>
      <c r="J118" s="37">
        <f>SUM(J119:J122)</f>
        <v>38801662.299999997</v>
      </c>
      <c r="K118" s="37">
        <f>SUM(K119:K122)</f>
        <v>472442157.30000001</v>
      </c>
      <c r="L118" s="37">
        <f>SUM(L119:L122)</f>
        <v>38801662.299999997</v>
      </c>
      <c r="M118" s="37">
        <f t="shared" ref="M118:Q118" si="34">SUM(M119:M122)</f>
        <v>472442157.30000001</v>
      </c>
      <c r="N118" s="37">
        <f t="shared" si="34"/>
        <v>38801662.299999997</v>
      </c>
      <c r="O118" s="37">
        <f t="shared" si="34"/>
        <v>472442157.30000001</v>
      </c>
      <c r="P118" s="37">
        <f t="shared" si="34"/>
        <v>38801662</v>
      </c>
      <c r="Q118" s="37">
        <f t="shared" si="34"/>
        <v>472442157</v>
      </c>
      <c r="R118" s="37">
        <f t="shared" si="33"/>
        <v>0</v>
      </c>
      <c r="S118" s="37">
        <f t="shared" si="33"/>
        <v>0</v>
      </c>
      <c r="T118" s="109">
        <f t="shared" si="33"/>
        <v>0</v>
      </c>
      <c r="U118" s="153"/>
    </row>
    <row r="119" spans="2:22" ht="15" customHeight="1" x14ac:dyDescent="0.2">
      <c r="B119" s="111" t="s">
        <v>362</v>
      </c>
      <c r="C119" s="58" t="s">
        <v>328</v>
      </c>
      <c r="D119" s="159">
        <v>15000000</v>
      </c>
      <c r="E119" s="160">
        <v>0</v>
      </c>
      <c r="F119" s="160">
        <v>0</v>
      </c>
      <c r="G119" s="160">
        <v>8200000</v>
      </c>
      <c r="H119" s="36">
        <v>0</v>
      </c>
      <c r="I119" s="36">
        <f>+D119+E119-F119+G119-H119</f>
        <v>23200000</v>
      </c>
      <c r="J119" s="159">
        <v>22017646</v>
      </c>
      <c r="K119" s="161">
        <v>23189785</v>
      </c>
      <c r="L119" s="159">
        <v>22017646</v>
      </c>
      <c r="M119" s="159">
        <v>23189785</v>
      </c>
      <c r="N119" s="159">
        <v>22017646</v>
      </c>
      <c r="O119" s="159">
        <v>23189785</v>
      </c>
      <c r="P119" s="159">
        <v>22017646</v>
      </c>
      <c r="Q119" s="159">
        <v>23189785</v>
      </c>
      <c r="R119" s="161">
        <v>0</v>
      </c>
      <c r="S119" s="161">
        <v>0</v>
      </c>
      <c r="T119" s="162">
        <v>0</v>
      </c>
    </row>
    <row r="120" spans="2:22" ht="15" customHeight="1" x14ac:dyDescent="0.2">
      <c r="B120" s="111" t="s">
        <v>363</v>
      </c>
      <c r="C120" s="58" t="s">
        <v>364</v>
      </c>
      <c r="D120" s="159">
        <v>10000000</v>
      </c>
      <c r="E120" s="160">
        <v>0</v>
      </c>
      <c r="F120" s="160">
        <v>0</v>
      </c>
      <c r="G120" s="160">
        <v>0</v>
      </c>
      <c r="H120" s="36">
        <v>0</v>
      </c>
      <c r="I120" s="36">
        <f>+D120+E120-F120+G120-H120</f>
        <v>10000000</v>
      </c>
      <c r="J120" s="159">
        <v>0</v>
      </c>
      <c r="K120" s="161">
        <v>0</v>
      </c>
      <c r="L120" s="159">
        <v>0</v>
      </c>
      <c r="M120" s="159">
        <v>0</v>
      </c>
      <c r="N120" s="159">
        <v>0</v>
      </c>
      <c r="O120" s="159">
        <v>0</v>
      </c>
      <c r="P120" s="159">
        <v>0</v>
      </c>
      <c r="Q120" s="159">
        <v>0</v>
      </c>
      <c r="R120" s="161">
        <v>0</v>
      </c>
      <c r="S120" s="161">
        <v>0</v>
      </c>
      <c r="T120" s="162">
        <v>0</v>
      </c>
    </row>
    <row r="121" spans="2:22" ht="15" customHeight="1" x14ac:dyDescent="0.2">
      <c r="B121" s="111" t="s">
        <v>365</v>
      </c>
      <c r="C121" s="58" t="s">
        <v>366</v>
      </c>
      <c r="D121" s="159">
        <v>675000000</v>
      </c>
      <c r="E121" s="160">
        <v>0</v>
      </c>
      <c r="F121" s="160">
        <v>0</v>
      </c>
      <c r="G121" s="160">
        <v>0</v>
      </c>
      <c r="H121" s="36">
        <f>245000000+8200000</f>
        <v>253200000</v>
      </c>
      <c r="I121" s="36">
        <f>+D121+E121-F121+G121-H121</f>
        <v>421800000</v>
      </c>
      <c r="J121" s="159">
        <v>0</v>
      </c>
      <c r="K121" s="161">
        <v>261942566</v>
      </c>
      <c r="L121" s="159">
        <v>0</v>
      </c>
      <c r="M121" s="159">
        <v>261942566</v>
      </c>
      <c r="N121" s="159">
        <v>0</v>
      </c>
      <c r="O121" s="159">
        <v>261942566</v>
      </c>
      <c r="P121" s="159">
        <v>0</v>
      </c>
      <c r="Q121" s="159">
        <v>261942566</v>
      </c>
      <c r="R121" s="161">
        <v>0</v>
      </c>
      <c r="S121" s="161">
        <v>0</v>
      </c>
      <c r="T121" s="162">
        <v>0</v>
      </c>
    </row>
    <row r="122" spans="2:22" ht="15" customHeight="1" x14ac:dyDescent="0.2">
      <c r="B122" s="111" t="s">
        <v>367</v>
      </c>
      <c r="C122" s="58" t="s">
        <v>389</v>
      </c>
      <c r="D122" s="159">
        <v>0</v>
      </c>
      <c r="E122" s="160">
        <f>68478880+68478880+33568030+16784016.3</f>
        <v>187309806.30000001</v>
      </c>
      <c r="F122" s="160">
        <v>0</v>
      </c>
      <c r="G122" s="160">
        <v>0</v>
      </c>
      <c r="H122" s="36">
        <v>0</v>
      </c>
      <c r="I122" s="36">
        <f>+D122+E122-F122+G122-H122</f>
        <v>187309806.30000001</v>
      </c>
      <c r="J122" s="159">
        <v>16784016.300000001</v>
      </c>
      <c r="K122" s="161">
        <v>187309806.30000001</v>
      </c>
      <c r="L122" s="159">
        <v>16784016.300000001</v>
      </c>
      <c r="M122" s="159">
        <v>187309806.30000001</v>
      </c>
      <c r="N122" s="159">
        <v>16784016.300000001</v>
      </c>
      <c r="O122" s="159">
        <v>187309806.30000001</v>
      </c>
      <c r="P122" s="159">
        <v>16784016</v>
      </c>
      <c r="Q122" s="159">
        <v>187309806</v>
      </c>
      <c r="R122" s="161">
        <v>0</v>
      </c>
      <c r="S122" s="161">
        <v>0.3</v>
      </c>
      <c r="T122" s="162">
        <v>0</v>
      </c>
    </row>
    <row r="123" spans="2:22" s="14" customFormat="1" ht="15" customHeight="1" x14ac:dyDescent="0.25">
      <c r="B123" s="98">
        <v>2.2000000000000002</v>
      </c>
      <c r="C123" s="34" t="s">
        <v>132</v>
      </c>
      <c r="D123" s="35">
        <f>+D124</f>
        <v>133222775657</v>
      </c>
      <c r="E123" s="158">
        <f>+E124</f>
        <v>25564480829.639999</v>
      </c>
      <c r="F123" s="156">
        <f>+F124+F125</f>
        <v>0</v>
      </c>
      <c r="G123" s="158">
        <f>+G125</f>
        <v>21508223603</v>
      </c>
      <c r="H123" s="35">
        <f>+H125</f>
        <v>21508223603</v>
      </c>
      <c r="I123" s="35">
        <f>+I124</f>
        <v>158787256486.64001</v>
      </c>
      <c r="J123" s="37">
        <f t="shared" ref="J123:T124" si="35">+J124</f>
        <v>2377152497</v>
      </c>
      <c r="K123" s="35">
        <f t="shared" si="35"/>
        <v>158674973601</v>
      </c>
      <c r="L123" s="35">
        <f t="shared" si="35"/>
        <v>2610479862</v>
      </c>
      <c r="M123" s="35">
        <f t="shared" si="35"/>
        <v>158674973601</v>
      </c>
      <c r="N123" s="35">
        <f t="shared" si="35"/>
        <v>10932146994</v>
      </c>
      <c r="O123" s="35">
        <f t="shared" si="35"/>
        <v>147697687048</v>
      </c>
      <c r="P123" s="35">
        <f t="shared" si="35"/>
        <v>11243618123</v>
      </c>
      <c r="Q123" s="35">
        <f t="shared" si="35"/>
        <v>146338606517</v>
      </c>
      <c r="R123" s="35">
        <f t="shared" si="35"/>
        <v>0</v>
      </c>
      <c r="S123" s="35">
        <f>+S124</f>
        <v>10977286553</v>
      </c>
      <c r="T123" s="102">
        <f>+T124</f>
        <v>1359080531.9300001</v>
      </c>
      <c r="U123" s="153"/>
    </row>
    <row r="124" spans="2:22" s="14" customFormat="1" ht="15" customHeight="1" x14ac:dyDescent="0.25">
      <c r="B124" s="98" t="s">
        <v>133</v>
      </c>
      <c r="C124" s="34" t="s">
        <v>134</v>
      </c>
      <c r="D124" s="35">
        <f>+D125</f>
        <v>133222775657</v>
      </c>
      <c r="E124" s="158">
        <f>+E125</f>
        <v>25564480829.639999</v>
      </c>
      <c r="F124" s="156">
        <v>0</v>
      </c>
      <c r="G124" s="158">
        <f>+G125</f>
        <v>21508223603</v>
      </c>
      <c r="H124" s="35">
        <f>+H125</f>
        <v>21508223603</v>
      </c>
      <c r="I124" s="35">
        <f>+I125</f>
        <v>158787256486.64001</v>
      </c>
      <c r="J124" s="37">
        <f t="shared" si="35"/>
        <v>2377152497</v>
      </c>
      <c r="K124" s="35">
        <f t="shared" si="35"/>
        <v>158674973601</v>
      </c>
      <c r="L124" s="35">
        <f t="shared" si="35"/>
        <v>2610479862</v>
      </c>
      <c r="M124" s="35">
        <f t="shared" si="35"/>
        <v>158674973601</v>
      </c>
      <c r="N124" s="35">
        <f t="shared" si="35"/>
        <v>10932146994</v>
      </c>
      <c r="O124" s="35">
        <f t="shared" si="35"/>
        <v>147697687048</v>
      </c>
      <c r="P124" s="35">
        <f t="shared" si="35"/>
        <v>11243618123</v>
      </c>
      <c r="Q124" s="35">
        <f t="shared" si="35"/>
        <v>146338606517</v>
      </c>
      <c r="R124" s="35">
        <f t="shared" si="35"/>
        <v>0</v>
      </c>
      <c r="S124" s="35">
        <f t="shared" si="35"/>
        <v>10977286553</v>
      </c>
      <c r="T124" s="102">
        <f t="shared" si="35"/>
        <v>1359080531.9300001</v>
      </c>
      <c r="U124" s="153"/>
    </row>
    <row r="125" spans="2:22" s="14" customFormat="1" ht="15" customHeight="1" x14ac:dyDescent="0.25">
      <c r="B125" s="98" t="s">
        <v>135</v>
      </c>
      <c r="C125" s="34" t="s">
        <v>136</v>
      </c>
      <c r="D125" s="35">
        <f>+D126+D141+D157</f>
        <v>133222775657</v>
      </c>
      <c r="E125" s="158">
        <f>+E126+E141+E157</f>
        <v>25564480829.639999</v>
      </c>
      <c r="F125" s="156">
        <f>SUM(F126:F135)</f>
        <v>0</v>
      </c>
      <c r="G125" s="158">
        <f t="shared" ref="G125:Q125" si="36">+G126+G141+G157</f>
        <v>21508223603</v>
      </c>
      <c r="H125" s="35">
        <f t="shared" si="36"/>
        <v>21508223603</v>
      </c>
      <c r="I125" s="35">
        <f t="shared" si="36"/>
        <v>158787256486.64001</v>
      </c>
      <c r="J125" s="35">
        <f t="shared" si="36"/>
        <v>2377152497</v>
      </c>
      <c r="K125" s="35">
        <f t="shared" si="36"/>
        <v>158674973601</v>
      </c>
      <c r="L125" s="35">
        <f t="shared" si="36"/>
        <v>2610479862</v>
      </c>
      <c r="M125" s="35">
        <f t="shared" si="36"/>
        <v>158674973601</v>
      </c>
      <c r="N125" s="35">
        <f t="shared" si="36"/>
        <v>10932146994</v>
      </c>
      <c r="O125" s="35">
        <f t="shared" si="36"/>
        <v>147697687048</v>
      </c>
      <c r="P125" s="35">
        <f t="shared" si="36"/>
        <v>11243618123</v>
      </c>
      <c r="Q125" s="35">
        <f t="shared" si="36"/>
        <v>146338606517</v>
      </c>
      <c r="R125" s="35">
        <f>+R126+R141+R157</f>
        <v>0</v>
      </c>
      <c r="S125" s="35">
        <f>+S126+S141+S157</f>
        <v>10977286553</v>
      </c>
      <c r="T125" s="102">
        <f>+T126+T141+T157</f>
        <v>1359080531.9300001</v>
      </c>
      <c r="U125" s="153"/>
    </row>
    <row r="126" spans="2:22" s="14" customFormat="1" ht="15" customHeight="1" x14ac:dyDescent="0.25">
      <c r="B126" s="98" t="s">
        <v>137</v>
      </c>
      <c r="C126" s="34" t="s">
        <v>138</v>
      </c>
      <c r="D126" s="35">
        <f>SUM(D127:D137)+D138</f>
        <v>118424174390</v>
      </c>
      <c r="E126" s="158">
        <f>SUM(E127:E137)+E138</f>
        <v>22134696028.630001</v>
      </c>
      <c r="F126" s="158">
        <f t="shared" ref="F126" si="37">SUM(F127:F136)+F138</f>
        <v>0</v>
      </c>
      <c r="G126" s="158">
        <f>SUM(G127:G137)+G138</f>
        <v>15361630603</v>
      </c>
      <c r="H126" s="35">
        <f>SUM(H127:H137)+H138</f>
        <v>19827765986</v>
      </c>
      <c r="I126" s="35">
        <f>SUM(I127:I137)+I138</f>
        <v>136092735035.63</v>
      </c>
      <c r="J126" s="35">
        <f>SUM(J127:J137)+J138</f>
        <v>1924575311</v>
      </c>
      <c r="K126" s="35">
        <f t="shared" ref="K126:T126" si="38">SUM(K127:K137)+K138</f>
        <v>136013831888</v>
      </c>
      <c r="L126" s="35">
        <f t="shared" si="38"/>
        <v>2012874045</v>
      </c>
      <c r="M126" s="35">
        <f t="shared" si="38"/>
        <v>136013831888</v>
      </c>
      <c r="N126" s="35">
        <f t="shared" si="38"/>
        <v>10297565950</v>
      </c>
      <c r="O126" s="35">
        <f t="shared" si="38"/>
        <v>126127861154</v>
      </c>
      <c r="P126" s="35">
        <f t="shared" si="38"/>
        <v>10742101202</v>
      </c>
      <c r="Q126" s="35">
        <f t="shared" si="38"/>
        <v>124960469257</v>
      </c>
      <c r="R126" s="35">
        <f t="shared" si="38"/>
        <v>0</v>
      </c>
      <c r="S126" s="35">
        <f t="shared" si="38"/>
        <v>9885970734</v>
      </c>
      <c r="T126" s="102">
        <f t="shared" si="38"/>
        <v>1167391897.9300001</v>
      </c>
      <c r="U126" s="153"/>
    </row>
    <row r="127" spans="2:22" s="14" customFormat="1" ht="15" customHeight="1" x14ac:dyDescent="0.25">
      <c r="B127" s="111" t="s">
        <v>390</v>
      </c>
      <c r="C127" s="58" t="s">
        <v>140</v>
      </c>
      <c r="D127" s="159">
        <v>15424174390</v>
      </c>
      <c r="E127" s="160">
        <f>200000000+100000000+1094213154+196702003+479154614</f>
        <v>2070069771</v>
      </c>
      <c r="F127" s="160">
        <v>0</v>
      </c>
      <c r="G127" s="160">
        <f>300000000+580000000+271323815+500000000+130000000+125000000+19500000+19000000+62000000+195570000</f>
        <v>2202393815</v>
      </c>
      <c r="H127" s="36">
        <f>91000000+8000000</f>
        <v>99000000</v>
      </c>
      <c r="I127" s="36">
        <f t="shared" ref="I127:I137" si="39">+D127+E127-F127+G127-H127</f>
        <v>19597637976</v>
      </c>
      <c r="J127" s="159">
        <v>661511450</v>
      </c>
      <c r="K127" s="161">
        <v>19565625898</v>
      </c>
      <c r="L127" s="159">
        <v>723578093</v>
      </c>
      <c r="M127" s="159">
        <v>19565625898</v>
      </c>
      <c r="N127" s="159">
        <v>1345549085</v>
      </c>
      <c r="O127" s="159">
        <v>18448095889</v>
      </c>
      <c r="P127" s="159">
        <v>1455140167</v>
      </c>
      <c r="Q127" s="159">
        <v>18311514405</v>
      </c>
      <c r="R127" s="161">
        <v>0</v>
      </c>
      <c r="S127" s="161">
        <v>1117530009</v>
      </c>
      <c r="T127" s="162">
        <v>136581484</v>
      </c>
      <c r="U127" s="153"/>
    </row>
    <row r="128" spans="2:22" ht="15" customHeight="1" x14ac:dyDescent="0.2">
      <c r="B128" s="111" t="s">
        <v>391</v>
      </c>
      <c r="C128" s="58" t="s">
        <v>142</v>
      </c>
      <c r="D128" s="159">
        <v>39769840000</v>
      </c>
      <c r="E128" s="160">
        <f>5187000000+4929750000+89750000+5200000+68650000</f>
        <v>10280350000</v>
      </c>
      <c r="F128" s="160">
        <v>0</v>
      </c>
      <c r="G128" s="160">
        <f>27000000+60000000+4000000+50000000</f>
        <v>141000000</v>
      </c>
      <c r="H128" s="36">
        <f>570000000+140000000+3800000000+6600000000+705581023+600000000+40000000+33000000</f>
        <v>12488581023</v>
      </c>
      <c r="I128" s="36">
        <f t="shared" si="39"/>
        <v>37702608977</v>
      </c>
      <c r="J128" s="159">
        <v>75600000</v>
      </c>
      <c r="K128" s="161">
        <v>37700273548</v>
      </c>
      <c r="L128" s="159">
        <v>78600000</v>
      </c>
      <c r="M128" s="159">
        <v>37700273548</v>
      </c>
      <c r="N128" s="159">
        <v>2707045536</v>
      </c>
      <c r="O128" s="159">
        <v>34690046602</v>
      </c>
      <c r="P128" s="159">
        <v>2698400204</v>
      </c>
      <c r="Q128" s="159">
        <f>34230478370+46491315</f>
        <v>34276969685</v>
      </c>
      <c r="R128" s="161">
        <v>0</v>
      </c>
      <c r="S128" s="161">
        <f>3010226947-1</f>
        <v>3010226946</v>
      </c>
      <c r="T128" s="162">
        <v>413076917.93000001</v>
      </c>
      <c r="U128" s="148"/>
      <c r="V128" s="132"/>
    </row>
    <row r="129" spans="1:21" ht="15" customHeight="1" x14ac:dyDescent="0.2">
      <c r="B129" s="111" t="s">
        <v>392</v>
      </c>
      <c r="C129" s="58" t="s">
        <v>144</v>
      </c>
      <c r="D129" s="159">
        <v>18900000000</v>
      </c>
      <c r="E129" s="160">
        <f>200000000+1160000000</f>
        <v>1360000000</v>
      </c>
      <c r="F129" s="160">
        <v>0</v>
      </c>
      <c r="G129" s="160">
        <f>800000000+109261833+54000000</f>
        <v>963261833</v>
      </c>
      <c r="H129" s="36">
        <f>68000000+20000000+62000000+920000</f>
        <v>150920000</v>
      </c>
      <c r="I129" s="36">
        <f t="shared" si="39"/>
        <v>21072341833</v>
      </c>
      <c r="J129" s="159">
        <v>-5056416</v>
      </c>
      <c r="K129" s="161">
        <v>21067278061</v>
      </c>
      <c r="L129" s="159">
        <v>-5056416</v>
      </c>
      <c r="M129" s="159">
        <v>21067278061</v>
      </c>
      <c r="N129" s="159">
        <v>2193993843</v>
      </c>
      <c r="O129" s="159">
        <v>19147208400</v>
      </c>
      <c r="P129" s="159">
        <v>2170905285</v>
      </c>
      <c r="Q129" s="159">
        <v>19020526063</v>
      </c>
      <c r="R129" s="161">
        <v>0</v>
      </c>
      <c r="S129" s="161">
        <v>1920069661</v>
      </c>
      <c r="T129" s="162">
        <v>126682337</v>
      </c>
      <c r="U129" s="150"/>
    </row>
    <row r="130" spans="1:21" ht="15" customHeight="1" x14ac:dyDescent="0.2">
      <c r="B130" s="111" t="s">
        <v>393</v>
      </c>
      <c r="C130" s="58" t="s">
        <v>146</v>
      </c>
      <c r="D130" s="159">
        <v>8000000000</v>
      </c>
      <c r="E130" s="160">
        <f>1333192809+220932657+374805000</f>
        <v>1928930466</v>
      </c>
      <c r="F130" s="160">
        <v>0</v>
      </c>
      <c r="G130" s="160">
        <f>140000000+2800000000+5400000000+74000000+41000000+22510000</f>
        <v>8477510000</v>
      </c>
      <c r="H130" s="36">
        <f>72080963+73000000</f>
        <v>145080963</v>
      </c>
      <c r="I130" s="36">
        <f t="shared" si="39"/>
        <v>18261359503</v>
      </c>
      <c r="J130" s="159">
        <v>595737961</v>
      </c>
      <c r="K130" s="161">
        <v>18261354743</v>
      </c>
      <c r="L130" s="159">
        <v>618970052</v>
      </c>
      <c r="M130" s="159">
        <v>18261354743</v>
      </c>
      <c r="N130" s="159">
        <v>1014072362</v>
      </c>
      <c r="O130" s="159">
        <v>18012085047</v>
      </c>
      <c r="P130" s="159">
        <v>1378676748</v>
      </c>
      <c r="Q130" s="159">
        <v>17950130453</v>
      </c>
      <c r="R130" s="161">
        <v>0</v>
      </c>
      <c r="S130" s="161">
        <v>249269696</v>
      </c>
      <c r="T130" s="162">
        <v>61954594</v>
      </c>
      <c r="U130" s="150"/>
    </row>
    <row r="131" spans="1:21" ht="15" customHeight="1" x14ac:dyDescent="0.2">
      <c r="B131" s="111" t="s">
        <v>394</v>
      </c>
      <c r="C131" s="58" t="s">
        <v>148</v>
      </c>
      <c r="D131" s="159">
        <v>8000000000</v>
      </c>
      <c r="E131" s="160">
        <f>300000000+239970876+189248821+45000000</f>
        <v>774219697</v>
      </c>
      <c r="F131" s="160">
        <v>0</v>
      </c>
      <c r="G131" s="160">
        <v>190296000</v>
      </c>
      <c r="H131" s="36">
        <f>2000000000+800000000+20000000+9800000</f>
        <v>2829800000</v>
      </c>
      <c r="I131" s="36">
        <f t="shared" si="39"/>
        <v>6134715697</v>
      </c>
      <c r="J131" s="159">
        <v>233694958</v>
      </c>
      <c r="K131" s="161">
        <v>6124117695</v>
      </c>
      <c r="L131" s="159">
        <v>233694958</v>
      </c>
      <c r="M131" s="159">
        <v>6124117695</v>
      </c>
      <c r="N131" s="159">
        <v>451682211</v>
      </c>
      <c r="O131" s="159">
        <v>5229937748</v>
      </c>
      <c r="P131" s="159">
        <v>462427407</v>
      </c>
      <c r="Q131" s="159">
        <v>5219172383</v>
      </c>
      <c r="R131" s="161">
        <v>0</v>
      </c>
      <c r="S131" s="161">
        <v>894179947</v>
      </c>
      <c r="T131" s="162">
        <v>10765365</v>
      </c>
    </row>
    <row r="132" spans="1:21" ht="15" customHeight="1" x14ac:dyDescent="0.2">
      <c r="B132" s="111" t="s">
        <v>395</v>
      </c>
      <c r="C132" s="58" t="s">
        <v>150</v>
      </c>
      <c r="D132" s="159">
        <v>15000000000</v>
      </c>
      <c r="E132" s="160">
        <f>255000000+1633971021+50000000+86500000</f>
        <v>2025471021</v>
      </c>
      <c r="F132" s="160">
        <v>0</v>
      </c>
      <c r="G132" s="160">
        <f>100000000+42000000+52000000</f>
        <v>194000000</v>
      </c>
      <c r="H132" s="36">
        <f>300000000+190000000+410724000+62000000+4000000</f>
        <v>966724000</v>
      </c>
      <c r="I132" s="36">
        <f t="shared" si="39"/>
        <v>16252747021</v>
      </c>
      <c r="J132" s="159">
        <v>3000000</v>
      </c>
      <c r="K132" s="161">
        <v>16230702121</v>
      </c>
      <c r="L132" s="159">
        <v>3000000</v>
      </c>
      <c r="M132" s="159">
        <v>16230702121</v>
      </c>
      <c r="N132" s="159">
        <v>1791928271</v>
      </c>
      <c r="O132" s="159">
        <v>14294123431</v>
      </c>
      <c r="P132" s="159">
        <v>1469909280</v>
      </c>
      <c r="Q132" s="159">
        <v>13900214891</v>
      </c>
      <c r="R132" s="161">
        <v>0</v>
      </c>
      <c r="S132" s="161">
        <v>1936578690</v>
      </c>
      <c r="T132" s="162">
        <v>393908540</v>
      </c>
    </row>
    <row r="133" spans="1:21" ht="15" customHeight="1" x14ac:dyDescent="0.2">
      <c r="B133" s="111" t="s">
        <v>396</v>
      </c>
      <c r="C133" s="58" t="s">
        <v>152</v>
      </c>
      <c r="D133" s="159">
        <v>6000000000</v>
      </c>
      <c r="E133" s="160">
        <f>370000000+350000000+403655644+71979916+114998000</f>
        <v>1310633560</v>
      </c>
      <c r="F133" s="160">
        <v>0</v>
      </c>
      <c r="G133" s="160">
        <f>1300000000+950000000</f>
        <v>2250000000</v>
      </c>
      <c r="H133" s="36">
        <f>100000000+15000000+460000</f>
        <v>115460000</v>
      </c>
      <c r="I133" s="36">
        <f t="shared" si="39"/>
        <v>9445173560</v>
      </c>
      <c r="J133" s="159">
        <v>186978508</v>
      </c>
      <c r="K133" s="161">
        <v>9444817629</v>
      </c>
      <c r="L133" s="159">
        <v>186978508</v>
      </c>
      <c r="M133" s="159">
        <v>9444817629</v>
      </c>
      <c r="N133" s="159">
        <v>178923235</v>
      </c>
      <c r="O133" s="159">
        <v>9420068456</v>
      </c>
      <c r="P133" s="159">
        <v>307948090</v>
      </c>
      <c r="Q133" s="159">
        <v>9420068456</v>
      </c>
      <c r="R133" s="161">
        <v>0</v>
      </c>
      <c r="S133" s="161">
        <v>24749173</v>
      </c>
      <c r="T133" s="162">
        <v>0</v>
      </c>
    </row>
    <row r="134" spans="1:21" ht="15" customHeight="1" x14ac:dyDescent="0.2">
      <c r="B134" s="111" t="s">
        <v>397</v>
      </c>
      <c r="C134" s="58" t="s">
        <v>154</v>
      </c>
      <c r="D134" s="159">
        <v>5000000000</v>
      </c>
      <c r="E134" s="160">
        <f>120000000+135000000+182814172+33830513+51699000</f>
        <v>523343685</v>
      </c>
      <c r="F134" s="160">
        <v>0</v>
      </c>
      <c r="G134" s="160">
        <f>250000000+122973055+34000000+27133000</f>
        <v>434106055</v>
      </c>
      <c r="H134" s="36">
        <f>1370000000+580000000+2000000</f>
        <v>1952000000</v>
      </c>
      <c r="I134" s="36">
        <f t="shared" si="39"/>
        <v>4005449740</v>
      </c>
      <c r="J134" s="159">
        <v>85529684</v>
      </c>
      <c r="K134" s="161">
        <v>4005448348</v>
      </c>
      <c r="L134" s="159">
        <v>85529684</v>
      </c>
      <c r="M134" s="159">
        <v>4005448348</v>
      </c>
      <c r="N134" s="159">
        <v>374639928</v>
      </c>
      <c r="O134" s="159">
        <v>3629923197</v>
      </c>
      <c r="P134" s="159">
        <v>516072975</v>
      </c>
      <c r="Q134" s="159">
        <v>3611038537</v>
      </c>
      <c r="R134" s="161">
        <v>0</v>
      </c>
      <c r="S134" s="161">
        <v>375525151</v>
      </c>
      <c r="T134" s="162">
        <v>18884660</v>
      </c>
    </row>
    <row r="135" spans="1:21" ht="15" customHeight="1" x14ac:dyDescent="0.2">
      <c r="B135" s="111" t="s">
        <v>398</v>
      </c>
      <c r="C135" s="58" t="s">
        <v>399</v>
      </c>
      <c r="D135" s="159">
        <v>1500000000</v>
      </c>
      <c r="E135" s="160">
        <f>122940707+100000000+15000000</f>
        <v>237940707</v>
      </c>
      <c r="F135" s="160">
        <v>0</v>
      </c>
      <c r="G135" s="160">
        <f>100000000+6000000+30000000+30000000+15000000+40000000</f>
        <v>221000000</v>
      </c>
      <c r="H135" s="36">
        <v>730000000</v>
      </c>
      <c r="I135" s="36">
        <f t="shared" si="39"/>
        <v>1228940707</v>
      </c>
      <c r="J135" s="159">
        <v>55000000</v>
      </c>
      <c r="K135" s="161">
        <v>1227965300</v>
      </c>
      <c r="L135" s="159">
        <v>55000000</v>
      </c>
      <c r="M135" s="159">
        <v>1227965300</v>
      </c>
      <c r="N135" s="159">
        <v>95585201</v>
      </c>
      <c r="O135" s="159">
        <v>1157398800</v>
      </c>
      <c r="P135" s="159">
        <v>115131666</v>
      </c>
      <c r="Q135" s="159">
        <v>1157398800</v>
      </c>
      <c r="R135" s="161">
        <v>0</v>
      </c>
      <c r="S135" s="161">
        <v>70566500</v>
      </c>
      <c r="T135" s="162">
        <v>0</v>
      </c>
    </row>
    <row r="136" spans="1:21" ht="15" customHeight="1" x14ac:dyDescent="0.2">
      <c r="B136" s="111" t="s">
        <v>400</v>
      </c>
      <c r="C136" s="58" t="s">
        <v>158</v>
      </c>
      <c r="D136" s="159">
        <v>300000000</v>
      </c>
      <c r="E136" s="160">
        <f>5000000+100000000</f>
        <v>105000000</v>
      </c>
      <c r="F136" s="160">
        <v>0</v>
      </c>
      <c r="G136" s="160">
        <f>20062900+22000000</f>
        <v>42062900</v>
      </c>
      <c r="H136" s="36">
        <f>30000000+29000000+10000000+52000000</f>
        <v>121000000</v>
      </c>
      <c r="I136" s="36">
        <f t="shared" si="39"/>
        <v>326062900</v>
      </c>
      <c r="J136" s="159">
        <v>22000000</v>
      </c>
      <c r="K136" s="161">
        <v>326061900</v>
      </c>
      <c r="L136" s="159">
        <v>22000000</v>
      </c>
      <c r="M136" s="159">
        <v>326061900</v>
      </c>
      <c r="N136" s="159">
        <v>38508000</v>
      </c>
      <c r="O136" s="159">
        <v>217397400</v>
      </c>
      <c r="P136" s="159">
        <v>40792750</v>
      </c>
      <c r="Q136" s="159">
        <v>211859400</v>
      </c>
      <c r="R136" s="161">
        <v>0</v>
      </c>
      <c r="S136" s="161">
        <v>108664500</v>
      </c>
      <c r="T136" s="162">
        <v>5538000</v>
      </c>
    </row>
    <row r="137" spans="1:21" ht="15" customHeight="1" x14ac:dyDescent="0.2">
      <c r="B137" s="111" t="s">
        <v>401</v>
      </c>
      <c r="C137" s="58" t="s">
        <v>160</v>
      </c>
      <c r="D137" s="159">
        <v>230160000</v>
      </c>
      <c r="E137" s="160">
        <v>115080000</v>
      </c>
      <c r="F137" s="160">
        <v>0</v>
      </c>
      <c r="G137" s="160">
        <v>116000000</v>
      </c>
      <c r="H137" s="36">
        <f>20000000+19200000</f>
        <v>39200000</v>
      </c>
      <c r="I137" s="36">
        <f t="shared" si="39"/>
        <v>422040000</v>
      </c>
      <c r="J137" s="159">
        <v>0</v>
      </c>
      <c r="K137" s="161">
        <v>421960000</v>
      </c>
      <c r="L137" s="159">
        <v>0</v>
      </c>
      <c r="M137" s="159">
        <v>421960000</v>
      </c>
      <c r="N137" s="159">
        <v>38360000</v>
      </c>
      <c r="O137" s="159">
        <v>421960000</v>
      </c>
      <c r="P137" s="159">
        <v>38360000</v>
      </c>
      <c r="Q137" s="159">
        <v>421960000</v>
      </c>
      <c r="R137" s="161">
        <v>0</v>
      </c>
      <c r="S137" s="161">
        <v>0</v>
      </c>
      <c r="T137" s="162">
        <v>0</v>
      </c>
    </row>
    <row r="138" spans="1:21" ht="15" customHeight="1" x14ac:dyDescent="0.2">
      <c r="B138" s="111" t="s">
        <v>402</v>
      </c>
      <c r="C138" s="58" t="s">
        <v>372</v>
      </c>
      <c r="D138" s="62">
        <f>SUM(D139:D139)</f>
        <v>300000000</v>
      </c>
      <c r="E138" s="163">
        <f>+E139+E140</f>
        <v>1403657121.6300001</v>
      </c>
      <c r="F138" s="163">
        <v>0</v>
      </c>
      <c r="G138" s="163">
        <f t="shared" ref="G138:H138" si="40">SUM(G139:G139)</f>
        <v>130000000</v>
      </c>
      <c r="H138" s="62">
        <f t="shared" si="40"/>
        <v>190000000</v>
      </c>
      <c r="I138" s="62">
        <f>SUM(I139:I140)</f>
        <v>1643657121.6300001</v>
      </c>
      <c r="J138" s="62">
        <f>SUM(J139:J140)</f>
        <v>10579166</v>
      </c>
      <c r="K138" s="62">
        <f>SUM(K139:K140)</f>
        <v>1638226645</v>
      </c>
      <c r="L138" s="62">
        <f>SUM(L139:L140)</f>
        <v>10579166</v>
      </c>
      <c r="M138" s="62">
        <f t="shared" ref="M138:Q138" si="41">SUM(M139:M140)</f>
        <v>1638226645</v>
      </c>
      <c r="N138" s="62">
        <f t="shared" si="41"/>
        <v>67278278</v>
      </c>
      <c r="O138" s="62">
        <f t="shared" si="41"/>
        <v>1459616184</v>
      </c>
      <c r="P138" s="62">
        <f t="shared" si="41"/>
        <v>88336630</v>
      </c>
      <c r="Q138" s="62">
        <f t="shared" si="41"/>
        <v>1459616184</v>
      </c>
      <c r="R138" s="62">
        <f>SUM(R139:R140)</f>
        <v>0</v>
      </c>
      <c r="S138" s="62">
        <f>SUM(S139:S140)</f>
        <v>178610461</v>
      </c>
      <c r="T138" s="164">
        <f>SUM(T139:T140)</f>
        <v>0</v>
      </c>
    </row>
    <row r="139" spans="1:21" ht="15" customHeight="1" x14ac:dyDescent="0.2">
      <c r="B139" s="111" t="s">
        <v>403</v>
      </c>
      <c r="C139" s="58" t="s">
        <v>374</v>
      </c>
      <c r="D139" s="159">
        <v>300000000</v>
      </c>
      <c r="E139" s="160">
        <f>543000000+819487507+26000000</f>
        <v>1388487507</v>
      </c>
      <c r="F139" s="163">
        <v>0</v>
      </c>
      <c r="G139" s="160">
        <v>130000000</v>
      </c>
      <c r="H139" s="36">
        <f>80000000+25000000+54000000+31000000</f>
        <v>190000000</v>
      </c>
      <c r="I139" s="36">
        <f>+D139+E139-F139+G139-H139</f>
        <v>1628487507</v>
      </c>
      <c r="J139" s="159">
        <v>10579166</v>
      </c>
      <c r="K139" s="161">
        <v>1623057031</v>
      </c>
      <c r="L139" s="159">
        <v>10579166</v>
      </c>
      <c r="M139" s="159">
        <v>1623057031</v>
      </c>
      <c r="N139" s="159">
        <v>67278278</v>
      </c>
      <c r="O139" s="159">
        <v>1444446570</v>
      </c>
      <c r="P139" s="159">
        <v>88336630</v>
      </c>
      <c r="Q139" s="159">
        <v>1444446570</v>
      </c>
      <c r="R139" s="161">
        <v>0</v>
      </c>
      <c r="S139" s="161">
        <v>178610461</v>
      </c>
      <c r="T139" s="162">
        <v>0</v>
      </c>
    </row>
    <row r="140" spans="1:21" ht="15" customHeight="1" x14ac:dyDescent="0.2">
      <c r="B140" s="111" t="s">
        <v>404</v>
      </c>
      <c r="C140" s="58" t="s">
        <v>405</v>
      </c>
      <c r="D140" s="159">
        <v>0</v>
      </c>
      <c r="E140" s="160">
        <f>7593463.74+7576150.89</f>
        <v>15169614.629999999</v>
      </c>
      <c r="F140" s="163">
        <v>0</v>
      </c>
      <c r="G140" s="160">
        <v>0</v>
      </c>
      <c r="H140" s="36">
        <v>0</v>
      </c>
      <c r="I140" s="36">
        <f>+D140+E140-F140+G140-H140</f>
        <v>15169614.629999999</v>
      </c>
      <c r="J140" s="159">
        <v>0</v>
      </c>
      <c r="K140" s="161">
        <v>15169614</v>
      </c>
      <c r="L140" s="159">
        <v>0</v>
      </c>
      <c r="M140" s="159">
        <v>15169614</v>
      </c>
      <c r="N140" s="159">
        <v>0</v>
      </c>
      <c r="O140" s="159">
        <v>15169614</v>
      </c>
      <c r="P140" s="159">
        <v>0</v>
      </c>
      <c r="Q140" s="159">
        <v>15169614</v>
      </c>
      <c r="R140" s="161">
        <v>0</v>
      </c>
      <c r="S140" s="161">
        <v>0</v>
      </c>
      <c r="T140" s="162">
        <v>0</v>
      </c>
    </row>
    <row r="141" spans="1:21" s="14" customFormat="1" ht="15" customHeight="1" x14ac:dyDescent="0.25">
      <c r="B141" s="98" t="s">
        <v>169</v>
      </c>
      <c r="C141" s="34" t="s">
        <v>170</v>
      </c>
      <c r="D141" s="35">
        <f>SUM(D142:D154)</f>
        <v>4370516791</v>
      </c>
      <c r="E141" s="158">
        <f>SUM(E142:E156)</f>
        <v>1932565299.01</v>
      </c>
      <c r="F141" s="165">
        <v>0</v>
      </c>
      <c r="G141" s="158">
        <f>SUM(G142:G156)</f>
        <v>2646593000</v>
      </c>
      <c r="H141" s="35">
        <f>SUM(H142:H156)</f>
        <v>797457617</v>
      </c>
      <c r="I141" s="35">
        <f>SUM(I142:I156)</f>
        <v>8152217473.0100002</v>
      </c>
      <c r="J141" s="35">
        <f t="shared" ref="J141:T141" si="42">SUM(J142:J156)</f>
        <v>329923194</v>
      </c>
      <c r="K141" s="35">
        <f t="shared" si="42"/>
        <v>8120100599</v>
      </c>
      <c r="L141" s="35">
        <f t="shared" si="42"/>
        <v>474951825</v>
      </c>
      <c r="M141" s="35">
        <f t="shared" si="42"/>
        <v>8120100599</v>
      </c>
      <c r="N141" s="35">
        <f t="shared" si="42"/>
        <v>511532552</v>
      </c>
      <c r="O141" s="35">
        <f t="shared" si="42"/>
        <v>7028784780</v>
      </c>
      <c r="P141" s="35">
        <f t="shared" si="42"/>
        <v>353113954</v>
      </c>
      <c r="Q141" s="35">
        <f t="shared" si="42"/>
        <v>6837463446</v>
      </c>
      <c r="R141" s="35">
        <f t="shared" si="42"/>
        <v>0</v>
      </c>
      <c r="S141" s="35">
        <f t="shared" si="42"/>
        <v>1091315819</v>
      </c>
      <c r="T141" s="102">
        <f t="shared" si="42"/>
        <v>191321334</v>
      </c>
      <c r="U141" s="153"/>
    </row>
    <row r="142" spans="1:21" s="166" customFormat="1" ht="15" customHeight="1" x14ac:dyDescent="0.2">
      <c r="A142" s="141"/>
      <c r="B142" s="111" t="s">
        <v>406</v>
      </c>
      <c r="C142" s="58" t="s">
        <v>140</v>
      </c>
      <c r="D142" s="159">
        <v>700000000</v>
      </c>
      <c r="E142" s="160">
        <f>42000000+57079599+6689726+18952000</f>
        <v>124721325</v>
      </c>
      <c r="F142" s="160">
        <v>0</v>
      </c>
      <c r="G142" s="160">
        <f>80000000+35000000+170000000+10000000+19880000</f>
        <v>314880000</v>
      </c>
      <c r="H142" s="36">
        <f>160000000+110000000+27834617</f>
        <v>297834617</v>
      </c>
      <c r="I142" s="36">
        <f t="shared" ref="I142:I156" si="43">+D142+E142-F142+G142-H142</f>
        <v>841766708</v>
      </c>
      <c r="J142" s="159">
        <v>27920040</v>
      </c>
      <c r="K142" s="161">
        <v>840872005</v>
      </c>
      <c r="L142" s="159">
        <v>39199634</v>
      </c>
      <c r="M142" s="159">
        <v>840872005</v>
      </c>
      <c r="N142" s="159">
        <v>48415825</v>
      </c>
      <c r="O142" s="159">
        <v>655277834</v>
      </c>
      <c r="P142" s="159">
        <v>22438065</v>
      </c>
      <c r="Q142" s="159">
        <v>626955927</v>
      </c>
      <c r="R142" s="161">
        <v>0</v>
      </c>
      <c r="S142" s="161">
        <v>185594171</v>
      </c>
      <c r="T142" s="162">
        <v>28321907</v>
      </c>
      <c r="U142" s="132"/>
    </row>
    <row r="143" spans="1:21" s="166" customFormat="1" ht="15" customHeight="1" x14ac:dyDescent="0.2">
      <c r="A143" s="141"/>
      <c r="B143" s="111" t="s">
        <v>407</v>
      </c>
      <c r="C143" s="58" t="s">
        <v>142</v>
      </c>
      <c r="D143" s="159">
        <v>952960000</v>
      </c>
      <c r="E143" s="160">
        <f>270915021+218250000+15121000+5000000</f>
        <v>509286021</v>
      </c>
      <c r="F143" s="160">
        <v>0</v>
      </c>
      <c r="G143" s="160">
        <f>560000000+29000000+200000000+22000000+27114000</f>
        <v>838114000</v>
      </c>
      <c r="H143" s="36">
        <f>20000000+4000000+7000000</f>
        <v>31000000</v>
      </c>
      <c r="I143" s="36">
        <f t="shared" si="43"/>
        <v>2269360021</v>
      </c>
      <c r="J143" s="159">
        <v>3500000</v>
      </c>
      <c r="K143" s="161">
        <v>2267859025</v>
      </c>
      <c r="L143" s="159">
        <v>27500000</v>
      </c>
      <c r="M143" s="159">
        <v>2267859025</v>
      </c>
      <c r="N143" s="159">
        <v>17687632</v>
      </c>
      <c r="O143" s="159">
        <v>2051469143</v>
      </c>
      <c r="P143" s="159">
        <v>18139361</v>
      </c>
      <c r="Q143" s="159">
        <v>2045534636</v>
      </c>
      <c r="R143" s="161">
        <v>0</v>
      </c>
      <c r="S143" s="161">
        <v>216389882</v>
      </c>
      <c r="T143" s="162">
        <v>5934507</v>
      </c>
      <c r="U143" s="132"/>
    </row>
    <row r="144" spans="1:21" s="166" customFormat="1" ht="15" customHeight="1" x14ac:dyDescent="0.2">
      <c r="A144" s="141"/>
      <c r="B144" s="111" t="s">
        <v>408</v>
      </c>
      <c r="C144" s="58" t="s">
        <v>144</v>
      </c>
      <c r="D144" s="159">
        <v>700000000</v>
      </c>
      <c r="E144" s="160">
        <v>102000000</v>
      </c>
      <c r="F144" s="160">
        <v>0</v>
      </c>
      <c r="G144" s="160">
        <f>170000000+3500000</f>
        <v>173500000</v>
      </c>
      <c r="H144" s="36">
        <f>10000000+8000000</f>
        <v>18000000</v>
      </c>
      <c r="I144" s="36">
        <f t="shared" si="43"/>
        <v>957500000</v>
      </c>
      <c r="J144" s="159">
        <v>0</v>
      </c>
      <c r="K144" s="161">
        <v>957000000</v>
      </c>
      <c r="L144" s="159">
        <v>0</v>
      </c>
      <c r="M144" s="159">
        <v>957000000</v>
      </c>
      <c r="N144" s="159">
        <v>13511079</v>
      </c>
      <c r="O144" s="159">
        <v>677059538</v>
      </c>
      <c r="P144" s="159">
        <v>11914638</v>
      </c>
      <c r="Q144" s="159">
        <v>672787823</v>
      </c>
      <c r="R144" s="161">
        <v>0</v>
      </c>
      <c r="S144" s="161">
        <v>279940462</v>
      </c>
      <c r="T144" s="162">
        <v>4271715</v>
      </c>
      <c r="U144" s="132"/>
    </row>
    <row r="145" spans="1:21" s="166" customFormat="1" ht="15" customHeight="1" x14ac:dyDescent="0.2">
      <c r="A145" s="141"/>
      <c r="B145" s="111" t="s">
        <v>409</v>
      </c>
      <c r="C145" s="58" t="s">
        <v>146</v>
      </c>
      <c r="D145" s="159">
        <v>280000000</v>
      </c>
      <c r="E145" s="160">
        <f>10000000+51093921+10816771+22407000</f>
        <v>94317692</v>
      </c>
      <c r="F145" s="160">
        <v>0</v>
      </c>
      <c r="G145" s="160">
        <f>150000000+45000000+290000000+410000</f>
        <v>485410000</v>
      </c>
      <c r="H145" s="36">
        <f>60000000+54000000</f>
        <v>114000000</v>
      </c>
      <c r="I145" s="36">
        <f t="shared" si="43"/>
        <v>745727692</v>
      </c>
      <c r="J145" s="159">
        <v>33223723</v>
      </c>
      <c r="K145" s="161">
        <v>745726260</v>
      </c>
      <c r="L145" s="159">
        <v>34502895</v>
      </c>
      <c r="M145" s="159">
        <v>745726260</v>
      </c>
      <c r="N145" s="159">
        <v>22688983</v>
      </c>
      <c r="O145" s="159">
        <v>710517425</v>
      </c>
      <c r="P145" s="159">
        <v>21068443</v>
      </c>
      <c r="Q145" s="159">
        <v>708846885</v>
      </c>
      <c r="R145" s="161">
        <v>0</v>
      </c>
      <c r="S145" s="161">
        <v>35208835</v>
      </c>
      <c r="T145" s="162">
        <v>1670540</v>
      </c>
      <c r="U145" s="132"/>
    </row>
    <row r="146" spans="1:21" s="166" customFormat="1" ht="15" customHeight="1" x14ac:dyDescent="0.2">
      <c r="A146" s="141"/>
      <c r="B146" s="111" t="s">
        <v>410</v>
      </c>
      <c r="C146" s="58" t="s">
        <v>148</v>
      </c>
      <c r="D146" s="159">
        <v>280000000</v>
      </c>
      <c r="E146" s="160">
        <f>10000000+6999002+9626464</f>
        <v>26625466</v>
      </c>
      <c r="F146" s="160">
        <v>0</v>
      </c>
      <c r="G146" s="160">
        <f>77000000+9314000</f>
        <v>86314000</v>
      </c>
      <c r="H146" s="36">
        <f>75000000+19000000+6000000+7510000+5000000</f>
        <v>112510000</v>
      </c>
      <c r="I146" s="36">
        <f t="shared" si="43"/>
        <v>280429466</v>
      </c>
      <c r="J146" s="159">
        <v>4278391</v>
      </c>
      <c r="K146" s="161">
        <v>274865754</v>
      </c>
      <c r="L146" s="159">
        <v>4278391</v>
      </c>
      <c r="M146" s="159">
        <v>274865754</v>
      </c>
      <c r="N146" s="159">
        <v>6603150</v>
      </c>
      <c r="O146" s="159">
        <v>188212136</v>
      </c>
      <c r="P146" s="159">
        <v>8370214</v>
      </c>
      <c r="Q146" s="159">
        <v>187814361</v>
      </c>
      <c r="R146" s="161">
        <v>0</v>
      </c>
      <c r="S146" s="161">
        <v>86653618</v>
      </c>
      <c r="T146" s="162">
        <v>397775</v>
      </c>
      <c r="U146" s="132"/>
    </row>
    <row r="147" spans="1:21" s="166" customFormat="1" ht="15" customHeight="1" x14ac:dyDescent="0.2">
      <c r="A147" s="141"/>
      <c r="B147" s="111" t="s">
        <v>411</v>
      </c>
      <c r="C147" s="58" t="s">
        <v>150</v>
      </c>
      <c r="D147" s="159">
        <v>700516791</v>
      </c>
      <c r="E147" s="160">
        <f>30200000+126000000+500000</f>
        <v>156700000</v>
      </c>
      <c r="F147" s="160">
        <v>0</v>
      </c>
      <c r="G147" s="160">
        <f>170000000+37000000+46375000+52000000</f>
        <v>305375000</v>
      </c>
      <c r="H147" s="36">
        <f>30000000+42000000+52000000+40671000</f>
        <v>164671000</v>
      </c>
      <c r="I147" s="36">
        <f t="shared" si="43"/>
        <v>997920791</v>
      </c>
      <c r="J147" s="159">
        <v>500000</v>
      </c>
      <c r="K147" s="161">
        <v>997920000</v>
      </c>
      <c r="L147" s="159">
        <v>500000</v>
      </c>
      <c r="M147" s="159">
        <v>997920000</v>
      </c>
      <c r="N147" s="159">
        <v>14538021</v>
      </c>
      <c r="O147" s="159">
        <v>747291376</v>
      </c>
      <c r="P147" s="159">
        <v>4393147</v>
      </c>
      <c r="Q147" s="159">
        <v>736394952</v>
      </c>
      <c r="R147" s="161">
        <v>0</v>
      </c>
      <c r="S147" s="161">
        <v>250628624</v>
      </c>
      <c r="T147" s="162">
        <v>10896424</v>
      </c>
      <c r="U147" s="132"/>
    </row>
    <row r="148" spans="1:21" s="166" customFormat="1" ht="15" customHeight="1" x14ac:dyDescent="0.2">
      <c r="A148" s="141"/>
      <c r="B148" s="111" t="s">
        <v>412</v>
      </c>
      <c r="C148" s="58" t="s">
        <v>152</v>
      </c>
      <c r="D148" s="159">
        <v>70000000</v>
      </c>
      <c r="E148" s="160">
        <f>165000000+17985586+2607152+10118000</f>
        <v>195710738</v>
      </c>
      <c r="F148" s="160">
        <v>0</v>
      </c>
      <c r="G148" s="160">
        <f>40000000+8000000+52000000</f>
        <v>100000000</v>
      </c>
      <c r="H148" s="36">
        <f>9000000+5572000</f>
        <v>14572000</v>
      </c>
      <c r="I148" s="36">
        <f t="shared" si="43"/>
        <v>351138738</v>
      </c>
      <c r="J148" s="159">
        <v>12724963</v>
      </c>
      <c r="K148" s="161">
        <v>351138105</v>
      </c>
      <c r="L148" s="159">
        <v>12724963</v>
      </c>
      <c r="M148" s="159">
        <v>351138105</v>
      </c>
      <c r="N148" s="159">
        <v>21158853</v>
      </c>
      <c r="O148" s="159">
        <v>331923984</v>
      </c>
      <c r="P148" s="159">
        <v>9912990</v>
      </c>
      <c r="Q148" s="159">
        <v>320594318</v>
      </c>
      <c r="R148" s="161">
        <v>0</v>
      </c>
      <c r="S148" s="161">
        <v>19214121</v>
      </c>
      <c r="T148" s="162">
        <v>11329666</v>
      </c>
      <c r="U148" s="132"/>
    </row>
    <row r="149" spans="1:21" s="166" customFormat="1" ht="15" customHeight="1" x14ac:dyDescent="0.2">
      <c r="A149" s="141"/>
      <c r="B149" s="111" t="s">
        <v>413</v>
      </c>
      <c r="C149" s="58" t="s">
        <v>154</v>
      </c>
      <c r="D149" s="159">
        <v>140000000</v>
      </c>
      <c r="E149" s="160">
        <f>5000000+6902235+1790513+3150000</f>
        <v>16842748</v>
      </c>
      <c r="F149" s="160">
        <v>0</v>
      </c>
      <c r="G149" s="160">
        <f>15000000+3000000+32000000</f>
        <v>50000000</v>
      </c>
      <c r="H149" s="36">
        <f>5000000+880000</f>
        <v>5880000</v>
      </c>
      <c r="I149" s="36">
        <f t="shared" si="43"/>
        <v>200962748</v>
      </c>
      <c r="J149" s="159">
        <v>4941123</v>
      </c>
      <c r="K149" s="161">
        <v>200962034</v>
      </c>
      <c r="L149" s="159">
        <v>4941123</v>
      </c>
      <c r="M149" s="159">
        <v>200962034</v>
      </c>
      <c r="N149" s="159">
        <v>7512890</v>
      </c>
      <c r="O149" s="159">
        <v>183275928</v>
      </c>
      <c r="P149" s="159">
        <v>8259377</v>
      </c>
      <c r="Q149" s="159">
        <v>183275928</v>
      </c>
      <c r="R149" s="161">
        <v>0</v>
      </c>
      <c r="S149" s="161">
        <v>17686106</v>
      </c>
      <c r="T149" s="162">
        <v>0</v>
      </c>
      <c r="U149" s="132"/>
    </row>
    <row r="150" spans="1:21" s="166" customFormat="1" ht="15" customHeight="1" x14ac:dyDescent="0.2">
      <c r="A150" s="141"/>
      <c r="B150" s="111" t="s">
        <v>414</v>
      </c>
      <c r="C150" s="58" t="s">
        <v>180</v>
      </c>
      <c r="D150" s="159">
        <v>1000000</v>
      </c>
      <c r="E150" s="160">
        <v>0</v>
      </c>
      <c r="F150" s="160">
        <v>0</v>
      </c>
      <c r="G150" s="160">
        <v>0</v>
      </c>
      <c r="H150" s="36">
        <v>990000</v>
      </c>
      <c r="I150" s="36">
        <f t="shared" si="43"/>
        <v>10000</v>
      </c>
      <c r="J150" s="159">
        <v>0</v>
      </c>
      <c r="K150" s="161">
        <v>0</v>
      </c>
      <c r="L150" s="159">
        <v>0</v>
      </c>
      <c r="M150" s="159">
        <v>0</v>
      </c>
      <c r="N150" s="159">
        <v>0</v>
      </c>
      <c r="O150" s="159">
        <v>0</v>
      </c>
      <c r="P150" s="159">
        <v>0</v>
      </c>
      <c r="Q150" s="159">
        <v>0</v>
      </c>
      <c r="R150" s="161">
        <v>0</v>
      </c>
      <c r="S150" s="161">
        <v>0</v>
      </c>
      <c r="T150" s="162">
        <v>0</v>
      </c>
      <c r="U150" s="132"/>
    </row>
    <row r="151" spans="1:21" s="166" customFormat="1" ht="15" customHeight="1" x14ac:dyDescent="0.2">
      <c r="A151" s="141"/>
      <c r="B151" s="111" t="s">
        <v>415</v>
      </c>
      <c r="C151" s="58" t="s">
        <v>182</v>
      </c>
      <c r="D151" s="159">
        <v>218000000</v>
      </c>
      <c r="E151" s="160">
        <f>100000000+50000000+61079974+41490012</f>
        <v>252569986</v>
      </c>
      <c r="F151" s="160">
        <v>0</v>
      </c>
      <c r="G151" s="160">
        <v>50000000</v>
      </c>
      <c r="H151" s="36">
        <v>30000000</v>
      </c>
      <c r="I151" s="36">
        <f t="shared" si="43"/>
        <v>490569986</v>
      </c>
      <c r="J151" s="159">
        <v>105660547</v>
      </c>
      <c r="K151" s="161">
        <v>488734903</v>
      </c>
      <c r="L151" s="159">
        <v>147264937</v>
      </c>
      <c r="M151" s="159">
        <v>488734903</v>
      </c>
      <c r="N151" s="159">
        <v>147266237</v>
      </c>
      <c r="O151" s="159">
        <v>488734903</v>
      </c>
      <c r="P151" s="159">
        <v>88966810</v>
      </c>
      <c r="Q151" s="159">
        <v>424457676</v>
      </c>
      <c r="R151" s="161">
        <v>0</v>
      </c>
      <c r="S151" s="161">
        <v>0</v>
      </c>
      <c r="T151" s="162">
        <v>64277227</v>
      </c>
      <c r="U151" s="132"/>
    </row>
    <row r="152" spans="1:21" s="166" customFormat="1" ht="15" customHeight="1" x14ac:dyDescent="0.2">
      <c r="A152" s="141"/>
      <c r="B152" s="111" t="s">
        <v>416</v>
      </c>
      <c r="C152" s="58" t="s">
        <v>417</v>
      </c>
      <c r="D152" s="159">
        <v>280000000</v>
      </c>
      <c r="E152" s="160">
        <f>162940707+78225975+81000000+70000000</f>
        <v>392166682</v>
      </c>
      <c r="F152" s="160">
        <v>0</v>
      </c>
      <c r="G152" s="160">
        <f>30000000+8000000+150000000</f>
        <v>188000000</v>
      </c>
      <c r="H152" s="36">
        <v>0</v>
      </c>
      <c r="I152" s="36">
        <f t="shared" si="43"/>
        <v>860166682</v>
      </c>
      <c r="J152" s="159">
        <v>137174407</v>
      </c>
      <c r="K152" s="161">
        <v>841381692</v>
      </c>
      <c r="L152" s="159">
        <v>204039882</v>
      </c>
      <c r="M152" s="159">
        <v>841381692</v>
      </c>
      <c r="N152" s="159">
        <v>204309882</v>
      </c>
      <c r="O152" s="159">
        <v>841381692</v>
      </c>
      <c r="P152" s="159">
        <v>151810909</v>
      </c>
      <c r="Q152" s="159">
        <v>777160119</v>
      </c>
      <c r="R152" s="161">
        <v>0</v>
      </c>
      <c r="S152" s="161">
        <v>0</v>
      </c>
      <c r="T152" s="162">
        <v>64221573</v>
      </c>
      <c r="U152" s="132"/>
    </row>
    <row r="153" spans="1:21" s="166" customFormat="1" ht="15" customHeight="1" x14ac:dyDescent="0.2">
      <c r="A153" s="141"/>
      <c r="B153" s="111" t="s">
        <v>418</v>
      </c>
      <c r="C153" s="58" t="s">
        <v>158</v>
      </c>
      <c r="D153" s="159">
        <v>1000000</v>
      </c>
      <c r="E153" s="160">
        <v>0</v>
      </c>
      <c r="F153" s="160">
        <v>0</v>
      </c>
      <c r="G153" s="160">
        <v>0</v>
      </c>
      <c r="H153" s="36">
        <v>0</v>
      </c>
      <c r="I153" s="36">
        <f t="shared" si="43"/>
        <v>1000000</v>
      </c>
      <c r="J153" s="159">
        <v>0</v>
      </c>
      <c r="K153" s="161">
        <v>0</v>
      </c>
      <c r="L153" s="159">
        <v>0</v>
      </c>
      <c r="M153" s="159">
        <v>0</v>
      </c>
      <c r="N153" s="159">
        <v>0</v>
      </c>
      <c r="O153" s="159">
        <v>0</v>
      </c>
      <c r="P153" s="159">
        <v>0</v>
      </c>
      <c r="Q153" s="159">
        <v>0</v>
      </c>
      <c r="R153" s="161">
        <v>0</v>
      </c>
      <c r="S153" s="161">
        <v>0</v>
      </c>
      <c r="T153" s="162">
        <v>0</v>
      </c>
      <c r="U153" s="132"/>
    </row>
    <row r="154" spans="1:21" s="166" customFormat="1" ht="15" customHeight="1" x14ac:dyDescent="0.2">
      <c r="A154" s="141"/>
      <c r="B154" s="111" t="s">
        <v>419</v>
      </c>
      <c r="C154" s="58" t="s">
        <v>160</v>
      </c>
      <c r="D154" s="159">
        <v>47040000</v>
      </c>
      <c r="E154" s="160">
        <v>23520000</v>
      </c>
      <c r="F154" s="160">
        <v>0</v>
      </c>
      <c r="G154" s="160">
        <v>24000000</v>
      </c>
      <c r="H154" s="36">
        <v>8000000</v>
      </c>
      <c r="I154" s="36">
        <f t="shared" si="43"/>
        <v>86560000</v>
      </c>
      <c r="J154" s="159">
        <v>0</v>
      </c>
      <c r="K154" s="161">
        <v>86240000</v>
      </c>
      <c r="L154" s="159">
        <v>0</v>
      </c>
      <c r="M154" s="159">
        <v>86240000</v>
      </c>
      <c r="N154" s="159">
        <v>7840000</v>
      </c>
      <c r="O154" s="159">
        <v>86240000</v>
      </c>
      <c r="P154" s="159">
        <v>7840000</v>
      </c>
      <c r="Q154" s="159">
        <v>86240000</v>
      </c>
      <c r="R154" s="161">
        <v>0</v>
      </c>
      <c r="S154" s="161">
        <v>0</v>
      </c>
      <c r="T154" s="162">
        <v>0</v>
      </c>
      <c r="U154" s="132"/>
    </row>
    <row r="155" spans="1:21" s="166" customFormat="1" ht="15" customHeight="1" x14ac:dyDescent="0.2">
      <c r="A155" s="141"/>
      <c r="B155" s="111" t="s">
        <v>420</v>
      </c>
      <c r="C155" s="58" t="s">
        <v>421</v>
      </c>
      <c r="D155" s="159">
        <v>0</v>
      </c>
      <c r="E155" s="160">
        <f>14124211.32+13980429.69</f>
        <v>28104641.009999998</v>
      </c>
      <c r="F155" s="160">
        <v>0</v>
      </c>
      <c r="G155" s="160">
        <v>0</v>
      </c>
      <c r="H155" s="36">
        <v>0</v>
      </c>
      <c r="I155" s="36">
        <f t="shared" si="43"/>
        <v>28104641.009999998</v>
      </c>
      <c r="J155" s="159">
        <v>0</v>
      </c>
      <c r="K155" s="161">
        <v>28104641</v>
      </c>
      <c r="L155" s="159">
        <v>0</v>
      </c>
      <c r="M155" s="159">
        <v>28104641</v>
      </c>
      <c r="N155" s="159">
        <v>0</v>
      </c>
      <c r="O155" s="159">
        <v>28104641</v>
      </c>
      <c r="P155" s="159">
        <v>0</v>
      </c>
      <c r="Q155" s="159">
        <v>28104641</v>
      </c>
      <c r="R155" s="161">
        <v>0</v>
      </c>
      <c r="S155" s="161">
        <v>0</v>
      </c>
      <c r="T155" s="162">
        <v>0</v>
      </c>
      <c r="U155" s="132"/>
    </row>
    <row r="156" spans="1:21" s="166" customFormat="1" ht="15" customHeight="1" x14ac:dyDescent="0.2">
      <c r="A156" s="141"/>
      <c r="B156" s="111" t="s">
        <v>422</v>
      </c>
      <c r="C156" s="58" t="s">
        <v>423</v>
      </c>
      <c r="D156" s="159">
        <v>0</v>
      </c>
      <c r="E156" s="160">
        <v>10000000</v>
      </c>
      <c r="F156" s="160">
        <v>0</v>
      </c>
      <c r="G156" s="160">
        <v>31000000</v>
      </c>
      <c r="H156" s="36">
        <v>0</v>
      </c>
      <c r="I156" s="36">
        <f t="shared" si="43"/>
        <v>41000000</v>
      </c>
      <c r="J156" s="159">
        <v>0</v>
      </c>
      <c r="K156" s="161">
        <v>39296180</v>
      </c>
      <c r="L156" s="159">
        <v>0</v>
      </c>
      <c r="M156" s="159">
        <v>39296180</v>
      </c>
      <c r="N156" s="159">
        <v>0</v>
      </c>
      <c r="O156" s="159">
        <v>39296180</v>
      </c>
      <c r="P156" s="159">
        <v>0</v>
      </c>
      <c r="Q156" s="159">
        <v>39296180</v>
      </c>
      <c r="R156" s="161">
        <v>0</v>
      </c>
      <c r="S156" s="161">
        <v>0</v>
      </c>
      <c r="T156" s="162">
        <v>0</v>
      </c>
      <c r="U156" s="132"/>
    </row>
    <row r="157" spans="1:21" s="167" customFormat="1" ht="10.5" x14ac:dyDescent="0.25">
      <c r="B157" s="98" t="s">
        <v>375</v>
      </c>
      <c r="C157" s="101" t="s">
        <v>376</v>
      </c>
      <c r="D157" s="168">
        <f>SUM(D158:D159)</f>
        <v>10428084476</v>
      </c>
      <c r="E157" s="169">
        <f>SUM(E158:E159)</f>
        <v>1497219502</v>
      </c>
      <c r="F157" s="169">
        <f t="shared" ref="F157:S157" si="44">SUM(F158:F159)</f>
        <v>0</v>
      </c>
      <c r="G157" s="169">
        <f t="shared" si="44"/>
        <v>3500000000</v>
      </c>
      <c r="H157" s="170">
        <f t="shared" si="44"/>
        <v>883000000</v>
      </c>
      <c r="I157" s="168">
        <f>SUM(I158:I159)</f>
        <v>14542303978</v>
      </c>
      <c r="J157" s="168">
        <f t="shared" si="44"/>
        <v>122653992</v>
      </c>
      <c r="K157" s="37">
        <f>+K158+K159</f>
        <v>14541041114</v>
      </c>
      <c r="L157" s="168">
        <f>SUM(L158:L159)</f>
        <v>122653992</v>
      </c>
      <c r="M157" s="168">
        <f t="shared" si="44"/>
        <v>14541041114</v>
      </c>
      <c r="N157" s="168">
        <f t="shared" si="44"/>
        <v>123048492</v>
      </c>
      <c r="O157" s="168">
        <f t="shared" si="44"/>
        <v>14541041114</v>
      </c>
      <c r="P157" s="168">
        <f t="shared" si="44"/>
        <v>148402967</v>
      </c>
      <c r="Q157" s="168">
        <f t="shared" si="44"/>
        <v>14540673814</v>
      </c>
      <c r="R157" s="168">
        <f t="shared" si="44"/>
        <v>0</v>
      </c>
      <c r="S157" s="168">
        <f t="shared" si="44"/>
        <v>0</v>
      </c>
      <c r="T157" s="109">
        <f>SUM(T158:T159)</f>
        <v>367300</v>
      </c>
      <c r="U157" s="153"/>
    </row>
    <row r="158" spans="1:21" s="166" customFormat="1" ht="10.5" x14ac:dyDescent="0.2">
      <c r="B158" s="111" t="s">
        <v>424</v>
      </c>
      <c r="C158" s="58" t="s">
        <v>378</v>
      </c>
      <c r="D158" s="159">
        <v>9874443602</v>
      </c>
      <c r="E158" s="160">
        <f>40000000+27586522+1200000000+38350000+100180000</f>
        <v>1406116522</v>
      </c>
      <c r="F158" s="160">
        <v>0</v>
      </c>
      <c r="G158" s="160">
        <f>3070000000+380000000+50000000</f>
        <v>3500000000</v>
      </c>
      <c r="H158" s="36">
        <f>768000000+50000000+15000000</f>
        <v>833000000</v>
      </c>
      <c r="I158" s="36">
        <f>+D158+E158-F158+G158-H158</f>
        <v>13947560124</v>
      </c>
      <c r="J158" s="159">
        <v>122383992</v>
      </c>
      <c r="K158" s="161">
        <v>13946297299</v>
      </c>
      <c r="L158" s="159">
        <v>122383992</v>
      </c>
      <c r="M158" s="159">
        <v>13946297299</v>
      </c>
      <c r="N158" s="159">
        <v>122778492</v>
      </c>
      <c r="O158" s="159">
        <v>13946297299</v>
      </c>
      <c r="P158" s="159">
        <v>124710273</v>
      </c>
      <c r="Q158" s="159">
        <v>13945929999</v>
      </c>
      <c r="R158" s="161">
        <v>0</v>
      </c>
      <c r="S158" s="161">
        <v>0</v>
      </c>
      <c r="T158" s="162">
        <v>367300</v>
      </c>
      <c r="U158" s="132"/>
    </row>
    <row r="159" spans="1:21" s="166" customFormat="1" ht="11" thickBot="1" x14ac:dyDescent="0.25">
      <c r="B159" s="171" t="s">
        <v>425</v>
      </c>
      <c r="C159" s="120" t="s">
        <v>380</v>
      </c>
      <c r="D159" s="172">
        <v>553640874</v>
      </c>
      <c r="E159" s="173">
        <f>90832980+270000</f>
        <v>91102980</v>
      </c>
      <c r="F159" s="173">
        <v>0</v>
      </c>
      <c r="G159" s="173">
        <v>0</v>
      </c>
      <c r="H159" s="68">
        <v>50000000</v>
      </c>
      <c r="I159" s="68">
        <f>+D159+E159-F159+G159-H159</f>
        <v>594743854</v>
      </c>
      <c r="J159" s="172">
        <v>270000</v>
      </c>
      <c r="K159" s="174">
        <v>594743815</v>
      </c>
      <c r="L159" s="172">
        <v>270000</v>
      </c>
      <c r="M159" s="172">
        <v>594743815</v>
      </c>
      <c r="N159" s="172">
        <v>270000</v>
      </c>
      <c r="O159" s="172">
        <v>594743815</v>
      </c>
      <c r="P159" s="172">
        <v>23692694</v>
      </c>
      <c r="Q159" s="172">
        <v>594743815</v>
      </c>
      <c r="R159" s="174">
        <v>0</v>
      </c>
      <c r="S159" s="174">
        <v>0</v>
      </c>
      <c r="T159" s="175">
        <v>0</v>
      </c>
      <c r="U159" s="132"/>
    </row>
    <row r="160" spans="1:21" s="141" customFormat="1" x14ac:dyDescent="0.2">
      <c r="B160" s="125"/>
      <c r="C160" s="1"/>
      <c r="D160" s="72"/>
      <c r="E160" s="176"/>
      <c r="F160" s="176"/>
      <c r="G160" s="176"/>
      <c r="H160" s="177"/>
      <c r="I160" s="72"/>
      <c r="J160" s="137"/>
      <c r="K160" s="137"/>
      <c r="L160" s="72"/>
      <c r="M160" s="74"/>
      <c r="N160" s="74"/>
      <c r="O160" s="74"/>
      <c r="P160" s="74"/>
      <c r="Q160" s="74"/>
      <c r="S160" s="74"/>
      <c r="T160" s="74"/>
      <c r="U160" s="143"/>
    </row>
    <row r="161" spans="2:21" s="141" customFormat="1" x14ac:dyDescent="0.2">
      <c r="B161" s="125"/>
      <c r="C161" s="1"/>
      <c r="D161" s="72"/>
      <c r="E161" s="176"/>
      <c r="F161" s="176"/>
      <c r="G161" s="176"/>
      <c r="H161" s="177"/>
      <c r="I161" s="72">
        <v>13947560124</v>
      </c>
      <c r="J161" s="137"/>
      <c r="K161" s="137"/>
      <c r="L161" s="72"/>
      <c r="M161" s="74"/>
      <c r="N161" s="74"/>
      <c r="O161" s="74"/>
      <c r="P161" s="74"/>
      <c r="Q161" s="74"/>
      <c r="R161" s="147"/>
      <c r="S161" s="148"/>
      <c r="T161" s="148"/>
      <c r="U161" s="143"/>
    </row>
    <row r="162" spans="2:21" s="141" customFormat="1" x14ac:dyDescent="0.2">
      <c r="B162" s="125"/>
      <c r="C162" s="1"/>
      <c r="D162" s="72"/>
      <c r="E162" s="176"/>
      <c r="F162" s="176"/>
      <c r="G162" s="176"/>
      <c r="H162" s="177"/>
      <c r="I162" s="72">
        <f>+I161-I158</f>
        <v>0</v>
      </c>
      <c r="J162" s="72"/>
      <c r="K162" s="47"/>
      <c r="L162" s="72"/>
      <c r="M162" s="74"/>
      <c r="N162" s="74"/>
      <c r="O162" s="74"/>
      <c r="P162" s="74"/>
      <c r="Q162" s="74"/>
      <c r="R162" s="137"/>
      <c r="S162" s="137"/>
      <c r="T162" s="137"/>
      <c r="U162" s="143"/>
    </row>
    <row r="163" spans="2:21" s="78" customFormat="1" ht="15" customHeight="1" x14ac:dyDescent="0.25">
      <c r="B163" s="128"/>
      <c r="C163" s="79" t="s">
        <v>187</v>
      </c>
      <c r="D163" s="80"/>
      <c r="E163" s="79"/>
      <c r="F163" s="79"/>
      <c r="G163" s="539" t="s">
        <v>188</v>
      </c>
      <c r="H163" s="539"/>
      <c r="I163" s="539"/>
      <c r="J163" s="539"/>
      <c r="K163" s="539"/>
      <c r="L163" s="539"/>
      <c r="M163" s="80"/>
      <c r="N163" s="616" t="s">
        <v>189</v>
      </c>
      <c r="O163" s="616"/>
      <c r="P163" s="616"/>
      <c r="Q163" s="616"/>
      <c r="T163" s="128"/>
      <c r="U163" s="132"/>
    </row>
    <row r="164" spans="2:21" s="78" customFormat="1" ht="15" customHeight="1" x14ac:dyDescent="0.2">
      <c r="B164" s="128"/>
      <c r="C164" s="81" t="s">
        <v>190</v>
      </c>
      <c r="D164" s="72"/>
      <c r="E164" s="514" t="s">
        <v>191</v>
      </c>
      <c r="F164" s="514"/>
      <c r="G164" s="514"/>
      <c r="H164" s="514"/>
      <c r="I164" s="514"/>
      <c r="J164" s="514"/>
      <c r="K164" s="514"/>
      <c r="L164" s="514"/>
      <c r="M164" s="514"/>
      <c r="N164" s="514" t="s">
        <v>192</v>
      </c>
      <c r="O164" s="514"/>
      <c r="P164" s="514"/>
      <c r="Q164" s="514"/>
      <c r="T164" s="128"/>
      <c r="U164" s="132"/>
    </row>
    <row r="165" spans="2:21" s="166" customFormat="1" x14ac:dyDescent="0.2">
      <c r="B165" s="125"/>
      <c r="C165" s="1"/>
      <c r="D165" s="72"/>
      <c r="E165" s="176"/>
      <c r="F165" s="176"/>
      <c r="G165" s="176"/>
      <c r="H165" s="177"/>
      <c r="I165" s="72"/>
      <c r="J165" s="72"/>
      <c r="K165" s="74"/>
      <c r="L165" s="72"/>
      <c r="M165" s="74"/>
      <c r="N165" s="74"/>
      <c r="O165" s="74"/>
      <c r="P165" s="74"/>
      <c r="Q165" s="74"/>
      <c r="T165" s="178"/>
      <c r="U165" s="132"/>
    </row>
    <row r="166" spans="2:21" s="166" customFormat="1" x14ac:dyDescent="0.2">
      <c r="B166" s="125"/>
      <c r="C166" s="1"/>
      <c r="D166" s="72"/>
      <c r="E166" s="176"/>
      <c r="F166" s="176"/>
      <c r="G166" s="176"/>
      <c r="H166" s="177"/>
      <c r="I166" s="72"/>
      <c r="J166" s="72"/>
      <c r="K166" s="74"/>
      <c r="L166" s="72"/>
      <c r="M166" s="72"/>
      <c r="N166" s="72"/>
      <c r="O166" s="72"/>
      <c r="P166" s="72"/>
      <c r="Q166" s="179"/>
      <c r="T166" s="178"/>
      <c r="U166" s="132"/>
    </row>
    <row r="167" spans="2:21" s="166" customFormat="1" x14ac:dyDescent="0.2">
      <c r="B167" s="125"/>
      <c r="C167" s="1"/>
      <c r="D167" s="72"/>
      <c r="E167" s="176"/>
      <c r="F167" s="176"/>
      <c r="G167" s="176"/>
      <c r="H167" s="177"/>
      <c r="I167" s="72"/>
      <c r="J167" s="72"/>
      <c r="K167" s="72"/>
      <c r="L167" s="72"/>
      <c r="M167" s="72"/>
      <c r="N167" s="72"/>
      <c r="O167" s="72"/>
      <c r="P167" s="72"/>
      <c r="Q167" s="179"/>
      <c r="T167" s="178"/>
      <c r="U167" s="132"/>
    </row>
    <row r="168" spans="2:21" s="72" customFormat="1" x14ac:dyDescent="0.2">
      <c r="B168" s="125"/>
      <c r="C168" s="1"/>
      <c r="E168" s="176"/>
      <c r="F168" s="176"/>
      <c r="G168" s="176"/>
      <c r="H168" s="177"/>
      <c r="Q168" s="179"/>
      <c r="R168" s="166"/>
      <c r="S168" s="166"/>
      <c r="T168" s="180"/>
      <c r="U168" s="132"/>
    </row>
    <row r="169" spans="2:21" s="72" customFormat="1" x14ac:dyDescent="0.2">
      <c r="B169" s="125"/>
      <c r="C169" s="1"/>
      <c r="E169" s="176"/>
      <c r="F169" s="176"/>
      <c r="G169" s="176"/>
      <c r="H169" s="177"/>
      <c r="Q169" s="179"/>
      <c r="R169" s="166"/>
      <c r="S169" s="166"/>
      <c r="T169" s="180"/>
      <c r="U169" s="132"/>
    </row>
    <row r="170" spans="2:21" s="72" customFormat="1" x14ac:dyDescent="0.2">
      <c r="B170" s="125"/>
      <c r="C170" s="1"/>
      <c r="E170" s="176"/>
      <c r="F170" s="176"/>
      <c r="G170" s="176"/>
      <c r="H170" s="177"/>
      <c r="Q170" s="179"/>
      <c r="R170" s="166"/>
      <c r="S170" s="166"/>
      <c r="T170" s="180"/>
      <c r="U170" s="132"/>
    </row>
    <row r="171" spans="2:21" s="72" customFormat="1" x14ac:dyDescent="0.2">
      <c r="B171" s="125"/>
      <c r="C171" s="1"/>
      <c r="E171" s="176"/>
      <c r="F171" s="176"/>
      <c r="G171" s="176"/>
      <c r="H171" s="177"/>
      <c r="Q171" s="179"/>
      <c r="R171" s="166"/>
      <c r="S171" s="166"/>
      <c r="T171" s="180"/>
      <c r="U171" s="132"/>
    </row>
  </sheetData>
  <autoFilter ref="B8:T159"/>
  <mergeCells count="26">
    <mergeCell ref="T6:T7"/>
    <mergeCell ref="G163:L163"/>
    <mergeCell ref="N163:Q163"/>
    <mergeCell ref="E164:M164"/>
    <mergeCell ref="N164:Q164"/>
    <mergeCell ref="L6:M6"/>
    <mergeCell ref="N6:O6"/>
    <mergeCell ref="P6:Q6"/>
    <mergeCell ref="R6:R7"/>
    <mergeCell ref="S6:S7"/>
    <mergeCell ref="B1:S1"/>
    <mergeCell ref="B2:S2"/>
    <mergeCell ref="B3:C3"/>
    <mergeCell ref="B4:C4"/>
    <mergeCell ref="B5:C5"/>
    <mergeCell ref="D5:D7"/>
    <mergeCell ref="E5:H5"/>
    <mergeCell ref="I5:I7"/>
    <mergeCell ref="J5:O5"/>
    <mergeCell ref="P5:Q5"/>
    <mergeCell ref="R5:S5"/>
    <mergeCell ref="B6:B7"/>
    <mergeCell ref="C6:C7"/>
    <mergeCell ref="E6:F6"/>
    <mergeCell ref="G6:H6"/>
    <mergeCell ref="J6:K6"/>
  </mergeCells>
  <printOptions horizontalCentered="1"/>
  <pageMargins left="0.98425196850393704" right="3.937007874015748E-2" top="0.15748031496062992" bottom="0.19685039370078741" header="0.11811023622047245" footer="0.11811023622047245"/>
  <pageSetup paperSize="5"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0"/>
  <sheetViews>
    <sheetView topLeftCell="B1" zoomScaleNormal="100" workbookViewId="0">
      <pane xSplit="2" topLeftCell="D1" activePane="topRight" state="frozen"/>
      <selection activeCell="C1" sqref="C1"/>
      <selection pane="topRight" activeCell="G36" sqref="G36"/>
    </sheetView>
  </sheetViews>
  <sheetFormatPr baseColWidth="10" defaultColWidth="11.453125" defaultRowHeight="10" x14ac:dyDescent="0.2"/>
  <cols>
    <col min="1" max="1" width="21.7265625" style="85" customWidth="1"/>
    <col min="2" max="2" width="17.7265625" style="367" customWidth="1"/>
    <col min="3" max="3" width="26.1796875" style="85" customWidth="1"/>
    <col min="4" max="4" width="19.26953125" style="368" customWidth="1"/>
    <col min="5" max="5" width="15.453125" style="157" customWidth="1"/>
    <col min="6" max="6" width="10" style="368" customWidth="1"/>
    <col min="7" max="7" width="18" style="368" customWidth="1"/>
    <col min="8" max="8" width="15" style="368" customWidth="1"/>
    <col min="9" max="9" width="15.54296875" style="368" customWidth="1"/>
    <col min="10" max="10" width="14.81640625" style="368" customWidth="1"/>
    <col min="11" max="11" width="15.7265625" style="368" customWidth="1"/>
    <col min="12" max="12" width="12.1796875" style="368" customWidth="1"/>
    <col min="13" max="13" width="11.26953125" style="85" customWidth="1"/>
    <col min="14" max="14" width="11.453125" style="85"/>
    <col min="15" max="15" width="15" style="85" bestFit="1" customWidth="1"/>
    <col min="16" max="16384" width="11.453125" style="85"/>
  </cols>
  <sheetData>
    <row r="1" spans="2:13" ht="10.5" x14ac:dyDescent="0.25">
      <c r="B1" s="540" t="s">
        <v>0</v>
      </c>
      <c r="C1" s="540"/>
      <c r="D1" s="540"/>
      <c r="E1" s="540"/>
      <c r="F1" s="540"/>
      <c r="G1" s="540"/>
      <c r="H1" s="540"/>
      <c r="I1" s="540"/>
      <c r="J1" s="540"/>
      <c r="K1" s="540"/>
      <c r="L1" s="540"/>
      <c r="M1" s="540"/>
    </row>
    <row r="2" spans="2:13" x14ac:dyDescent="0.2">
      <c r="B2" s="617" t="s">
        <v>561</v>
      </c>
      <c r="C2" s="617"/>
      <c r="D2" s="617"/>
      <c r="E2" s="617"/>
      <c r="F2" s="617"/>
      <c r="G2" s="617"/>
      <c r="H2" s="617"/>
      <c r="I2" s="617"/>
      <c r="J2" s="617"/>
      <c r="K2" s="617"/>
      <c r="L2" s="617"/>
      <c r="M2" s="617"/>
    </row>
    <row r="3" spans="2:13" x14ac:dyDescent="0.2">
      <c r="B3" s="326" t="s">
        <v>562</v>
      </c>
      <c r="C3" s="75"/>
      <c r="D3" s="327"/>
      <c r="E3" s="328"/>
      <c r="F3" s="327"/>
      <c r="G3" s="327"/>
      <c r="H3" s="327"/>
      <c r="I3" s="327"/>
      <c r="J3" s="327"/>
      <c r="K3" s="327"/>
      <c r="L3" s="327"/>
      <c r="M3" s="75"/>
    </row>
    <row r="4" spans="2:13" ht="10.5" x14ac:dyDescent="0.25">
      <c r="B4" s="618" t="s">
        <v>563</v>
      </c>
      <c r="C4" s="618"/>
      <c r="D4" s="327"/>
      <c r="E4" s="328"/>
      <c r="F4" s="327"/>
      <c r="G4" s="327"/>
      <c r="H4" s="327"/>
      <c r="I4" s="327"/>
      <c r="J4" s="327"/>
      <c r="K4" s="327"/>
      <c r="L4" s="327"/>
      <c r="M4" s="75"/>
    </row>
    <row r="5" spans="2:13" ht="10.5" x14ac:dyDescent="0.25">
      <c r="B5" s="618" t="s">
        <v>683</v>
      </c>
      <c r="C5" s="618"/>
      <c r="D5" s="327"/>
      <c r="E5" s="328"/>
      <c r="F5" s="327"/>
      <c r="G5" s="327"/>
      <c r="H5" s="327"/>
      <c r="I5" s="327"/>
      <c r="J5" s="327"/>
      <c r="K5" s="327"/>
      <c r="L5" s="327"/>
      <c r="M5" s="75"/>
    </row>
    <row r="6" spans="2:13" ht="10.5" thickBot="1" x14ac:dyDescent="0.25">
      <c r="B6" s="326"/>
      <c r="C6" s="326"/>
      <c r="D6" s="327"/>
      <c r="E6" s="328"/>
      <c r="F6" s="327"/>
      <c r="G6" s="327"/>
      <c r="H6" s="329"/>
      <c r="I6" s="329"/>
      <c r="J6" s="329"/>
      <c r="K6" s="330"/>
      <c r="L6" s="330"/>
      <c r="M6" s="75"/>
    </row>
    <row r="7" spans="2:13" s="331" customFormat="1" ht="23.25" customHeight="1" x14ac:dyDescent="0.2">
      <c r="B7" s="619" t="s">
        <v>4</v>
      </c>
      <c r="C7" s="620"/>
      <c r="D7" s="620" t="s">
        <v>5</v>
      </c>
      <c r="E7" s="623" t="s">
        <v>6</v>
      </c>
      <c r="F7" s="623"/>
      <c r="G7" s="620" t="s">
        <v>7</v>
      </c>
      <c r="H7" s="623" t="s">
        <v>568</v>
      </c>
      <c r="I7" s="626"/>
      <c r="J7" s="626"/>
      <c r="K7" s="626"/>
      <c r="L7" s="623" t="s">
        <v>569</v>
      </c>
      <c r="M7" s="627"/>
    </row>
    <row r="8" spans="2:13" s="332" customFormat="1" ht="36.75" customHeight="1" x14ac:dyDescent="0.25">
      <c r="B8" s="628" t="s">
        <v>10</v>
      </c>
      <c r="C8" s="630" t="s">
        <v>11</v>
      </c>
      <c r="D8" s="621"/>
      <c r="E8" s="632" t="s">
        <v>427</v>
      </c>
      <c r="F8" s="634" t="s">
        <v>428</v>
      </c>
      <c r="G8" s="624"/>
      <c r="H8" s="636" t="s">
        <v>570</v>
      </c>
      <c r="I8" s="636"/>
      <c r="J8" s="636" t="s">
        <v>571</v>
      </c>
      <c r="K8" s="636"/>
      <c r="L8" s="636" t="s">
        <v>572</v>
      </c>
      <c r="M8" s="637"/>
    </row>
    <row r="9" spans="2:13" s="332" customFormat="1" ht="11" thickBot="1" x14ac:dyDescent="0.3">
      <c r="B9" s="629"/>
      <c r="C9" s="631"/>
      <c r="D9" s="622"/>
      <c r="E9" s="633"/>
      <c r="F9" s="635"/>
      <c r="G9" s="625"/>
      <c r="H9" s="333" t="s">
        <v>23</v>
      </c>
      <c r="I9" s="333" t="s">
        <v>24</v>
      </c>
      <c r="J9" s="333" t="s">
        <v>23</v>
      </c>
      <c r="K9" s="333" t="s">
        <v>573</v>
      </c>
      <c r="L9" s="333" t="s">
        <v>24</v>
      </c>
      <c r="M9" s="334" t="s">
        <v>574</v>
      </c>
    </row>
    <row r="10" spans="2:13" s="93" customFormat="1" ht="10.5" x14ac:dyDescent="0.25">
      <c r="B10" s="335" t="s">
        <v>623</v>
      </c>
      <c r="C10" s="336" t="s">
        <v>575</v>
      </c>
      <c r="D10" s="337">
        <f t="shared" ref="D10:F12" si="0">+D11</f>
        <v>151268301534</v>
      </c>
      <c r="E10" s="338">
        <f>+E11</f>
        <v>58984523172.889999</v>
      </c>
      <c r="F10" s="337">
        <f t="shared" si="0"/>
        <v>0</v>
      </c>
      <c r="G10" s="337">
        <f>+G11</f>
        <v>210252824706.89001</v>
      </c>
      <c r="H10" s="337">
        <f>+H11+H33+H50</f>
        <v>23429008545.800079</v>
      </c>
      <c r="I10" s="337">
        <f>+I11+I33+I50</f>
        <v>208220294452.05008</v>
      </c>
      <c r="J10" s="337">
        <f>+J11+J33+J50</f>
        <v>25176892246.809998</v>
      </c>
      <c r="K10" s="337">
        <f>+K11+K33+K50</f>
        <v>208220294452.05008</v>
      </c>
      <c r="L10" s="337">
        <f>+L11+L33</f>
        <v>0</v>
      </c>
      <c r="M10" s="339">
        <f>K10/G10</f>
        <v>0.99033292295752295</v>
      </c>
    </row>
    <row r="11" spans="2:13" s="93" customFormat="1" ht="10.5" x14ac:dyDescent="0.25">
      <c r="B11" s="340">
        <v>1.1000000000000001</v>
      </c>
      <c r="C11" s="341" t="s">
        <v>576</v>
      </c>
      <c r="D11" s="342">
        <f t="shared" si="0"/>
        <v>151268301534</v>
      </c>
      <c r="E11" s="343">
        <f>+E12</f>
        <v>58984523172.889999</v>
      </c>
      <c r="F11" s="342">
        <f t="shared" si="0"/>
        <v>0</v>
      </c>
      <c r="G11" s="342">
        <f>+G12</f>
        <v>210252824706.89001</v>
      </c>
      <c r="H11" s="342">
        <f>+H12</f>
        <v>16866551157.470079</v>
      </c>
      <c r="I11" s="342">
        <f>+I12</f>
        <v>200875636458.71008</v>
      </c>
      <c r="J11" s="342">
        <f t="shared" ref="I11:L14" si="1">+J12</f>
        <v>18614434858.48</v>
      </c>
      <c r="K11" s="342">
        <f t="shared" si="1"/>
        <v>200875636458.71008</v>
      </c>
      <c r="L11" s="342">
        <f>+L12</f>
        <v>0</v>
      </c>
      <c r="M11" s="344">
        <f t="shared" ref="M11:M52" si="2">K11/G11</f>
        <v>0.95540041727737779</v>
      </c>
    </row>
    <row r="12" spans="2:13" s="93" customFormat="1" ht="10.5" x14ac:dyDescent="0.25">
      <c r="B12" s="345" t="s">
        <v>577</v>
      </c>
      <c r="C12" s="341" t="s">
        <v>578</v>
      </c>
      <c r="D12" s="342">
        <f t="shared" si="0"/>
        <v>151268301534</v>
      </c>
      <c r="E12" s="343">
        <f>+E13</f>
        <v>58984523172.889999</v>
      </c>
      <c r="F12" s="346">
        <f>+F13+F14+F17</f>
        <v>0</v>
      </c>
      <c r="G12" s="342">
        <f>+D12+E12-F12</f>
        <v>210252824706.89001</v>
      </c>
      <c r="H12" s="342">
        <f>+H13</f>
        <v>16866551157.470079</v>
      </c>
      <c r="I12" s="342">
        <f t="shared" si="1"/>
        <v>200875636458.71008</v>
      </c>
      <c r="J12" s="342">
        <f t="shared" si="1"/>
        <v>18614434858.48</v>
      </c>
      <c r="K12" s="342">
        <f t="shared" si="1"/>
        <v>200875636458.71008</v>
      </c>
      <c r="L12" s="342">
        <f>+L13</f>
        <v>0</v>
      </c>
      <c r="M12" s="344">
        <f t="shared" si="2"/>
        <v>0.95540041727737779</v>
      </c>
    </row>
    <row r="13" spans="2:13" s="93" customFormat="1" ht="10.5" x14ac:dyDescent="0.25">
      <c r="B13" s="345" t="s">
        <v>684</v>
      </c>
      <c r="C13" s="341" t="s">
        <v>628</v>
      </c>
      <c r="D13" s="342">
        <f>+D14+D33</f>
        <v>151268301534</v>
      </c>
      <c r="E13" s="343">
        <f>+E14+E33+E50</f>
        <v>58984523172.889999</v>
      </c>
      <c r="F13" s="346">
        <f>+F14+F17+F18</f>
        <v>0</v>
      </c>
      <c r="G13" s="342">
        <f>+D13+E13-F13</f>
        <v>210252824706.89001</v>
      </c>
      <c r="H13" s="342">
        <f>+H14</f>
        <v>16866551157.470079</v>
      </c>
      <c r="I13" s="342">
        <f>+I14</f>
        <v>200875636458.71008</v>
      </c>
      <c r="J13" s="342">
        <f t="shared" si="1"/>
        <v>18614434858.48</v>
      </c>
      <c r="K13" s="342">
        <f t="shared" si="1"/>
        <v>200875636458.71008</v>
      </c>
      <c r="L13" s="342">
        <f t="shared" si="1"/>
        <v>0</v>
      </c>
      <c r="M13" s="344">
        <f t="shared" si="2"/>
        <v>0.95540041727737779</v>
      </c>
    </row>
    <row r="14" spans="2:13" s="93" customFormat="1" ht="10.5" x14ac:dyDescent="0.25">
      <c r="B14" s="345" t="s">
        <v>685</v>
      </c>
      <c r="C14" s="341" t="s">
        <v>630</v>
      </c>
      <c r="D14" s="342">
        <f>+D15</f>
        <v>151197033534</v>
      </c>
      <c r="E14" s="343">
        <f>+E15</f>
        <v>51760463395.889999</v>
      </c>
      <c r="F14" s="342">
        <v>0</v>
      </c>
      <c r="G14" s="342">
        <f>+D14+E14-F14</f>
        <v>202957496929.89001</v>
      </c>
      <c r="H14" s="342">
        <f>+H15</f>
        <v>16866551157.470079</v>
      </c>
      <c r="I14" s="342">
        <f>+I15</f>
        <v>200875636458.71008</v>
      </c>
      <c r="J14" s="342">
        <f t="shared" si="1"/>
        <v>18614434858.48</v>
      </c>
      <c r="K14" s="342">
        <f t="shared" si="1"/>
        <v>200875636458.71008</v>
      </c>
      <c r="L14" s="342">
        <f t="shared" si="1"/>
        <v>0</v>
      </c>
      <c r="M14" s="344">
        <f t="shared" si="2"/>
        <v>0.98974238201262854</v>
      </c>
    </row>
    <row r="15" spans="2:13" s="93" customFormat="1" ht="10.5" x14ac:dyDescent="0.25">
      <c r="B15" s="345" t="s">
        <v>686</v>
      </c>
      <c r="C15" s="341" t="s">
        <v>632</v>
      </c>
      <c r="D15" s="347">
        <f>+D16+D22</f>
        <v>151197033534</v>
      </c>
      <c r="E15" s="348">
        <f>+E16+E22</f>
        <v>51760463395.889999</v>
      </c>
      <c r="F15" s="342">
        <v>0</v>
      </c>
      <c r="G15" s="342">
        <f>+D15+E15-F15</f>
        <v>202957496929.89001</v>
      </c>
      <c r="H15" s="342">
        <f>+H16+H22</f>
        <v>16866551157.470079</v>
      </c>
      <c r="I15" s="342">
        <f t="shared" ref="I15:K15" si="3">+I16+I22+I29</f>
        <v>200875636458.71008</v>
      </c>
      <c r="J15" s="342">
        <f t="shared" si="3"/>
        <v>18614434858.48</v>
      </c>
      <c r="K15" s="342">
        <f t="shared" si="3"/>
        <v>200875636458.71008</v>
      </c>
      <c r="L15" s="342">
        <f>+L16+L22</f>
        <v>0</v>
      </c>
      <c r="M15" s="344">
        <f t="shared" si="2"/>
        <v>0.98974238201262854</v>
      </c>
    </row>
    <row r="16" spans="2:13" s="93" customFormat="1" ht="10.5" x14ac:dyDescent="0.25">
      <c r="B16" s="345" t="s">
        <v>687</v>
      </c>
      <c r="C16" s="341" t="s">
        <v>688</v>
      </c>
      <c r="D16" s="347">
        <f>SUM(D17:D21)</f>
        <v>6394572747</v>
      </c>
      <c r="E16" s="348">
        <f>SUM(E17:E21)</f>
        <v>5765734865.5</v>
      </c>
      <c r="F16" s="347">
        <f t="shared" ref="F16:G16" si="4">SUM(F17:F21)</f>
        <v>0</v>
      </c>
      <c r="G16" s="347">
        <f t="shared" si="4"/>
        <v>12160307612.5</v>
      </c>
      <c r="H16" s="347">
        <f>SUM(H17:H21)</f>
        <v>1275711010</v>
      </c>
      <c r="I16" s="347">
        <f t="shared" ref="I16:L16" si="5">SUM(I17:I21)</f>
        <v>12753562473</v>
      </c>
      <c r="J16" s="347">
        <f t="shared" si="5"/>
        <v>1275711010</v>
      </c>
      <c r="K16" s="347">
        <f t="shared" si="5"/>
        <v>12753562473</v>
      </c>
      <c r="L16" s="347">
        <f t="shared" si="5"/>
        <v>0</v>
      </c>
      <c r="M16" s="344">
        <f>K16/G16</f>
        <v>1.04878617214339</v>
      </c>
    </row>
    <row r="17" spans="2:13" x14ac:dyDescent="0.2">
      <c r="B17" s="349" t="s">
        <v>689</v>
      </c>
      <c r="C17" s="350" t="s">
        <v>636</v>
      </c>
      <c r="D17" s="351">
        <v>5781578105</v>
      </c>
      <c r="E17" s="352">
        <f>1115327606+3018417842.5+1030105246+365200579</f>
        <v>5529051273.5</v>
      </c>
      <c r="F17" s="351">
        <v>0</v>
      </c>
      <c r="G17" s="351">
        <f>+D17+E17-F17</f>
        <v>11310629378.5</v>
      </c>
      <c r="H17" s="351">
        <v>1271233962</v>
      </c>
      <c r="I17" s="351">
        <v>11639310892</v>
      </c>
      <c r="J17" s="351">
        <v>1271233962</v>
      </c>
      <c r="K17" s="351">
        <v>11639310892</v>
      </c>
      <c r="L17" s="351">
        <v>0</v>
      </c>
      <c r="M17" s="344">
        <f t="shared" si="2"/>
        <v>1.0290595246737357</v>
      </c>
    </row>
    <row r="18" spans="2:13" x14ac:dyDescent="0.2">
      <c r="B18" s="349" t="s">
        <v>690</v>
      </c>
      <c r="C18" s="350" t="s">
        <v>586</v>
      </c>
      <c r="D18" s="351">
        <v>30000000</v>
      </c>
      <c r="E18" s="352">
        <v>0</v>
      </c>
      <c r="F18" s="351">
        <v>0</v>
      </c>
      <c r="G18" s="351">
        <f>+D18+E18-F18</f>
        <v>30000000</v>
      </c>
      <c r="H18" s="351">
        <v>4477048</v>
      </c>
      <c r="I18" s="351">
        <v>42910656</v>
      </c>
      <c r="J18" s="351">
        <v>4477048</v>
      </c>
      <c r="K18" s="351">
        <v>42910656</v>
      </c>
      <c r="L18" s="351">
        <v>0</v>
      </c>
      <c r="M18" s="344">
        <f t="shared" si="2"/>
        <v>1.4303551999999999</v>
      </c>
    </row>
    <row r="19" spans="2:13" ht="20" x14ac:dyDescent="0.2">
      <c r="B19" s="349" t="s">
        <v>691</v>
      </c>
      <c r="C19" s="353" t="s">
        <v>692</v>
      </c>
      <c r="D19" s="351">
        <v>42794642</v>
      </c>
      <c r="E19" s="352">
        <v>236683592</v>
      </c>
      <c r="F19" s="351">
        <v>0</v>
      </c>
      <c r="G19" s="351">
        <f>+D19+E19-F19</f>
        <v>279478234</v>
      </c>
      <c r="H19" s="351">
        <v>0</v>
      </c>
      <c r="I19" s="351">
        <v>236683592</v>
      </c>
      <c r="J19" s="351">
        <v>0</v>
      </c>
      <c r="K19" s="351">
        <v>236683592</v>
      </c>
      <c r="L19" s="351">
        <v>0</v>
      </c>
      <c r="M19" s="344">
        <f t="shared" si="2"/>
        <v>0.84687665516020116</v>
      </c>
    </row>
    <row r="20" spans="2:13" x14ac:dyDescent="0.2">
      <c r="B20" s="349" t="s">
        <v>693</v>
      </c>
      <c r="C20" s="350" t="s">
        <v>640</v>
      </c>
      <c r="D20" s="351">
        <v>540000000</v>
      </c>
      <c r="E20" s="352">
        <v>0</v>
      </c>
      <c r="F20" s="351"/>
      <c r="G20" s="351">
        <f>+D20+E20-F20</f>
        <v>540000000</v>
      </c>
      <c r="H20" s="351">
        <v>0</v>
      </c>
      <c r="I20" s="351">
        <v>834657333</v>
      </c>
      <c r="J20" s="351">
        <v>0</v>
      </c>
      <c r="K20" s="351">
        <v>834657333</v>
      </c>
      <c r="L20" s="351">
        <v>0</v>
      </c>
      <c r="M20" s="344">
        <f t="shared" si="2"/>
        <v>1.5456617277777778</v>
      </c>
    </row>
    <row r="21" spans="2:13" x14ac:dyDescent="0.2">
      <c r="B21" s="349" t="s">
        <v>694</v>
      </c>
      <c r="C21" s="350" t="s">
        <v>590</v>
      </c>
      <c r="D21" s="351">
        <v>200000</v>
      </c>
      <c r="E21" s="352">
        <v>0</v>
      </c>
      <c r="F21" s="351"/>
      <c r="G21" s="351">
        <f>+D21+E21-F21</f>
        <v>200000</v>
      </c>
      <c r="H21" s="351">
        <v>0</v>
      </c>
      <c r="I21" s="351">
        <v>0</v>
      </c>
      <c r="J21" s="351">
        <v>0</v>
      </c>
      <c r="K21" s="351">
        <v>0</v>
      </c>
      <c r="L21" s="351">
        <v>0</v>
      </c>
      <c r="M21" s="344">
        <f t="shared" si="2"/>
        <v>0</v>
      </c>
    </row>
    <row r="22" spans="2:13" s="93" customFormat="1" ht="10.5" x14ac:dyDescent="0.25">
      <c r="B22" s="345" t="s">
        <v>695</v>
      </c>
      <c r="C22" s="341" t="s">
        <v>696</v>
      </c>
      <c r="D22" s="342">
        <f>SUM(D23:D26)</f>
        <v>144802460787</v>
      </c>
      <c r="E22" s="343">
        <f>SUM(E23:E28)</f>
        <v>45994728530.389999</v>
      </c>
      <c r="F22" s="346">
        <v>0</v>
      </c>
      <c r="G22" s="342">
        <f>SUM(G23:G26)</f>
        <v>183338025124.39001</v>
      </c>
      <c r="H22" s="342">
        <f>SUM(H23:H28)</f>
        <v>15590840147.470079</v>
      </c>
      <c r="I22" s="342">
        <f t="shared" ref="I22:L22" si="6">SUM(I23:I28)</f>
        <v>186374190284.71008</v>
      </c>
      <c r="J22" s="342">
        <f t="shared" si="6"/>
        <v>15590840147.48</v>
      </c>
      <c r="K22" s="342">
        <f t="shared" si="6"/>
        <v>186374190284.71008</v>
      </c>
      <c r="L22" s="342">
        <f t="shared" si="6"/>
        <v>0</v>
      </c>
      <c r="M22" s="344">
        <f t="shared" si="2"/>
        <v>1.0165604770655738</v>
      </c>
    </row>
    <row r="23" spans="2:13" x14ac:dyDescent="0.2">
      <c r="B23" s="349" t="s">
        <v>697</v>
      </c>
      <c r="C23" s="350" t="s">
        <v>698</v>
      </c>
      <c r="D23" s="351">
        <v>144679439390</v>
      </c>
      <c r="E23" s="352">
        <f>7548822097+12837508894.19+1458519978.2</f>
        <v>21844850969.390003</v>
      </c>
      <c r="F23" s="354">
        <v>0</v>
      </c>
      <c r="G23" s="351">
        <f>+D23+E23-F23</f>
        <v>166524290359.39001</v>
      </c>
      <c r="H23" s="351">
        <v>6863346271.1400795</v>
      </c>
      <c r="I23" s="351">
        <v>165252066991.1301</v>
      </c>
      <c r="J23" s="351">
        <v>6863346271.1500006</v>
      </c>
      <c r="K23" s="351">
        <v>165252066991.1301</v>
      </c>
      <c r="L23" s="351">
        <v>0</v>
      </c>
      <c r="M23" s="344">
        <f t="shared" si="2"/>
        <v>0.99236013337445106</v>
      </c>
    </row>
    <row r="24" spans="2:13" x14ac:dyDescent="0.2">
      <c r="B24" s="349" t="s">
        <v>699</v>
      </c>
      <c r="C24" s="350" t="s">
        <v>586</v>
      </c>
      <c r="D24" s="351">
        <v>100000000</v>
      </c>
      <c r="E24" s="352">
        <v>0</v>
      </c>
      <c r="F24" s="354">
        <v>0</v>
      </c>
      <c r="G24" s="351">
        <f>+D24+E24-F24</f>
        <v>100000000</v>
      </c>
      <c r="H24" s="351">
        <v>27197130</v>
      </c>
      <c r="I24" s="351">
        <v>106830973</v>
      </c>
      <c r="J24" s="351">
        <v>27197130</v>
      </c>
      <c r="K24" s="351">
        <v>106830973</v>
      </c>
      <c r="L24" s="351">
        <v>0</v>
      </c>
      <c r="M24" s="344">
        <f t="shared" si="2"/>
        <v>1.06830973</v>
      </c>
    </row>
    <row r="25" spans="2:13" ht="20" x14ac:dyDescent="0.2">
      <c r="B25" s="349" t="s">
        <v>700</v>
      </c>
      <c r="C25" s="353" t="s">
        <v>692</v>
      </c>
      <c r="D25" s="351">
        <v>22821397</v>
      </c>
      <c r="E25" s="352">
        <f>4216099249+1845978323+5018249888+3862502207</f>
        <v>14942829667</v>
      </c>
      <c r="F25" s="354">
        <v>0</v>
      </c>
      <c r="G25" s="351">
        <f>+D25+E25-F25</f>
        <v>14965651064</v>
      </c>
      <c r="H25" s="351">
        <v>617656863.33000004</v>
      </c>
      <c r="I25" s="351">
        <v>11030269979.58</v>
      </c>
      <c r="J25" s="351">
        <v>617656863.33000004</v>
      </c>
      <c r="K25" s="351">
        <v>11030269979.58</v>
      </c>
      <c r="L25" s="351">
        <v>0</v>
      </c>
      <c r="M25" s="344">
        <f t="shared" si="2"/>
        <v>0.73703909922859334</v>
      </c>
    </row>
    <row r="26" spans="2:13" x14ac:dyDescent="0.2">
      <c r="B26" s="349" t="s">
        <v>701</v>
      </c>
      <c r="C26" s="350" t="s">
        <v>590</v>
      </c>
      <c r="D26" s="351">
        <v>200000</v>
      </c>
      <c r="E26" s="352">
        <v>1747883701</v>
      </c>
      <c r="F26" s="354">
        <v>0</v>
      </c>
      <c r="G26" s="351">
        <f t="shared" ref="G26:G28" si="7">+D26+E26-F26</f>
        <v>1748083701</v>
      </c>
      <c r="H26" s="351">
        <v>0</v>
      </c>
      <c r="I26" s="351">
        <v>1747883701</v>
      </c>
      <c r="J26" s="351">
        <v>0</v>
      </c>
      <c r="K26" s="351">
        <v>1747883701</v>
      </c>
      <c r="L26" s="351">
        <v>0</v>
      </c>
      <c r="M26" s="344">
        <f t="shared" si="2"/>
        <v>0.99988558900246849</v>
      </c>
    </row>
    <row r="27" spans="2:13" x14ac:dyDescent="0.2">
      <c r="B27" s="349" t="s">
        <v>702</v>
      </c>
      <c r="C27" s="350" t="s">
        <v>703</v>
      </c>
      <c r="D27" s="351"/>
      <c r="E27" s="352">
        <f>350048215+6995183615</f>
        <v>7345231830</v>
      </c>
      <c r="F27" s="354">
        <v>0</v>
      </c>
      <c r="G27" s="351">
        <f t="shared" si="7"/>
        <v>7345231830</v>
      </c>
      <c r="H27" s="351">
        <v>57697319</v>
      </c>
      <c r="I27" s="351">
        <v>212196076</v>
      </c>
      <c r="J27" s="351">
        <v>57697319</v>
      </c>
      <c r="K27" s="351">
        <v>212196076</v>
      </c>
      <c r="L27" s="351">
        <v>0</v>
      </c>
      <c r="M27" s="344">
        <f t="shared" si="2"/>
        <v>2.8888955571603789E-2</v>
      </c>
    </row>
    <row r="28" spans="2:13" x14ac:dyDescent="0.2">
      <c r="B28" s="349" t="s">
        <v>704</v>
      </c>
      <c r="C28" s="350" t="s">
        <v>705</v>
      </c>
      <c r="D28" s="351">
        <v>0</v>
      </c>
      <c r="E28" s="352">
        <v>113932363</v>
      </c>
      <c r="F28" s="354"/>
      <c r="G28" s="351">
        <f t="shared" si="7"/>
        <v>113932363</v>
      </c>
      <c r="H28" s="351">
        <v>8024942564</v>
      </c>
      <c r="I28" s="351">
        <v>8024942564</v>
      </c>
      <c r="J28" s="351">
        <v>8024942564</v>
      </c>
      <c r="K28" s="351">
        <v>8024942564</v>
      </c>
      <c r="L28" s="351"/>
      <c r="M28" s="344">
        <f>K28/G28</f>
        <v>70.436023204398907</v>
      </c>
    </row>
    <row r="29" spans="2:13" ht="10.5" x14ac:dyDescent="0.2">
      <c r="B29" s="345" t="s">
        <v>579</v>
      </c>
      <c r="C29" s="341" t="s">
        <v>580</v>
      </c>
      <c r="D29" s="342">
        <f>+D30</f>
        <v>0</v>
      </c>
      <c r="E29" s="342">
        <f t="shared" ref="E29:F30" si="8">+E30</f>
        <v>0</v>
      </c>
      <c r="F29" s="342">
        <f t="shared" si="8"/>
        <v>0</v>
      </c>
      <c r="G29" s="342">
        <f>+G30</f>
        <v>0</v>
      </c>
      <c r="H29" s="342">
        <f>+H30</f>
        <v>1747883701</v>
      </c>
      <c r="I29" s="342">
        <f t="shared" ref="I29:L29" si="9">+I30</f>
        <v>1747883701</v>
      </c>
      <c r="J29" s="342">
        <f t="shared" si="9"/>
        <v>1747883701</v>
      </c>
      <c r="K29" s="342">
        <f t="shared" si="9"/>
        <v>1747883701</v>
      </c>
      <c r="L29" s="342">
        <f t="shared" si="9"/>
        <v>0</v>
      </c>
      <c r="M29" s="344">
        <v>0</v>
      </c>
    </row>
    <row r="30" spans="2:13" ht="10.5" x14ac:dyDescent="0.2">
      <c r="B30" s="345" t="s">
        <v>581</v>
      </c>
      <c r="C30" s="341" t="s">
        <v>706</v>
      </c>
      <c r="D30" s="342">
        <f>+D31</f>
        <v>0</v>
      </c>
      <c r="E30" s="342">
        <f t="shared" si="8"/>
        <v>0</v>
      </c>
      <c r="F30" s="342">
        <f t="shared" si="8"/>
        <v>0</v>
      </c>
      <c r="G30" s="342">
        <f>+G31</f>
        <v>0</v>
      </c>
      <c r="H30" s="342">
        <f>+H31+H32</f>
        <v>1747883701</v>
      </c>
      <c r="I30" s="342">
        <f t="shared" ref="I30:L30" si="10">+I31+I32</f>
        <v>1747883701</v>
      </c>
      <c r="J30" s="342">
        <f t="shared" si="10"/>
        <v>1747883701</v>
      </c>
      <c r="K30" s="342">
        <f t="shared" si="10"/>
        <v>1747883701</v>
      </c>
      <c r="L30" s="342">
        <f t="shared" si="10"/>
        <v>0</v>
      </c>
      <c r="M30" s="344">
        <v>0</v>
      </c>
    </row>
    <row r="31" spans="2:13" x14ac:dyDescent="0.2">
      <c r="B31" s="349" t="s">
        <v>707</v>
      </c>
      <c r="C31" s="350" t="s">
        <v>590</v>
      </c>
      <c r="D31" s="351">
        <v>0</v>
      </c>
      <c r="E31" s="352">
        <v>0</v>
      </c>
      <c r="F31" s="354">
        <v>0</v>
      </c>
      <c r="G31" s="351">
        <f t="shared" ref="G31:G32" si="11">+D31+E31-F31</f>
        <v>0</v>
      </c>
      <c r="H31" s="351">
        <v>1747883701</v>
      </c>
      <c r="I31" s="351">
        <v>1747883701</v>
      </c>
      <c r="J31" s="351">
        <v>1747883701</v>
      </c>
      <c r="K31" s="351">
        <v>1747883701</v>
      </c>
      <c r="L31" s="351">
        <v>0</v>
      </c>
      <c r="M31" s="344">
        <v>0</v>
      </c>
    </row>
    <row r="32" spans="2:13" x14ac:dyDescent="0.2">
      <c r="B32" s="349" t="s">
        <v>708</v>
      </c>
      <c r="C32" s="350" t="s">
        <v>709</v>
      </c>
      <c r="D32" s="351">
        <v>0</v>
      </c>
      <c r="E32" s="352">
        <v>0</v>
      </c>
      <c r="F32" s="354"/>
      <c r="G32" s="351">
        <f t="shared" si="11"/>
        <v>0</v>
      </c>
      <c r="H32" s="351">
        <v>0</v>
      </c>
      <c r="I32" s="351">
        <v>0</v>
      </c>
      <c r="J32" s="351">
        <v>0</v>
      </c>
      <c r="K32" s="351">
        <v>0</v>
      </c>
      <c r="L32" s="351"/>
      <c r="M32" s="344">
        <v>0</v>
      </c>
    </row>
    <row r="33" spans="2:15" s="93" customFormat="1" ht="10.5" x14ac:dyDescent="0.25">
      <c r="B33" s="355">
        <v>1.2</v>
      </c>
      <c r="C33" s="356" t="s">
        <v>602</v>
      </c>
      <c r="D33" s="342">
        <f>+D34</f>
        <v>71268000</v>
      </c>
      <c r="E33" s="343">
        <f>+E34</f>
        <v>4899067968</v>
      </c>
      <c r="F33" s="346">
        <v>0</v>
      </c>
      <c r="G33" s="342">
        <f>+G34</f>
        <v>4558740084</v>
      </c>
      <c r="H33" s="342">
        <f>+H34+H46</f>
        <v>4237465579.3299999</v>
      </c>
      <c r="I33" s="342">
        <f t="shared" ref="I33:L33" si="12">+I34+I46</f>
        <v>5019666184.3400002</v>
      </c>
      <c r="J33" s="342">
        <f t="shared" si="12"/>
        <v>4237465579.3299999</v>
      </c>
      <c r="K33" s="342">
        <f t="shared" si="12"/>
        <v>5019666184.3400002</v>
      </c>
      <c r="L33" s="342">
        <f t="shared" si="12"/>
        <v>0</v>
      </c>
      <c r="M33" s="344">
        <f t="shared" si="2"/>
        <v>1.1011082210976957</v>
      </c>
    </row>
    <row r="34" spans="2:15" ht="10.5" x14ac:dyDescent="0.25">
      <c r="B34" s="357" t="s">
        <v>603</v>
      </c>
      <c r="C34" s="356" t="s">
        <v>604</v>
      </c>
      <c r="D34" s="342">
        <f>+D35+D40</f>
        <v>71268000</v>
      </c>
      <c r="E34" s="343">
        <f>+E35+E40+E46</f>
        <v>4899067968</v>
      </c>
      <c r="F34" s="346">
        <v>0</v>
      </c>
      <c r="G34" s="342">
        <f>+G35+G40+G50</f>
        <v>4558740084</v>
      </c>
      <c r="H34" s="342">
        <f>+H35</f>
        <v>1500877886.3299999</v>
      </c>
      <c r="I34" s="342">
        <f t="shared" ref="I34:L34" si="13">+I35</f>
        <v>2283078491.3400002</v>
      </c>
      <c r="J34" s="342">
        <f t="shared" si="13"/>
        <v>1500877886.3299999</v>
      </c>
      <c r="K34" s="342">
        <f t="shared" si="13"/>
        <v>2283078491.3400002</v>
      </c>
      <c r="L34" s="342">
        <f t="shared" si="13"/>
        <v>0</v>
      </c>
      <c r="M34" s="344">
        <f t="shared" si="2"/>
        <v>0.50081348119692448</v>
      </c>
    </row>
    <row r="35" spans="2:15" s="93" customFormat="1" ht="10.5" x14ac:dyDescent="0.25">
      <c r="B35" s="357" t="s">
        <v>605</v>
      </c>
      <c r="C35" s="356" t="s">
        <v>606</v>
      </c>
      <c r="D35" s="342">
        <f>+D36</f>
        <v>71000000</v>
      </c>
      <c r="E35" s="343">
        <f>+E36</f>
        <v>0</v>
      </c>
      <c r="F35" s="346">
        <v>0</v>
      </c>
      <c r="G35" s="342">
        <f>+G36</f>
        <v>71000000</v>
      </c>
      <c r="H35" s="342">
        <f>+H36+H40</f>
        <v>1500877886.3299999</v>
      </c>
      <c r="I35" s="342">
        <f t="shared" ref="I35:L35" si="14">+I36+I40</f>
        <v>2283078491.3400002</v>
      </c>
      <c r="J35" s="342">
        <f t="shared" si="14"/>
        <v>1500877886.3299999</v>
      </c>
      <c r="K35" s="342">
        <f t="shared" si="14"/>
        <v>2283078491.3400002</v>
      </c>
      <c r="L35" s="342">
        <f t="shared" si="14"/>
        <v>0</v>
      </c>
      <c r="M35" s="344">
        <f t="shared" si="2"/>
        <v>32.156035089295777</v>
      </c>
      <c r="O35" s="93" t="s">
        <v>607</v>
      </c>
    </row>
    <row r="36" spans="2:15" s="93" customFormat="1" ht="10.5" x14ac:dyDescent="0.25">
      <c r="B36" s="357" t="s">
        <v>608</v>
      </c>
      <c r="C36" s="356" t="s">
        <v>648</v>
      </c>
      <c r="D36" s="342">
        <f>SUM(D37:D39)</f>
        <v>71000000</v>
      </c>
      <c r="E36" s="343">
        <f>SUM(E37:E39)</f>
        <v>0</v>
      </c>
      <c r="F36" s="346">
        <v>0</v>
      </c>
      <c r="G36" s="342">
        <f>SUM(G37:G39)</f>
        <v>71000000</v>
      </c>
      <c r="H36" s="342">
        <f>SUM(H37:H39)</f>
        <v>11917352.33</v>
      </c>
      <c r="I36" s="342">
        <f t="shared" ref="I36:L36" si="15">SUM(I37:I39)</f>
        <v>102077224.34</v>
      </c>
      <c r="J36" s="342">
        <f t="shared" si="15"/>
        <v>11917352.33</v>
      </c>
      <c r="K36" s="342">
        <f t="shared" si="15"/>
        <v>102077224.34</v>
      </c>
      <c r="L36" s="342">
        <f t="shared" si="15"/>
        <v>0</v>
      </c>
      <c r="M36" s="344">
        <f t="shared" si="2"/>
        <v>1.4377073850704225</v>
      </c>
    </row>
    <row r="37" spans="2:15" x14ac:dyDescent="0.2">
      <c r="B37" s="349" t="s">
        <v>710</v>
      </c>
      <c r="C37" s="350" t="s">
        <v>609</v>
      </c>
      <c r="D37" s="351">
        <v>50000000</v>
      </c>
      <c r="E37" s="352">
        <v>0</v>
      </c>
      <c r="F37" s="354">
        <v>0</v>
      </c>
      <c r="G37" s="351">
        <f>+D37+E37-F37</f>
        <v>50000000</v>
      </c>
      <c r="H37" s="351">
        <v>11161112.33</v>
      </c>
      <c r="I37" s="351">
        <v>86847728.340000004</v>
      </c>
      <c r="J37" s="351">
        <v>11161112.33</v>
      </c>
      <c r="K37" s="351">
        <v>86847728.340000004</v>
      </c>
      <c r="L37" s="351">
        <v>0</v>
      </c>
      <c r="M37" s="344">
        <f t="shared" si="2"/>
        <v>1.7369545668000002</v>
      </c>
    </row>
    <row r="38" spans="2:15" x14ac:dyDescent="0.2">
      <c r="B38" s="349" t="s">
        <v>711</v>
      </c>
      <c r="C38" s="350" t="s">
        <v>611</v>
      </c>
      <c r="D38" s="351">
        <v>16000000</v>
      </c>
      <c r="E38" s="352">
        <v>0</v>
      </c>
      <c r="F38" s="354">
        <v>0</v>
      </c>
      <c r="G38" s="351">
        <f>+D38+E38-F38</f>
        <v>16000000</v>
      </c>
      <c r="H38" s="351">
        <v>422407</v>
      </c>
      <c r="I38" s="351">
        <v>6521540</v>
      </c>
      <c r="J38" s="351">
        <v>422407</v>
      </c>
      <c r="K38" s="351">
        <v>6521540</v>
      </c>
      <c r="L38" s="351">
        <v>0</v>
      </c>
      <c r="M38" s="344">
        <f t="shared" si="2"/>
        <v>0.40759624999999999</v>
      </c>
    </row>
    <row r="39" spans="2:15" x14ac:dyDescent="0.2">
      <c r="B39" s="349" t="s">
        <v>712</v>
      </c>
      <c r="C39" s="350" t="s">
        <v>613</v>
      </c>
      <c r="D39" s="351">
        <v>5000000</v>
      </c>
      <c r="E39" s="352">
        <v>0</v>
      </c>
      <c r="F39" s="354">
        <v>0</v>
      </c>
      <c r="G39" s="351">
        <f>+D39+E39-F39</f>
        <v>5000000</v>
      </c>
      <c r="H39" s="351">
        <v>333833</v>
      </c>
      <c r="I39" s="351">
        <v>8707956</v>
      </c>
      <c r="J39" s="351">
        <v>333833</v>
      </c>
      <c r="K39" s="351">
        <v>8707956</v>
      </c>
      <c r="L39" s="351">
        <v>0</v>
      </c>
      <c r="M39" s="344">
        <f t="shared" si="2"/>
        <v>1.7415912</v>
      </c>
    </row>
    <row r="40" spans="2:15" s="93" customFormat="1" ht="10.5" x14ac:dyDescent="0.25">
      <c r="B40" s="345" t="s">
        <v>713</v>
      </c>
      <c r="C40" s="341" t="s">
        <v>655</v>
      </c>
      <c r="D40" s="342">
        <f>SUM(D41:D41)</f>
        <v>268000</v>
      </c>
      <c r="E40" s="343">
        <f>SUM(E41:E44)</f>
        <v>2162480275</v>
      </c>
      <c r="F40" s="354">
        <v>0</v>
      </c>
      <c r="G40" s="342">
        <f>SUM(G41:G44)</f>
        <v>2162748275</v>
      </c>
      <c r="H40" s="342">
        <f>SUM(H41:H45)</f>
        <v>1488960534</v>
      </c>
      <c r="I40" s="342">
        <f t="shared" ref="I40:L40" si="16">SUM(I41:I45)</f>
        <v>2181001267</v>
      </c>
      <c r="J40" s="342">
        <f t="shared" si="16"/>
        <v>1488960534</v>
      </c>
      <c r="K40" s="342">
        <f t="shared" si="16"/>
        <v>2181001267</v>
      </c>
      <c r="L40" s="342">
        <f t="shared" si="16"/>
        <v>0</v>
      </c>
      <c r="M40" s="344">
        <f t="shared" si="2"/>
        <v>1.0084397209841722</v>
      </c>
    </row>
    <row r="41" spans="2:15" x14ac:dyDescent="0.2">
      <c r="B41" s="349" t="s">
        <v>714</v>
      </c>
      <c r="C41" s="350" t="s">
        <v>615</v>
      </c>
      <c r="D41" s="351">
        <v>268000</v>
      </c>
      <c r="E41" s="352">
        <v>0</v>
      </c>
      <c r="F41" s="354">
        <v>0</v>
      </c>
      <c r="G41" s="351">
        <f>+D41+E41-F41</f>
        <v>268000</v>
      </c>
      <c r="H41" s="351">
        <v>20000</v>
      </c>
      <c r="I41" s="351">
        <v>1865078</v>
      </c>
      <c r="J41" s="351">
        <v>20000</v>
      </c>
      <c r="K41" s="351">
        <v>1865078</v>
      </c>
      <c r="L41" s="351">
        <v>0</v>
      </c>
      <c r="M41" s="344">
        <f t="shared" si="2"/>
        <v>6.9592462686567167</v>
      </c>
    </row>
    <row r="42" spans="2:15" x14ac:dyDescent="0.2">
      <c r="B42" s="349" t="s">
        <v>715</v>
      </c>
      <c r="C42" s="350" t="s">
        <v>716</v>
      </c>
      <c r="D42" s="351">
        <v>0</v>
      </c>
      <c r="E42" s="352">
        <v>607484876</v>
      </c>
      <c r="F42" s="354">
        <v>0</v>
      </c>
      <c r="G42" s="351">
        <f>+D42+E42-F42</f>
        <v>607484876</v>
      </c>
      <c r="H42" s="351">
        <v>0</v>
      </c>
      <c r="I42" s="351">
        <v>607484876</v>
      </c>
      <c r="J42" s="351">
        <v>0</v>
      </c>
      <c r="K42" s="351">
        <v>607484876</v>
      </c>
      <c r="L42" s="351">
        <v>0</v>
      </c>
      <c r="M42" s="344">
        <f t="shared" si="2"/>
        <v>1</v>
      </c>
    </row>
    <row r="43" spans="2:15" x14ac:dyDescent="0.2">
      <c r="B43" s="349" t="s">
        <v>717</v>
      </c>
      <c r="C43" s="350" t="s">
        <v>718</v>
      </c>
      <c r="D43" s="351">
        <v>0</v>
      </c>
      <c r="E43" s="352">
        <v>82710779</v>
      </c>
      <c r="F43" s="354">
        <v>0</v>
      </c>
      <c r="G43" s="351">
        <f>+D43+E43-F43</f>
        <v>82710779</v>
      </c>
      <c r="H43" s="351">
        <v>0</v>
      </c>
      <c r="I43" s="351">
        <v>82710779</v>
      </c>
      <c r="J43" s="351">
        <v>0</v>
      </c>
      <c r="K43" s="351">
        <v>82710779</v>
      </c>
      <c r="L43" s="351">
        <v>0</v>
      </c>
      <c r="M43" s="344">
        <f t="shared" si="2"/>
        <v>1</v>
      </c>
    </row>
    <row r="44" spans="2:15" x14ac:dyDescent="0.2">
      <c r="B44" s="349" t="s">
        <v>719</v>
      </c>
      <c r="C44" s="242" t="s">
        <v>682</v>
      </c>
      <c r="D44" s="354">
        <v>0</v>
      </c>
      <c r="E44" s="352">
        <f>104688644+913357219+454238757</f>
        <v>1472284620</v>
      </c>
      <c r="F44" s="354">
        <v>0</v>
      </c>
      <c r="G44" s="351">
        <f>+D44+E44-F44</f>
        <v>1472284620</v>
      </c>
      <c r="H44" s="351">
        <v>1472284620</v>
      </c>
      <c r="I44" s="354">
        <v>1472284620</v>
      </c>
      <c r="J44" s="354">
        <v>1472284620</v>
      </c>
      <c r="K44" s="354">
        <v>1472284620</v>
      </c>
      <c r="L44" s="354">
        <v>0</v>
      </c>
      <c r="M44" s="344">
        <f t="shared" si="2"/>
        <v>1</v>
      </c>
    </row>
    <row r="45" spans="2:15" x14ac:dyDescent="0.2">
      <c r="B45" s="349" t="s">
        <v>720</v>
      </c>
      <c r="C45" s="242" t="s">
        <v>721</v>
      </c>
      <c r="D45" s="354">
        <v>0</v>
      </c>
      <c r="E45" s="352">
        <v>0</v>
      </c>
      <c r="F45" s="354">
        <v>0</v>
      </c>
      <c r="G45" s="351">
        <f>+D45+E45-F45</f>
        <v>0</v>
      </c>
      <c r="H45" s="351">
        <v>16655914</v>
      </c>
      <c r="I45" s="354">
        <v>16655914</v>
      </c>
      <c r="J45" s="354">
        <v>16655914</v>
      </c>
      <c r="K45" s="354">
        <v>16655914</v>
      </c>
      <c r="L45" s="354"/>
      <c r="M45" s="344">
        <v>0</v>
      </c>
    </row>
    <row r="46" spans="2:15" s="93" customFormat="1" ht="10.5" x14ac:dyDescent="0.25">
      <c r="B46" s="345" t="s">
        <v>722</v>
      </c>
      <c r="C46" s="356" t="s">
        <v>723</v>
      </c>
      <c r="D46" s="343">
        <f>+D47</f>
        <v>0</v>
      </c>
      <c r="E46" s="343">
        <f>+E47</f>
        <v>2736587693</v>
      </c>
      <c r="F46" s="343">
        <f>+F47</f>
        <v>0</v>
      </c>
      <c r="G46" s="351">
        <f t="shared" ref="G46:G49" si="17">+D46+E46-F46</f>
        <v>2736587693</v>
      </c>
      <c r="H46" s="342">
        <f>+H47</f>
        <v>2736587693</v>
      </c>
      <c r="I46" s="342">
        <f t="shared" ref="I46:L46" si="18">+I47</f>
        <v>2736587693</v>
      </c>
      <c r="J46" s="342">
        <f t="shared" si="18"/>
        <v>2736587693</v>
      </c>
      <c r="K46" s="342">
        <f t="shared" si="18"/>
        <v>2736587693</v>
      </c>
      <c r="L46" s="342">
        <f t="shared" si="18"/>
        <v>0</v>
      </c>
      <c r="M46" s="344">
        <f t="shared" si="2"/>
        <v>1</v>
      </c>
    </row>
    <row r="47" spans="2:15" s="93" customFormat="1" ht="10.5" x14ac:dyDescent="0.25">
      <c r="B47" s="345" t="s">
        <v>724</v>
      </c>
      <c r="C47" s="356" t="s">
        <v>725</v>
      </c>
      <c r="D47" s="343">
        <f>+D48+D49</f>
        <v>0</v>
      </c>
      <c r="E47" s="343">
        <f>+E48+E49</f>
        <v>2736587693</v>
      </c>
      <c r="F47" s="343">
        <f>+F48+F49</f>
        <v>0</v>
      </c>
      <c r="G47" s="351">
        <f t="shared" si="17"/>
        <v>2736587693</v>
      </c>
      <c r="H47" s="342">
        <f>+H48+H49</f>
        <v>2736587693</v>
      </c>
      <c r="I47" s="342">
        <f t="shared" ref="I47:L47" si="19">+I48+I49</f>
        <v>2736587693</v>
      </c>
      <c r="J47" s="342">
        <f t="shared" si="19"/>
        <v>2736587693</v>
      </c>
      <c r="K47" s="342">
        <f t="shared" si="19"/>
        <v>2736587693</v>
      </c>
      <c r="L47" s="342">
        <f t="shared" si="19"/>
        <v>0</v>
      </c>
      <c r="M47" s="344">
        <f t="shared" si="2"/>
        <v>1</v>
      </c>
    </row>
    <row r="48" spans="2:15" x14ac:dyDescent="0.2">
      <c r="B48" s="349" t="s">
        <v>726</v>
      </c>
      <c r="C48" s="242" t="s">
        <v>727</v>
      </c>
      <c r="D48" s="354">
        <v>0</v>
      </c>
      <c r="E48" s="352">
        <v>1670831920</v>
      </c>
      <c r="F48" s="354">
        <v>0</v>
      </c>
      <c r="G48" s="351">
        <f t="shared" si="17"/>
        <v>1670831920</v>
      </c>
      <c r="H48" s="351">
        <v>1670831920</v>
      </c>
      <c r="I48" s="354">
        <v>1670831920</v>
      </c>
      <c r="J48" s="354">
        <v>1670831920</v>
      </c>
      <c r="K48" s="354">
        <v>1670831920</v>
      </c>
      <c r="L48" s="354"/>
      <c r="M48" s="344">
        <f t="shared" si="2"/>
        <v>1</v>
      </c>
    </row>
    <row r="49" spans="2:13" x14ac:dyDescent="0.2">
      <c r="B49" s="349" t="s">
        <v>728</v>
      </c>
      <c r="C49" s="242" t="s">
        <v>729</v>
      </c>
      <c r="D49" s="354">
        <v>0</v>
      </c>
      <c r="E49" s="352">
        <v>1065755773</v>
      </c>
      <c r="F49" s="354">
        <v>0</v>
      </c>
      <c r="G49" s="351">
        <f t="shared" si="17"/>
        <v>1065755773</v>
      </c>
      <c r="H49" s="351">
        <v>1065755773</v>
      </c>
      <c r="I49" s="354">
        <v>1065755773</v>
      </c>
      <c r="J49" s="354">
        <v>1065755773</v>
      </c>
      <c r="K49" s="354">
        <v>1065755773</v>
      </c>
      <c r="L49" s="354"/>
      <c r="M49" s="344">
        <f t="shared" si="2"/>
        <v>1</v>
      </c>
    </row>
    <row r="50" spans="2:13" s="93" customFormat="1" ht="10.5" x14ac:dyDescent="0.25">
      <c r="B50" s="358">
        <v>1.3</v>
      </c>
      <c r="C50" s="356" t="s">
        <v>723</v>
      </c>
      <c r="D50" s="343">
        <f t="shared" ref="D50:L51" si="20">+D51</f>
        <v>0</v>
      </c>
      <c r="E50" s="343">
        <f t="shared" si="20"/>
        <v>2324991809</v>
      </c>
      <c r="F50" s="343">
        <f t="shared" si="20"/>
        <v>0</v>
      </c>
      <c r="G50" s="346">
        <f t="shared" si="20"/>
        <v>2324991809</v>
      </c>
      <c r="H50" s="346">
        <f t="shared" si="20"/>
        <v>2324991809</v>
      </c>
      <c r="I50" s="346">
        <f t="shared" si="20"/>
        <v>2324991809</v>
      </c>
      <c r="J50" s="346">
        <f t="shared" si="20"/>
        <v>2324991809</v>
      </c>
      <c r="K50" s="346">
        <f t="shared" si="20"/>
        <v>2324991809</v>
      </c>
      <c r="L50" s="346">
        <f t="shared" si="20"/>
        <v>0</v>
      </c>
      <c r="M50" s="344">
        <f t="shared" si="2"/>
        <v>1</v>
      </c>
    </row>
    <row r="51" spans="2:13" s="93" customFormat="1" ht="10.5" x14ac:dyDescent="0.25">
      <c r="B51" s="345" t="s">
        <v>730</v>
      </c>
      <c r="C51" s="356" t="s">
        <v>731</v>
      </c>
      <c r="D51" s="343">
        <f t="shared" si="20"/>
        <v>0</v>
      </c>
      <c r="E51" s="343">
        <f t="shared" si="20"/>
        <v>2324991809</v>
      </c>
      <c r="F51" s="343">
        <f t="shared" si="20"/>
        <v>0</v>
      </c>
      <c r="G51" s="346">
        <f t="shared" si="20"/>
        <v>2324991809</v>
      </c>
      <c r="H51" s="346">
        <f t="shared" si="20"/>
        <v>2324991809</v>
      </c>
      <c r="I51" s="346">
        <f t="shared" si="20"/>
        <v>2324991809</v>
      </c>
      <c r="J51" s="346">
        <f t="shared" si="20"/>
        <v>2324991809</v>
      </c>
      <c r="K51" s="346">
        <f t="shared" si="20"/>
        <v>2324991809</v>
      </c>
      <c r="L51" s="346">
        <f t="shared" si="20"/>
        <v>0</v>
      </c>
      <c r="M51" s="344">
        <f t="shared" si="2"/>
        <v>1</v>
      </c>
    </row>
    <row r="52" spans="2:13" ht="10.5" thickBot="1" x14ac:dyDescent="0.25">
      <c r="B52" s="359" t="s">
        <v>732</v>
      </c>
      <c r="C52" s="360" t="s">
        <v>733</v>
      </c>
      <c r="D52" s="361">
        <v>0</v>
      </c>
      <c r="E52" s="362">
        <v>2324991809</v>
      </c>
      <c r="F52" s="361">
        <v>0</v>
      </c>
      <c r="G52" s="361">
        <f>+D52+E52-F52</f>
        <v>2324991809</v>
      </c>
      <c r="H52" s="361">
        <v>2324991809</v>
      </c>
      <c r="I52" s="361">
        <v>2324991809</v>
      </c>
      <c r="J52" s="361">
        <v>2324991809</v>
      </c>
      <c r="K52" s="361">
        <v>2324991809</v>
      </c>
      <c r="L52" s="361">
        <v>0</v>
      </c>
      <c r="M52" s="363">
        <f t="shared" si="2"/>
        <v>1</v>
      </c>
    </row>
    <row r="53" spans="2:13" x14ac:dyDescent="0.2">
      <c r="B53" s="364"/>
      <c r="C53" s="75"/>
      <c r="D53" s="327"/>
      <c r="E53" s="328"/>
      <c r="F53" s="327"/>
      <c r="G53" s="327"/>
      <c r="H53" s="327"/>
      <c r="I53" s="327"/>
      <c r="J53" s="327"/>
      <c r="K53" s="327"/>
      <c r="L53" s="327"/>
      <c r="M53" s="75"/>
    </row>
    <row r="54" spans="2:13" x14ac:dyDescent="0.2">
      <c r="B54" s="364"/>
      <c r="C54" s="75"/>
      <c r="D54" s="327"/>
      <c r="E54" s="328"/>
      <c r="F54" s="327"/>
      <c r="G54" s="327"/>
      <c r="H54" s="327"/>
      <c r="I54" s="327"/>
      <c r="J54" s="327"/>
      <c r="K54" s="327"/>
      <c r="L54" s="327"/>
      <c r="M54" s="75"/>
    </row>
    <row r="55" spans="2:13" x14ac:dyDescent="0.2">
      <c r="B55" s="364"/>
      <c r="C55" s="75"/>
      <c r="D55" s="327"/>
      <c r="E55" s="328"/>
      <c r="F55" s="327"/>
      <c r="G55" s="327"/>
      <c r="H55" s="327"/>
      <c r="I55" s="327"/>
      <c r="J55" s="327"/>
      <c r="K55" s="327"/>
      <c r="L55" s="327"/>
      <c r="M55" s="75"/>
    </row>
    <row r="56" spans="2:13" x14ac:dyDescent="0.2">
      <c r="B56" s="364"/>
      <c r="C56" s="75"/>
      <c r="D56" s="327"/>
      <c r="E56" s="328"/>
      <c r="F56" s="327"/>
      <c r="G56" s="327"/>
      <c r="H56" s="327"/>
      <c r="I56" s="327"/>
      <c r="J56" s="327"/>
      <c r="K56" s="327"/>
      <c r="L56" s="327"/>
      <c r="M56" s="75"/>
    </row>
    <row r="57" spans="2:13" x14ac:dyDescent="0.2">
      <c r="B57" s="364"/>
      <c r="C57" s="75"/>
      <c r="D57" s="327"/>
      <c r="E57" s="328"/>
      <c r="F57" s="327"/>
      <c r="G57" s="327"/>
      <c r="H57" s="327"/>
      <c r="I57" s="327"/>
      <c r="J57" s="327"/>
      <c r="K57" s="327"/>
      <c r="L57" s="327"/>
      <c r="M57" s="75"/>
    </row>
    <row r="59" spans="2:13" s="331" customFormat="1" ht="15" customHeight="1" x14ac:dyDescent="0.25">
      <c r="C59" s="365" t="s">
        <v>187</v>
      </c>
      <c r="D59" s="366"/>
      <c r="E59" s="209"/>
      <c r="F59" s="638" t="s">
        <v>556</v>
      </c>
      <c r="G59" s="638"/>
      <c r="H59" s="638"/>
      <c r="I59" s="366"/>
      <c r="J59" s="540" t="s">
        <v>557</v>
      </c>
      <c r="K59" s="540"/>
      <c r="L59" s="540"/>
      <c r="M59" s="540"/>
    </row>
    <row r="60" spans="2:13" ht="15" customHeight="1" x14ac:dyDescent="0.2">
      <c r="C60" s="331" t="s">
        <v>190</v>
      </c>
      <c r="F60" s="639" t="s">
        <v>559</v>
      </c>
      <c r="G60" s="639"/>
      <c r="H60" s="639"/>
      <c r="J60" s="617" t="s">
        <v>560</v>
      </c>
      <c r="K60" s="617"/>
      <c r="L60" s="617"/>
      <c r="M60" s="617"/>
    </row>
  </sheetData>
  <mergeCells count="21">
    <mergeCell ref="F59:H59"/>
    <mergeCell ref="J59:M59"/>
    <mergeCell ref="F60:H60"/>
    <mergeCell ref="J60:M60"/>
    <mergeCell ref="J8:K8"/>
    <mergeCell ref="B1:M1"/>
    <mergeCell ref="B2:M2"/>
    <mergeCell ref="B4:C4"/>
    <mergeCell ref="B5:C5"/>
    <mergeCell ref="B7:C7"/>
    <mergeCell ref="D7:D9"/>
    <mergeCell ref="E7:F7"/>
    <mergeCell ref="G7:G9"/>
    <mergeCell ref="H7:K7"/>
    <mergeCell ref="L7:M7"/>
    <mergeCell ref="B8:B9"/>
    <mergeCell ref="C8:C9"/>
    <mergeCell ref="E8:E9"/>
    <mergeCell ref="F8:F9"/>
    <mergeCell ref="H8:I8"/>
    <mergeCell ref="L8:M8"/>
  </mergeCells>
  <printOptions horizontalCentered="1" verticalCentered="1"/>
  <pageMargins left="0.25" right="0.25" top="0.75" bottom="0.75" header="0.3" footer="0.3"/>
  <pageSetup paperSize="14" scale="85"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71"/>
  <sheetViews>
    <sheetView zoomScaleNormal="100" workbookViewId="0">
      <pane ySplit="7" topLeftCell="A8" activePane="bottomLeft" state="frozen"/>
      <selection activeCell="A7" sqref="A7"/>
      <selection pane="bottomLeft" activeCell="F137" sqref="F137"/>
    </sheetView>
  </sheetViews>
  <sheetFormatPr baseColWidth="10" defaultColWidth="11.453125" defaultRowHeight="12.75" customHeight="1" x14ac:dyDescent="0.2"/>
  <cols>
    <col min="1" max="1" width="13.81640625" style="3" customWidth="1"/>
    <col min="2" max="2" width="44" style="1" customWidth="1"/>
    <col min="3" max="3" width="14.81640625" style="72" customWidth="1"/>
    <col min="4" max="4" width="14.453125" style="180" customWidth="1"/>
    <col min="5" max="5" width="10" style="180" customWidth="1"/>
    <col min="6" max="6" width="16.54296875" style="180" customWidth="1"/>
    <col min="7" max="7" width="14.26953125" style="180" customWidth="1"/>
    <col min="8" max="8" width="17.7265625" style="72" customWidth="1"/>
    <col min="9" max="9" width="14.7265625" style="72" customWidth="1"/>
    <col min="10" max="10" width="17.81640625" style="72" customWidth="1"/>
    <col min="11" max="11" width="14.7265625" style="72" customWidth="1"/>
    <col min="12" max="12" width="16.26953125" style="72" customWidth="1"/>
    <col min="13" max="13" width="15.54296875" style="72" customWidth="1"/>
    <col min="14" max="14" width="16.26953125" style="72" customWidth="1"/>
    <col min="15" max="15" width="14.7265625" style="72" customWidth="1"/>
    <col min="16" max="16" width="15.1796875" style="179" customWidth="1"/>
    <col min="17" max="17" width="15.1796875" style="166" customWidth="1"/>
    <col min="18" max="18" width="14.26953125" style="166" customWidth="1"/>
    <col min="19" max="19" width="13.453125" style="1" customWidth="1"/>
    <col min="20" max="16384" width="11.453125" style="1"/>
  </cols>
  <sheetData>
    <row r="1" spans="1:19" ht="12.75" customHeight="1" x14ac:dyDescent="0.25">
      <c r="A1" s="32" t="s">
        <v>0</v>
      </c>
      <c r="B1" s="14"/>
      <c r="C1" s="14"/>
      <c r="D1" s="181"/>
      <c r="E1" s="181"/>
      <c r="F1" s="182"/>
      <c r="G1" s="182"/>
      <c r="H1" s="14"/>
      <c r="I1" s="14"/>
      <c r="J1" s="32"/>
      <c r="K1" s="14"/>
      <c r="L1" s="14"/>
      <c r="M1" s="14"/>
      <c r="N1" s="14"/>
      <c r="O1" s="14"/>
      <c r="P1" s="14"/>
      <c r="Q1" s="14"/>
      <c r="R1" s="14"/>
    </row>
    <row r="2" spans="1:19" ht="12.75" customHeight="1" x14ac:dyDescent="0.25">
      <c r="A2" s="32" t="s">
        <v>1</v>
      </c>
      <c r="B2" s="14"/>
      <c r="C2" s="14"/>
      <c r="D2" s="181"/>
      <c r="E2" s="181"/>
      <c r="F2" s="183"/>
      <c r="G2" s="184"/>
      <c r="H2" s="185"/>
      <c r="I2" s="32"/>
      <c r="J2" s="32"/>
      <c r="K2" s="14"/>
      <c r="L2" s="14"/>
      <c r="M2" s="14"/>
      <c r="N2" s="14"/>
      <c r="O2" s="14"/>
      <c r="P2" s="14"/>
      <c r="Q2" s="14"/>
      <c r="R2" s="14"/>
    </row>
    <row r="3" spans="1:19" ht="12.75" customHeight="1" x14ac:dyDescent="0.25">
      <c r="A3" s="14" t="s">
        <v>2</v>
      </c>
      <c r="B3" s="14"/>
      <c r="C3" s="4"/>
      <c r="D3" s="186"/>
      <c r="E3" s="186"/>
      <c r="F3" s="187"/>
      <c r="G3" s="86"/>
      <c r="H3" s="7"/>
      <c r="I3" s="137"/>
      <c r="J3" s="137"/>
      <c r="K3" s="6"/>
      <c r="L3" s="6"/>
      <c r="M3" s="6"/>
      <c r="N3" s="6"/>
      <c r="O3" s="6"/>
      <c r="P3" s="6"/>
      <c r="Q3" s="141"/>
      <c r="S3" s="13"/>
    </row>
    <row r="4" spans="1:19" ht="12.75" customHeight="1" thickBot="1" x14ac:dyDescent="0.3">
      <c r="A4" s="14" t="s">
        <v>426</v>
      </c>
      <c r="B4" s="14"/>
      <c r="C4" s="4"/>
      <c r="D4" s="186"/>
      <c r="E4" s="186"/>
      <c r="F4" s="188"/>
      <c r="G4" s="189"/>
      <c r="H4" s="146"/>
      <c r="I4" s="148"/>
      <c r="J4" s="190"/>
      <c r="K4" s="148"/>
      <c r="L4" s="148"/>
      <c r="M4" s="148"/>
      <c r="N4" s="148"/>
      <c r="O4" s="148"/>
      <c r="P4" s="148"/>
      <c r="Q4" s="190"/>
      <c r="R4" s="190"/>
      <c r="S4" s="190"/>
    </row>
    <row r="5" spans="1:19" s="81" customFormat="1" ht="12.75" customHeight="1" x14ac:dyDescent="0.2">
      <c r="A5" s="604" t="s">
        <v>4</v>
      </c>
      <c r="B5" s="605"/>
      <c r="C5" s="605" t="s">
        <v>5</v>
      </c>
      <c r="D5" s="608" t="s">
        <v>6</v>
      </c>
      <c r="E5" s="608"/>
      <c r="F5" s="608"/>
      <c r="G5" s="608"/>
      <c r="H5" s="605" t="s">
        <v>7</v>
      </c>
      <c r="I5" s="608"/>
      <c r="J5" s="608"/>
      <c r="K5" s="608"/>
      <c r="L5" s="608"/>
      <c r="M5" s="608"/>
      <c r="N5" s="608"/>
      <c r="O5" s="608" t="s">
        <v>8</v>
      </c>
      <c r="P5" s="608"/>
      <c r="Q5" s="646" t="s">
        <v>9</v>
      </c>
      <c r="R5" s="647"/>
      <c r="S5" s="648"/>
    </row>
    <row r="6" spans="1:19" s="81" customFormat="1" ht="12.75" customHeight="1" x14ac:dyDescent="0.2">
      <c r="A6" s="535" t="s">
        <v>10</v>
      </c>
      <c r="B6" s="640" t="s">
        <v>11</v>
      </c>
      <c r="C6" s="606"/>
      <c r="D6" s="543" t="s">
        <v>12</v>
      </c>
      <c r="E6" s="543"/>
      <c r="F6" s="544" t="s">
        <v>13</v>
      </c>
      <c r="G6" s="544"/>
      <c r="H6" s="606"/>
      <c r="I6" s="544" t="s">
        <v>14</v>
      </c>
      <c r="J6" s="544"/>
      <c r="K6" s="544" t="s">
        <v>15</v>
      </c>
      <c r="L6" s="544"/>
      <c r="M6" s="544" t="s">
        <v>16</v>
      </c>
      <c r="N6" s="544"/>
      <c r="O6" s="544" t="s">
        <v>17</v>
      </c>
      <c r="P6" s="544"/>
      <c r="Q6" s="612" t="s">
        <v>18</v>
      </c>
      <c r="R6" s="612" t="s">
        <v>19</v>
      </c>
      <c r="S6" s="642" t="s">
        <v>20</v>
      </c>
    </row>
    <row r="7" spans="1:19" s="193" customFormat="1" ht="12.75" customHeight="1" thickBot="1" x14ac:dyDescent="0.3">
      <c r="A7" s="536"/>
      <c r="B7" s="641"/>
      <c r="C7" s="607"/>
      <c r="D7" s="191" t="s">
        <v>427</v>
      </c>
      <c r="E7" s="192" t="s">
        <v>428</v>
      </c>
      <c r="F7" s="21" t="s">
        <v>21</v>
      </c>
      <c r="G7" s="22" t="s">
        <v>22</v>
      </c>
      <c r="H7" s="607"/>
      <c r="I7" s="21" t="s">
        <v>23</v>
      </c>
      <c r="J7" s="21" t="s">
        <v>24</v>
      </c>
      <c r="K7" s="21" t="s">
        <v>23</v>
      </c>
      <c r="L7" s="21" t="s">
        <v>24</v>
      </c>
      <c r="M7" s="21" t="s">
        <v>23</v>
      </c>
      <c r="N7" s="21" t="s">
        <v>24</v>
      </c>
      <c r="O7" s="21" t="s">
        <v>23</v>
      </c>
      <c r="P7" s="21" t="s">
        <v>25</v>
      </c>
      <c r="Q7" s="613"/>
      <c r="R7" s="613"/>
      <c r="S7" s="643" t="s">
        <v>20</v>
      </c>
    </row>
    <row r="8" spans="1:19" s="14" customFormat="1" ht="12.75" customHeight="1" x14ac:dyDescent="0.25">
      <c r="A8" s="25">
        <v>2</v>
      </c>
      <c r="B8" s="26" t="s">
        <v>26</v>
      </c>
      <c r="C8" s="27">
        <f>+C9+C121</f>
        <v>151268301534</v>
      </c>
      <c r="D8" s="28">
        <f>+D9+D121</f>
        <v>58984523172.890007</v>
      </c>
      <c r="E8" s="28">
        <f>SUM(E9:E17)</f>
        <v>0</v>
      </c>
      <c r="F8" s="27">
        <f t="shared" ref="F8:G8" si="0">+F9+F121</f>
        <v>25285869532</v>
      </c>
      <c r="G8" s="27">
        <f t="shared" si="0"/>
        <v>25285869532</v>
      </c>
      <c r="H8" s="28">
        <f>+C8+D8--E8+F8-G8</f>
        <v>210252824706.89001</v>
      </c>
      <c r="I8" s="27">
        <f t="shared" ref="I8:S8" si="1">+I9+I121</f>
        <v>8277504624</v>
      </c>
      <c r="J8" s="27">
        <f t="shared" si="1"/>
        <v>208553768119.65997</v>
      </c>
      <c r="K8" s="27">
        <f t="shared" si="1"/>
        <v>9198092306</v>
      </c>
      <c r="L8" s="27">
        <f t="shared" si="1"/>
        <v>207297605725.65997</v>
      </c>
      <c r="M8" s="27">
        <f t="shared" si="1"/>
        <v>22570736411</v>
      </c>
      <c r="N8" s="27">
        <f t="shared" si="1"/>
        <v>181304109475.54001</v>
      </c>
      <c r="O8" s="27">
        <f t="shared" si="1"/>
        <v>21764204507</v>
      </c>
      <c r="P8" s="27">
        <f t="shared" si="1"/>
        <v>176378700790.54001</v>
      </c>
      <c r="Q8" s="27">
        <f t="shared" si="1"/>
        <v>1256162394</v>
      </c>
      <c r="R8" s="27">
        <f t="shared" si="1"/>
        <v>25993496452.119999</v>
      </c>
      <c r="S8" s="131">
        <f t="shared" si="1"/>
        <v>4925408685</v>
      </c>
    </row>
    <row r="9" spans="1:19" s="14" customFormat="1" ht="12.75" customHeight="1" x14ac:dyDescent="0.25">
      <c r="A9" s="33">
        <v>2.1</v>
      </c>
      <c r="B9" s="34" t="s">
        <v>27</v>
      </c>
      <c r="C9" s="35">
        <f>+C10+C68</f>
        <v>10653170787</v>
      </c>
      <c r="D9" s="37">
        <f>+D10</f>
        <v>2327886708.0300002</v>
      </c>
      <c r="E9" s="37">
        <f>SUM(E10:E18)</f>
        <v>0</v>
      </c>
      <c r="F9" s="35">
        <f>+F10+F68</f>
        <v>1315581910</v>
      </c>
      <c r="G9" s="35">
        <f t="shared" ref="G9" si="2">+G10+G68</f>
        <v>1272581192</v>
      </c>
      <c r="H9" s="37">
        <f>+C9+D9--E9+F9-G9</f>
        <v>13024058213.030001</v>
      </c>
      <c r="I9" s="35">
        <f>+I10+I68</f>
        <v>678738562</v>
      </c>
      <c r="J9" s="35">
        <f>+J10+J68</f>
        <v>12753193241.549999</v>
      </c>
      <c r="K9" s="35">
        <f t="shared" ref="K9:S9" si="3">+K10+K68</f>
        <v>829318359</v>
      </c>
      <c r="L9" s="35">
        <f t="shared" si="3"/>
        <v>12747339203.549999</v>
      </c>
      <c r="M9" s="35">
        <f t="shared" si="3"/>
        <v>1695323475</v>
      </c>
      <c r="N9" s="35">
        <f t="shared" si="3"/>
        <v>12409407647.940001</v>
      </c>
      <c r="O9" s="35">
        <f t="shared" si="3"/>
        <v>1574248703</v>
      </c>
      <c r="P9" s="35">
        <f t="shared" si="3"/>
        <v>12273740902.940001</v>
      </c>
      <c r="Q9" s="35">
        <f t="shared" si="3"/>
        <v>5854038</v>
      </c>
      <c r="R9" s="35">
        <f t="shared" si="3"/>
        <v>337931555.61000001</v>
      </c>
      <c r="S9" s="102">
        <f t="shared" si="3"/>
        <v>135666745</v>
      </c>
    </row>
    <row r="10" spans="1:19" s="14" customFormat="1" ht="12.75" customHeight="1" x14ac:dyDescent="0.25">
      <c r="A10" s="33" t="s">
        <v>28</v>
      </c>
      <c r="B10" s="34" t="s">
        <v>29</v>
      </c>
      <c r="C10" s="35">
        <f>+C11+C40</f>
        <v>8218170787</v>
      </c>
      <c r="D10" s="37">
        <f>+D11+D68</f>
        <v>2327886708.0300002</v>
      </c>
      <c r="E10" s="37">
        <f>SUM(E11:E19)</f>
        <v>0</v>
      </c>
      <c r="F10" s="35">
        <f>+F11+F40</f>
        <v>782848100</v>
      </c>
      <c r="G10" s="35">
        <f t="shared" ref="G10" si="4">+G11+G40</f>
        <v>900200000</v>
      </c>
      <c r="H10" s="37">
        <f>+C10+D10--E10+F10-G10</f>
        <v>10428705595.030001</v>
      </c>
      <c r="I10" s="35">
        <f>+I11+I40</f>
        <v>631377399</v>
      </c>
      <c r="J10" s="35">
        <f t="shared" ref="J10:S10" si="5">+J11+J40</f>
        <v>10155025364</v>
      </c>
      <c r="K10" s="35">
        <f t="shared" si="5"/>
        <v>775268036</v>
      </c>
      <c r="L10" s="35">
        <f t="shared" si="5"/>
        <v>10153517330</v>
      </c>
      <c r="M10" s="35">
        <f t="shared" si="5"/>
        <v>1476661839</v>
      </c>
      <c r="N10" s="35">
        <f t="shared" si="5"/>
        <v>9903465464</v>
      </c>
      <c r="O10" s="35">
        <f t="shared" si="5"/>
        <v>1351296625</v>
      </c>
      <c r="P10" s="35">
        <f t="shared" si="5"/>
        <v>9767798719</v>
      </c>
      <c r="Q10" s="35">
        <f t="shared" si="5"/>
        <v>1508034</v>
      </c>
      <c r="R10" s="35">
        <f t="shared" si="5"/>
        <v>250051866</v>
      </c>
      <c r="S10" s="102">
        <f t="shared" si="5"/>
        <v>135666745</v>
      </c>
    </row>
    <row r="11" spans="1:19" s="14" customFormat="1" ht="12.75" customHeight="1" x14ac:dyDescent="0.25">
      <c r="A11" s="33" t="s">
        <v>30</v>
      </c>
      <c r="B11" s="34" t="s">
        <v>31</v>
      </c>
      <c r="C11" s="35">
        <f>+C12+C22+C26</f>
        <v>7944042992</v>
      </c>
      <c r="D11" s="37">
        <f>+D12+D22+D26+D40</f>
        <v>2175886708.0300002</v>
      </c>
      <c r="E11" s="37">
        <v>0</v>
      </c>
      <c r="F11" s="35">
        <f>+F12+F22+F26</f>
        <v>714490711</v>
      </c>
      <c r="G11" s="35">
        <f t="shared" ref="G11" si="6">+G12+G22+G26</f>
        <v>635200000</v>
      </c>
      <c r="H11" s="37">
        <f>+C11+D11--E11+F11-G11</f>
        <v>10199220411.030001</v>
      </c>
      <c r="I11" s="35">
        <f>+I12+I22+I26</f>
        <v>602702877</v>
      </c>
      <c r="J11" s="35">
        <f t="shared" ref="J11:S11" si="7">+J12+J22+J26</f>
        <v>9773614162</v>
      </c>
      <c r="K11" s="35">
        <f t="shared" si="7"/>
        <v>744165181</v>
      </c>
      <c r="L11" s="35">
        <f t="shared" si="7"/>
        <v>9773106128</v>
      </c>
      <c r="M11" s="35">
        <f t="shared" si="7"/>
        <v>1410351917</v>
      </c>
      <c r="N11" s="35">
        <f t="shared" si="7"/>
        <v>9541218295</v>
      </c>
      <c r="O11" s="35">
        <f t="shared" si="7"/>
        <v>1286260792</v>
      </c>
      <c r="P11" s="35">
        <f t="shared" si="7"/>
        <v>9408275639</v>
      </c>
      <c r="Q11" s="35">
        <f t="shared" si="7"/>
        <v>508034</v>
      </c>
      <c r="R11" s="35">
        <f t="shared" si="7"/>
        <v>231887833</v>
      </c>
      <c r="S11" s="102">
        <f t="shared" si="7"/>
        <v>132942656</v>
      </c>
    </row>
    <row r="12" spans="1:19" s="14" customFormat="1" ht="12.75" customHeight="1" x14ac:dyDescent="0.25">
      <c r="A12" s="194" t="s">
        <v>32</v>
      </c>
      <c r="B12" s="101" t="s">
        <v>33</v>
      </c>
      <c r="C12" s="35">
        <f>SUM(C13:C21)</f>
        <v>1700000000</v>
      </c>
      <c r="D12" s="35">
        <f>SUM(D13:D21)</f>
        <v>0</v>
      </c>
      <c r="E12" s="35">
        <f t="shared" ref="E12:S12" si="8">SUM(E13:E21)</f>
        <v>0</v>
      </c>
      <c r="F12" s="35">
        <f>SUM(F13:F21)</f>
        <v>5500000</v>
      </c>
      <c r="G12" s="35">
        <f>SUM(G13:G21)</f>
        <v>30500000</v>
      </c>
      <c r="H12" s="37">
        <f>+C12+D12--E12+F12-G12</f>
        <v>1675000000</v>
      </c>
      <c r="I12" s="35">
        <f>SUM(I13:I21)</f>
        <v>281497451</v>
      </c>
      <c r="J12" s="35">
        <f t="shared" si="8"/>
        <v>1530568239</v>
      </c>
      <c r="K12" s="35">
        <f t="shared" si="8"/>
        <v>281497451</v>
      </c>
      <c r="L12" s="35">
        <f t="shared" si="8"/>
        <v>1530568239</v>
      </c>
      <c r="M12" s="35">
        <f t="shared" si="8"/>
        <v>281561881</v>
      </c>
      <c r="N12" s="35">
        <f t="shared" si="8"/>
        <v>1530568239</v>
      </c>
      <c r="O12" s="35">
        <f t="shared" si="8"/>
        <v>258165056</v>
      </c>
      <c r="P12" s="35">
        <f t="shared" si="8"/>
        <v>1503994283</v>
      </c>
      <c r="Q12" s="35">
        <f t="shared" si="8"/>
        <v>0</v>
      </c>
      <c r="R12" s="35">
        <f t="shared" si="8"/>
        <v>0</v>
      </c>
      <c r="S12" s="102">
        <f t="shared" si="8"/>
        <v>26573956</v>
      </c>
    </row>
    <row r="13" spans="1:19" s="14" customFormat="1" ht="12.75" customHeight="1" x14ac:dyDescent="0.25">
      <c r="A13" s="195" t="s">
        <v>429</v>
      </c>
      <c r="B13" s="58" t="s">
        <v>196</v>
      </c>
      <c r="C13" s="196">
        <v>1205000000</v>
      </c>
      <c r="D13" s="36">
        <v>0</v>
      </c>
      <c r="E13" s="36">
        <v>0</v>
      </c>
      <c r="F13" s="36">
        <v>0</v>
      </c>
      <c r="G13" s="36">
        <v>0</v>
      </c>
      <c r="H13" s="36">
        <f t="shared" ref="H13:H21" si="9">+C13+D13-E13+F13-G13</f>
        <v>1205000000</v>
      </c>
      <c r="I13" s="197">
        <v>99006137</v>
      </c>
      <c r="J13" s="197">
        <v>1125390704</v>
      </c>
      <c r="K13" s="197">
        <v>99006137</v>
      </c>
      <c r="L13" s="197">
        <v>1125390704</v>
      </c>
      <c r="M13" s="197">
        <v>99070567</v>
      </c>
      <c r="N13" s="197">
        <v>1125390704</v>
      </c>
      <c r="O13" s="197">
        <v>101306066</v>
      </c>
      <c r="P13" s="197">
        <v>1125390704</v>
      </c>
      <c r="Q13" s="197">
        <v>0</v>
      </c>
      <c r="R13" s="197">
        <v>0</v>
      </c>
      <c r="S13" s="198">
        <v>0</v>
      </c>
    </row>
    <row r="14" spans="1:19" ht="12.75" customHeight="1" x14ac:dyDescent="0.2">
      <c r="A14" s="195" t="s">
        <v>430</v>
      </c>
      <c r="B14" s="58" t="s">
        <v>198</v>
      </c>
      <c r="C14" s="196">
        <v>80000000</v>
      </c>
      <c r="D14" s="36">
        <v>0</v>
      </c>
      <c r="E14" s="36">
        <v>0</v>
      </c>
      <c r="F14" s="36">
        <v>0</v>
      </c>
      <c r="G14" s="36">
        <f>500000+5000000</f>
        <v>5500000</v>
      </c>
      <c r="H14" s="36">
        <f t="shared" si="9"/>
        <v>74500000</v>
      </c>
      <c r="I14" s="197">
        <v>21896997</v>
      </c>
      <c r="J14" s="197">
        <v>64746653</v>
      </c>
      <c r="K14" s="197">
        <v>21896997</v>
      </c>
      <c r="L14" s="197">
        <v>64746653</v>
      </c>
      <c r="M14" s="197">
        <v>21896997</v>
      </c>
      <c r="N14" s="197">
        <v>64746653</v>
      </c>
      <c r="O14" s="197">
        <v>21536929</v>
      </c>
      <c r="P14" s="197">
        <v>63444953</v>
      </c>
      <c r="Q14" s="197">
        <v>0</v>
      </c>
      <c r="R14" s="197">
        <v>0</v>
      </c>
      <c r="S14" s="198">
        <v>1301700</v>
      </c>
    </row>
    <row r="15" spans="1:19" ht="12.75" customHeight="1" x14ac:dyDescent="0.2">
      <c r="A15" s="195" t="s">
        <v>431</v>
      </c>
      <c r="B15" s="58" t="s">
        <v>200</v>
      </c>
      <c r="C15" s="196">
        <v>25000000</v>
      </c>
      <c r="D15" s="36">
        <v>0</v>
      </c>
      <c r="E15" s="36">
        <v>0</v>
      </c>
      <c r="F15" s="36">
        <f>500000+5000000</f>
        <v>5500000</v>
      </c>
      <c r="G15" s="36">
        <v>0</v>
      </c>
      <c r="H15" s="36">
        <f t="shared" si="9"/>
        <v>30500000</v>
      </c>
      <c r="I15" s="197">
        <v>2496791</v>
      </c>
      <c r="J15" s="197">
        <v>27898526</v>
      </c>
      <c r="K15" s="197">
        <v>2496791</v>
      </c>
      <c r="L15" s="197">
        <v>27898526</v>
      </c>
      <c r="M15" s="197">
        <v>2496791</v>
      </c>
      <c r="N15" s="197">
        <v>27898526</v>
      </c>
      <c r="O15" s="197">
        <v>2496791</v>
      </c>
      <c r="P15" s="197">
        <v>27898526</v>
      </c>
      <c r="Q15" s="197">
        <v>0</v>
      </c>
      <c r="R15" s="197">
        <v>0</v>
      </c>
      <c r="S15" s="198">
        <v>0</v>
      </c>
    </row>
    <row r="16" spans="1:19" ht="12.75" customHeight="1" x14ac:dyDescent="0.2">
      <c r="A16" s="195" t="s">
        <v>432</v>
      </c>
      <c r="B16" s="58" t="s">
        <v>202</v>
      </c>
      <c r="C16" s="196">
        <v>70000000</v>
      </c>
      <c r="D16" s="36">
        <v>0</v>
      </c>
      <c r="E16" s="36">
        <v>0</v>
      </c>
      <c r="F16" s="36">
        <v>0</v>
      </c>
      <c r="G16" s="36">
        <v>0</v>
      </c>
      <c r="H16" s="36">
        <f t="shared" si="9"/>
        <v>70000000</v>
      </c>
      <c r="I16" s="197">
        <v>16485206</v>
      </c>
      <c r="J16" s="197">
        <v>64060012</v>
      </c>
      <c r="K16" s="197">
        <v>16485206</v>
      </c>
      <c r="L16" s="197">
        <v>64060012</v>
      </c>
      <c r="M16" s="197">
        <v>16485206</v>
      </c>
      <c r="N16" s="197">
        <v>64060012</v>
      </c>
      <c r="O16" s="197">
        <v>16485206</v>
      </c>
      <c r="P16" s="197">
        <v>64060012</v>
      </c>
      <c r="Q16" s="197">
        <v>0</v>
      </c>
      <c r="R16" s="197">
        <v>0</v>
      </c>
      <c r="S16" s="198">
        <v>0</v>
      </c>
    </row>
    <row r="17" spans="1:19" ht="12.75" customHeight="1" x14ac:dyDescent="0.2">
      <c r="A17" s="195" t="s">
        <v>433</v>
      </c>
      <c r="B17" s="58" t="s">
        <v>204</v>
      </c>
      <c r="C17" s="196">
        <v>10000000</v>
      </c>
      <c r="D17" s="36">
        <v>0</v>
      </c>
      <c r="E17" s="36">
        <v>0</v>
      </c>
      <c r="F17" s="36">
        <v>0</v>
      </c>
      <c r="G17" s="36">
        <v>0</v>
      </c>
      <c r="H17" s="36">
        <f t="shared" si="9"/>
        <v>10000000</v>
      </c>
      <c r="I17" s="197">
        <v>2016484</v>
      </c>
      <c r="J17" s="197">
        <v>7926779</v>
      </c>
      <c r="K17" s="197">
        <v>2016484</v>
      </c>
      <c r="L17" s="197">
        <v>7926779</v>
      </c>
      <c r="M17" s="197">
        <v>2016484</v>
      </c>
      <c r="N17" s="197">
        <v>7926779</v>
      </c>
      <c r="O17" s="197">
        <v>2016484</v>
      </c>
      <c r="P17" s="197">
        <v>7926779</v>
      </c>
      <c r="Q17" s="197">
        <v>0</v>
      </c>
      <c r="R17" s="197">
        <v>0</v>
      </c>
      <c r="S17" s="198">
        <v>0</v>
      </c>
    </row>
    <row r="18" spans="1:19" ht="12.75" customHeight="1" x14ac:dyDescent="0.2">
      <c r="A18" s="195" t="s">
        <v>434</v>
      </c>
      <c r="B18" s="58" t="s">
        <v>206</v>
      </c>
      <c r="C18" s="196">
        <v>35000000</v>
      </c>
      <c r="D18" s="36">
        <v>0</v>
      </c>
      <c r="E18" s="36">
        <v>0</v>
      </c>
      <c r="F18" s="36">
        <v>0</v>
      </c>
      <c r="G18" s="36">
        <v>0</v>
      </c>
      <c r="H18" s="36">
        <f t="shared" si="9"/>
        <v>35000000</v>
      </c>
      <c r="I18" s="197">
        <v>6661526</v>
      </c>
      <c r="J18" s="197">
        <v>27895943</v>
      </c>
      <c r="K18" s="197">
        <v>6661526</v>
      </c>
      <c r="L18" s="197">
        <v>27895943</v>
      </c>
      <c r="M18" s="197">
        <v>6661526</v>
      </c>
      <c r="N18" s="197">
        <v>27895943</v>
      </c>
      <c r="O18" s="197">
        <v>6661526</v>
      </c>
      <c r="P18" s="197">
        <v>27895943</v>
      </c>
      <c r="Q18" s="197">
        <v>0</v>
      </c>
      <c r="R18" s="197">
        <v>0</v>
      </c>
      <c r="S18" s="198">
        <v>0</v>
      </c>
    </row>
    <row r="19" spans="1:19" ht="12.75" customHeight="1" x14ac:dyDescent="0.2">
      <c r="A19" s="195" t="s">
        <v>435</v>
      </c>
      <c r="B19" s="58" t="s">
        <v>208</v>
      </c>
      <c r="C19" s="196">
        <v>70000000</v>
      </c>
      <c r="D19" s="36">
        <v>0</v>
      </c>
      <c r="E19" s="36">
        <v>0</v>
      </c>
      <c r="F19" s="36">
        <v>0</v>
      </c>
      <c r="G19" s="36">
        <v>0</v>
      </c>
      <c r="H19" s="36">
        <f t="shared" si="9"/>
        <v>70000000</v>
      </c>
      <c r="I19" s="197">
        <v>1655815</v>
      </c>
      <c r="J19" s="197">
        <v>49156003</v>
      </c>
      <c r="K19" s="197">
        <v>1655815</v>
      </c>
      <c r="L19" s="197">
        <v>49156003</v>
      </c>
      <c r="M19" s="197">
        <v>1655815</v>
      </c>
      <c r="N19" s="197">
        <v>49156003</v>
      </c>
      <c r="O19" s="197">
        <v>1655815</v>
      </c>
      <c r="P19" s="197">
        <v>49156003</v>
      </c>
      <c r="Q19" s="197">
        <v>0</v>
      </c>
      <c r="R19" s="197">
        <v>0</v>
      </c>
      <c r="S19" s="198">
        <v>0</v>
      </c>
    </row>
    <row r="20" spans="1:19" s="14" customFormat="1" ht="12.75" customHeight="1" x14ac:dyDescent="0.25">
      <c r="A20" s="195" t="s">
        <v>436</v>
      </c>
      <c r="B20" s="58" t="s">
        <v>210</v>
      </c>
      <c r="C20" s="196">
        <v>135000000</v>
      </c>
      <c r="D20" s="36">
        <v>0</v>
      </c>
      <c r="E20" s="36">
        <f>+E22+E23+E24</f>
        <v>0</v>
      </c>
      <c r="F20" s="36">
        <v>0</v>
      </c>
      <c r="G20" s="36">
        <v>20000000</v>
      </c>
      <c r="H20" s="36">
        <f t="shared" si="9"/>
        <v>115000000</v>
      </c>
      <c r="I20" s="197">
        <v>105363174</v>
      </c>
      <c r="J20" s="197">
        <v>112939868</v>
      </c>
      <c r="K20" s="197">
        <v>105363174</v>
      </c>
      <c r="L20" s="197">
        <v>112939868</v>
      </c>
      <c r="M20" s="197">
        <v>105363174</v>
      </c>
      <c r="N20" s="197">
        <v>112939868</v>
      </c>
      <c r="O20" s="197">
        <v>105363174</v>
      </c>
      <c r="P20" s="197">
        <v>112939868</v>
      </c>
      <c r="Q20" s="197">
        <v>0</v>
      </c>
      <c r="R20" s="197">
        <v>0</v>
      </c>
      <c r="S20" s="198">
        <v>0</v>
      </c>
    </row>
    <row r="21" spans="1:19" s="14" customFormat="1" ht="12.75" customHeight="1" x14ac:dyDescent="0.25">
      <c r="A21" s="195" t="s">
        <v>437</v>
      </c>
      <c r="B21" s="58" t="s">
        <v>212</v>
      </c>
      <c r="C21" s="196">
        <v>70000000</v>
      </c>
      <c r="D21" s="36">
        <v>0</v>
      </c>
      <c r="E21" s="36">
        <f>+E23+E24+E25</f>
        <v>0</v>
      </c>
      <c r="F21" s="36">
        <v>0</v>
      </c>
      <c r="G21" s="36">
        <v>5000000</v>
      </c>
      <c r="H21" s="36">
        <f t="shared" si="9"/>
        <v>65000000</v>
      </c>
      <c r="I21" s="197">
        <v>25915321</v>
      </c>
      <c r="J21" s="197">
        <v>50553751</v>
      </c>
      <c r="K21" s="197">
        <v>25915321</v>
      </c>
      <c r="L21" s="197">
        <v>50553751</v>
      </c>
      <c r="M21" s="197">
        <v>25915321</v>
      </c>
      <c r="N21" s="197">
        <v>50553751</v>
      </c>
      <c r="O21" s="197">
        <v>643065</v>
      </c>
      <c r="P21" s="197">
        <v>25281495</v>
      </c>
      <c r="Q21" s="197">
        <v>0</v>
      </c>
      <c r="R21" s="197">
        <v>0</v>
      </c>
      <c r="S21" s="198">
        <v>25272256</v>
      </c>
    </row>
    <row r="22" spans="1:19" s="14" customFormat="1" ht="12.75" customHeight="1" x14ac:dyDescent="0.25">
      <c r="A22" s="194" t="s">
        <v>34</v>
      </c>
      <c r="B22" s="101" t="s">
        <v>49</v>
      </c>
      <c r="C22" s="35">
        <f t="shared" ref="C22" si="10">SUM(C23:C25)</f>
        <v>5644042992</v>
      </c>
      <c r="D22" s="35">
        <f>SUM(D23:D25)</f>
        <v>1788849617.2</v>
      </c>
      <c r="E22" s="35">
        <f t="shared" ref="E22:Q22" si="11">SUM(E23:E25)</f>
        <v>0</v>
      </c>
      <c r="F22" s="35">
        <f>SUM(F23:F25)</f>
        <v>667990711</v>
      </c>
      <c r="G22" s="35">
        <f>SUM(G23:G25)</f>
        <v>531700000</v>
      </c>
      <c r="H22" s="37">
        <f>SUM(H23:H25)</f>
        <v>7569183320.1999998</v>
      </c>
      <c r="I22" s="35">
        <f>SUM(I23:I25)</f>
        <v>173655664</v>
      </c>
      <c r="J22" s="35">
        <f t="shared" si="11"/>
        <v>7751480612</v>
      </c>
      <c r="K22" s="37">
        <f t="shared" si="11"/>
        <v>315117968</v>
      </c>
      <c r="L22" s="37">
        <f t="shared" si="11"/>
        <v>7751156278</v>
      </c>
      <c r="M22" s="37">
        <f t="shared" si="11"/>
        <v>980730974</v>
      </c>
      <c r="N22" s="37">
        <f t="shared" si="11"/>
        <v>7519268445</v>
      </c>
      <c r="O22" s="37">
        <f t="shared" si="11"/>
        <v>985881974</v>
      </c>
      <c r="P22" s="37">
        <f t="shared" si="11"/>
        <v>7519268445</v>
      </c>
      <c r="Q22" s="35">
        <f t="shared" si="11"/>
        <v>324334</v>
      </c>
      <c r="R22" s="35">
        <f>SUM(R23:R25)</f>
        <v>231887833</v>
      </c>
      <c r="S22" s="102">
        <f>SUM(S23:S25)</f>
        <v>0</v>
      </c>
    </row>
    <row r="23" spans="1:19" s="14" customFormat="1" ht="12.75" customHeight="1" x14ac:dyDescent="0.25">
      <c r="A23" s="195" t="s">
        <v>438</v>
      </c>
      <c r="B23" s="58" t="s">
        <v>215</v>
      </c>
      <c r="C23" s="196">
        <v>10600000</v>
      </c>
      <c r="D23" s="36">
        <v>0</v>
      </c>
      <c r="E23" s="36">
        <v>0</v>
      </c>
      <c r="F23" s="36">
        <v>0</v>
      </c>
      <c r="G23" s="36">
        <v>10000000</v>
      </c>
      <c r="H23" s="36">
        <f>+C23+D23-E23+F23-G23</f>
        <v>600000</v>
      </c>
      <c r="I23" s="197">
        <v>0</v>
      </c>
      <c r="J23" s="197">
        <v>0</v>
      </c>
      <c r="K23" s="197">
        <v>0</v>
      </c>
      <c r="L23" s="197">
        <v>0</v>
      </c>
      <c r="M23" s="197">
        <v>0</v>
      </c>
      <c r="N23" s="197">
        <v>0</v>
      </c>
      <c r="O23" s="197">
        <v>0</v>
      </c>
      <c r="P23" s="197">
        <v>0</v>
      </c>
      <c r="Q23" s="197">
        <v>0</v>
      </c>
      <c r="R23" s="197">
        <v>0</v>
      </c>
      <c r="S23" s="198">
        <v>0</v>
      </c>
    </row>
    <row r="24" spans="1:19" ht="12.75" customHeight="1" x14ac:dyDescent="0.2">
      <c r="A24" s="195" t="s">
        <v>439</v>
      </c>
      <c r="B24" s="58" t="s">
        <v>217</v>
      </c>
      <c r="C24" s="196">
        <v>4200000000</v>
      </c>
      <c r="D24" s="36">
        <f>500000000+500000000+300000000+32000000</f>
        <v>1332000000</v>
      </c>
      <c r="E24" s="36">
        <v>0</v>
      </c>
      <c r="F24" s="36">
        <f>20000000+100000000+101500000+73000000+162000000-1957389</f>
        <v>454542611</v>
      </c>
      <c r="G24" s="36">
        <f>50000000+1250000</f>
        <v>51250000</v>
      </c>
      <c r="H24" s="36">
        <f>+C24+D24-E24+F24-G24</f>
        <v>5935292611</v>
      </c>
      <c r="I24" s="197">
        <v>158560662</v>
      </c>
      <c r="J24" s="197">
        <v>6108286779</v>
      </c>
      <c r="K24" s="197">
        <v>256212968</v>
      </c>
      <c r="L24" s="197">
        <v>6108203445</v>
      </c>
      <c r="M24" s="197">
        <v>763993308</v>
      </c>
      <c r="N24" s="197">
        <v>5901054279</v>
      </c>
      <c r="O24" s="197">
        <v>769144308</v>
      </c>
      <c r="P24" s="197">
        <v>5901054279</v>
      </c>
      <c r="Q24" s="197">
        <v>83334</v>
      </c>
      <c r="R24" s="197">
        <v>207149166</v>
      </c>
      <c r="S24" s="198">
        <v>0</v>
      </c>
    </row>
    <row r="25" spans="1:19" s="14" customFormat="1" ht="12.75" customHeight="1" x14ac:dyDescent="0.25">
      <c r="A25" s="195" t="s">
        <v>440</v>
      </c>
      <c r="B25" s="58" t="s">
        <v>219</v>
      </c>
      <c r="C25" s="196">
        <v>1433442992</v>
      </c>
      <c r="D25" s="36">
        <f>28417545+278625622.59+148605870.61+1200579</f>
        <v>456849617.19999999</v>
      </c>
      <c r="E25" s="36">
        <v>0</v>
      </c>
      <c r="F25" s="36">
        <f>50000000+60000000+50000000+33448100+15000000+5000000</f>
        <v>213448100</v>
      </c>
      <c r="G25" s="36">
        <f>100000000+250000000+101500000+18950000</f>
        <v>470450000</v>
      </c>
      <c r="H25" s="36">
        <f>+C25+D25-E25+F25-G25</f>
        <v>1633290709.2</v>
      </c>
      <c r="I25" s="197">
        <v>15095002</v>
      </c>
      <c r="J25" s="197">
        <v>1643193833</v>
      </c>
      <c r="K25" s="197">
        <v>58905000</v>
      </c>
      <c r="L25" s="197">
        <v>1642952833</v>
      </c>
      <c r="M25" s="197">
        <v>216737666</v>
      </c>
      <c r="N25" s="197">
        <v>1618214166</v>
      </c>
      <c r="O25" s="197">
        <v>216737666</v>
      </c>
      <c r="P25" s="197">
        <v>1618214166</v>
      </c>
      <c r="Q25" s="197">
        <v>241000</v>
      </c>
      <c r="R25" s="197">
        <v>24738667</v>
      </c>
      <c r="S25" s="198">
        <v>0</v>
      </c>
    </row>
    <row r="26" spans="1:19" s="14" customFormat="1" ht="12.75" customHeight="1" x14ac:dyDescent="0.25">
      <c r="A26" s="194" t="s">
        <v>36</v>
      </c>
      <c r="B26" s="101" t="s">
        <v>221</v>
      </c>
      <c r="C26" s="35">
        <f>+C27+C31+C36+C37+C38+C39</f>
        <v>600000000</v>
      </c>
      <c r="D26" s="35">
        <f>+D27+D31+D35</f>
        <v>0</v>
      </c>
      <c r="E26" s="35">
        <f t="shared" ref="E26:Q26" si="12">+E27+E31+E36+E37+E38+E39</f>
        <v>0</v>
      </c>
      <c r="F26" s="35">
        <f>+F27+F31+F35</f>
        <v>41000000</v>
      </c>
      <c r="G26" s="35">
        <f>+G27+G31+G35</f>
        <v>73000000</v>
      </c>
      <c r="H26" s="35">
        <f>+H27+H31+H35</f>
        <v>568000000</v>
      </c>
      <c r="I26" s="35">
        <f>+I27+I31+I36+I37+I38+I39</f>
        <v>147549762</v>
      </c>
      <c r="J26" s="35">
        <f t="shared" si="12"/>
        <v>491565311</v>
      </c>
      <c r="K26" s="35">
        <f t="shared" si="12"/>
        <v>147549762</v>
      </c>
      <c r="L26" s="35">
        <f t="shared" si="12"/>
        <v>491381611</v>
      </c>
      <c r="M26" s="35">
        <f t="shared" si="12"/>
        <v>148059062</v>
      </c>
      <c r="N26" s="35">
        <f t="shared" si="12"/>
        <v>491381611</v>
      </c>
      <c r="O26" s="35">
        <f t="shared" si="12"/>
        <v>42213762</v>
      </c>
      <c r="P26" s="35">
        <f t="shared" si="12"/>
        <v>385012911</v>
      </c>
      <c r="Q26" s="35">
        <f t="shared" si="12"/>
        <v>183700</v>
      </c>
      <c r="R26" s="35">
        <f>+R27+R31+R36+R37+R38+R39</f>
        <v>0</v>
      </c>
      <c r="S26" s="102">
        <f>+S27+S31+S36+S37+S38+S39</f>
        <v>106368700</v>
      </c>
    </row>
    <row r="27" spans="1:19" s="14" customFormat="1" ht="12.75" customHeight="1" x14ac:dyDescent="0.25">
      <c r="A27" s="194" t="s">
        <v>441</v>
      </c>
      <c r="B27" s="101" t="s">
        <v>223</v>
      </c>
      <c r="C27" s="35">
        <f t="shared" ref="C27" si="13">SUM(C28:C30)</f>
        <v>165000000</v>
      </c>
      <c r="D27" s="35">
        <f>SUM(D28:D30)</f>
        <v>0</v>
      </c>
      <c r="E27" s="35">
        <f t="shared" ref="E27:Q27" si="14">SUM(E28:E30)</f>
        <v>0</v>
      </c>
      <c r="F27" s="35">
        <f>SUM(F28:F30)</f>
        <v>41000000</v>
      </c>
      <c r="G27" s="35">
        <f t="shared" si="14"/>
        <v>12000000</v>
      </c>
      <c r="H27" s="35">
        <f t="shared" si="14"/>
        <v>194000000</v>
      </c>
      <c r="I27" s="35">
        <f>SUM(I28:I30)</f>
        <v>64187478</v>
      </c>
      <c r="J27" s="35">
        <f t="shared" si="14"/>
        <v>181494038</v>
      </c>
      <c r="K27" s="35">
        <f t="shared" si="14"/>
        <v>64187478</v>
      </c>
      <c r="L27" s="35">
        <f t="shared" si="14"/>
        <v>181494038</v>
      </c>
      <c r="M27" s="35">
        <f t="shared" si="14"/>
        <v>64187478</v>
      </c>
      <c r="N27" s="35">
        <f t="shared" si="14"/>
        <v>181494038</v>
      </c>
      <c r="O27" s="35">
        <f t="shared" si="14"/>
        <v>12077117</v>
      </c>
      <c r="P27" s="35">
        <f t="shared" si="14"/>
        <v>129200577</v>
      </c>
      <c r="Q27" s="35">
        <f t="shared" si="14"/>
        <v>0</v>
      </c>
      <c r="R27" s="35">
        <f>SUM(R28:R30)</f>
        <v>0</v>
      </c>
      <c r="S27" s="102">
        <f>SUM(S28:S30)</f>
        <v>52293461</v>
      </c>
    </row>
    <row r="28" spans="1:19" s="14" customFormat="1" ht="12.75" customHeight="1" x14ac:dyDescent="0.25">
      <c r="A28" s="195" t="s">
        <v>442</v>
      </c>
      <c r="B28" s="58" t="s">
        <v>225</v>
      </c>
      <c r="C28" s="196">
        <v>100000000</v>
      </c>
      <c r="D28" s="36">
        <v>0</v>
      </c>
      <c r="E28" s="36">
        <v>0</v>
      </c>
      <c r="F28" s="36">
        <v>3000000</v>
      </c>
      <c r="G28" s="36">
        <v>6000000</v>
      </c>
      <c r="H28" s="36">
        <f>+C28+D28-E28+F28-G28</f>
        <v>97000000</v>
      </c>
      <c r="I28" s="197">
        <v>10733200</v>
      </c>
      <c r="J28" s="197">
        <v>94613137</v>
      </c>
      <c r="K28" s="197">
        <v>10733200</v>
      </c>
      <c r="L28" s="197">
        <v>94613137</v>
      </c>
      <c r="M28" s="197">
        <v>10733200</v>
      </c>
      <c r="N28" s="197">
        <v>94613137</v>
      </c>
      <c r="O28" s="197">
        <v>9614000</v>
      </c>
      <c r="P28" s="197">
        <v>93310837</v>
      </c>
      <c r="Q28" s="197">
        <v>0</v>
      </c>
      <c r="R28" s="197">
        <v>0</v>
      </c>
      <c r="S28" s="198">
        <v>1302300</v>
      </c>
    </row>
    <row r="29" spans="1:19" ht="12.75" customHeight="1" x14ac:dyDescent="0.2">
      <c r="A29" s="195" t="s">
        <v>443</v>
      </c>
      <c r="B29" s="58" t="s">
        <v>227</v>
      </c>
      <c r="C29" s="196">
        <v>20000000</v>
      </c>
      <c r="D29" s="36">
        <v>0</v>
      </c>
      <c r="E29" s="36">
        <v>0</v>
      </c>
      <c r="F29" s="36">
        <v>38000000</v>
      </c>
      <c r="G29" s="36">
        <v>3000000</v>
      </c>
      <c r="H29" s="36">
        <f>+C29+D29-E29+F29-G29</f>
        <v>55000000</v>
      </c>
      <c r="I29" s="197">
        <v>51038078</v>
      </c>
      <c r="J29" s="197">
        <v>53418074</v>
      </c>
      <c r="K29" s="197">
        <v>51038078</v>
      </c>
      <c r="L29" s="197">
        <v>53418074</v>
      </c>
      <c r="M29" s="197">
        <v>51038078</v>
      </c>
      <c r="N29" s="197">
        <v>53418074</v>
      </c>
      <c r="O29" s="197">
        <v>46917</v>
      </c>
      <c r="P29" s="197">
        <v>2426913</v>
      </c>
      <c r="Q29" s="197">
        <v>0</v>
      </c>
      <c r="R29" s="197">
        <v>0</v>
      </c>
      <c r="S29" s="198">
        <v>50991161</v>
      </c>
    </row>
    <row r="30" spans="1:19" ht="12.75" customHeight="1" x14ac:dyDescent="0.2">
      <c r="A30" s="195" t="s">
        <v>444</v>
      </c>
      <c r="B30" s="58" t="s">
        <v>229</v>
      </c>
      <c r="C30" s="196">
        <v>45000000</v>
      </c>
      <c r="D30" s="36">
        <v>0</v>
      </c>
      <c r="E30" s="36">
        <v>0</v>
      </c>
      <c r="F30" s="36">
        <v>0</v>
      </c>
      <c r="G30" s="36">
        <v>3000000</v>
      </c>
      <c r="H30" s="36">
        <f>+C30+D30-E30+F30-G30</f>
        <v>42000000</v>
      </c>
      <c r="I30" s="197">
        <v>2416200</v>
      </c>
      <c r="J30" s="197">
        <v>33462827</v>
      </c>
      <c r="K30" s="197">
        <v>2416200</v>
      </c>
      <c r="L30" s="197">
        <v>33462827</v>
      </c>
      <c r="M30" s="197">
        <v>2416200</v>
      </c>
      <c r="N30" s="197">
        <v>33462827</v>
      </c>
      <c r="O30" s="197">
        <v>2416200</v>
      </c>
      <c r="P30" s="197">
        <v>33462827</v>
      </c>
      <c r="Q30" s="197">
        <v>0</v>
      </c>
      <c r="R30" s="197">
        <v>0</v>
      </c>
      <c r="S30" s="198">
        <v>0</v>
      </c>
    </row>
    <row r="31" spans="1:19" s="14" customFormat="1" ht="12.75" customHeight="1" x14ac:dyDescent="0.25">
      <c r="A31" s="194" t="s">
        <v>445</v>
      </c>
      <c r="B31" s="101" t="s">
        <v>231</v>
      </c>
      <c r="C31" s="35">
        <f>SUM(C32:C34)</f>
        <v>260000000</v>
      </c>
      <c r="D31" s="35">
        <f>SUM(D32:D34)</f>
        <v>0</v>
      </c>
      <c r="E31" s="35">
        <f t="shared" ref="E31" si="15">SUM(E32:E39)</f>
        <v>0</v>
      </c>
      <c r="F31" s="35">
        <f>SUM(F32:F34)</f>
        <v>0</v>
      </c>
      <c r="G31" s="35">
        <f>SUM(G32:G34)</f>
        <v>51000000</v>
      </c>
      <c r="H31" s="35">
        <f>SUM(H32:H34)</f>
        <v>209000000</v>
      </c>
      <c r="I31" s="35">
        <f>SUM(I32:I34)</f>
        <v>71923834</v>
      </c>
      <c r="J31" s="35">
        <f t="shared" ref="J31:Q31" si="16">SUM(J32:J34)</f>
        <v>191591223</v>
      </c>
      <c r="K31" s="35">
        <f t="shared" si="16"/>
        <v>71923834</v>
      </c>
      <c r="L31" s="35">
        <f t="shared" si="16"/>
        <v>191591223</v>
      </c>
      <c r="M31" s="35">
        <f t="shared" si="16"/>
        <v>71923834</v>
      </c>
      <c r="N31" s="35">
        <f t="shared" si="16"/>
        <v>191591223</v>
      </c>
      <c r="O31" s="35">
        <f t="shared" si="16"/>
        <v>19330495</v>
      </c>
      <c r="P31" s="35">
        <f t="shared" si="16"/>
        <v>138832484</v>
      </c>
      <c r="Q31" s="35">
        <f t="shared" si="16"/>
        <v>0</v>
      </c>
      <c r="R31" s="35">
        <f>SUM(R32:R34)</f>
        <v>0</v>
      </c>
      <c r="S31" s="102">
        <f>SUM(S32:S34)</f>
        <v>52758739</v>
      </c>
    </row>
    <row r="32" spans="1:19" ht="12.75" customHeight="1" x14ac:dyDescent="0.2">
      <c r="A32" s="195" t="s">
        <v>446</v>
      </c>
      <c r="B32" s="58" t="s">
        <v>233</v>
      </c>
      <c r="C32" s="196">
        <v>70000000</v>
      </c>
      <c r="D32" s="36">
        <v>0</v>
      </c>
      <c r="E32" s="36">
        <v>0</v>
      </c>
      <c r="F32" s="36">
        <v>0</v>
      </c>
      <c r="G32" s="36">
        <v>9000000</v>
      </c>
      <c r="H32" s="36">
        <f>+C32+D32-E32+F32-G32</f>
        <v>61000000</v>
      </c>
      <c r="I32" s="197">
        <v>4650300</v>
      </c>
      <c r="J32" s="197">
        <v>55006500</v>
      </c>
      <c r="K32" s="159">
        <v>4650300</v>
      </c>
      <c r="L32" s="159">
        <v>55006500</v>
      </c>
      <c r="M32" s="159">
        <v>4650300</v>
      </c>
      <c r="N32" s="159">
        <v>55006500</v>
      </c>
      <c r="O32" s="159">
        <v>4192000</v>
      </c>
      <c r="P32" s="159">
        <v>54548200</v>
      </c>
      <c r="Q32" s="197">
        <v>0</v>
      </c>
      <c r="R32" s="197">
        <v>0</v>
      </c>
      <c r="S32" s="198">
        <v>458300</v>
      </c>
    </row>
    <row r="33" spans="1:19" ht="12.75" customHeight="1" x14ac:dyDescent="0.2">
      <c r="A33" s="195" t="s">
        <v>447</v>
      </c>
      <c r="B33" s="58" t="s">
        <v>235</v>
      </c>
      <c r="C33" s="196">
        <v>110000000</v>
      </c>
      <c r="D33" s="36">
        <v>0</v>
      </c>
      <c r="E33" s="36">
        <v>0</v>
      </c>
      <c r="F33" s="36">
        <v>0</v>
      </c>
      <c r="G33" s="36">
        <v>38000000</v>
      </c>
      <c r="H33" s="36">
        <f>+C33+D33-E33+F33-G33</f>
        <v>72000000</v>
      </c>
      <c r="I33" s="197">
        <v>58831534</v>
      </c>
      <c r="J33" s="197">
        <v>63003723</v>
      </c>
      <c r="K33" s="159">
        <v>58831534</v>
      </c>
      <c r="L33" s="159">
        <v>63003723</v>
      </c>
      <c r="M33" s="159">
        <v>58831534</v>
      </c>
      <c r="N33" s="159">
        <v>63003723</v>
      </c>
      <c r="O33" s="159">
        <v>7779695</v>
      </c>
      <c r="P33" s="159">
        <v>11951884</v>
      </c>
      <c r="Q33" s="197">
        <v>0</v>
      </c>
      <c r="R33" s="197">
        <v>0</v>
      </c>
      <c r="S33" s="198">
        <v>51051839</v>
      </c>
    </row>
    <row r="34" spans="1:19" ht="12.75" customHeight="1" x14ac:dyDescent="0.2">
      <c r="A34" s="195" t="s">
        <v>448</v>
      </c>
      <c r="B34" s="58" t="s">
        <v>229</v>
      </c>
      <c r="C34" s="196">
        <v>80000000</v>
      </c>
      <c r="D34" s="36">
        <v>0</v>
      </c>
      <c r="E34" s="36">
        <v>0</v>
      </c>
      <c r="F34" s="36">
        <v>0</v>
      </c>
      <c r="G34" s="36">
        <v>4000000</v>
      </c>
      <c r="H34" s="36">
        <f>+C34+D34-E34+F34-G34</f>
        <v>76000000</v>
      </c>
      <c r="I34" s="197">
        <v>8442000</v>
      </c>
      <c r="J34" s="197">
        <v>73581000</v>
      </c>
      <c r="K34" s="159">
        <v>8442000</v>
      </c>
      <c r="L34" s="159">
        <v>73581000</v>
      </c>
      <c r="M34" s="159">
        <v>8442000</v>
      </c>
      <c r="N34" s="159">
        <v>73581000</v>
      </c>
      <c r="O34" s="159">
        <v>7358800</v>
      </c>
      <c r="P34" s="159">
        <v>72332400</v>
      </c>
      <c r="Q34" s="197">
        <v>0</v>
      </c>
      <c r="R34" s="197">
        <v>0</v>
      </c>
      <c r="S34" s="198">
        <v>1248600</v>
      </c>
    </row>
    <row r="35" spans="1:19" s="14" customFormat="1" ht="12.75" customHeight="1" x14ac:dyDescent="0.25">
      <c r="A35" s="194" t="s">
        <v>449</v>
      </c>
      <c r="B35" s="101" t="s">
        <v>238</v>
      </c>
      <c r="C35" s="37">
        <f>SUM(C36:C39)</f>
        <v>175000000</v>
      </c>
      <c r="D35" s="37">
        <f>SUM(D36:D39)</f>
        <v>0</v>
      </c>
      <c r="E35" s="37">
        <v>0</v>
      </c>
      <c r="F35" s="37">
        <f>SUM(F36:F39)</f>
        <v>0</v>
      </c>
      <c r="G35" s="37">
        <f>SUM(G36:G39)</f>
        <v>10000000</v>
      </c>
      <c r="H35" s="37">
        <f>SUM(H36:H39)</f>
        <v>165000000</v>
      </c>
      <c r="I35" s="37">
        <v>10435600</v>
      </c>
      <c r="J35" s="37">
        <f>SUM(J36:J39)</f>
        <v>118480050</v>
      </c>
      <c r="K35" s="37">
        <f t="shared" ref="K35:S35" si="17">SUM(K36:K39)</f>
        <v>11438450</v>
      </c>
      <c r="L35" s="37">
        <f t="shared" si="17"/>
        <v>118296350</v>
      </c>
      <c r="M35" s="37">
        <f t="shared" si="17"/>
        <v>11947750</v>
      </c>
      <c r="N35" s="37">
        <f t="shared" si="17"/>
        <v>118296350</v>
      </c>
      <c r="O35" s="37">
        <f t="shared" si="17"/>
        <v>10806150</v>
      </c>
      <c r="P35" s="37">
        <f t="shared" si="17"/>
        <v>116979850</v>
      </c>
      <c r="Q35" s="37">
        <f t="shared" si="17"/>
        <v>183700</v>
      </c>
      <c r="R35" s="37">
        <f t="shared" si="17"/>
        <v>0</v>
      </c>
      <c r="S35" s="109">
        <f t="shared" si="17"/>
        <v>1316500</v>
      </c>
    </row>
    <row r="36" spans="1:19" ht="12.75" customHeight="1" x14ac:dyDescent="0.2">
      <c r="A36" s="195" t="s">
        <v>450</v>
      </c>
      <c r="B36" s="58" t="s">
        <v>240</v>
      </c>
      <c r="C36" s="196">
        <v>50000000</v>
      </c>
      <c r="D36" s="36">
        <v>0</v>
      </c>
      <c r="E36" s="36">
        <v>0</v>
      </c>
      <c r="F36" s="36">
        <v>0</v>
      </c>
      <c r="G36" s="36">
        <v>3000000</v>
      </c>
      <c r="H36" s="36">
        <f>+C36+D36-E36+F36-G36</f>
        <v>47000000</v>
      </c>
      <c r="I36" s="197">
        <v>3798300</v>
      </c>
      <c r="J36" s="197">
        <v>37410100</v>
      </c>
      <c r="K36" s="159">
        <v>3798300</v>
      </c>
      <c r="L36" s="159">
        <v>37410100</v>
      </c>
      <c r="M36" s="159">
        <v>3798300</v>
      </c>
      <c r="N36" s="159">
        <v>37410100</v>
      </c>
      <c r="O36" s="159">
        <v>3417750</v>
      </c>
      <c r="P36" s="159">
        <v>36971250</v>
      </c>
      <c r="Q36" s="197">
        <v>0</v>
      </c>
      <c r="R36" s="197">
        <v>0</v>
      </c>
      <c r="S36" s="198">
        <v>438850</v>
      </c>
    </row>
    <row r="37" spans="1:19" ht="12.75" customHeight="1" x14ac:dyDescent="0.2">
      <c r="A37" s="195" t="s">
        <v>451</v>
      </c>
      <c r="B37" s="58" t="s">
        <v>242</v>
      </c>
      <c r="C37" s="196">
        <v>40000000</v>
      </c>
      <c r="D37" s="36">
        <v>0</v>
      </c>
      <c r="E37" s="36">
        <v>0</v>
      </c>
      <c r="F37" s="36">
        <v>0</v>
      </c>
      <c r="G37" s="36">
        <v>3000000</v>
      </c>
      <c r="H37" s="36">
        <f>+C37+D37-E37+F37-G37</f>
        <v>37000000</v>
      </c>
      <c r="I37" s="197">
        <v>2534450</v>
      </c>
      <c r="J37" s="197">
        <v>24946850</v>
      </c>
      <c r="K37" s="159">
        <v>2534450</v>
      </c>
      <c r="L37" s="159">
        <v>24946850</v>
      </c>
      <c r="M37" s="159">
        <v>2534450</v>
      </c>
      <c r="N37" s="159">
        <v>24946850</v>
      </c>
      <c r="O37" s="159">
        <v>2280600</v>
      </c>
      <c r="P37" s="159">
        <v>24654200</v>
      </c>
      <c r="Q37" s="197">
        <v>0</v>
      </c>
      <c r="R37" s="197">
        <v>0</v>
      </c>
      <c r="S37" s="198">
        <v>292650</v>
      </c>
    </row>
    <row r="38" spans="1:19" ht="12.75" customHeight="1" x14ac:dyDescent="0.2">
      <c r="A38" s="195" t="s">
        <v>452</v>
      </c>
      <c r="B38" s="58" t="s">
        <v>244</v>
      </c>
      <c r="C38" s="196">
        <v>70000000</v>
      </c>
      <c r="D38" s="36">
        <v>0</v>
      </c>
      <c r="E38" s="36">
        <v>0</v>
      </c>
      <c r="F38" s="36">
        <v>0</v>
      </c>
      <c r="G38" s="36">
        <v>0</v>
      </c>
      <c r="H38" s="36">
        <f>+C38+D38-E38+F38-G38</f>
        <v>70000000</v>
      </c>
      <c r="I38" s="197">
        <v>5067300</v>
      </c>
      <c r="J38" s="197">
        <v>49677500</v>
      </c>
      <c r="K38" s="159">
        <v>5067300</v>
      </c>
      <c r="L38" s="159">
        <v>49677500</v>
      </c>
      <c r="M38" s="159">
        <v>5067300</v>
      </c>
      <c r="N38" s="159">
        <v>49677500</v>
      </c>
      <c r="O38" s="159">
        <v>4560100</v>
      </c>
      <c r="P38" s="159">
        <v>49092500</v>
      </c>
      <c r="Q38" s="197">
        <v>0</v>
      </c>
      <c r="R38" s="197">
        <v>0</v>
      </c>
      <c r="S38" s="198">
        <v>585000</v>
      </c>
    </row>
    <row r="39" spans="1:19" ht="12.75" customHeight="1" x14ac:dyDescent="0.2">
      <c r="A39" s="195" t="s">
        <v>453</v>
      </c>
      <c r="B39" s="58" t="s">
        <v>246</v>
      </c>
      <c r="C39" s="196">
        <v>15000000</v>
      </c>
      <c r="D39" s="36">
        <v>0</v>
      </c>
      <c r="E39" s="36">
        <v>0</v>
      </c>
      <c r="F39" s="36">
        <v>0</v>
      </c>
      <c r="G39" s="36">
        <v>4000000</v>
      </c>
      <c r="H39" s="36">
        <f>+C39+D39-E39+F39-G39</f>
        <v>11000000</v>
      </c>
      <c r="I39" s="197">
        <v>38400</v>
      </c>
      <c r="J39" s="197">
        <v>6445600</v>
      </c>
      <c r="K39" s="159">
        <v>38400</v>
      </c>
      <c r="L39" s="159">
        <v>6261900</v>
      </c>
      <c r="M39" s="159">
        <v>547700</v>
      </c>
      <c r="N39" s="159">
        <v>6261900</v>
      </c>
      <c r="O39" s="159">
        <v>547700</v>
      </c>
      <c r="P39" s="159">
        <v>6261900</v>
      </c>
      <c r="Q39" s="197">
        <v>183700</v>
      </c>
      <c r="R39" s="197">
        <v>0</v>
      </c>
      <c r="S39" s="198">
        <v>0</v>
      </c>
    </row>
    <row r="40" spans="1:19" s="14" customFormat="1" ht="12.75" customHeight="1" x14ac:dyDescent="0.25">
      <c r="A40" s="194" t="s">
        <v>454</v>
      </c>
      <c r="B40" s="101" t="s">
        <v>248</v>
      </c>
      <c r="C40" s="37">
        <f>+C41+C50+C54</f>
        <v>274127795</v>
      </c>
      <c r="D40" s="37">
        <f>+D41+D50+D54</f>
        <v>387037090.82999998</v>
      </c>
      <c r="E40" s="37">
        <v>0</v>
      </c>
      <c r="F40" s="37">
        <f>+F41+F50+F54</f>
        <v>68357389</v>
      </c>
      <c r="G40" s="37">
        <f>+G41+G50+G54</f>
        <v>265000000</v>
      </c>
      <c r="H40" s="37">
        <f>+H41+H50+H54</f>
        <v>464522274.82999998</v>
      </c>
      <c r="I40" s="37">
        <f>+I41+I50+I54</f>
        <v>28674522</v>
      </c>
      <c r="J40" s="37">
        <f t="shared" ref="J40:S40" si="18">+J41+J50+J54</f>
        <v>381411202</v>
      </c>
      <c r="K40" s="37">
        <f>+K41+K54+K50</f>
        <v>31102855</v>
      </c>
      <c r="L40" s="37">
        <f t="shared" si="18"/>
        <v>380411202</v>
      </c>
      <c r="M40" s="37">
        <f t="shared" si="18"/>
        <v>66309922</v>
      </c>
      <c r="N40" s="37">
        <f t="shared" si="18"/>
        <v>362247169</v>
      </c>
      <c r="O40" s="37">
        <f t="shared" si="18"/>
        <v>65035833</v>
      </c>
      <c r="P40" s="37">
        <f t="shared" si="18"/>
        <v>359523080</v>
      </c>
      <c r="Q40" s="37">
        <f t="shared" si="18"/>
        <v>1000000</v>
      </c>
      <c r="R40" s="37">
        <f t="shared" si="18"/>
        <v>18164033</v>
      </c>
      <c r="S40" s="109">
        <f t="shared" si="18"/>
        <v>2724089</v>
      </c>
    </row>
    <row r="41" spans="1:19" ht="12.75" customHeight="1" x14ac:dyDescent="0.2">
      <c r="A41" s="194" t="s">
        <v>455</v>
      </c>
      <c r="B41" s="101" t="s">
        <v>250</v>
      </c>
      <c r="C41" s="37">
        <f>SUM(C42:C49)</f>
        <v>80000000</v>
      </c>
      <c r="D41" s="37">
        <f>SUM(D42:D49)</f>
        <v>0</v>
      </c>
      <c r="E41" s="37">
        <f t="shared" ref="E41:S41" si="19">SUM(E42:E49)</f>
        <v>0</v>
      </c>
      <c r="F41" s="37">
        <f>SUM(F42:F49)</f>
        <v>2000000</v>
      </c>
      <c r="G41" s="37">
        <f>SUM(G42:G49)</f>
        <v>0</v>
      </c>
      <c r="H41" s="37">
        <f t="shared" si="19"/>
        <v>82000000</v>
      </c>
      <c r="I41" s="37">
        <f>SUM(I42:I49)</f>
        <v>4254416</v>
      </c>
      <c r="J41" s="37">
        <f t="shared" si="19"/>
        <v>69226963</v>
      </c>
      <c r="K41" s="37">
        <f>SUM(K42:K49)</f>
        <v>4254416</v>
      </c>
      <c r="L41" s="37">
        <f t="shared" si="19"/>
        <v>69226963</v>
      </c>
      <c r="M41" s="37">
        <f t="shared" si="19"/>
        <v>4254416</v>
      </c>
      <c r="N41" s="37">
        <f t="shared" si="19"/>
        <v>69226963</v>
      </c>
      <c r="O41" s="37">
        <f t="shared" si="19"/>
        <v>4254416</v>
      </c>
      <c r="P41" s="37">
        <f t="shared" si="19"/>
        <v>69226963</v>
      </c>
      <c r="Q41" s="37">
        <f t="shared" si="19"/>
        <v>0</v>
      </c>
      <c r="R41" s="37">
        <f t="shared" si="19"/>
        <v>0</v>
      </c>
      <c r="S41" s="109">
        <f t="shared" si="19"/>
        <v>0</v>
      </c>
    </row>
    <row r="42" spans="1:19" ht="12.75" customHeight="1" x14ac:dyDescent="0.2">
      <c r="A42" s="195" t="s">
        <v>456</v>
      </c>
      <c r="B42" s="58" t="s">
        <v>196</v>
      </c>
      <c r="C42" s="196">
        <v>52000000</v>
      </c>
      <c r="D42" s="36">
        <v>0</v>
      </c>
      <c r="E42" s="36">
        <v>0</v>
      </c>
      <c r="F42" s="36">
        <v>2000000</v>
      </c>
      <c r="G42" s="36">
        <v>0</v>
      </c>
      <c r="H42" s="36">
        <f t="shared" ref="H42:H49" si="20">+C42+D42-E42+F42-G42</f>
        <v>54000000</v>
      </c>
      <c r="I42" s="197">
        <v>2008711</v>
      </c>
      <c r="J42" s="197">
        <v>55261620</v>
      </c>
      <c r="K42" s="197">
        <v>2008711</v>
      </c>
      <c r="L42" s="197">
        <v>55261620</v>
      </c>
      <c r="M42" s="197">
        <v>2008711</v>
      </c>
      <c r="N42" s="197">
        <v>55261620</v>
      </c>
      <c r="O42" s="197">
        <v>2008711</v>
      </c>
      <c r="P42" s="197">
        <v>55261620</v>
      </c>
      <c r="Q42" s="197">
        <v>0</v>
      </c>
      <c r="R42" s="197">
        <v>0</v>
      </c>
      <c r="S42" s="198">
        <v>0</v>
      </c>
    </row>
    <row r="43" spans="1:19" ht="12.75" customHeight="1" x14ac:dyDescent="0.2">
      <c r="A43" s="195" t="s">
        <v>457</v>
      </c>
      <c r="B43" s="58" t="s">
        <v>198</v>
      </c>
      <c r="C43" s="196">
        <v>6000000</v>
      </c>
      <c r="D43" s="36">
        <v>0</v>
      </c>
      <c r="E43" s="36">
        <v>0</v>
      </c>
      <c r="F43" s="36">
        <v>0</v>
      </c>
      <c r="G43" s="36">
        <v>0</v>
      </c>
      <c r="H43" s="36">
        <f t="shared" si="20"/>
        <v>6000000</v>
      </c>
      <c r="I43" s="197">
        <v>0</v>
      </c>
      <c r="J43" s="197">
        <v>5638249</v>
      </c>
      <c r="K43" s="197">
        <v>0</v>
      </c>
      <c r="L43" s="197">
        <v>5638249</v>
      </c>
      <c r="M43" s="197">
        <v>0</v>
      </c>
      <c r="N43" s="197">
        <v>5638249</v>
      </c>
      <c r="O43" s="197">
        <v>0</v>
      </c>
      <c r="P43" s="197">
        <v>5638249</v>
      </c>
      <c r="Q43" s="197">
        <v>0</v>
      </c>
      <c r="R43" s="197">
        <v>0</v>
      </c>
      <c r="S43" s="198">
        <v>0</v>
      </c>
    </row>
    <row r="44" spans="1:19" ht="12.75" customHeight="1" x14ac:dyDescent="0.2">
      <c r="A44" s="195" t="s">
        <v>458</v>
      </c>
      <c r="B44" s="58" t="s">
        <v>200</v>
      </c>
      <c r="C44" s="196">
        <v>100000</v>
      </c>
      <c r="D44" s="36">
        <v>0</v>
      </c>
      <c r="E44" s="36">
        <v>0</v>
      </c>
      <c r="F44" s="36">
        <v>0</v>
      </c>
      <c r="G44" s="36">
        <v>0</v>
      </c>
      <c r="H44" s="36">
        <f t="shared" si="20"/>
        <v>100000</v>
      </c>
      <c r="I44" s="197">
        <v>0</v>
      </c>
      <c r="J44" s="197">
        <v>0</v>
      </c>
      <c r="K44" s="197">
        <v>0</v>
      </c>
      <c r="L44" s="197">
        <v>0</v>
      </c>
      <c r="M44" s="197">
        <v>0</v>
      </c>
      <c r="N44" s="197">
        <v>0</v>
      </c>
      <c r="O44" s="197">
        <v>0</v>
      </c>
      <c r="P44" s="197">
        <v>0</v>
      </c>
      <c r="Q44" s="197">
        <v>0</v>
      </c>
      <c r="R44" s="197">
        <v>0</v>
      </c>
      <c r="S44" s="198">
        <v>0</v>
      </c>
    </row>
    <row r="45" spans="1:19" ht="12.75" customHeight="1" x14ac:dyDescent="0.2">
      <c r="A45" s="195" t="s">
        <v>459</v>
      </c>
      <c r="B45" s="58" t="s">
        <v>202</v>
      </c>
      <c r="C45" s="196">
        <v>4500000</v>
      </c>
      <c r="D45" s="36">
        <v>0</v>
      </c>
      <c r="E45" s="36">
        <v>0</v>
      </c>
      <c r="F45" s="36">
        <v>0</v>
      </c>
      <c r="G45" s="36">
        <v>0</v>
      </c>
      <c r="H45" s="36">
        <f t="shared" si="20"/>
        <v>4500000</v>
      </c>
      <c r="I45" s="197">
        <v>0</v>
      </c>
      <c r="J45" s="197">
        <v>3864587</v>
      </c>
      <c r="K45" s="197">
        <v>0</v>
      </c>
      <c r="L45" s="197">
        <v>3864587</v>
      </c>
      <c r="M45" s="197">
        <v>0</v>
      </c>
      <c r="N45" s="197">
        <v>3864587</v>
      </c>
      <c r="O45" s="197">
        <v>0</v>
      </c>
      <c r="P45" s="197">
        <v>3864587</v>
      </c>
      <c r="Q45" s="197">
        <v>0</v>
      </c>
      <c r="R45" s="197">
        <v>0</v>
      </c>
      <c r="S45" s="198">
        <v>0</v>
      </c>
    </row>
    <row r="46" spans="1:19" ht="12.75" customHeight="1" x14ac:dyDescent="0.2">
      <c r="A46" s="195" t="s">
        <v>460</v>
      </c>
      <c r="B46" s="58" t="s">
        <v>256</v>
      </c>
      <c r="C46" s="196">
        <v>1000000</v>
      </c>
      <c r="D46" s="36">
        <v>0</v>
      </c>
      <c r="E46" s="36">
        <v>0</v>
      </c>
      <c r="F46" s="36">
        <v>0</v>
      </c>
      <c r="G46" s="36">
        <v>0</v>
      </c>
      <c r="H46" s="36">
        <f t="shared" si="20"/>
        <v>1000000</v>
      </c>
      <c r="I46" s="197">
        <v>0</v>
      </c>
      <c r="J46" s="197">
        <v>480104</v>
      </c>
      <c r="K46" s="197">
        <v>0</v>
      </c>
      <c r="L46" s="197">
        <v>480104</v>
      </c>
      <c r="M46" s="197">
        <v>0</v>
      </c>
      <c r="N46" s="197">
        <v>480104</v>
      </c>
      <c r="O46" s="197">
        <v>0</v>
      </c>
      <c r="P46" s="197">
        <v>480104</v>
      </c>
      <c r="Q46" s="197">
        <v>0</v>
      </c>
      <c r="R46" s="197">
        <v>0</v>
      </c>
      <c r="S46" s="198">
        <v>0</v>
      </c>
    </row>
    <row r="47" spans="1:19" ht="12.75" customHeight="1" x14ac:dyDescent="0.2">
      <c r="A47" s="195" t="s">
        <v>461</v>
      </c>
      <c r="B47" s="58" t="s">
        <v>258</v>
      </c>
      <c r="C47" s="196">
        <v>1000000</v>
      </c>
      <c r="D47" s="36">
        <v>0</v>
      </c>
      <c r="E47" s="36">
        <v>0</v>
      </c>
      <c r="F47" s="36">
        <v>0</v>
      </c>
      <c r="G47" s="36">
        <v>0</v>
      </c>
      <c r="H47" s="36">
        <f t="shared" si="20"/>
        <v>1000000</v>
      </c>
      <c r="I47" s="197">
        <v>0</v>
      </c>
      <c r="J47" s="197">
        <v>703049</v>
      </c>
      <c r="K47" s="197">
        <v>0</v>
      </c>
      <c r="L47" s="197">
        <v>703049</v>
      </c>
      <c r="M47" s="197">
        <v>0</v>
      </c>
      <c r="N47" s="197">
        <v>703049</v>
      </c>
      <c r="O47" s="197">
        <v>0</v>
      </c>
      <c r="P47" s="197">
        <v>703049</v>
      </c>
      <c r="Q47" s="197">
        <v>0</v>
      </c>
      <c r="R47" s="197">
        <v>0</v>
      </c>
      <c r="S47" s="198">
        <v>0</v>
      </c>
    </row>
    <row r="48" spans="1:19" ht="12.75" customHeight="1" x14ac:dyDescent="0.2">
      <c r="A48" s="195" t="s">
        <v>462</v>
      </c>
      <c r="B48" s="58" t="s">
        <v>208</v>
      </c>
      <c r="C48" s="196">
        <v>5000000</v>
      </c>
      <c r="D48" s="36">
        <v>0</v>
      </c>
      <c r="E48" s="36">
        <v>0</v>
      </c>
      <c r="F48" s="36">
        <v>0</v>
      </c>
      <c r="G48" s="36">
        <v>0</v>
      </c>
      <c r="H48" s="36">
        <f t="shared" si="20"/>
        <v>5000000</v>
      </c>
      <c r="I48" s="197">
        <v>0</v>
      </c>
      <c r="J48" s="197">
        <v>1033649</v>
      </c>
      <c r="K48" s="197">
        <v>0</v>
      </c>
      <c r="L48" s="197">
        <v>1033649</v>
      </c>
      <c r="M48" s="197">
        <v>0</v>
      </c>
      <c r="N48" s="197">
        <v>1033649</v>
      </c>
      <c r="O48" s="197">
        <v>0</v>
      </c>
      <c r="P48" s="197">
        <v>1033649</v>
      </c>
      <c r="Q48" s="197">
        <v>0</v>
      </c>
      <c r="R48" s="197">
        <v>0</v>
      </c>
      <c r="S48" s="198">
        <v>0</v>
      </c>
    </row>
    <row r="49" spans="1:19" ht="12.75" customHeight="1" x14ac:dyDescent="0.2">
      <c r="A49" s="195" t="s">
        <v>463</v>
      </c>
      <c r="B49" s="58" t="s">
        <v>210</v>
      </c>
      <c r="C49" s="196">
        <v>10400000</v>
      </c>
      <c r="D49" s="36">
        <v>0</v>
      </c>
      <c r="E49" s="36">
        <v>0</v>
      </c>
      <c r="F49" s="36">
        <v>0</v>
      </c>
      <c r="G49" s="36">
        <v>0</v>
      </c>
      <c r="H49" s="36">
        <f t="shared" si="20"/>
        <v>10400000</v>
      </c>
      <c r="I49" s="197">
        <v>2245705</v>
      </c>
      <c r="J49" s="197">
        <v>2245705</v>
      </c>
      <c r="K49" s="197">
        <v>2245705</v>
      </c>
      <c r="L49" s="197">
        <v>2245705</v>
      </c>
      <c r="M49" s="197">
        <v>2245705</v>
      </c>
      <c r="N49" s="197">
        <v>2245705</v>
      </c>
      <c r="O49" s="197">
        <v>2245705</v>
      </c>
      <c r="P49" s="197">
        <v>2245705</v>
      </c>
      <c r="Q49" s="197">
        <v>0</v>
      </c>
      <c r="R49" s="197">
        <v>0</v>
      </c>
      <c r="S49" s="198">
        <v>0</v>
      </c>
    </row>
    <row r="50" spans="1:19" s="14" customFormat="1" ht="12.75" customHeight="1" x14ac:dyDescent="0.25">
      <c r="A50" s="194" t="s">
        <v>464</v>
      </c>
      <c r="B50" s="101" t="s">
        <v>262</v>
      </c>
      <c r="C50" s="37">
        <f>SUM(C51:C53)</f>
        <v>134127795</v>
      </c>
      <c r="D50" s="37">
        <f>SUM(D51:D53)</f>
        <v>387037090.82999998</v>
      </c>
      <c r="E50" s="37">
        <f t="shared" ref="E50:S50" si="21">SUM(E51:E53)</f>
        <v>0</v>
      </c>
      <c r="F50" s="37">
        <f>SUM(F51:F53)</f>
        <v>66357389</v>
      </c>
      <c r="G50" s="37">
        <f t="shared" si="21"/>
        <v>257000000</v>
      </c>
      <c r="H50" s="37">
        <f t="shared" si="21"/>
        <v>330522274.82999998</v>
      </c>
      <c r="I50" s="37">
        <f>SUM(I51:I53)</f>
        <v>21081667</v>
      </c>
      <c r="J50" s="37">
        <f t="shared" si="21"/>
        <v>290962600</v>
      </c>
      <c r="K50" s="37">
        <f t="shared" si="21"/>
        <v>23510000</v>
      </c>
      <c r="L50" s="37">
        <f t="shared" si="21"/>
        <v>289962600</v>
      </c>
      <c r="M50" s="37">
        <f t="shared" si="21"/>
        <v>58717767</v>
      </c>
      <c r="N50" s="37">
        <f t="shared" si="21"/>
        <v>271799267</v>
      </c>
      <c r="O50" s="37">
        <f t="shared" si="21"/>
        <v>60167767</v>
      </c>
      <c r="P50" s="37">
        <f t="shared" si="21"/>
        <v>271799267</v>
      </c>
      <c r="Q50" s="37">
        <f t="shared" si="21"/>
        <v>1000000</v>
      </c>
      <c r="R50" s="37">
        <f t="shared" si="21"/>
        <v>18163333</v>
      </c>
      <c r="S50" s="109">
        <f t="shared" si="21"/>
        <v>0</v>
      </c>
    </row>
    <row r="51" spans="1:19" ht="12.75" customHeight="1" x14ac:dyDescent="0.2">
      <c r="A51" s="195" t="s">
        <v>465</v>
      </c>
      <c r="B51" s="58" t="s">
        <v>215</v>
      </c>
      <c r="C51" s="196">
        <v>1500000</v>
      </c>
      <c r="D51" s="36">
        <v>0</v>
      </c>
      <c r="E51" s="36">
        <v>0</v>
      </c>
      <c r="F51" s="36">
        <v>0</v>
      </c>
      <c r="G51" s="36">
        <v>400000</v>
      </c>
      <c r="H51" s="36">
        <f>+C51+D51-E51+F51-G51</f>
        <v>1100000</v>
      </c>
      <c r="I51" s="197">
        <v>0</v>
      </c>
      <c r="J51" s="197">
        <v>0</v>
      </c>
      <c r="K51" s="197">
        <v>0</v>
      </c>
      <c r="L51" s="197">
        <v>0</v>
      </c>
      <c r="M51" s="197">
        <v>0</v>
      </c>
      <c r="N51" s="197">
        <v>0</v>
      </c>
      <c r="O51" s="197">
        <v>0</v>
      </c>
      <c r="P51" s="197">
        <v>0</v>
      </c>
      <c r="Q51" s="197">
        <v>0</v>
      </c>
      <c r="R51" s="197">
        <v>0</v>
      </c>
      <c r="S51" s="198">
        <v>0</v>
      </c>
    </row>
    <row r="52" spans="1:19" ht="12.75" customHeight="1" x14ac:dyDescent="0.2">
      <c r="A52" s="195" t="s">
        <v>466</v>
      </c>
      <c r="B52" s="58" t="s">
        <v>217</v>
      </c>
      <c r="C52" s="196">
        <v>82627795</v>
      </c>
      <c r="D52" s="36">
        <f>51000000+150000000+10000000</f>
        <v>211000000</v>
      </c>
      <c r="E52" s="36">
        <v>0</v>
      </c>
      <c r="F52" s="36">
        <f>18000000+18000000</f>
        <v>36000000</v>
      </c>
      <c r="G52" s="36">
        <f>30000000+73000000+2000000</f>
        <v>105000000</v>
      </c>
      <c r="H52" s="36">
        <f>+C52+D52-E52+F52-G52</f>
        <v>224627795</v>
      </c>
      <c r="I52" s="197">
        <v>17681667</v>
      </c>
      <c r="J52" s="197">
        <v>178384267</v>
      </c>
      <c r="K52" s="197">
        <v>17681667</v>
      </c>
      <c r="L52" s="197">
        <v>177384267</v>
      </c>
      <c r="M52" s="197">
        <v>47012767</v>
      </c>
      <c r="N52" s="197">
        <v>160394267</v>
      </c>
      <c r="O52" s="197">
        <v>47012767</v>
      </c>
      <c r="P52" s="197">
        <v>160394267</v>
      </c>
      <c r="Q52" s="197">
        <v>1000000</v>
      </c>
      <c r="R52" s="197">
        <v>16990000</v>
      </c>
      <c r="S52" s="198">
        <v>0</v>
      </c>
    </row>
    <row r="53" spans="1:19" ht="12.75" customHeight="1" x14ac:dyDescent="0.2">
      <c r="A53" s="195" t="s">
        <v>467</v>
      </c>
      <c r="B53" s="58" t="s">
        <v>266</v>
      </c>
      <c r="C53" s="196">
        <v>50000000</v>
      </c>
      <c r="D53" s="36">
        <f>49379485+121657605.83+5000000</f>
        <v>176037090.82999998</v>
      </c>
      <c r="E53" s="36">
        <v>0</v>
      </c>
      <c r="F53" s="36">
        <f>15000000+15357389</f>
        <v>30357389</v>
      </c>
      <c r="G53" s="36">
        <f>35000000+100000000+15000000+1600000</f>
        <v>151600000</v>
      </c>
      <c r="H53" s="36">
        <f>+C53+D53-E53+F53-G53</f>
        <v>104794479.82999998</v>
      </c>
      <c r="I53" s="197">
        <v>3400000</v>
      </c>
      <c r="J53" s="197">
        <v>112578333</v>
      </c>
      <c r="K53" s="197">
        <v>5828333</v>
      </c>
      <c r="L53" s="197">
        <v>112578333</v>
      </c>
      <c r="M53" s="197">
        <v>11705000</v>
      </c>
      <c r="N53" s="197">
        <v>111405000</v>
      </c>
      <c r="O53" s="197">
        <v>13155000</v>
      </c>
      <c r="P53" s="197">
        <v>111405000</v>
      </c>
      <c r="Q53" s="197">
        <v>0</v>
      </c>
      <c r="R53" s="197">
        <v>1173333</v>
      </c>
      <c r="S53" s="198">
        <v>0</v>
      </c>
    </row>
    <row r="54" spans="1:19" s="14" customFormat="1" ht="12.75" customHeight="1" x14ac:dyDescent="0.25">
      <c r="A54" s="194" t="s">
        <v>468</v>
      </c>
      <c r="B54" s="101" t="s">
        <v>268</v>
      </c>
      <c r="C54" s="37">
        <f>+C55+C59+C63</f>
        <v>60000000</v>
      </c>
      <c r="D54" s="37">
        <f>+D55+D59+D63</f>
        <v>0</v>
      </c>
      <c r="E54" s="37">
        <v>0</v>
      </c>
      <c r="F54" s="37">
        <f>+F55+F59+F63</f>
        <v>0</v>
      </c>
      <c r="G54" s="37">
        <f>+G55+G59</f>
        <v>8000000</v>
      </c>
      <c r="H54" s="37">
        <f t="shared" ref="H54:S54" si="22">+H55+H59+H63</f>
        <v>52000000</v>
      </c>
      <c r="I54" s="37">
        <f>+I55+I59+I63</f>
        <v>3338439</v>
      </c>
      <c r="J54" s="37">
        <f t="shared" si="22"/>
        <v>21221639</v>
      </c>
      <c r="K54" s="37">
        <f>+K55+K59+K63</f>
        <v>3338439</v>
      </c>
      <c r="L54" s="37">
        <f t="shared" si="22"/>
        <v>21221639</v>
      </c>
      <c r="M54" s="37">
        <f t="shared" si="22"/>
        <v>3337739</v>
      </c>
      <c r="N54" s="37">
        <f t="shared" si="22"/>
        <v>21220939</v>
      </c>
      <c r="O54" s="37">
        <f t="shared" si="22"/>
        <v>613650</v>
      </c>
      <c r="P54" s="37">
        <f t="shared" si="22"/>
        <v>18496850</v>
      </c>
      <c r="Q54" s="37">
        <f t="shared" si="22"/>
        <v>0</v>
      </c>
      <c r="R54" s="37">
        <f t="shared" si="22"/>
        <v>700</v>
      </c>
      <c r="S54" s="109">
        <f t="shared" si="22"/>
        <v>2724089</v>
      </c>
    </row>
    <row r="55" spans="1:19" s="14" customFormat="1" ht="12.75" customHeight="1" x14ac:dyDescent="0.25">
      <c r="A55" s="194" t="s">
        <v>469</v>
      </c>
      <c r="B55" s="101" t="s">
        <v>59</v>
      </c>
      <c r="C55" s="37">
        <f>SUM(C56:C58)</f>
        <v>33000000</v>
      </c>
      <c r="D55" s="37">
        <f>SUM(D56:D58)</f>
        <v>0</v>
      </c>
      <c r="E55" s="37">
        <f t="shared" ref="E55:S55" si="23">SUM(E56:E58)</f>
        <v>0</v>
      </c>
      <c r="F55" s="37">
        <f>SUM(F56:F58)</f>
        <v>0</v>
      </c>
      <c r="G55" s="37">
        <f t="shared" si="23"/>
        <v>8000000</v>
      </c>
      <c r="H55" s="37">
        <f t="shared" si="23"/>
        <v>25000000</v>
      </c>
      <c r="I55" s="37">
        <f>SUM(I56:I58)</f>
        <v>0</v>
      </c>
      <c r="J55" s="37">
        <f t="shared" si="23"/>
        <v>4251300</v>
      </c>
      <c r="K55" s="37">
        <f t="shared" si="23"/>
        <v>0</v>
      </c>
      <c r="L55" s="37">
        <f t="shared" si="23"/>
        <v>4251300</v>
      </c>
      <c r="M55" s="37">
        <f t="shared" si="23"/>
        <v>0</v>
      </c>
      <c r="N55" s="37">
        <f t="shared" si="23"/>
        <v>4251300</v>
      </c>
      <c r="O55" s="37">
        <f t="shared" si="23"/>
        <v>0</v>
      </c>
      <c r="P55" s="37">
        <f t="shared" si="23"/>
        <v>4251300</v>
      </c>
      <c r="Q55" s="37">
        <f t="shared" si="23"/>
        <v>0</v>
      </c>
      <c r="R55" s="37">
        <f t="shared" si="23"/>
        <v>0</v>
      </c>
      <c r="S55" s="109">
        <f t="shared" si="23"/>
        <v>0</v>
      </c>
    </row>
    <row r="56" spans="1:19" ht="12.75" customHeight="1" x14ac:dyDescent="0.2">
      <c r="A56" s="195" t="s">
        <v>470</v>
      </c>
      <c r="B56" s="58" t="s">
        <v>233</v>
      </c>
      <c r="C56" s="196">
        <v>13000000</v>
      </c>
      <c r="D56" s="36">
        <v>0</v>
      </c>
      <c r="E56" s="36">
        <v>0</v>
      </c>
      <c r="F56" s="36">
        <v>0</v>
      </c>
      <c r="G56" s="36">
        <v>5000000</v>
      </c>
      <c r="H56" s="36">
        <f>+C56+D56-E56+F56-G56</f>
        <v>8000000</v>
      </c>
      <c r="I56" s="197">
        <v>0</v>
      </c>
      <c r="J56" s="197">
        <v>4251300</v>
      </c>
      <c r="K56" s="197">
        <v>0</v>
      </c>
      <c r="L56" s="197">
        <v>4251300</v>
      </c>
      <c r="M56" s="197">
        <v>0</v>
      </c>
      <c r="N56" s="197">
        <v>4251300</v>
      </c>
      <c r="O56" s="197">
        <v>0</v>
      </c>
      <c r="P56" s="197">
        <v>4251300</v>
      </c>
      <c r="Q56" s="197">
        <v>0</v>
      </c>
      <c r="R56" s="197">
        <v>0</v>
      </c>
      <c r="S56" s="198">
        <v>0</v>
      </c>
    </row>
    <row r="57" spans="1:19" ht="12.75" customHeight="1" x14ac:dyDescent="0.2">
      <c r="A57" s="195" t="s">
        <v>471</v>
      </c>
      <c r="B57" s="58" t="s">
        <v>227</v>
      </c>
      <c r="C57" s="196">
        <v>15000000</v>
      </c>
      <c r="D57" s="36">
        <v>0</v>
      </c>
      <c r="E57" s="36">
        <v>0</v>
      </c>
      <c r="F57" s="36">
        <v>0</v>
      </c>
      <c r="G57" s="36">
        <f>3000000</f>
        <v>3000000</v>
      </c>
      <c r="H57" s="36">
        <f>+C57+D57-E57+F57-G57</f>
        <v>12000000</v>
      </c>
      <c r="I57" s="197">
        <v>0</v>
      </c>
      <c r="J57" s="197">
        <v>0</v>
      </c>
      <c r="K57" s="197">
        <v>0</v>
      </c>
      <c r="L57" s="197">
        <v>0</v>
      </c>
      <c r="M57" s="197">
        <v>0</v>
      </c>
      <c r="N57" s="197">
        <v>0</v>
      </c>
      <c r="O57" s="197">
        <v>0</v>
      </c>
      <c r="P57" s="197">
        <v>0</v>
      </c>
      <c r="Q57" s="197">
        <v>0</v>
      </c>
      <c r="R57" s="197">
        <v>0</v>
      </c>
      <c r="S57" s="198">
        <v>0</v>
      </c>
    </row>
    <row r="58" spans="1:19" ht="12.75" customHeight="1" x14ac:dyDescent="0.2">
      <c r="A58" s="195" t="s">
        <v>472</v>
      </c>
      <c r="B58" s="58" t="s">
        <v>229</v>
      </c>
      <c r="C58" s="196">
        <v>5000000</v>
      </c>
      <c r="D58" s="36">
        <v>0</v>
      </c>
      <c r="E58" s="36">
        <v>0</v>
      </c>
      <c r="F58" s="36">
        <v>0</v>
      </c>
      <c r="G58" s="36">
        <v>0</v>
      </c>
      <c r="H58" s="36">
        <f>+C58+D58-E58+F58-G58</f>
        <v>5000000</v>
      </c>
      <c r="I58" s="197">
        <v>0</v>
      </c>
      <c r="J58" s="197">
        <v>0</v>
      </c>
      <c r="K58" s="197">
        <v>0</v>
      </c>
      <c r="L58" s="197">
        <v>0</v>
      </c>
      <c r="M58" s="197">
        <v>0</v>
      </c>
      <c r="N58" s="197">
        <v>0</v>
      </c>
      <c r="O58" s="197">
        <v>0</v>
      </c>
      <c r="P58" s="197">
        <v>0</v>
      </c>
      <c r="Q58" s="197">
        <v>0</v>
      </c>
      <c r="R58" s="197">
        <v>0</v>
      </c>
      <c r="S58" s="198">
        <v>0</v>
      </c>
    </row>
    <row r="59" spans="1:19" s="14" customFormat="1" ht="12.75" customHeight="1" x14ac:dyDescent="0.25">
      <c r="A59" s="194" t="s">
        <v>473</v>
      </c>
      <c r="B59" s="101" t="s">
        <v>67</v>
      </c>
      <c r="C59" s="37">
        <f>SUM(C60:C62)</f>
        <v>15000000</v>
      </c>
      <c r="D59" s="37">
        <f>SUM(D60:D62)</f>
        <v>0</v>
      </c>
      <c r="E59" s="37">
        <v>0</v>
      </c>
      <c r="F59" s="37">
        <f>SUM(F60:F62)</f>
        <v>0</v>
      </c>
      <c r="G59" s="37">
        <f>SUM(G60:G62)</f>
        <v>0</v>
      </c>
      <c r="H59" s="37">
        <f>SUM(H60:H62)</f>
        <v>15000000</v>
      </c>
      <c r="I59" s="37">
        <f>SUM(I60:I62)</f>
        <v>3144589</v>
      </c>
      <c r="J59" s="37">
        <f t="shared" ref="J59:S59" si="24">SUM(J60:J62)</f>
        <v>11246489</v>
      </c>
      <c r="K59" s="37">
        <f t="shared" si="24"/>
        <v>3144589</v>
      </c>
      <c r="L59" s="37">
        <f t="shared" si="24"/>
        <v>11246489</v>
      </c>
      <c r="M59" s="37">
        <f t="shared" si="24"/>
        <v>3143889</v>
      </c>
      <c r="N59" s="37">
        <f t="shared" si="24"/>
        <v>11245789</v>
      </c>
      <c r="O59" s="37">
        <f t="shared" si="24"/>
        <v>419800</v>
      </c>
      <c r="P59" s="37">
        <f t="shared" si="24"/>
        <v>8521700</v>
      </c>
      <c r="Q59" s="37">
        <f t="shared" si="24"/>
        <v>0</v>
      </c>
      <c r="R59" s="37">
        <f t="shared" si="24"/>
        <v>700</v>
      </c>
      <c r="S59" s="109">
        <f t="shared" si="24"/>
        <v>2724089</v>
      </c>
    </row>
    <row r="60" spans="1:19" ht="12.75" customHeight="1" x14ac:dyDescent="0.2">
      <c r="A60" s="195" t="s">
        <v>474</v>
      </c>
      <c r="B60" s="58" t="s">
        <v>233</v>
      </c>
      <c r="C60" s="196">
        <v>5000000</v>
      </c>
      <c r="D60" s="36">
        <v>0</v>
      </c>
      <c r="E60" s="36">
        <v>0</v>
      </c>
      <c r="F60" s="36">
        <v>0</v>
      </c>
      <c r="G60" s="36">
        <v>0</v>
      </c>
      <c r="H60" s="36">
        <f>+C60+D60-E60+F60-G60</f>
        <v>5000000</v>
      </c>
      <c r="I60" s="197">
        <v>241000</v>
      </c>
      <c r="J60" s="197">
        <v>3382500</v>
      </c>
      <c r="K60" s="197">
        <v>241000</v>
      </c>
      <c r="L60" s="197">
        <v>3382500</v>
      </c>
      <c r="M60" s="197">
        <v>241000</v>
      </c>
      <c r="N60" s="197">
        <v>3382500</v>
      </c>
      <c r="O60" s="197">
        <v>241000</v>
      </c>
      <c r="P60" s="197">
        <v>3382500</v>
      </c>
      <c r="Q60" s="197">
        <v>0</v>
      </c>
      <c r="R60" s="197">
        <v>0</v>
      </c>
      <c r="S60" s="198">
        <v>0</v>
      </c>
    </row>
    <row r="61" spans="1:19" ht="12.75" customHeight="1" x14ac:dyDescent="0.2">
      <c r="A61" s="195" t="s">
        <v>475</v>
      </c>
      <c r="B61" s="58" t="s">
        <v>276</v>
      </c>
      <c r="C61" s="196">
        <v>3000000</v>
      </c>
      <c r="D61" s="36">
        <v>0</v>
      </c>
      <c r="E61" s="36">
        <v>0</v>
      </c>
      <c r="F61" s="36">
        <v>0</v>
      </c>
      <c r="G61" s="36">
        <v>0</v>
      </c>
      <c r="H61" s="36">
        <f>+C61+D61-E61+F61-G61</f>
        <v>3000000</v>
      </c>
      <c r="I61" s="197">
        <v>2724789</v>
      </c>
      <c r="J61" s="197">
        <v>2724789</v>
      </c>
      <c r="K61" s="197">
        <v>2724789</v>
      </c>
      <c r="L61" s="197">
        <v>2724789</v>
      </c>
      <c r="M61" s="197">
        <v>2724089</v>
      </c>
      <c r="N61" s="197">
        <v>2724089</v>
      </c>
      <c r="O61" s="197">
        <v>0</v>
      </c>
      <c r="P61" s="197">
        <v>0</v>
      </c>
      <c r="Q61" s="197">
        <v>0</v>
      </c>
      <c r="R61" s="197">
        <v>700</v>
      </c>
      <c r="S61" s="198">
        <v>2724089</v>
      </c>
    </row>
    <row r="62" spans="1:19" ht="12.75" customHeight="1" x14ac:dyDescent="0.2">
      <c r="A62" s="195" t="s">
        <v>476</v>
      </c>
      <c r="B62" s="58" t="s">
        <v>229</v>
      </c>
      <c r="C62" s="196">
        <v>7000000</v>
      </c>
      <c r="D62" s="36">
        <v>0</v>
      </c>
      <c r="E62" s="36">
        <v>0</v>
      </c>
      <c r="F62" s="36">
        <v>0</v>
      </c>
      <c r="G62" s="36">
        <v>0</v>
      </c>
      <c r="H62" s="36">
        <f>+C62+D62-E62+F62-G62</f>
        <v>7000000</v>
      </c>
      <c r="I62" s="197">
        <v>178800</v>
      </c>
      <c r="J62" s="197">
        <v>5139200</v>
      </c>
      <c r="K62" s="197">
        <v>178800</v>
      </c>
      <c r="L62" s="197">
        <v>5139200</v>
      </c>
      <c r="M62" s="197">
        <v>178800</v>
      </c>
      <c r="N62" s="197">
        <v>5139200</v>
      </c>
      <c r="O62" s="197">
        <v>178800</v>
      </c>
      <c r="P62" s="197">
        <v>5139200</v>
      </c>
      <c r="Q62" s="197">
        <v>0</v>
      </c>
      <c r="R62" s="197">
        <v>0</v>
      </c>
      <c r="S62" s="198">
        <v>0</v>
      </c>
    </row>
    <row r="63" spans="1:19" s="14" customFormat="1" ht="12.75" customHeight="1" x14ac:dyDescent="0.25">
      <c r="A63" s="194" t="s">
        <v>477</v>
      </c>
      <c r="B63" s="101" t="s">
        <v>238</v>
      </c>
      <c r="C63" s="37">
        <f>SUM(C64:C67)</f>
        <v>12000000</v>
      </c>
      <c r="D63" s="37">
        <f>SUM(D64:D67)</f>
        <v>0</v>
      </c>
      <c r="E63" s="37">
        <f t="shared" ref="E63:S63" si="25">SUM(E64:E67)</f>
        <v>0</v>
      </c>
      <c r="F63" s="37">
        <f>SUM(F64:F67)</f>
        <v>0</v>
      </c>
      <c r="G63" s="37">
        <f t="shared" si="25"/>
        <v>0</v>
      </c>
      <c r="H63" s="37">
        <f t="shared" si="25"/>
        <v>12000000</v>
      </c>
      <c r="I63" s="37">
        <f>SUM(I64:I67)</f>
        <v>193850</v>
      </c>
      <c r="J63" s="37">
        <f t="shared" si="25"/>
        <v>5723850</v>
      </c>
      <c r="K63" s="37">
        <f t="shared" si="25"/>
        <v>193850</v>
      </c>
      <c r="L63" s="37">
        <f t="shared" si="25"/>
        <v>5723850</v>
      </c>
      <c r="M63" s="37">
        <f t="shared" si="25"/>
        <v>193850</v>
      </c>
      <c r="N63" s="37">
        <f t="shared" si="25"/>
        <v>5723850</v>
      </c>
      <c r="O63" s="37">
        <f t="shared" si="25"/>
        <v>193850</v>
      </c>
      <c r="P63" s="37">
        <f t="shared" si="25"/>
        <v>5723850</v>
      </c>
      <c r="Q63" s="37">
        <f t="shared" si="25"/>
        <v>0</v>
      </c>
      <c r="R63" s="37">
        <f t="shared" si="25"/>
        <v>0</v>
      </c>
      <c r="S63" s="109">
        <f t="shared" si="25"/>
        <v>0</v>
      </c>
    </row>
    <row r="64" spans="1:19" ht="12.75" customHeight="1" x14ac:dyDescent="0.2">
      <c r="A64" s="195" t="s">
        <v>478</v>
      </c>
      <c r="B64" s="58" t="s">
        <v>240</v>
      </c>
      <c r="C64" s="196">
        <v>3500000</v>
      </c>
      <c r="D64" s="36">
        <v>0</v>
      </c>
      <c r="E64" s="36">
        <v>0</v>
      </c>
      <c r="F64" s="36">
        <v>0</v>
      </c>
      <c r="G64" s="36">
        <v>0</v>
      </c>
      <c r="H64" s="36">
        <f>+C64+D64-E64+F64-G64</f>
        <v>3500000</v>
      </c>
      <c r="I64" s="197">
        <v>62750</v>
      </c>
      <c r="J64" s="197">
        <v>1814150</v>
      </c>
      <c r="K64" s="197">
        <v>62750</v>
      </c>
      <c r="L64" s="197">
        <v>1814150</v>
      </c>
      <c r="M64" s="197">
        <v>62750</v>
      </c>
      <c r="N64" s="197">
        <v>1814150</v>
      </c>
      <c r="O64" s="197">
        <v>62750</v>
      </c>
      <c r="P64" s="197">
        <v>1814150</v>
      </c>
      <c r="Q64" s="197">
        <v>0</v>
      </c>
      <c r="R64" s="197">
        <v>0</v>
      </c>
      <c r="S64" s="198">
        <v>0</v>
      </c>
    </row>
    <row r="65" spans="1:19" ht="12.75" customHeight="1" x14ac:dyDescent="0.2">
      <c r="A65" s="195" t="s">
        <v>479</v>
      </c>
      <c r="B65" s="58" t="s">
        <v>242</v>
      </c>
      <c r="C65" s="196">
        <v>2900000</v>
      </c>
      <c r="D65" s="36">
        <v>0</v>
      </c>
      <c r="E65" s="36">
        <v>0</v>
      </c>
      <c r="F65" s="36">
        <v>0</v>
      </c>
      <c r="G65" s="36">
        <v>0</v>
      </c>
      <c r="H65" s="36">
        <f>+C65+D65-E65+F65-G65</f>
        <v>2900000</v>
      </c>
      <c r="I65" s="197">
        <v>40200</v>
      </c>
      <c r="J65" s="197">
        <v>1208100</v>
      </c>
      <c r="K65" s="197">
        <v>40200</v>
      </c>
      <c r="L65" s="197">
        <v>1208100</v>
      </c>
      <c r="M65" s="197">
        <v>40200</v>
      </c>
      <c r="N65" s="197">
        <v>1208100</v>
      </c>
      <c r="O65" s="197">
        <v>40200</v>
      </c>
      <c r="P65" s="197">
        <v>1208100</v>
      </c>
      <c r="Q65" s="197">
        <v>0</v>
      </c>
      <c r="R65" s="197">
        <v>0</v>
      </c>
      <c r="S65" s="198">
        <v>0</v>
      </c>
    </row>
    <row r="66" spans="1:19" ht="12.75" customHeight="1" x14ac:dyDescent="0.2">
      <c r="A66" s="195" t="s">
        <v>480</v>
      </c>
      <c r="B66" s="58" t="s">
        <v>244</v>
      </c>
      <c r="C66" s="196">
        <v>5000000</v>
      </c>
      <c r="D66" s="36">
        <v>0</v>
      </c>
      <c r="E66" s="36">
        <v>0</v>
      </c>
      <c r="F66" s="36">
        <v>0</v>
      </c>
      <c r="G66" s="36">
        <v>0</v>
      </c>
      <c r="H66" s="36">
        <f>+C66+D66-E66+F66-G66</f>
        <v>5000000</v>
      </c>
      <c r="I66" s="197">
        <v>80400</v>
      </c>
      <c r="J66" s="197">
        <v>2416000</v>
      </c>
      <c r="K66" s="197">
        <v>80400</v>
      </c>
      <c r="L66" s="197">
        <v>2416000</v>
      </c>
      <c r="M66" s="197">
        <v>80400</v>
      </c>
      <c r="N66" s="197">
        <v>2416000</v>
      </c>
      <c r="O66" s="197">
        <v>80400</v>
      </c>
      <c r="P66" s="197">
        <v>2416000</v>
      </c>
      <c r="Q66" s="197">
        <v>0</v>
      </c>
      <c r="R66" s="197">
        <v>0</v>
      </c>
      <c r="S66" s="198">
        <v>0</v>
      </c>
    </row>
    <row r="67" spans="1:19" ht="12.75" customHeight="1" x14ac:dyDescent="0.2">
      <c r="A67" s="195" t="s">
        <v>481</v>
      </c>
      <c r="B67" s="58" t="s">
        <v>246</v>
      </c>
      <c r="C67" s="196">
        <v>600000</v>
      </c>
      <c r="D67" s="36">
        <v>0</v>
      </c>
      <c r="E67" s="36">
        <v>0</v>
      </c>
      <c r="F67" s="36">
        <v>0</v>
      </c>
      <c r="G67" s="36">
        <v>0</v>
      </c>
      <c r="H67" s="36">
        <f>+C67+D67-E67+F67-G67</f>
        <v>600000</v>
      </c>
      <c r="I67" s="197">
        <v>10500</v>
      </c>
      <c r="J67" s="197">
        <v>285600</v>
      </c>
      <c r="K67" s="197">
        <v>10500</v>
      </c>
      <c r="L67" s="197">
        <v>285600</v>
      </c>
      <c r="M67" s="197">
        <v>10500</v>
      </c>
      <c r="N67" s="197">
        <v>285600</v>
      </c>
      <c r="O67" s="197">
        <v>10500</v>
      </c>
      <c r="P67" s="197">
        <v>285600</v>
      </c>
      <c r="Q67" s="197">
        <v>0</v>
      </c>
      <c r="R67" s="197">
        <v>0</v>
      </c>
      <c r="S67" s="198">
        <v>0</v>
      </c>
    </row>
    <row r="68" spans="1:19" s="14" customFormat="1" ht="12.75" customHeight="1" x14ac:dyDescent="0.25">
      <c r="A68" s="194" t="s">
        <v>79</v>
      </c>
      <c r="B68" s="101" t="s">
        <v>80</v>
      </c>
      <c r="C68" s="37">
        <f>+C95+C69</f>
        <v>2435000000</v>
      </c>
      <c r="D68" s="37">
        <f>+D95+D69</f>
        <v>152000000</v>
      </c>
      <c r="E68" s="37">
        <f>+E95+E69</f>
        <v>0</v>
      </c>
      <c r="F68" s="37">
        <f>+F95+F69</f>
        <v>532733810</v>
      </c>
      <c r="G68" s="37">
        <f t="shared" ref="G68:S68" si="26">+G95+G69</f>
        <v>372381192</v>
      </c>
      <c r="H68" s="37">
        <f t="shared" si="26"/>
        <v>2747352618</v>
      </c>
      <c r="I68" s="37">
        <f t="shared" si="26"/>
        <v>47361163</v>
      </c>
      <c r="J68" s="37">
        <f t="shared" si="26"/>
        <v>2598167877.5500002</v>
      </c>
      <c r="K68" s="37">
        <f t="shared" si="26"/>
        <v>54050323</v>
      </c>
      <c r="L68" s="37">
        <f t="shared" si="26"/>
        <v>2593821873.5500002</v>
      </c>
      <c r="M68" s="37">
        <f t="shared" si="26"/>
        <v>218661636</v>
      </c>
      <c r="N68" s="37">
        <f t="shared" si="26"/>
        <v>2505942183.9400001</v>
      </c>
      <c r="O68" s="37">
        <f t="shared" si="26"/>
        <v>222952078</v>
      </c>
      <c r="P68" s="37">
        <f t="shared" si="26"/>
        <v>2505942183.9400001</v>
      </c>
      <c r="Q68" s="37">
        <f t="shared" si="26"/>
        <v>4346004</v>
      </c>
      <c r="R68" s="37">
        <f t="shared" si="26"/>
        <v>87879689.609999999</v>
      </c>
      <c r="S68" s="109">
        <f t="shared" si="26"/>
        <v>0</v>
      </c>
    </row>
    <row r="69" spans="1:19" s="14" customFormat="1" ht="12.75" customHeight="1" x14ac:dyDescent="0.25">
      <c r="A69" s="194" t="s">
        <v>81</v>
      </c>
      <c r="B69" s="101" t="s">
        <v>285</v>
      </c>
      <c r="C69" s="37">
        <f>+C70+C77+C91</f>
        <v>135000000</v>
      </c>
      <c r="D69" s="37">
        <f>+D70+D77+D91</f>
        <v>20000000</v>
      </c>
      <c r="E69" s="37">
        <f t="shared" ref="E69:S69" si="27">+E70+E77+E91</f>
        <v>0</v>
      </c>
      <c r="F69" s="37">
        <f>+F70+F77+F91</f>
        <v>6757389</v>
      </c>
      <c r="G69" s="37">
        <f t="shared" si="27"/>
        <v>19757389</v>
      </c>
      <c r="H69" s="37">
        <f t="shared" si="27"/>
        <v>142000000</v>
      </c>
      <c r="I69" s="37">
        <f>+I70+I77+I91</f>
        <v>0</v>
      </c>
      <c r="J69" s="37">
        <f t="shared" si="27"/>
        <v>120347149</v>
      </c>
      <c r="K69" s="37">
        <f t="shared" si="27"/>
        <v>0</v>
      </c>
      <c r="L69" s="37">
        <f t="shared" si="27"/>
        <v>120347149</v>
      </c>
      <c r="M69" s="37">
        <f t="shared" si="27"/>
        <v>25343440</v>
      </c>
      <c r="N69" s="37">
        <f t="shared" si="27"/>
        <v>115715660</v>
      </c>
      <c r="O69" s="37">
        <f t="shared" si="27"/>
        <v>25343440</v>
      </c>
      <c r="P69" s="37">
        <f t="shared" si="27"/>
        <v>115715660</v>
      </c>
      <c r="Q69" s="37">
        <f t="shared" si="27"/>
        <v>0</v>
      </c>
      <c r="R69" s="37">
        <f t="shared" si="27"/>
        <v>4631489</v>
      </c>
      <c r="S69" s="109">
        <f t="shared" si="27"/>
        <v>0</v>
      </c>
    </row>
    <row r="70" spans="1:19" s="14" customFormat="1" ht="12.75" customHeight="1" x14ac:dyDescent="0.25">
      <c r="A70" s="194" t="s">
        <v>83</v>
      </c>
      <c r="B70" s="101" t="s">
        <v>82</v>
      </c>
      <c r="C70" s="37">
        <f>SUM(C71:C76)</f>
        <v>50000000</v>
      </c>
      <c r="D70" s="37">
        <f>SUM(D71:D76)</f>
        <v>20000000</v>
      </c>
      <c r="E70" s="37">
        <f t="shared" ref="E70:S70" si="28">SUM(E71:E76)</f>
        <v>0</v>
      </c>
      <c r="F70" s="37">
        <f>SUM(F71:F76)</f>
        <v>0</v>
      </c>
      <c r="G70" s="37">
        <f t="shared" si="28"/>
        <v>10000000</v>
      </c>
      <c r="H70" s="37">
        <f t="shared" si="28"/>
        <v>60000000</v>
      </c>
      <c r="I70" s="37">
        <f>SUM(I71:I76)</f>
        <v>0</v>
      </c>
      <c r="J70" s="37">
        <f t="shared" si="28"/>
        <v>53953630</v>
      </c>
      <c r="K70" s="37">
        <f t="shared" si="28"/>
        <v>0</v>
      </c>
      <c r="L70" s="37">
        <f t="shared" si="28"/>
        <v>53953630</v>
      </c>
      <c r="M70" s="37">
        <f t="shared" si="28"/>
        <v>21668630</v>
      </c>
      <c r="N70" s="37">
        <f t="shared" si="28"/>
        <v>49322141</v>
      </c>
      <c r="O70" s="37">
        <f t="shared" si="28"/>
        <v>21668630</v>
      </c>
      <c r="P70" s="37">
        <f t="shared" si="28"/>
        <v>49322141</v>
      </c>
      <c r="Q70" s="37">
        <f t="shared" si="28"/>
        <v>0</v>
      </c>
      <c r="R70" s="37">
        <f t="shared" si="28"/>
        <v>4631489</v>
      </c>
      <c r="S70" s="109">
        <f t="shared" si="28"/>
        <v>0</v>
      </c>
    </row>
    <row r="71" spans="1:19" ht="12.75" customHeight="1" x14ac:dyDescent="0.2">
      <c r="A71" s="195" t="s">
        <v>482</v>
      </c>
      <c r="B71" s="58" t="s">
        <v>288</v>
      </c>
      <c r="C71" s="196">
        <v>10000000</v>
      </c>
      <c r="D71" s="36">
        <v>16000000</v>
      </c>
      <c r="E71" s="36">
        <v>0</v>
      </c>
      <c r="F71" s="36">
        <v>0</v>
      </c>
      <c r="G71" s="36">
        <v>0</v>
      </c>
      <c r="H71" s="36">
        <f t="shared" ref="H71:H76" si="29">+C71+D71-E71+F71-G71</f>
        <v>26000000</v>
      </c>
      <c r="I71" s="197">
        <v>0</v>
      </c>
      <c r="J71" s="197">
        <v>19238350</v>
      </c>
      <c r="K71" s="197">
        <v>0</v>
      </c>
      <c r="L71" s="197">
        <v>19238350</v>
      </c>
      <c r="M71" s="197">
        <v>14238350</v>
      </c>
      <c r="N71" s="197">
        <v>19238350</v>
      </c>
      <c r="O71" s="197">
        <v>14238350</v>
      </c>
      <c r="P71" s="197">
        <v>19238350</v>
      </c>
      <c r="Q71" s="197">
        <v>0</v>
      </c>
      <c r="R71" s="197">
        <v>0</v>
      </c>
      <c r="S71" s="198">
        <v>0</v>
      </c>
    </row>
    <row r="72" spans="1:19" ht="12.75" customHeight="1" x14ac:dyDescent="0.2">
      <c r="A72" s="195" t="s">
        <v>483</v>
      </c>
      <c r="B72" s="58" t="s">
        <v>290</v>
      </c>
      <c r="C72" s="196">
        <v>10000000</v>
      </c>
      <c r="D72" s="36">
        <v>0</v>
      </c>
      <c r="E72" s="36">
        <v>0</v>
      </c>
      <c r="F72" s="36">
        <v>0</v>
      </c>
      <c r="G72" s="36">
        <v>0</v>
      </c>
      <c r="H72" s="36">
        <f t="shared" si="29"/>
        <v>10000000</v>
      </c>
      <c r="I72" s="197">
        <v>0</v>
      </c>
      <c r="J72" s="197">
        <v>9285000</v>
      </c>
      <c r="K72" s="197">
        <v>0</v>
      </c>
      <c r="L72" s="197">
        <v>9285000</v>
      </c>
      <c r="M72" s="197">
        <v>2000000</v>
      </c>
      <c r="N72" s="197">
        <v>9285000</v>
      </c>
      <c r="O72" s="197">
        <v>2000000</v>
      </c>
      <c r="P72" s="197">
        <v>9285000</v>
      </c>
      <c r="Q72" s="197">
        <v>0</v>
      </c>
      <c r="R72" s="197">
        <v>0</v>
      </c>
      <c r="S72" s="198">
        <v>0</v>
      </c>
    </row>
    <row r="73" spans="1:19" ht="12.75" customHeight="1" x14ac:dyDescent="0.2">
      <c r="A73" s="195" t="s">
        <v>484</v>
      </c>
      <c r="B73" s="58" t="s">
        <v>292</v>
      </c>
      <c r="C73" s="196">
        <v>1000000</v>
      </c>
      <c r="D73" s="36">
        <v>0</v>
      </c>
      <c r="E73" s="36">
        <v>0</v>
      </c>
      <c r="F73" s="36">
        <v>0</v>
      </c>
      <c r="G73" s="36">
        <v>1000000</v>
      </c>
      <c r="H73" s="36">
        <f t="shared" si="29"/>
        <v>0</v>
      </c>
      <c r="I73" s="197">
        <v>0</v>
      </c>
      <c r="J73" s="197">
        <v>0</v>
      </c>
      <c r="K73" s="197">
        <v>0</v>
      </c>
      <c r="L73" s="197">
        <v>0</v>
      </c>
      <c r="M73" s="197">
        <v>0</v>
      </c>
      <c r="N73" s="197">
        <v>0</v>
      </c>
      <c r="O73" s="197">
        <v>0</v>
      </c>
      <c r="P73" s="197">
        <v>0</v>
      </c>
      <c r="Q73" s="197">
        <v>0</v>
      </c>
      <c r="R73" s="197">
        <v>0</v>
      </c>
      <c r="S73" s="198">
        <v>0</v>
      </c>
    </row>
    <row r="74" spans="1:19" ht="12.75" customHeight="1" x14ac:dyDescent="0.2">
      <c r="A74" s="195" t="s">
        <v>485</v>
      </c>
      <c r="B74" s="58" t="s">
        <v>294</v>
      </c>
      <c r="C74" s="196">
        <v>20000000</v>
      </c>
      <c r="D74" s="36">
        <v>0</v>
      </c>
      <c r="E74" s="36">
        <v>0</v>
      </c>
      <c r="F74" s="36">
        <v>0</v>
      </c>
      <c r="G74" s="36">
        <v>0</v>
      </c>
      <c r="H74" s="36">
        <f t="shared" si="29"/>
        <v>20000000</v>
      </c>
      <c r="I74" s="197">
        <v>0</v>
      </c>
      <c r="J74" s="197">
        <v>20000000</v>
      </c>
      <c r="K74" s="197">
        <v>0</v>
      </c>
      <c r="L74" s="197">
        <v>20000000</v>
      </c>
      <c r="M74" s="197">
        <v>0</v>
      </c>
      <c r="N74" s="197">
        <v>15368511</v>
      </c>
      <c r="O74" s="197">
        <v>0</v>
      </c>
      <c r="P74" s="197">
        <v>15368511</v>
      </c>
      <c r="Q74" s="197">
        <v>0</v>
      </c>
      <c r="R74" s="197">
        <v>4631489</v>
      </c>
      <c r="S74" s="198">
        <v>0</v>
      </c>
    </row>
    <row r="75" spans="1:19" ht="12.75" customHeight="1" x14ac:dyDescent="0.2">
      <c r="A75" s="195" t="s">
        <v>486</v>
      </c>
      <c r="B75" s="58" t="s">
        <v>296</v>
      </c>
      <c r="C75" s="196">
        <v>5000000</v>
      </c>
      <c r="D75" s="36">
        <v>4000000</v>
      </c>
      <c r="E75" s="36">
        <v>0</v>
      </c>
      <c r="F75" s="36">
        <v>0</v>
      </c>
      <c r="G75" s="36">
        <v>5000000</v>
      </c>
      <c r="H75" s="36">
        <f t="shared" si="29"/>
        <v>4000000</v>
      </c>
      <c r="I75" s="197">
        <v>0</v>
      </c>
      <c r="J75" s="197">
        <v>5430280</v>
      </c>
      <c r="K75" s="197">
        <v>0</v>
      </c>
      <c r="L75" s="197">
        <v>5430280</v>
      </c>
      <c r="M75" s="197">
        <v>5430280</v>
      </c>
      <c r="N75" s="197">
        <v>5430280</v>
      </c>
      <c r="O75" s="197">
        <v>5430280</v>
      </c>
      <c r="P75" s="197">
        <v>5430280</v>
      </c>
      <c r="Q75" s="197">
        <v>0</v>
      </c>
      <c r="R75" s="197">
        <v>0</v>
      </c>
      <c r="S75" s="198">
        <v>0</v>
      </c>
    </row>
    <row r="76" spans="1:19" ht="12.75" customHeight="1" x14ac:dyDescent="0.2">
      <c r="A76" s="195" t="s">
        <v>487</v>
      </c>
      <c r="B76" s="58" t="s">
        <v>298</v>
      </c>
      <c r="C76" s="196">
        <v>4000000</v>
      </c>
      <c r="D76" s="44">
        <v>0</v>
      </c>
      <c r="E76" s="36">
        <v>0</v>
      </c>
      <c r="F76" s="36">
        <v>0</v>
      </c>
      <c r="G76" s="36">
        <v>4000000</v>
      </c>
      <c r="H76" s="36">
        <f t="shared" si="29"/>
        <v>0</v>
      </c>
      <c r="I76" s="197">
        <v>0</v>
      </c>
      <c r="J76" s="197">
        <v>0</v>
      </c>
      <c r="K76" s="197">
        <v>0</v>
      </c>
      <c r="L76" s="197">
        <v>0</v>
      </c>
      <c r="M76" s="197">
        <v>0</v>
      </c>
      <c r="N76" s="197">
        <v>0</v>
      </c>
      <c r="O76" s="197">
        <v>0</v>
      </c>
      <c r="P76" s="197">
        <v>0</v>
      </c>
      <c r="Q76" s="197">
        <v>0</v>
      </c>
      <c r="R76" s="197">
        <v>0</v>
      </c>
      <c r="S76" s="198">
        <v>0</v>
      </c>
    </row>
    <row r="77" spans="1:19" s="14" customFormat="1" ht="12.75" customHeight="1" x14ac:dyDescent="0.25">
      <c r="A77" s="194" t="s">
        <v>85</v>
      </c>
      <c r="B77" s="101" t="s">
        <v>300</v>
      </c>
      <c r="C77" s="37">
        <f>SUM(C78:C90)</f>
        <v>80000000</v>
      </c>
      <c r="D77" s="37">
        <f>SUM(D78:D90)</f>
        <v>0</v>
      </c>
      <c r="E77" s="37">
        <f t="shared" ref="E77:S77" si="30">SUM(E78:E90)</f>
        <v>0</v>
      </c>
      <c r="F77" s="37">
        <f>SUM(F78:F90)</f>
        <v>6757389</v>
      </c>
      <c r="G77" s="37">
        <f t="shared" si="30"/>
        <v>6757389</v>
      </c>
      <c r="H77" s="37">
        <f>SUM(H78:H90)</f>
        <v>80000000</v>
      </c>
      <c r="I77" s="37">
        <f>SUM(I78:I90)</f>
        <v>0</v>
      </c>
      <c r="J77" s="37">
        <f t="shared" si="30"/>
        <v>65644519</v>
      </c>
      <c r="K77" s="37">
        <f t="shared" si="30"/>
        <v>0</v>
      </c>
      <c r="L77" s="37">
        <f t="shared" si="30"/>
        <v>65644519</v>
      </c>
      <c r="M77" s="37">
        <f t="shared" si="30"/>
        <v>3674810</v>
      </c>
      <c r="N77" s="37">
        <f t="shared" si="30"/>
        <v>65644519</v>
      </c>
      <c r="O77" s="37">
        <f t="shared" si="30"/>
        <v>3674810</v>
      </c>
      <c r="P77" s="37">
        <f t="shared" si="30"/>
        <v>65644519</v>
      </c>
      <c r="Q77" s="37">
        <f t="shared" si="30"/>
        <v>0</v>
      </c>
      <c r="R77" s="37">
        <f t="shared" si="30"/>
        <v>0</v>
      </c>
      <c r="S77" s="109">
        <f t="shared" si="30"/>
        <v>0</v>
      </c>
    </row>
    <row r="78" spans="1:19" ht="12.75" customHeight="1" x14ac:dyDescent="0.2">
      <c r="A78" s="195" t="s">
        <v>488</v>
      </c>
      <c r="B78" s="58" t="s">
        <v>302</v>
      </c>
      <c r="C78" s="196">
        <v>10000000</v>
      </c>
      <c r="D78" s="36">
        <v>0</v>
      </c>
      <c r="E78" s="36">
        <v>0</v>
      </c>
      <c r="F78" s="36">
        <v>0</v>
      </c>
      <c r="G78" s="36">
        <v>0</v>
      </c>
      <c r="H78" s="36">
        <f t="shared" ref="H78:H90" si="31">+C78+D78-E78+F78-G78</f>
        <v>10000000</v>
      </c>
      <c r="I78" s="197">
        <v>0</v>
      </c>
      <c r="J78" s="197">
        <v>10000000</v>
      </c>
      <c r="K78" s="197">
        <v>0</v>
      </c>
      <c r="L78" s="197">
        <v>10000000</v>
      </c>
      <c r="M78" s="197">
        <v>0</v>
      </c>
      <c r="N78" s="197">
        <v>10000000</v>
      </c>
      <c r="O78" s="197">
        <v>0</v>
      </c>
      <c r="P78" s="197">
        <v>10000000</v>
      </c>
      <c r="Q78" s="197">
        <v>0</v>
      </c>
      <c r="R78" s="197">
        <v>0</v>
      </c>
      <c r="S78" s="198">
        <v>0</v>
      </c>
    </row>
    <row r="79" spans="1:19" ht="12.75" customHeight="1" x14ac:dyDescent="0.2">
      <c r="A79" s="195" t="s">
        <v>489</v>
      </c>
      <c r="B79" s="58" t="s">
        <v>304</v>
      </c>
      <c r="C79" s="196">
        <v>15000000</v>
      </c>
      <c r="D79" s="36">
        <v>0</v>
      </c>
      <c r="E79" s="36">
        <v>0</v>
      </c>
      <c r="F79" s="36">
        <v>0</v>
      </c>
      <c r="G79" s="36">
        <v>0</v>
      </c>
      <c r="H79" s="36">
        <f t="shared" si="31"/>
        <v>15000000</v>
      </c>
      <c r="I79" s="197">
        <v>0</v>
      </c>
      <c r="J79" s="197">
        <v>15000000</v>
      </c>
      <c r="K79" s="197">
        <v>0</v>
      </c>
      <c r="L79" s="197">
        <v>15000000</v>
      </c>
      <c r="M79" s="197">
        <v>0</v>
      </c>
      <c r="N79" s="197">
        <v>15000000</v>
      </c>
      <c r="O79" s="197">
        <v>0</v>
      </c>
      <c r="P79" s="197">
        <v>15000000</v>
      </c>
      <c r="Q79" s="197">
        <v>0</v>
      </c>
      <c r="R79" s="197">
        <v>0</v>
      </c>
      <c r="S79" s="198">
        <v>0</v>
      </c>
    </row>
    <row r="80" spans="1:19" ht="12.75" customHeight="1" x14ac:dyDescent="0.2">
      <c r="A80" s="195" t="s">
        <v>490</v>
      </c>
      <c r="B80" s="58" t="s">
        <v>306</v>
      </c>
      <c r="C80" s="196">
        <v>20000000</v>
      </c>
      <c r="D80" s="36">
        <v>0</v>
      </c>
      <c r="E80" s="36">
        <v>0</v>
      </c>
      <c r="F80" s="36">
        <v>0</v>
      </c>
      <c r="G80" s="36">
        <v>5357389</v>
      </c>
      <c r="H80" s="36">
        <f t="shared" si="31"/>
        <v>14642611</v>
      </c>
      <c r="I80" s="197">
        <v>0</v>
      </c>
      <c r="J80" s="197">
        <v>14642611</v>
      </c>
      <c r="K80" s="197">
        <v>0</v>
      </c>
      <c r="L80" s="197">
        <v>14642611</v>
      </c>
      <c r="M80" s="197">
        <v>169810</v>
      </c>
      <c r="N80" s="197">
        <v>14642611</v>
      </c>
      <c r="O80" s="197">
        <v>169810</v>
      </c>
      <c r="P80" s="197">
        <v>14642611</v>
      </c>
      <c r="Q80" s="197">
        <v>0</v>
      </c>
      <c r="R80" s="197">
        <v>0</v>
      </c>
      <c r="S80" s="198">
        <v>0</v>
      </c>
    </row>
    <row r="81" spans="1:19" ht="12.75" customHeight="1" x14ac:dyDescent="0.2">
      <c r="A81" s="195" t="s">
        <v>491</v>
      </c>
      <c r="B81" s="58" t="s">
        <v>308</v>
      </c>
      <c r="C81" s="196">
        <v>2000000</v>
      </c>
      <c r="D81" s="36">
        <v>0</v>
      </c>
      <c r="E81" s="36">
        <v>0</v>
      </c>
      <c r="F81" s="36">
        <v>0</v>
      </c>
      <c r="G81" s="36">
        <v>0</v>
      </c>
      <c r="H81" s="36">
        <f t="shared" si="31"/>
        <v>2000000</v>
      </c>
      <c r="I81" s="197">
        <v>0</v>
      </c>
      <c r="J81" s="197">
        <v>2000000</v>
      </c>
      <c r="K81" s="197">
        <v>0</v>
      </c>
      <c r="L81" s="197">
        <v>2000000</v>
      </c>
      <c r="M81" s="197">
        <v>1505000</v>
      </c>
      <c r="N81" s="197">
        <v>2000000</v>
      </c>
      <c r="O81" s="197">
        <v>1505000</v>
      </c>
      <c r="P81" s="197">
        <v>2000000</v>
      </c>
      <c r="Q81" s="197">
        <v>0</v>
      </c>
      <c r="R81" s="197">
        <v>0</v>
      </c>
      <c r="S81" s="198">
        <v>0</v>
      </c>
    </row>
    <row r="82" spans="1:19" ht="12.75" customHeight="1" x14ac:dyDescent="0.2">
      <c r="A82" s="195" t="s">
        <v>492</v>
      </c>
      <c r="B82" s="58" t="s">
        <v>310</v>
      </c>
      <c r="C82" s="196">
        <v>1000000</v>
      </c>
      <c r="D82" s="36">
        <v>0</v>
      </c>
      <c r="E82" s="36">
        <v>0</v>
      </c>
      <c r="F82" s="36">
        <v>5357389</v>
      </c>
      <c r="G82" s="36">
        <v>0</v>
      </c>
      <c r="H82" s="36">
        <f t="shared" si="31"/>
        <v>6357389</v>
      </c>
      <c r="I82" s="197">
        <v>0</v>
      </c>
      <c r="J82" s="197">
        <v>0</v>
      </c>
      <c r="K82" s="197">
        <v>0</v>
      </c>
      <c r="L82" s="197">
        <v>0</v>
      </c>
      <c r="M82" s="197">
        <v>0</v>
      </c>
      <c r="N82" s="197">
        <v>0</v>
      </c>
      <c r="O82" s="197">
        <v>0</v>
      </c>
      <c r="P82" s="197">
        <v>0</v>
      </c>
      <c r="Q82" s="197">
        <v>0</v>
      </c>
      <c r="R82" s="197">
        <v>0</v>
      </c>
      <c r="S82" s="198">
        <v>0</v>
      </c>
    </row>
    <row r="83" spans="1:19" ht="12.75" customHeight="1" x14ac:dyDescent="0.2">
      <c r="A83" s="195" t="s">
        <v>493</v>
      </c>
      <c r="B83" s="58" t="s">
        <v>312</v>
      </c>
      <c r="C83" s="196">
        <v>1000000</v>
      </c>
      <c r="D83" s="36">
        <v>0</v>
      </c>
      <c r="E83" s="36">
        <v>0</v>
      </c>
      <c r="F83" s="36">
        <v>0</v>
      </c>
      <c r="G83" s="36">
        <v>0</v>
      </c>
      <c r="H83" s="36">
        <f t="shared" si="31"/>
        <v>1000000</v>
      </c>
      <c r="I83" s="197">
        <v>0</v>
      </c>
      <c r="J83" s="197">
        <v>961150</v>
      </c>
      <c r="K83" s="197">
        <v>0</v>
      </c>
      <c r="L83" s="197">
        <v>961150</v>
      </c>
      <c r="M83" s="197">
        <v>0</v>
      </c>
      <c r="N83" s="197">
        <v>961150</v>
      </c>
      <c r="O83" s="197">
        <v>0</v>
      </c>
      <c r="P83" s="197">
        <v>961150</v>
      </c>
      <c r="Q83" s="197">
        <v>0</v>
      </c>
      <c r="R83" s="197">
        <v>0</v>
      </c>
      <c r="S83" s="198">
        <v>0</v>
      </c>
    </row>
    <row r="84" spans="1:19" ht="12.75" customHeight="1" x14ac:dyDescent="0.2">
      <c r="A84" s="195" t="s">
        <v>494</v>
      </c>
      <c r="B84" s="58" t="s">
        <v>314</v>
      </c>
      <c r="C84" s="196">
        <v>2000000</v>
      </c>
      <c r="D84" s="36">
        <v>0</v>
      </c>
      <c r="E84" s="36">
        <v>0</v>
      </c>
      <c r="F84" s="36">
        <v>0</v>
      </c>
      <c r="G84" s="36">
        <v>0</v>
      </c>
      <c r="H84" s="36">
        <f t="shared" si="31"/>
        <v>2000000</v>
      </c>
      <c r="I84" s="197">
        <v>0</v>
      </c>
      <c r="J84" s="197">
        <v>668464</v>
      </c>
      <c r="K84" s="197">
        <v>0</v>
      </c>
      <c r="L84" s="197">
        <v>668464</v>
      </c>
      <c r="M84" s="197">
        <v>0</v>
      </c>
      <c r="N84" s="197">
        <v>668464</v>
      </c>
      <c r="O84" s="197">
        <v>0</v>
      </c>
      <c r="P84" s="197">
        <v>668464</v>
      </c>
      <c r="Q84" s="197">
        <v>0</v>
      </c>
      <c r="R84" s="197">
        <v>0</v>
      </c>
      <c r="S84" s="198">
        <v>0</v>
      </c>
    </row>
    <row r="85" spans="1:19" ht="12.75" customHeight="1" x14ac:dyDescent="0.2">
      <c r="A85" s="195" t="s">
        <v>495</v>
      </c>
      <c r="B85" s="58" t="s">
        <v>316</v>
      </c>
      <c r="C85" s="196">
        <v>1000000</v>
      </c>
      <c r="D85" s="36">
        <v>0</v>
      </c>
      <c r="E85" s="36">
        <v>0</v>
      </c>
      <c r="F85" s="36">
        <v>0</v>
      </c>
      <c r="G85" s="36">
        <v>0</v>
      </c>
      <c r="H85" s="36">
        <f t="shared" si="31"/>
        <v>1000000</v>
      </c>
      <c r="I85" s="197">
        <v>0</v>
      </c>
      <c r="J85" s="197">
        <v>1000000</v>
      </c>
      <c r="K85" s="197">
        <v>0</v>
      </c>
      <c r="L85" s="197">
        <v>1000000</v>
      </c>
      <c r="M85" s="197">
        <v>1000000</v>
      </c>
      <c r="N85" s="197">
        <v>1000000</v>
      </c>
      <c r="O85" s="197">
        <v>1000000</v>
      </c>
      <c r="P85" s="197">
        <v>1000000</v>
      </c>
      <c r="Q85" s="197">
        <v>0</v>
      </c>
      <c r="R85" s="197">
        <v>0</v>
      </c>
      <c r="S85" s="198">
        <v>0</v>
      </c>
    </row>
    <row r="86" spans="1:19" ht="12.75" customHeight="1" x14ac:dyDescent="0.2">
      <c r="A86" s="195" t="s">
        <v>496</v>
      </c>
      <c r="B86" s="58" t="s">
        <v>318</v>
      </c>
      <c r="C86" s="196">
        <v>5000000</v>
      </c>
      <c r="D86" s="36">
        <v>0</v>
      </c>
      <c r="E86" s="36">
        <v>0</v>
      </c>
      <c r="F86" s="36">
        <v>0</v>
      </c>
      <c r="G86" s="36">
        <v>0</v>
      </c>
      <c r="H86" s="36">
        <f t="shared" si="31"/>
        <v>5000000</v>
      </c>
      <c r="I86" s="197">
        <v>0</v>
      </c>
      <c r="J86" s="197">
        <v>1000000</v>
      </c>
      <c r="K86" s="197">
        <v>0</v>
      </c>
      <c r="L86" s="197">
        <v>1000000</v>
      </c>
      <c r="M86" s="197">
        <v>1000000</v>
      </c>
      <c r="N86" s="197">
        <v>1000000</v>
      </c>
      <c r="O86" s="197">
        <v>1000000</v>
      </c>
      <c r="P86" s="197">
        <v>1000000</v>
      </c>
      <c r="Q86" s="197">
        <v>0</v>
      </c>
      <c r="R86" s="197">
        <v>0</v>
      </c>
      <c r="S86" s="198">
        <v>0</v>
      </c>
    </row>
    <row r="87" spans="1:19" ht="12.75" customHeight="1" x14ac:dyDescent="0.2">
      <c r="A87" s="195" t="s">
        <v>497</v>
      </c>
      <c r="B87" s="58" t="s">
        <v>292</v>
      </c>
      <c r="C87" s="196">
        <v>1000000</v>
      </c>
      <c r="D87" s="36">
        <v>0</v>
      </c>
      <c r="E87" s="36">
        <v>0</v>
      </c>
      <c r="F87" s="36">
        <v>1000000</v>
      </c>
      <c r="G87" s="36">
        <v>0</v>
      </c>
      <c r="H87" s="36">
        <f t="shared" si="31"/>
        <v>2000000</v>
      </c>
      <c r="I87" s="197">
        <v>0</v>
      </c>
      <c r="J87" s="197">
        <v>2901151</v>
      </c>
      <c r="K87" s="197">
        <v>0</v>
      </c>
      <c r="L87" s="197">
        <v>2901151</v>
      </c>
      <c r="M87" s="197">
        <v>0</v>
      </c>
      <c r="N87" s="197">
        <v>2901151</v>
      </c>
      <c r="O87" s="197">
        <v>0</v>
      </c>
      <c r="P87" s="197">
        <v>2901151</v>
      </c>
      <c r="Q87" s="197">
        <v>0</v>
      </c>
      <c r="R87" s="197">
        <v>0</v>
      </c>
      <c r="S87" s="198">
        <v>0</v>
      </c>
    </row>
    <row r="88" spans="1:19" ht="12.75" customHeight="1" x14ac:dyDescent="0.2">
      <c r="A88" s="195" t="s">
        <v>498</v>
      </c>
      <c r="B88" s="58" t="s">
        <v>321</v>
      </c>
      <c r="C88" s="196">
        <v>3000000</v>
      </c>
      <c r="D88" s="36">
        <v>0</v>
      </c>
      <c r="E88" s="36">
        <v>0</v>
      </c>
      <c r="F88" s="36">
        <v>400000</v>
      </c>
      <c r="G88" s="36">
        <v>0</v>
      </c>
      <c r="H88" s="36">
        <f t="shared" si="31"/>
        <v>3400000</v>
      </c>
      <c r="I88" s="197">
        <v>0</v>
      </c>
      <c r="J88" s="197">
        <v>2243650</v>
      </c>
      <c r="K88" s="197">
        <v>0</v>
      </c>
      <c r="L88" s="197">
        <v>2243650</v>
      </c>
      <c r="M88" s="197">
        <v>0</v>
      </c>
      <c r="N88" s="197">
        <v>2243650</v>
      </c>
      <c r="O88" s="197">
        <v>0</v>
      </c>
      <c r="P88" s="197">
        <v>2243650</v>
      </c>
      <c r="Q88" s="197">
        <v>0</v>
      </c>
      <c r="R88" s="197">
        <v>0</v>
      </c>
      <c r="S88" s="198">
        <v>0</v>
      </c>
    </row>
    <row r="89" spans="1:19" ht="12.75" customHeight="1" x14ac:dyDescent="0.2">
      <c r="A89" s="195" t="s">
        <v>499</v>
      </c>
      <c r="B89" s="58" t="s">
        <v>323</v>
      </c>
      <c r="C89" s="196">
        <v>9000000</v>
      </c>
      <c r="D89" s="36">
        <v>0</v>
      </c>
      <c r="E89" s="36">
        <v>0</v>
      </c>
      <c r="F89" s="36">
        <v>0</v>
      </c>
      <c r="G89" s="36">
        <v>0</v>
      </c>
      <c r="H89" s="36">
        <f t="shared" si="31"/>
        <v>9000000</v>
      </c>
      <c r="I89" s="197">
        <v>0</v>
      </c>
      <c r="J89" s="197">
        <v>8057391</v>
      </c>
      <c r="K89" s="197">
        <v>0</v>
      </c>
      <c r="L89" s="197">
        <v>8057391</v>
      </c>
      <c r="M89" s="197">
        <v>0</v>
      </c>
      <c r="N89" s="197">
        <v>8057391</v>
      </c>
      <c r="O89" s="197">
        <v>0</v>
      </c>
      <c r="P89" s="197">
        <v>8057391</v>
      </c>
      <c r="Q89" s="197">
        <v>0</v>
      </c>
      <c r="R89" s="197">
        <v>0</v>
      </c>
      <c r="S89" s="198">
        <v>0</v>
      </c>
    </row>
    <row r="90" spans="1:19" ht="12.75" customHeight="1" x14ac:dyDescent="0.2">
      <c r="A90" s="195" t="s">
        <v>500</v>
      </c>
      <c r="B90" s="58" t="s">
        <v>325</v>
      </c>
      <c r="C90" s="196">
        <v>10000000</v>
      </c>
      <c r="D90" s="36">
        <v>0</v>
      </c>
      <c r="E90" s="36">
        <v>0</v>
      </c>
      <c r="F90" s="36">
        <v>0</v>
      </c>
      <c r="G90" s="36">
        <v>1400000</v>
      </c>
      <c r="H90" s="36">
        <f t="shared" si="31"/>
        <v>8600000</v>
      </c>
      <c r="I90" s="197">
        <v>0</v>
      </c>
      <c r="J90" s="197">
        <v>7170102</v>
      </c>
      <c r="K90" s="197">
        <v>0</v>
      </c>
      <c r="L90" s="197">
        <v>7170102</v>
      </c>
      <c r="M90" s="197">
        <v>0</v>
      </c>
      <c r="N90" s="197">
        <v>7170102</v>
      </c>
      <c r="O90" s="197">
        <v>0</v>
      </c>
      <c r="P90" s="197">
        <v>7170102</v>
      </c>
      <c r="Q90" s="197">
        <v>0</v>
      </c>
      <c r="R90" s="197">
        <v>0</v>
      </c>
      <c r="S90" s="198">
        <v>0</v>
      </c>
    </row>
    <row r="91" spans="1:19" s="14" customFormat="1" ht="12.75" customHeight="1" x14ac:dyDescent="0.25">
      <c r="A91" s="194" t="s">
        <v>87</v>
      </c>
      <c r="B91" s="101" t="s">
        <v>125</v>
      </c>
      <c r="C91" s="37">
        <f>SUM(C92:C94)</f>
        <v>5000000</v>
      </c>
      <c r="D91" s="37">
        <f>SUM(D92:D94)</f>
        <v>0</v>
      </c>
      <c r="E91" s="37">
        <f t="shared" ref="E91:S91" si="32">SUM(E92:E94)</f>
        <v>0</v>
      </c>
      <c r="F91" s="37">
        <f>SUM(F92:F94)</f>
        <v>0</v>
      </c>
      <c r="G91" s="37">
        <f t="shared" si="32"/>
        <v>3000000</v>
      </c>
      <c r="H91" s="37">
        <f t="shared" si="32"/>
        <v>2000000</v>
      </c>
      <c r="I91" s="37">
        <f>SUM(I92:I94)</f>
        <v>0</v>
      </c>
      <c r="J91" s="37">
        <f t="shared" si="32"/>
        <v>749000</v>
      </c>
      <c r="K91" s="37">
        <f t="shared" si="32"/>
        <v>0</v>
      </c>
      <c r="L91" s="37">
        <f t="shared" si="32"/>
        <v>749000</v>
      </c>
      <c r="M91" s="37">
        <f t="shared" si="32"/>
        <v>0</v>
      </c>
      <c r="N91" s="37">
        <f t="shared" si="32"/>
        <v>749000</v>
      </c>
      <c r="O91" s="37">
        <f t="shared" si="32"/>
        <v>0</v>
      </c>
      <c r="P91" s="37">
        <f t="shared" si="32"/>
        <v>749000</v>
      </c>
      <c r="Q91" s="37">
        <f t="shared" si="32"/>
        <v>0</v>
      </c>
      <c r="R91" s="37">
        <f t="shared" si="32"/>
        <v>0</v>
      </c>
      <c r="S91" s="109">
        <f t="shared" si="32"/>
        <v>0</v>
      </c>
    </row>
    <row r="92" spans="1:19" ht="12.75" customHeight="1" x14ac:dyDescent="0.2">
      <c r="A92" s="195" t="s">
        <v>501</v>
      </c>
      <c r="B92" s="58" t="s">
        <v>328</v>
      </c>
      <c r="C92" s="196">
        <v>750000</v>
      </c>
      <c r="D92" s="36">
        <v>0</v>
      </c>
      <c r="E92" s="36">
        <v>0</v>
      </c>
      <c r="F92" s="36">
        <v>0</v>
      </c>
      <c r="G92" s="36">
        <v>0</v>
      </c>
      <c r="H92" s="36">
        <f>+C92+D92-E92+F92-G92</f>
        <v>750000</v>
      </c>
      <c r="I92" s="197">
        <v>0</v>
      </c>
      <c r="J92" s="197">
        <v>0</v>
      </c>
      <c r="K92" s="197">
        <v>0</v>
      </c>
      <c r="L92" s="197">
        <v>0</v>
      </c>
      <c r="M92" s="197">
        <v>0</v>
      </c>
      <c r="N92" s="197">
        <v>0</v>
      </c>
      <c r="O92" s="197">
        <v>0</v>
      </c>
      <c r="P92" s="197">
        <v>0</v>
      </c>
      <c r="Q92" s="197">
        <v>0</v>
      </c>
      <c r="R92" s="197">
        <v>0</v>
      </c>
      <c r="S92" s="198">
        <v>0</v>
      </c>
    </row>
    <row r="93" spans="1:19" ht="12.75" customHeight="1" x14ac:dyDescent="0.2">
      <c r="A93" s="195" t="s">
        <v>502</v>
      </c>
      <c r="B93" s="58" t="s">
        <v>330</v>
      </c>
      <c r="C93" s="196">
        <v>750000</v>
      </c>
      <c r="D93" s="36">
        <v>0</v>
      </c>
      <c r="E93" s="36">
        <v>0</v>
      </c>
      <c r="F93" s="36">
        <v>0</v>
      </c>
      <c r="G93" s="36">
        <v>0</v>
      </c>
      <c r="H93" s="36">
        <f>+C93+D93-E93+F93-G93</f>
        <v>750000</v>
      </c>
      <c r="I93" s="197">
        <v>0</v>
      </c>
      <c r="J93" s="197">
        <v>749000</v>
      </c>
      <c r="K93" s="197">
        <v>0</v>
      </c>
      <c r="L93" s="197">
        <v>749000</v>
      </c>
      <c r="M93" s="197">
        <v>0</v>
      </c>
      <c r="N93" s="197">
        <v>749000</v>
      </c>
      <c r="O93" s="197">
        <v>0</v>
      </c>
      <c r="P93" s="197">
        <v>749000</v>
      </c>
      <c r="Q93" s="197">
        <v>0</v>
      </c>
      <c r="R93" s="197">
        <v>0</v>
      </c>
      <c r="S93" s="198">
        <v>0</v>
      </c>
    </row>
    <row r="94" spans="1:19" ht="12.75" customHeight="1" x14ac:dyDescent="0.2">
      <c r="A94" s="195" t="s">
        <v>503</v>
      </c>
      <c r="B94" s="58" t="s">
        <v>332</v>
      </c>
      <c r="C94" s="196">
        <v>3500000</v>
      </c>
      <c r="D94" s="36">
        <v>0</v>
      </c>
      <c r="E94" s="36">
        <v>0</v>
      </c>
      <c r="F94" s="36">
        <v>0</v>
      </c>
      <c r="G94" s="36">
        <v>3000000</v>
      </c>
      <c r="H94" s="36">
        <f>+C94+D94-E94+F94-G94</f>
        <v>500000</v>
      </c>
      <c r="I94" s="197">
        <v>0</v>
      </c>
      <c r="J94" s="197">
        <v>0</v>
      </c>
      <c r="K94" s="197">
        <v>0</v>
      </c>
      <c r="L94" s="197">
        <v>0</v>
      </c>
      <c r="M94" s="197">
        <v>0</v>
      </c>
      <c r="N94" s="197">
        <v>0</v>
      </c>
      <c r="O94" s="197">
        <v>0</v>
      </c>
      <c r="P94" s="197">
        <v>0</v>
      </c>
      <c r="Q94" s="197">
        <v>0</v>
      </c>
      <c r="R94" s="197">
        <v>0</v>
      </c>
      <c r="S94" s="198">
        <v>0</v>
      </c>
    </row>
    <row r="95" spans="1:19" s="14" customFormat="1" ht="12.75" customHeight="1" x14ac:dyDescent="0.25">
      <c r="A95" s="194" t="s">
        <v>95</v>
      </c>
      <c r="B95" s="101" t="s">
        <v>334</v>
      </c>
      <c r="C95" s="37">
        <f>+C96+C103+C117</f>
        <v>2300000000</v>
      </c>
      <c r="D95" s="37">
        <f>+D96+D103+D117</f>
        <v>132000000</v>
      </c>
      <c r="E95" s="37">
        <f t="shared" ref="E95:S95" si="33">+E96+E103+E117</f>
        <v>0</v>
      </c>
      <c r="F95" s="37">
        <f>+F96+F103+F117</f>
        <v>525976421</v>
      </c>
      <c r="G95" s="37">
        <f>+G96+G103+G117</f>
        <v>352623803</v>
      </c>
      <c r="H95" s="199">
        <f>+H96+H103+H117</f>
        <v>2605352618</v>
      </c>
      <c r="I95" s="37">
        <f>+I96+I103+I117</f>
        <v>47361163</v>
      </c>
      <c r="J95" s="37">
        <f t="shared" si="33"/>
        <v>2477820728.5500002</v>
      </c>
      <c r="K95" s="37">
        <f t="shared" si="33"/>
        <v>54050323</v>
      </c>
      <c r="L95" s="37">
        <f t="shared" si="33"/>
        <v>2473474724.5500002</v>
      </c>
      <c r="M95" s="37">
        <f t="shared" si="33"/>
        <v>193318196</v>
      </c>
      <c r="N95" s="37">
        <f t="shared" si="33"/>
        <v>2390226523.9400001</v>
      </c>
      <c r="O95" s="37">
        <f t="shared" si="33"/>
        <v>197608638</v>
      </c>
      <c r="P95" s="37">
        <f t="shared" si="33"/>
        <v>2390226523.9400001</v>
      </c>
      <c r="Q95" s="37">
        <f t="shared" si="33"/>
        <v>4346004</v>
      </c>
      <c r="R95" s="37">
        <f t="shared" si="33"/>
        <v>83248200.609999999</v>
      </c>
      <c r="S95" s="109">
        <f t="shared" si="33"/>
        <v>0</v>
      </c>
    </row>
    <row r="96" spans="1:19" s="14" customFormat="1" ht="12.75" customHeight="1" x14ac:dyDescent="0.25">
      <c r="A96" s="194" t="s">
        <v>97</v>
      </c>
      <c r="B96" s="101" t="s">
        <v>82</v>
      </c>
      <c r="C96" s="37">
        <f>SUM(C97:C102)</f>
        <v>800000000</v>
      </c>
      <c r="D96" s="37">
        <f>SUM(D97:D102)</f>
        <v>4000000</v>
      </c>
      <c r="E96" s="37">
        <f t="shared" ref="E96:S96" si="34">SUM(E97:E102)</f>
        <v>0</v>
      </c>
      <c r="F96" s="37">
        <f>SUM(F97:F102)</f>
        <v>203000000</v>
      </c>
      <c r="G96" s="37">
        <f t="shared" si="34"/>
        <v>269448100</v>
      </c>
      <c r="H96" s="37">
        <f t="shared" si="34"/>
        <v>737551900</v>
      </c>
      <c r="I96" s="37">
        <f>SUM(I97:I102)</f>
        <v>1204998</v>
      </c>
      <c r="J96" s="37">
        <f t="shared" si="34"/>
        <v>726793606</v>
      </c>
      <c r="K96" s="37">
        <f t="shared" si="34"/>
        <v>2783991</v>
      </c>
      <c r="L96" s="37">
        <f t="shared" si="34"/>
        <v>726793606</v>
      </c>
      <c r="M96" s="37">
        <f t="shared" si="34"/>
        <v>69778267</v>
      </c>
      <c r="N96" s="37">
        <f t="shared" si="34"/>
        <v>660727808</v>
      </c>
      <c r="O96" s="37">
        <f t="shared" si="34"/>
        <v>69778267</v>
      </c>
      <c r="P96" s="37">
        <f t="shared" si="34"/>
        <v>660727808</v>
      </c>
      <c r="Q96" s="37">
        <f t="shared" si="34"/>
        <v>0</v>
      </c>
      <c r="R96" s="37">
        <f t="shared" si="34"/>
        <v>66065798</v>
      </c>
      <c r="S96" s="109">
        <f t="shared" si="34"/>
        <v>0</v>
      </c>
    </row>
    <row r="97" spans="1:19" ht="12.75" customHeight="1" x14ac:dyDescent="0.2">
      <c r="A97" s="195" t="s">
        <v>504</v>
      </c>
      <c r="B97" s="58" t="s">
        <v>288</v>
      </c>
      <c r="C97" s="196">
        <v>150000000</v>
      </c>
      <c r="D97" s="36">
        <v>0</v>
      </c>
      <c r="E97" s="36">
        <v>0</v>
      </c>
      <c r="F97" s="36">
        <v>0</v>
      </c>
      <c r="G97" s="36">
        <f>20000000+4000000</f>
        <v>24000000</v>
      </c>
      <c r="H97" s="36">
        <f t="shared" ref="H97:H102" si="35">+C97+D97-E97+F97-G97</f>
        <v>126000000</v>
      </c>
      <c r="I97" s="197">
        <v>0</v>
      </c>
      <c r="J97" s="197">
        <v>123956250</v>
      </c>
      <c r="K97" s="197">
        <v>0</v>
      </c>
      <c r="L97" s="197">
        <v>123956250</v>
      </c>
      <c r="M97" s="197">
        <v>0</v>
      </c>
      <c r="N97" s="197">
        <v>123956250</v>
      </c>
      <c r="O97" s="197">
        <v>0</v>
      </c>
      <c r="P97" s="197">
        <v>123956250</v>
      </c>
      <c r="Q97" s="197">
        <v>0</v>
      </c>
      <c r="R97" s="197">
        <v>0</v>
      </c>
      <c r="S97" s="198">
        <v>0</v>
      </c>
    </row>
    <row r="98" spans="1:19" ht="12.75" customHeight="1" x14ac:dyDescent="0.2">
      <c r="A98" s="195" t="s">
        <v>505</v>
      </c>
      <c r="B98" s="58" t="s">
        <v>338</v>
      </c>
      <c r="C98" s="196">
        <v>300000000</v>
      </c>
      <c r="D98" s="36">
        <v>0</v>
      </c>
      <c r="E98" s="36">
        <v>0</v>
      </c>
      <c r="F98" s="36">
        <v>0</v>
      </c>
      <c r="G98" s="36">
        <f>50000000+30000000+70000000+25000000+2000000</f>
        <v>177000000</v>
      </c>
      <c r="H98" s="36">
        <f t="shared" si="35"/>
        <v>123000000</v>
      </c>
      <c r="I98" s="197">
        <v>0</v>
      </c>
      <c r="J98" s="197">
        <v>118098179</v>
      </c>
      <c r="K98" s="197">
        <v>0</v>
      </c>
      <c r="L98" s="197">
        <v>118098179</v>
      </c>
      <c r="M98" s="197">
        <v>85746</v>
      </c>
      <c r="N98" s="197">
        <v>118098179</v>
      </c>
      <c r="O98" s="197">
        <v>85746</v>
      </c>
      <c r="P98" s="197">
        <v>118098179</v>
      </c>
      <c r="Q98" s="197">
        <v>0</v>
      </c>
      <c r="R98" s="197">
        <v>0</v>
      </c>
      <c r="S98" s="198">
        <v>0</v>
      </c>
    </row>
    <row r="99" spans="1:19" ht="12.75" customHeight="1" x14ac:dyDescent="0.2">
      <c r="A99" s="195" t="s">
        <v>506</v>
      </c>
      <c r="B99" s="58" t="s">
        <v>292</v>
      </c>
      <c r="C99" s="196">
        <v>5000000</v>
      </c>
      <c r="D99" s="36">
        <v>0</v>
      </c>
      <c r="E99" s="36">
        <v>0</v>
      </c>
      <c r="F99" s="36">
        <v>0</v>
      </c>
      <c r="G99" s="36">
        <v>5000000</v>
      </c>
      <c r="H99" s="36">
        <f t="shared" si="35"/>
        <v>0</v>
      </c>
      <c r="I99" s="197">
        <v>0</v>
      </c>
      <c r="J99" s="197">
        <v>0</v>
      </c>
      <c r="K99" s="197">
        <v>0</v>
      </c>
      <c r="L99" s="197">
        <v>0</v>
      </c>
      <c r="M99" s="197">
        <v>0</v>
      </c>
      <c r="N99" s="197">
        <v>0</v>
      </c>
      <c r="O99" s="197">
        <v>0</v>
      </c>
      <c r="P99" s="197">
        <v>0</v>
      </c>
      <c r="Q99" s="197">
        <v>0</v>
      </c>
      <c r="R99" s="197">
        <v>0</v>
      </c>
      <c r="S99" s="198">
        <v>0</v>
      </c>
    </row>
    <row r="100" spans="1:19" ht="12.75" customHeight="1" x14ac:dyDescent="0.2">
      <c r="A100" s="195" t="s">
        <v>507</v>
      </c>
      <c r="B100" s="58" t="s">
        <v>294</v>
      </c>
      <c r="C100" s="196">
        <v>250000000</v>
      </c>
      <c r="D100" s="36">
        <v>0</v>
      </c>
      <c r="E100" s="36">
        <v>0</v>
      </c>
      <c r="F100" s="36">
        <f>180000000+19000000+4000000</f>
        <v>203000000</v>
      </c>
      <c r="G100" s="36">
        <v>0</v>
      </c>
      <c r="H100" s="36">
        <f t="shared" si="35"/>
        <v>453000000</v>
      </c>
      <c r="I100" s="197">
        <v>1204998</v>
      </c>
      <c r="J100" s="197">
        <v>451608284</v>
      </c>
      <c r="K100" s="197">
        <v>1204998</v>
      </c>
      <c r="L100" s="197">
        <v>451608284</v>
      </c>
      <c r="M100" s="197">
        <v>68113528</v>
      </c>
      <c r="N100" s="197">
        <v>385542486</v>
      </c>
      <c r="O100" s="197">
        <v>68113528</v>
      </c>
      <c r="P100" s="197">
        <v>385542486</v>
      </c>
      <c r="Q100" s="197">
        <v>0</v>
      </c>
      <c r="R100" s="197">
        <v>66065798</v>
      </c>
      <c r="S100" s="198">
        <v>0</v>
      </c>
    </row>
    <row r="101" spans="1:19" ht="12.75" customHeight="1" x14ac:dyDescent="0.2">
      <c r="A101" s="195" t="s">
        <v>508</v>
      </c>
      <c r="B101" s="58" t="s">
        <v>342</v>
      </c>
      <c r="C101" s="196">
        <v>80000000</v>
      </c>
      <c r="D101" s="36">
        <v>4000000</v>
      </c>
      <c r="E101" s="36">
        <v>0</v>
      </c>
      <c r="F101" s="36">
        <v>0</v>
      </c>
      <c r="G101" s="36">
        <f>9000000+6000000+33448100</f>
        <v>48448100</v>
      </c>
      <c r="H101" s="36">
        <f t="shared" si="35"/>
        <v>35551900</v>
      </c>
      <c r="I101" s="197">
        <v>0</v>
      </c>
      <c r="J101" s="197">
        <v>33130893</v>
      </c>
      <c r="K101" s="197">
        <v>1578993</v>
      </c>
      <c r="L101" s="197">
        <v>33130893</v>
      </c>
      <c r="M101" s="197">
        <v>1578993</v>
      </c>
      <c r="N101" s="197">
        <v>33130893</v>
      </c>
      <c r="O101" s="197">
        <v>1578993</v>
      </c>
      <c r="P101" s="197">
        <v>33130893</v>
      </c>
      <c r="Q101" s="197">
        <v>0</v>
      </c>
      <c r="R101" s="197">
        <v>0</v>
      </c>
      <c r="S101" s="198">
        <v>0</v>
      </c>
    </row>
    <row r="102" spans="1:19" ht="12.75" customHeight="1" x14ac:dyDescent="0.2">
      <c r="A102" s="195" t="s">
        <v>509</v>
      </c>
      <c r="B102" s="58" t="s">
        <v>344</v>
      </c>
      <c r="C102" s="196">
        <v>15000000</v>
      </c>
      <c r="D102" s="36">
        <v>0</v>
      </c>
      <c r="E102" s="36">
        <v>0</v>
      </c>
      <c r="F102" s="36">
        <v>0</v>
      </c>
      <c r="G102" s="36">
        <f>7000000+8000000</f>
        <v>15000000</v>
      </c>
      <c r="H102" s="36">
        <f t="shared" si="35"/>
        <v>0</v>
      </c>
      <c r="I102" s="197">
        <v>0</v>
      </c>
      <c r="J102" s="197">
        <v>0</v>
      </c>
      <c r="K102" s="197">
        <v>0</v>
      </c>
      <c r="L102" s="197">
        <v>0</v>
      </c>
      <c r="M102" s="197">
        <v>0</v>
      </c>
      <c r="N102" s="197">
        <v>0</v>
      </c>
      <c r="O102" s="197">
        <v>0</v>
      </c>
      <c r="P102" s="197">
        <v>0</v>
      </c>
      <c r="Q102" s="197">
        <v>0</v>
      </c>
      <c r="R102" s="197">
        <v>0</v>
      </c>
      <c r="S102" s="198">
        <v>0</v>
      </c>
    </row>
    <row r="103" spans="1:19" s="14" customFormat="1" ht="12.75" customHeight="1" x14ac:dyDescent="0.25">
      <c r="A103" s="194" t="s">
        <v>99</v>
      </c>
      <c r="B103" s="101" t="s">
        <v>300</v>
      </c>
      <c r="C103" s="37">
        <f>SUM(C104:C116)</f>
        <v>800000000</v>
      </c>
      <c r="D103" s="37">
        <f>SUM(D104:D116)</f>
        <v>128000000</v>
      </c>
      <c r="E103" s="37">
        <f t="shared" ref="E103:S103" si="36">SUM(E104:E116)</f>
        <v>0</v>
      </c>
      <c r="F103" s="37">
        <f>SUM(F104:F116)</f>
        <v>271976421</v>
      </c>
      <c r="G103" s="37">
        <f>SUM(G104:G116)</f>
        <v>78175703</v>
      </c>
      <c r="H103" s="37">
        <f>SUM(H104:H116)</f>
        <v>1121800718</v>
      </c>
      <c r="I103" s="37">
        <f>SUM(I104:I116)</f>
        <v>46156165</v>
      </c>
      <c r="J103" s="37">
        <f t="shared" si="36"/>
        <v>1077495815.55</v>
      </c>
      <c r="K103" s="37">
        <f t="shared" si="36"/>
        <v>51266332</v>
      </c>
      <c r="L103" s="37">
        <f t="shared" si="36"/>
        <v>1073149811.55</v>
      </c>
      <c r="M103" s="37">
        <f t="shared" si="36"/>
        <v>123539929</v>
      </c>
      <c r="N103" s="37">
        <f t="shared" si="36"/>
        <v>1055967408.9400001</v>
      </c>
      <c r="O103" s="37">
        <f t="shared" si="36"/>
        <v>127830371</v>
      </c>
      <c r="P103" s="37">
        <f t="shared" si="36"/>
        <v>1055967408.9400001</v>
      </c>
      <c r="Q103" s="37">
        <f t="shared" si="36"/>
        <v>4346004</v>
      </c>
      <c r="R103" s="37">
        <f t="shared" si="36"/>
        <v>17182402.609999999</v>
      </c>
      <c r="S103" s="109">
        <f t="shared" si="36"/>
        <v>0</v>
      </c>
    </row>
    <row r="104" spans="1:19" ht="12.75" customHeight="1" x14ac:dyDescent="0.2">
      <c r="A104" s="195" t="s">
        <v>510</v>
      </c>
      <c r="B104" s="58" t="s">
        <v>302</v>
      </c>
      <c r="C104" s="196">
        <v>40000000</v>
      </c>
      <c r="D104" s="36">
        <v>0</v>
      </c>
      <c r="E104" s="36">
        <v>0</v>
      </c>
      <c r="F104" s="36">
        <f>100000000+5000000</f>
        <v>105000000</v>
      </c>
      <c r="G104" s="36">
        <f>15000000+3000000</f>
        <v>18000000</v>
      </c>
      <c r="H104" s="36">
        <f t="shared" ref="H104:H116" si="37">+C104+D104-E104+F104-G104</f>
        <v>127000000</v>
      </c>
      <c r="I104" s="197">
        <v>758000</v>
      </c>
      <c r="J104" s="197">
        <v>166223600</v>
      </c>
      <c r="K104" s="197">
        <v>758000</v>
      </c>
      <c r="L104" s="197">
        <v>161923600</v>
      </c>
      <c r="M104" s="197">
        <v>5058000</v>
      </c>
      <c r="N104" s="197">
        <v>159220128</v>
      </c>
      <c r="O104" s="197">
        <v>5058000</v>
      </c>
      <c r="P104" s="197">
        <v>159220128</v>
      </c>
      <c r="Q104" s="197">
        <v>4300000</v>
      </c>
      <c r="R104" s="197">
        <v>2703472</v>
      </c>
      <c r="S104" s="198">
        <v>0</v>
      </c>
    </row>
    <row r="105" spans="1:19" ht="12.75" customHeight="1" x14ac:dyDescent="0.2">
      <c r="A105" s="195" t="s">
        <v>511</v>
      </c>
      <c r="B105" s="58" t="s">
        <v>304</v>
      </c>
      <c r="C105" s="196">
        <v>220000000</v>
      </c>
      <c r="D105" s="36">
        <v>120000000</v>
      </c>
      <c r="E105" s="36">
        <v>0</v>
      </c>
      <c r="F105" s="36">
        <v>0</v>
      </c>
      <c r="G105" s="36">
        <f>2000000+9061282</f>
        <v>11061282</v>
      </c>
      <c r="H105" s="36">
        <f t="shared" si="37"/>
        <v>328938718</v>
      </c>
      <c r="I105" s="197">
        <v>19370204</v>
      </c>
      <c r="J105" s="197">
        <v>292292118.55000001</v>
      </c>
      <c r="K105" s="197">
        <v>28431486</v>
      </c>
      <c r="L105" s="197">
        <v>292292118.55000001</v>
      </c>
      <c r="M105" s="197">
        <v>28286854</v>
      </c>
      <c r="N105" s="197">
        <v>290186482.94</v>
      </c>
      <c r="O105" s="197">
        <v>28434146</v>
      </c>
      <c r="P105" s="197">
        <v>290186482.94</v>
      </c>
      <c r="Q105" s="197">
        <v>0</v>
      </c>
      <c r="R105" s="197">
        <v>2105635.61</v>
      </c>
      <c r="S105" s="198">
        <v>0</v>
      </c>
    </row>
    <row r="106" spans="1:19" ht="12.75" customHeight="1" x14ac:dyDescent="0.2">
      <c r="A106" s="195" t="s">
        <v>512</v>
      </c>
      <c r="B106" s="58" t="s">
        <v>306</v>
      </c>
      <c r="C106" s="196">
        <v>140000000</v>
      </c>
      <c r="D106" s="36">
        <v>0</v>
      </c>
      <c r="E106" s="36">
        <v>0</v>
      </c>
      <c r="F106" s="36">
        <v>2000000</v>
      </c>
      <c r="G106" s="36">
        <v>0</v>
      </c>
      <c r="H106" s="36">
        <f t="shared" si="37"/>
        <v>142000000</v>
      </c>
      <c r="I106" s="197">
        <v>0</v>
      </c>
      <c r="J106" s="197">
        <v>141999200</v>
      </c>
      <c r="K106" s="197">
        <v>0</v>
      </c>
      <c r="L106" s="197">
        <v>141999200</v>
      </c>
      <c r="M106" s="197">
        <v>23210573</v>
      </c>
      <c r="N106" s="197">
        <v>141706008</v>
      </c>
      <c r="O106" s="197">
        <v>27353723</v>
      </c>
      <c r="P106" s="197">
        <v>141706008</v>
      </c>
      <c r="Q106" s="197">
        <v>0</v>
      </c>
      <c r="R106" s="197">
        <v>293192</v>
      </c>
      <c r="S106" s="198">
        <v>0</v>
      </c>
    </row>
    <row r="107" spans="1:19" ht="12.75" customHeight="1" x14ac:dyDescent="0.2">
      <c r="A107" s="195" t="s">
        <v>513</v>
      </c>
      <c r="B107" s="58" t="s">
        <v>308</v>
      </c>
      <c r="C107" s="196">
        <v>3000000</v>
      </c>
      <c r="D107" s="36">
        <v>0</v>
      </c>
      <c r="E107" s="36">
        <v>0</v>
      </c>
      <c r="F107" s="36">
        <f>13000000+4000000+3000000</f>
        <v>20000000</v>
      </c>
      <c r="G107" s="36">
        <v>4000000</v>
      </c>
      <c r="H107" s="36">
        <f t="shared" si="37"/>
        <v>19000000</v>
      </c>
      <c r="I107" s="197">
        <v>4000000</v>
      </c>
      <c r="J107" s="197">
        <v>18544486</v>
      </c>
      <c r="K107" s="197">
        <v>0</v>
      </c>
      <c r="L107" s="197">
        <v>18544486</v>
      </c>
      <c r="M107" s="197">
        <v>113379</v>
      </c>
      <c r="N107" s="197">
        <v>18544486</v>
      </c>
      <c r="O107" s="197">
        <v>113379</v>
      </c>
      <c r="P107" s="197">
        <v>18544486</v>
      </c>
      <c r="Q107" s="197">
        <v>0</v>
      </c>
      <c r="R107" s="197">
        <v>0</v>
      </c>
      <c r="S107" s="198">
        <v>0</v>
      </c>
    </row>
    <row r="108" spans="1:19" ht="12.75" customHeight="1" x14ac:dyDescent="0.2">
      <c r="A108" s="195" t="s">
        <v>514</v>
      </c>
      <c r="B108" s="58" t="s">
        <v>310</v>
      </c>
      <c r="C108" s="196">
        <v>20000000</v>
      </c>
      <c r="D108" s="36">
        <v>0</v>
      </c>
      <c r="E108" s="36">
        <v>0</v>
      </c>
      <c r="F108" s="36">
        <f>20476421+1000000</f>
        <v>21476421</v>
      </c>
      <c r="G108" s="36">
        <v>0</v>
      </c>
      <c r="H108" s="36">
        <f t="shared" si="37"/>
        <v>41476421</v>
      </c>
      <c r="I108" s="197">
        <v>281261</v>
      </c>
      <c r="J108" s="197">
        <v>27030731</v>
      </c>
      <c r="K108" s="197">
        <v>132946</v>
      </c>
      <c r="L108" s="197">
        <v>27030727</v>
      </c>
      <c r="M108" s="197">
        <v>4114363</v>
      </c>
      <c r="N108" s="197">
        <v>27030727</v>
      </c>
      <c r="O108" s="197">
        <v>4114363</v>
      </c>
      <c r="P108" s="197">
        <v>27030727</v>
      </c>
      <c r="Q108" s="197">
        <v>4</v>
      </c>
      <c r="R108" s="197">
        <v>0</v>
      </c>
      <c r="S108" s="198">
        <v>0</v>
      </c>
    </row>
    <row r="109" spans="1:19" ht="12.75" customHeight="1" x14ac:dyDescent="0.2">
      <c r="A109" s="195" t="s">
        <v>515</v>
      </c>
      <c r="B109" s="58" t="s">
        <v>312</v>
      </c>
      <c r="C109" s="196">
        <v>60000000</v>
      </c>
      <c r="D109" s="36">
        <v>8000000</v>
      </c>
      <c r="E109" s="36">
        <v>0</v>
      </c>
      <c r="F109" s="36">
        <v>1000000</v>
      </c>
      <c r="G109" s="36">
        <f>20000000+138000</f>
        <v>20138000</v>
      </c>
      <c r="H109" s="36">
        <f t="shared" si="37"/>
        <v>48862000</v>
      </c>
      <c r="I109" s="197">
        <v>1746700</v>
      </c>
      <c r="J109" s="197">
        <v>43833610</v>
      </c>
      <c r="K109" s="197">
        <v>1943900</v>
      </c>
      <c r="L109" s="197">
        <v>43787610</v>
      </c>
      <c r="M109" s="197">
        <v>5453600</v>
      </c>
      <c r="N109" s="197">
        <v>43771210</v>
      </c>
      <c r="O109" s="197">
        <v>5453600</v>
      </c>
      <c r="P109" s="197">
        <v>43771210</v>
      </c>
      <c r="Q109" s="197">
        <v>46000</v>
      </c>
      <c r="R109" s="197">
        <v>16400</v>
      </c>
      <c r="S109" s="198">
        <v>0</v>
      </c>
    </row>
    <row r="110" spans="1:19" ht="12.75" customHeight="1" x14ac:dyDescent="0.2">
      <c r="A110" s="195" t="s">
        <v>516</v>
      </c>
      <c r="B110" s="58" t="s">
        <v>314</v>
      </c>
      <c r="C110" s="196">
        <v>16000000</v>
      </c>
      <c r="D110" s="36">
        <v>0</v>
      </c>
      <c r="E110" s="36">
        <v>0</v>
      </c>
      <c r="F110" s="36">
        <v>15000000</v>
      </c>
      <c r="G110" s="36">
        <v>0</v>
      </c>
      <c r="H110" s="36">
        <f t="shared" si="37"/>
        <v>31000000</v>
      </c>
      <c r="I110" s="197">
        <v>0</v>
      </c>
      <c r="J110" s="197">
        <v>21833052</v>
      </c>
      <c r="K110" s="197">
        <v>0</v>
      </c>
      <c r="L110" s="197">
        <v>21833052</v>
      </c>
      <c r="M110" s="197">
        <v>0</v>
      </c>
      <c r="N110" s="197">
        <v>21833052</v>
      </c>
      <c r="O110" s="197">
        <v>0</v>
      </c>
      <c r="P110" s="197">
        <v>21833052</v>
      </c>
      <c r="Q110" s="197">
        <v>0</v>
      </c>
      <c r="R110" s="197">
        <v>0</v>
      </c>
      <c r="S110" s="198">
        <v>0</v>
      </c>
    </row>
    <row r="111" spans="1:19" ht="12.75" customHeight="1" x14ac:dyDescent="0.2">
      <c r="A111" s="195" t="s">
        <v>517</v>
      </c>
      <c r="B111" s="58" t="s">
        <v>316</v>
      </c>
      <c r="C111" s="196">
        <v>5000000</v>
      </c>
      <c r="D111" s="36">
        <v>0</v>
      </c>
      <c r="E111" s="36">
        <v>0</v>
      </c>
      <c r="F111" s="36">
        <v>1000000</v>
      </c>
      <c r="G111" s="36">
        <v>0</v>
      </c>
      <c r="H111" s="36">
        <f t="shared" si="37"/>
        <v>6000000</v>
      </c>
      <c r="I111" s="197">
        <v>0</v>
      </c>
      <c r="J111" s="197">
        <v>5434900</v>
      </c>
      <c r="K111" s="197">
        <v>0</v>
      </c>
      <c r="L111" s="197">
        <v>5434900</v>
      </c>
      <c r="M111" s="197">
        <v>4750000</v>
      </c>
      <c r="N111" s="197">
        <v>5434900</v>
      </c>
      <c r="O111" s="197">
        <v>4750000</v>
      </c>
      <c r="P111" s="197">
        <v>5434900</v>
      </c>
      <c r="Q111" s="197">
        <v>0</v>
      </c>
      <c r="R111" s="197">
        <v>0</v>
      </c>
      <c r="S111" s="198">
        <v>0</v>
      </c>
    </row>
    <row r="112" spans="1:19" ht="12.75" customHeight="1" x14ac:dyDescent="0.2">
      <c r="A112" s="195" t="s">
        <v>518</v>
      </c>
      <c r="B112" s="58" t="s">
        <v>355</v>
      </c>
      <c r="C112" s="196">
        <v>45000000</v>
      </c>
      <c r="D112" s="36">
        <v>0</v>
      </c>
      <c r="E112" s="36">
        <v>0</v>
      </c>
      <c r="F112" s="36">
        <v>0</v>
      </c>
      <c r="G112" s="36">
        <f>5000000+3000000</f>
        <v>8000000</v>
      </c>
      <c r="H112" s="36">
        <f t="shared" si="37"/>
        <v>37000000</v>
      </c>
      <c r="I112" s="197">
        <v>0</v>
      </c>
      <c r="J112" s="197">
        <v>23250000</v>
      </c>
      <c r="K112" s="197">
        <v>0</v>
      </c>
      <c r="L112" s="197">
        <v>23250000</v>
      </c>
      <c r="M112" s="197">
        <v>7800000</v>
      </c>
      <c r="N112" s="197">
        <v>23250000</v>
      </c>
      <c r="O112" s="197">
        <v>7800000</v>
      </c>
      <c r="P112" s="197">
        <v>23250000</v>
      </c>
      <c r="Q112" s="197">
        <v>0</v>
      </c>
      <c r="R112" s="197">
        <v>0</v>
      </c>
      <c r="S112" s="198">
        <v>0</v>
      </c>
    </row>
    <row r="113" spans="1:19" ht="12.75" customHeight="1" x14ac:dyDescent="0.2">
      <c r="A113" s="195" t="s">
        <v>519</v>
      </c>
      <c r="B113" s="58" t="s">
        <v>292</v>
      </c>
      <c r="C113" s="196">
        <v>7000000</v>
      </c>
      <c r="D113" s="36">
        <v>0</v>
      </c>
      <c r="E113" s="36">
        <v>0</v>
      </c>
      <c r="F113" s="36">
        <v>0</v>
      </c>
      <c r="G113" s="36">
        <v>6000000</v>
      </c>
      <c r="H113" s="36">
        <f t="shared" si="37"/>
        <v>1000000</v>
      </c>
      <c r="I113" s="197">
        <v>0</v>
      </c>
      <c r="J113" s="197">
        <v>970000</v>
      </c>
      <c r="K113" s="197">
        <v>0</v>
      </c>
      <c r="L113" s="197">
        <v>970000</v>
      </c>
      <c r="M113" s="197">
        <v>0</v>
      </c>
      <c r="N113" s="197">
        <v>970000</v>
      </c>
      <c r="O113" s="197">
        <v>0</v>
      </c>
      <c r="P113" s="197">
        <v>970000</v>
      </c>
      <c r="Q113" s="197">
        <v>0</v>
      </c>
      <c r="R113" s="197">
        <v>0</v>
      </c>
      <c r="S113" s="198">
        <v>0</v>
      </c>
    </row>
    <row r="114" spans="1:19" ht="12.75" customHeight="1" x14ac:dyDescent="0.2">
      <c r="A114" s="195" t="s">
        <v>520</v>
      </c>
      <c r="B114" s="58" t="s">
        <v>321</v>
      </c>
      <c r="C114" s="196">
        <v>50000000</v>
      </c>
      <c r="D114" s="36">
        <v>0</v>
      </c>
      <c r="E114" s="36">
        <v>0</v>
      </c>
      <c r="F114" s="36">
        <v>16000000</v>
      </c>
      <c r="G114" s="36">
        <v>6300000</v>
      </c>
      <c r="H114" s="36">
        <f t="shared" si="37"/>
        <v>59700000</v>
      </c>
      <c r="I114" s="197">
        <v>20000000</v>
      </c>
      <c r="J114" s="197">
        <v>59067893</v>
      </c>
      <c r="K114" s="197">
        <v>20000000</v>
      </c>
      <c r="L114" s="197">
        <v>59067893</v>
      </c>
      <c r="M114" s="197">
        <v>20000000</v>
      </c>
      <c r="N114" s="197">
        <v>59067893</v>
      </c>
      <c r="O114" s="197">
        <v>20000000</v>
      </c>
      <c r="P114" s="197">
        <v>59067893</v>
      </c>
      <c r="Q114" s="197">
        <v>0</v>
      </c>
      <c r="R114" s="197">
        <v>0</v>
      </c>
      <c r="S114" s="198">
        <v>0</v>
      </c>
    </row>
    <row r="115" spans="1:19" ht="12.75" customHeight="1" x14ac:dyDescent="0.2">
      <c r="A115" s="195" t="s">
        <v>521</v>
      </c>
      <c r="B115" s="58" t="s">
        <v>359</v>
      </c>
      <c r="C115" s="196">
        <v>114000000</v>
      </c>
      <c r="D115" s="36">
        <v>0</v>
      </c>
      <c r="E115" s="36">
        <v>0</v>
      </c>
      <c r="F115" s="36">
        <v>70000000</v>
      </c>
      <c r="G115" s="36">
        <v>4676421</v>
      </c>
      <c r="H115" s="200">
        <f t="shared" si="37"/>
        <v>179323579</v>
      </c>
      <c r="I115" s="197">
        <v>0</v>
      </c>
      <c r="J115" s="197">
        <v>179323579</v>
      </c>
      <c r="K115" s="197">
        <v>0</v>
      </c>
      <c r="L115" s="197">
        <v>179323579</v>
      </c>
      <c r="M115" s="197">
        <v>15790531</v>
      </c>
      <c r="N115" s="197">
        <v>173533716</v>
      </c>
      <c r="O115" s="197">
        <v>15790531</v>
      </c>
      <c r="P115" s="197">
        <v>173533716</v>
      </c>
      <c r="Q115" s="197">
        <v>0</v>
      </c>
      <c r="R115" s="197">
        <v>5789863</v>
      </c>
      <c r="S115" s="198">
        <v>0</v>
      </c>
    </row>
    <row r="116" spans="1:19" ht="12.75" customHeight="1" x14ac:dyDescent="0.2">
      <c r="A116" s="195" t="s">
        <v>522</v>
      </c>
      <c r="B116" s="58" t="s">
        <v>325</v>
      </c>
      <c r="C116" s="196">
        <v>80000000</v>
      </c>
      <c r="D116" s="36">
        <v>0</v>
      </c>
      <c r="E116" s="36">
        <v>0</v>
      </c>
      <c r="F116" s="36">
        <v>20500000</v>
      </c>
      <c r="G116" s="36">
        <v>0</v>
      </c>
      <c r="H116" s="36">
        <f t="shared" si="37"/>
        <v>100500000</v>
      </c>
      <c r="I116" s="197">
        <v>0</v>
      </c>
      <c r="J116" s="197">
        <v>97692646</v>
      </c>
      <c r="K116" s="197">
        <v>0</v>
      </c>
      <c r="L116" s="197">
        <v>97692646</v>
      </c>
      <c r="M116" s="197">
        <v>8962629</v>
      </c>
      <c r="N116" s="197">
        <v>91418806</v>
      </c>
      <c r="O116" s="197">
        <v>8962629</v>
      </c>
      <c r="P116" s="197">
        <v>91418806</v>
      </c>
      <c r="Q116" s="197">
        <v>0</v>
      </c>
      <c r="R116" s="197">
        <v>6273840</v>
      </c>
      <c r="S116" s="198">
        <v>0</v>
      </c>
    </row>
    <row r="117" spans="1:19" s="14" customFormat="1" ht="12.75" customHeight="1" x14ac:dyDescent="0.25">
      <c r="A117" s="194" t="s">
        <v>101</v>
      </c>
      <c r="B117" s="101" t="s">
        <v>125</v>
      </c>
      <c r="C117" s="37">
        <f>SUM(C118:C120)</f>
        <v>700000000</v>
      </c>
      <c r="D117" s="37">
        <f>SUM(D118:D120)</f>
        <v>0</v>
      </c>
      <c r="E117" s="37">
        <f t="shared" ref="E117:S117" si="38">SUM(E118:E120)</f>
        <v>0</v>
      </c>
      <c r="F117" s="37">
        <f>SUM(F118:F120)</f>
        <v>51000000</v>
      </c>
      <c r="G117" s="37">
        <f t="shared" si="38"/>
        <v>5000000</v>
      </c>
      <c r="H117" s="37">
        <f t="shared" si="38"/>
        <v>746000000</v>
      </c>
      <c r="I117" s="37">
        <f>SUM(I118:I120)</f>
        <v>0</v>
      </c>
      <c r="J117" s="37">
        <f t="shared" si="38"/>
        <v>673531307</v>
      </c>
      <c r="K117" s="37">
        <f t="shared" si="38"/>
        <v>0</v>
      </c>
      <c r="L117" s="37">
        <f t="shared" si="38"/>
        <v>673531307</v>
      </c>
      <c r="M117" s="37">
        <f t="shared" si="38"/>
        <v>0</v>
      </c>
      <c r="N117" s="37">
        <f t="shared" si="38"/>
        <v>673531307</v>
      </c>
      <c r="O117" s="37">
        <f t="shared" si="38"/>
        <v>0</v>
      </c>
      <c r="P117" s="37">
        <f t="shared" si="38"/>
        <v>673531307</v>
      </c>
      <c r="Q117" s="37">
        <f t="shared" si="38"/>
        <v>0</v>
      </c>
      <c r="R117" s="37">
        <f t="shared" si="38"/>
        <v>0</v>
      </c>
      <c r="S117" s="109">
        <f t="shared" si="38"/>
        <v>0</v>
      </c>
    </row>
    <row r="118" spans="1:19" ht="12.75" customHeight="1" x14ac:dyDescent="0.2">
      <c r="A118" s="195" t="s">
        <v>523</v>
      </c>
      <c r="B118" s="58" t="s">
        <v>328</v>
      </c>
      <c r="C118" s="196">
        <v>2000000</v>
      </c>
      <c r="D118" s="36">
        <v>0</v>
      </c>
      <c r="E118" s="36">
        <v>0</v>
      </c>
      <c r="F118" s="36">
        <v>46000000</v>
      </c>
      <c r="G118" s="36">
        <v>0</v>
      </c>
      <c r="H118" s="36">
        <f>+C118+D118-E118+F118-G118</f>
        <v>48000000</v>
      </c>
      <c r="I118" s="197">
        <v>0</v>
      </c>
      <c r="J118" s="197">
        <v>45535292</v>
      </c>
      <c r="K118" s="197">
        <v>0</v>
      </c>
      <c r="L118" s="197">
        <v>45535292</v>
      </c>
      <c r="M118" s="197">
        <v>0</v>
      </c>
      <c r="N118" s="197">
        <v>45535292</v>
      </c>
      <c r="O118" s="197">
        <v>0</v>
      </c>
      <c r="P118" s="197">
        <v>45535292</v>
      </c>
      <c r="Q118" s="197">
        <v>0</v>
      </c>
      <c r="R118" s="197">
        <v>0</v>
      </c>
      <c r="S118" s="198">
        <v>0</v>
      </c>
    </row>
    <row r="119" spans="1:19" ht="12.75" customHeight="1" x14ac:dyDescent="0.2">
      <c r="A119" s="195" t="s">
        <v>524</v>
      </c>
      <c r="B119" s="58" t="s">
        <v>364</v>
      </c>
      <c r="C119" s="196">
        <v>10000000</v>
      </c>
      <c r="D119" s="36">
        <v>0</v>
      </c>
      <c r="E119" s="36">
        <v>0</v>
      </c>
      <c r="F119" s="36">
        <v>5000000</v>
      </c>
      <c r="G119" s="36">
        <v>0</v>
      </c>
      <c r="H119" s="36">
        <f>+C119+D119-E119+F119-G119</f>
        <v>15000000</v>
      </c>
      <c r="I119" s="197">
        <v>0</v>
      </c>
      <c r="J119" s="197">
        <v>12749000</v>
      </c>
      <c r="K119" s="197">
        <v>0</v>
      </c>
      <c r="L119" s="197">
        <v>12749000</v>
      </c>
      <c r="M119" s="197">
        <v>0</v>
      </c>
      <c r="N119" s="197">
        <v>12749000</v>
      </c>
      <c r="O119" s="197">
        <v>0</v>
      </c>
      <c r="P119" s="197">
        <v>12749000</v>
      </c>
      <c r="Q119" s="197">
        <v>0</v>
      </c>
      <c r="R119" s="197">
        <v>0</v>
      </c>
      <c r="S119" s="198">
        <v>0</v>
      </c>
    </row>
    <row r="120" spans="1:19" ht="12.75" customHeight="1" x14ac:dyDescent="0.2">
      <c r="A120" s="195" t="s">
        <v>525</v>
      </c>
      <c r="B120" s="58" t="s">
        <v>366</v>
      </c>
      <c r="C120" s="196">
        <v>688000000</v>
      </c>
      <c r="D120" s="36">
        <v>0</v>
      </c>
      <c r="E120" s="36">
        <v>0</v>
      </c>
      <c r="F120" s="36">
        <v>0</v>
      </c>
      <c r="G120" s="36">
        <v>5000000</v>
      </c>
      <c r="H120" s="36">
        <f>+C120+D120-E120+F120-G120</f>
        <v>683000000</v>
      </c>
      <c r="I120" s="197">
        <v>0</v>
      </c>
      <c r="J120" s="197">
        <v>615247015</v>
      </c>
      <c r="K120" s="197">
        <v>0</v>
      </c>
      <c r="L120" s="197">
        <v>615247015</v>
      </c>
      <c r="M120" s="197">
        <v>0</v>
      </c>
      <c r="N120" s="197">
        <v>615247015</v>
      </c>
      <c r="O120" s="197">
        <v>0</v>
      </c>
      <c r="P120" s="197">
        <v>615247015</v>
      </c>
      <c r="Q120" s="197">
        <v>0</v>
      </c>
      <c r="R120" s="197">
        <v>0</v>
      </c>
      <c r="S120" s="198">
        <v>0</v>
      </c>
    </row>
    <row r="121" spans="1:19" s="14" customFormat="1" ht="12.75" customHeight="1" x14ac:dyDescent="0.25">
      <c r="A121" s="33">
        <v>2.2000000000000002</v>
      </c>
      <c r="B121" s="34" t="s">
        <v>132</v>
      </c>
      <c r="C121" s="35">
        <f>+C122</f>
        <v>140615130747</v>
      </c>
      <c r="D121" s="35">
        <f>+D122</f>
        <v>56656636464.860008</v>
      </c>
      <c r="E121" s="37">
        <f>+E122+E123</f>
        <v>0</v>
      </c>
      <c r="F121" s="35">
        <f>+F123</f>
        <v>23970287622</v>
      </c>
      <c r="G121" s="35">
        <f>+G123</f>
        <v>24013288340</v>
      </c>
      <c r="H121" s="37">
        <f t="shared" ref="H121:S122" si="39">+H122</f>
        <v>197228766493.85999</v>
      </c>
      <c r="I121" s="37">
        <f t="shared" si="39"/>
        <v>7598766062</v>
      </c>
      <c r="J121" s="35">
        <f t="shared" si="39"/>
        <v>195800574878.10999</v>
      </c>
      <c r="K121" s="35">
        <f t="shared" si="39"/>
        <v>8368773947</v>
      </c>
      <c r="L121" s="35">
        <f t="shared" si="39"/>
        <v>194550266522.10999</v>
      </c>
      <c r="M121" s="35">
        <f t="shared" si="39"/>
        <v>20875412936</v>
      </c>
      <c r="N121" s="35">
        <f t="shared" si="39"/>
        <v>168894701827.60001</v>
      </c>
      <c r="O121" s="35">
        <f t="shared" si="39"/>
        <v>20189955804</v>
      </c>
      <c r="P121" s="35">
        <f t="shared" si="39"/>
        <v>164104959887.60001</v>
      </c>
      <c r="Q121" s="35">
        <f t="shared" si="39"/>
        <v>1250308356</v>
      </c>
      <c r="R121" s="35">
        <f>+R122</f>
        <v>25655564896.509998</v>
      </c>
      <c r="S121" s="102">
        <f>+S122</f>
        <v>4789741940</v>
      </c>
    </row>
    <row r="122" spans="1:19" s="14" customFormat="1" ht="12.75" customHeight="1" x14ac:dyDescent="0.25">
      <c r="A122" s="33" t="s">
        <v>133</v>
      </c>
      <c r="B122" s="34" t="s">
        <v>134</v>
      </c>
      <c r="C122" s="35">
        <f>+C123</f>
        <v>140615130747</v>
      </c>
      <c r="D122" s="35">
        <f>+D123</f>
        <v>56656636464.860008</v>
      </c>
      <c r="E122" s="37">
        <v>0</v>
      </c>
      <c r="F122" s="35">
        <f>+F123</f>
        <v>23970287622</v>
      </c>
      <c r="G122" s="35">
        <f>+G123</f>
        <v>24013288340</v>
      </c>
      <c r="H122" s="37">
        <f t="shared" si="39"/>
        <v>197228766493.85999</v>
      </c>
      <c r="I122" s="37">
        <f t="shared" si="39"/>
        <v>7598766062</v>
      </c>
      <c r="J122" s="35">
        <f t="shared" si="39"/>
        <v>195800574878.10999</v>
      </c>
      <c r="K122" s="35">
        <f t="shared" si="39"/>
        <v>8368773947</v>
      </c>
      <c r="L122" s="35">
        <f t="shared" si="39"/>
        <v>194550266522.10999</v>
      </c>
      <c r="M122" s="35">
        <f t="shared" si="39"/>
        <v>20875412936</v>
      </c>
      <c r="N122" s="35">
        <f t="shared" si="39"/>
        <v>168894701827.60001</v>
      </c>
      <c r="O122" s="35">
        <f t="shared" si="39"/>
        <v>20189955804</v>
      </c>
      <c r="P122" s="35">
        <f t="shared" si="39"/>
        <v>164104959887.60001</v>
      </c>
      <c r="Q122" s="35">
        <f t="shared" si="39"/>
        <v>1250308356</v>
      </c>
      <c r="R122" s="35">
        <f t="shared" si="39"/>
        <v>25655564896.509998</v>
      </c>
      <c r="S122" s="102">
        <f t="shared" si="39"/>
        <v>4789741940</v>
      </c>
    </row>
    <row r="123" spans="1:19" s="14" customFormat="1" ht="12.75" customHeight="1" x14ac:dyDescent="0.25">
      <c r="A123" s="33" t="s">
        <v>135</v>
      </c>
      <c r="B123" s="34" t="s">
        <v>136</v>
      </c>
      <c r="C123" s="35">
        <f>+C124+C137+C152</f>
        <v>140615130747</v>
      </c>
      <c r="D123" s="35">
        <f>+D124+D137+D152</f>
        <v>56656636464.860008</v>
      </c>
      <c r="E123" s="37">
        <f>SUM(E124:E133)</f>
        <v>0</v>
      </c>
      <c r="F123" s="35">
        <f t="shared" ref="F123:S123" si="40">+F124+F137+F152</f>
        <v>23970287622</v>
      </c>
      <c r="G123" s="35">
        <f t="shared" si="40"/>
        <v>24013288340</v>
      </c>
      <c r="H123" s="35">
        <f t="shared" si="40"/>
        <v>197228766493.85999</v>
      </c>
      <c r="I123" s="35">
        <f t="shared" si="40"/>
        <v>7598766062</v>
      </c>
      <c r="J123" s="35">
        <f t="shared" si="40"/>
        <v>195800574878.10999</v>
      </c>
      <c r="K123" s="35">
        <f t="shared" si="40"/>
        <v>8368773947</v>
      </c>
      <c r="L123" s="35">
        <f t="shared" si="40"/>
        <v>194550266522.10999</v>
      </c>
      <c r="M123" s="35">
        <f t="shared" si="40"/>
        <v>20875412936</v>
      </c>
      <c r="N123" s="35">
        <f t="shared" si="40"/>
        <v>168894701827.60001</v>
      </c>
      <c r="O123" s="35">
        <f t="shared" si="40"/>
        <v>20189955804</v>
      </c>
      <c r="P123" s="35">
        <f t="shared" si="40"/>
        <v>164104959887.60001</v>
      </c>
      <c r="Q123" s="35">
        <f t="shared" si="40"/>
        <v>1250308356</v>
      </c>
      <c r="R123" s="35">
        <f t="shared" si="40"/>
        <v>25655564896.509998</v>
      </c>
      <c r="S123" s="102">
        <f t="shared" si="40"/>
        <v>4789741940</v>
      </c>
    </row>
    <row r="124" spans="1:19" s="14" customFormat="1" ht="12.75" customHeight="1" x14ac:dyDescent="0.25">
      <c r="A124" s="33" t="s">
        <v>137</v>
      </c>
      <c r="B124" s="34" t="s">
        <v>138</v>
      </c>
      <c r="C124" s="35">
        <f>SUM(C125:C136)</f>
        <v>125117226671</v>
      </c>
      <c r="D124" s="35">
        <f>SUM(D125:D136)</f>
        <v>43178317721.240005</v>
      </c>
      <c r="E124" s="35">
        <f t="shared" ref="E124:S124" si="41">SUM(E125:E136)</f>
        <v>0</v>
      </c>
      <c r="F124" s="35">
        <f>SUM(F125:F136)</f>
        <v>12873097199</v>
      </c>
      <c r="G124" s="35">
        <f t="shared" si="41"/>
        <v>20689152708</v>
      </c>
      <c r="H124" s="35">
        <f t="shared" si="41"/>
        <v>160479488883.23999</v>
      </c>
      <c r="I124" s="35">
        <f>SUM(I125:I136)</f>
        <v>2000095918</v>
      </c>
      <c r="J124" s="35">
        <f>SUM(J125:J136)</f>
        <v>159919788578.10999</v>
      </c>
      <c r="K124" s="35">
        <f t="shared" si="41"/>
        <v>3279647595</v>
      </c>
      <c r="L124" s="35">
        <f t="shared" si="41"/>
        <v>158748304403.10999</v>
      </c>
      <c r="M124" s="35">
        <f t="shared" si="41"/>
        <v>15236857748</v>
      </c>
      <c r="N124" s="35">
        <f t="shared" si="41"/>
        <v>134658645081.60001</v>
      </c>
      <c r="O124" s="35">
        <f t="shared" si="41"/>
        <v>14768681934</v>
      </c>
      <c r="P124" s="35">
        <f t="shared" si="41"/>
        <v>130337711609.60001</v>
      </c>
      <c r="Q124" s="35">
        <f t="shared" si="41"/>
        <v>1171484175</v>
      </c>
      <c r="R124" s="35">
        <f t="shared" si="41"/>
        <v>24089659321.509998</v>
      </c>
      <c r="S124" s="102">
        <f t="shared" si="41"/>
        <v>4320933472</v>
      </c>
    </row>
    <row r="125" spans="1:19" s="14" customFormat="1" ht="12.75" customHeight="1" x14ac:dyDescent="0.25">
      <c r="A125" s="195" t="s">
        <v>526</v>
      </c>
      <c r="B125" s="58" t="s">
        <v>140</v>
      </c>
      <c r="C125" s="196">
        <v>19000000000</v>
      </c>
      <c r="D125" s="36">
        <f>340404551+843838609.02+540000000+807000000</f>
        <v>2531243160.02</v>
      </c>
      <c r="E125" s="36">
        <v>0</v>
      </c>
      <c r="F125" s="36">
        <f>1000000000+1000000000+750000000+480000000+20000000+88620000</f>
        <v>3338620000</v>
      </c>
      <c r="G125" s="36">
        <f>3200000000+136000000+16500000+340000000+2000000</f>
        <v>3694500000</v>
      </c>
      <c r="H125" s="36">
        <f t="shared" ref="H125:H136" si="42">+C125+D125-E125+F125-G125</f>
        <v>21175363160.02</v>
      </c>
      <c r="I125" s="197">
        <v>86437228</v>
      </c>
      <c r="J125" s="197">
        <v>20888501426.509998</v>
      </c>
      <c r="K125" s="197">
        <v>89217228</v>
      </c>
      <c r="L125" s="197">
        <v>20888461426.510002</v>
      </c>
      <c r="M125" s="197">
        <v>1803125751</v>
      </c>
      <c r="N125" s="197">
        <v>19119759409</v>
      </c>
      <c r="O125" s="197">
        <v>1825497348</v>
      </c>
      <c r="P125" s="197">
        <v>18717568205</v>
      </c>
      <c r="Q125" s="197">
        <v>40000</v>
      </c>
      <c r="R125" s="197">
        <v>1768702017.5099976</v>
      </c>
      <c r="S125" s="198">
        <v>402191204</v>
      </c>
    </row>
    <row r="126" spans="1:19" ht="12.75" customHeight="1" x14ac:dyDescent="0.2">
      <c r="A126" s="195" t="s">
        <v>527</v>
      </c>
      <c r="B126" s="58" t="s">
        <v>142</v>
      </c>
      <c r="C126" s="196">
        <v>30157205358</v>
      </c>
      <c r="D126" s="36">
        <f>500000000+4000000000+6221199090.82+141991809+4034500000</f>
        <v>14897690899.82</v>
      </c>
      <c r="E126" s="36">
        <v>0</v>
      </c>
      <c r="F126" s="36">
        <f>2000000000+43000000</f>
        <v>2043000000</v>
      </c>
      <c r="G126" s="36">
        <f>2000000000+900000000+50000000+260000000+625038631+24000000+224564516</f>
        <v>4083603147</v>
      </c>
      <c r="H126" s="36">
        <f t="shared" si="42"/>
        <v>43014293110.82</v>
      </c>
      <c r="I126" s="197">
        <v>206859196</v>
      </c>
      <c r="J126" s="197">
        <v>42393948398.599998</v>
      </c>
      <c r="K126" s="197">
        <v>8829486</v>
      </c>
      <c r="L126" s="197">
        <v>42386572564.599998</v>
      </c>
      <c r="M126" s="197">
        <v>4698285603</v>
      </c>
      <c r="N126" s="197">
        <v>32825780482.599998</v>
      </c>
      <c r="O126" s="197">
        <v>4080714134</v>
      </c>
      <c r="P126" s="197">
        <v>31624862935.599998</v>
      </c>
      <c r="Q126" s="197">
        <v>7375834</v>
      </c>
      <c r="R126" s="197">
        <v>9560792082</v>
      </c>
      <c r="S126" s="198">
        <v>1200917547</v>
      </c>
    </row>
    <row r="127" spans="1:19" ht="12.75" customHeight="1" x14ac:dyDescent="0.2">
      <c r="A127" s="195" t="s">
        <v>528</v>
      </c>
      <c r="B127" s="58" t="s">
        <v>144</v>
      </c>
      <c r="C127" s="196">
        <v>20000000000</v>
      </c>
      <c r="D127" s="36">
        <f>800000000+1038378437+600000000+1835583581.59</f>
        <v>4273962018.5900002</v>
      </c>
      <c r="E127" s="36">
        <v>0</v>
      </c>
      <c r="F127" s="36">
        <f>1500000000+160000000+50000000+260000000+85000000+440100000+400000000+150000000</f>
        <v>3045100000</v>
      </c>
      <c r="G127" s="36">
        <f>1270000000+5000000+190000000+91935484</f>
        <v>1556935484</v>
      </c>
      <c r="H127" s="36">
        <f t="shared" si="42"/>
        <v>25762126534.59</v>
      </c>
      <c r="I127" s="197">
        <v>131935484</v>
      </c>
      <c r="J127" s="197">
        <v>25116514968</v>
      </c>
      <c r="K127" s="197">
        <v>350000000</v>
      </c>
      <c r="L127" s="197">
        <v>25066514968</v>
      </c>
      <c r="M127" s="197">
        <v>3015793908</v>
      </c>
      <c r="N127" s="197">
        <v>21279808880</v>
      </c>
      <c r="O127" s="197">
        <v>2533457962</v>
      </c>
      <c r="P127" s="197">
        <v>19888518352</v>
      </c>
      <c r="Q127" s="197">
        <v>50000000</v>
      </c>
      <c r="R127" s="197">
        <v>3786706088</v>
      </c>
      <c r="S127" s="198">
        <v>1391290528</v>
      </c>
    </row>
    <row r="128" spans="1:19" ht="12.75" customHeight="1" x14ac:dyDescent="0.2">
      <c r="A128" s="195" t="s">
        <v>529</v>
      </c>
      <c r="B128" s="58" t="s">
        <v>146</v>
      </c>
      <c r="C128" s="196">
        <v>21060000000</v>
      </c>
      <c r="D128" s="36">
        <f>100000000+824478837.5+80000000</f>
        <v>1004478837.5</v>
      </c>
      <c r="E128" s="36">
        <v>0</v>
      </c>
      <c r="F128" s="36">
        <f>50000000+600000000+116000000</f>
        <v>766000000</v>
      </c>
      <c r="G128" s="36">
        <f>20000000+6000000</f>
        <v>26000000</v>
      </c>
      <c r="H128" s="36">
        <f t="shared" si="42"/>
        <v>22804478837.5</v>
      </c>
      <c r="I128" s="197">
        <v>0</v>
      </c>
      <c r="J128" s="197">
        <v>24020606473</v>
      </c>
      <c r="K128" s="197">
        <v>1103685190</v>
      </c>
      <c r="L128" s="197">
        <v>22916921283</v>
      </c>
      <c r="M128" s="197">
        <v>1859537315</v>
      </c>
      <c r="N128" s="197">
        <v>21763023346</v>
      </c>
      <c r="O128" s="197">
        <v>1474885420</v>
      </c>
      <c r="P128" s="197">
        <v>21277329826</v>
      </c>
      <c r="Q128" s="197">
        <v>1103685190</v>
      </c>
      <c r="R128" s="197">
        <v>1153897937</v>
      </c>
      <c r="S128" s="198">
        <v>485693520</v>
      </c>
    </row>
    <row r="129" spans="1:19" ht="12.75" customHeight="1" x14ac:dyDescent="0.2">
      <c r="A129" s="195" t="s">
        <v>530</v>
      </c>
      <c r="B129" s="58" t="s">
        <v>148</v>
      </c>
      <c r="C129" s="196">
        <v>6700000000</v>
      </c>
      <c r="D129" s="36">
        <f>1000000000+989104376.31+883821099</f>
        <v>2872925475.3099999</v>
      </c>
      <c r="E129" s="36">
        <v>0</v>
      </c>
      <c r="F129" s="36">
        <f>16500000+1584000</f>
        <v>18084000</v>
      </c>
      <c r="G129" s="36">
        <f>50000000+1250000000+900000000+880808+451000000+142100000+89000000+5000000</f>
        <v>2887980808</v>
      </c>
      <c r="H129" s="36">
        <f t="shared" si="42"/>
        <v>6703028667.3099995</v>
      </c>
      <c r="I129" s="197">
        <v>93067287</v>
      </c>
      <c r="J129" s="197">
        <v>6698561926</v>
      </c>
      <c r="K129" s="197">
        <v>88742064</v>
      </c>
      <c r="L129" s="197">
        <v>6688178775</v>
      </c>
      <c r="M129" s="197">
        <v>715267675</v>
      </c>
      <c r="N129" s="197">
        <v>5599526909</v>
      </c>
      <c r="O129" s="197">
        <v>757210049</v>
      </c>
      <c r="P129" s="197">
        <v>5500504616</v>
      </c>
      <c r="Q129" s="197">
        <v>10383151</v>
      </c>
      <c r="R129" s="197">
        <v>1088651866</v>
      </c>
      <c r="S129" s="198">
        <v>99022293</v>
      </c>
    </row>
    <row r="130" spans="1:19" ht="12.75" customHeight="1" x14ac:dyDescent="0.2">
      <c r="A130" s="195" t="s">
        <v>531</v>
      </c>
      <c r="B130" s="58" t="s">
        <v>150</v>
      </c>
      <c r="C130" s="196">
        <v>16000000000</v>
      </c>
      <c r="D130" s="36">
        <f>190195655+450000000+561557047+600000000+2401000000</f>
        <v>4202752702</v>
      </c>
      <c r="E130" s="36">
        <v>0</v>
      </c>
      <c r="F130" s="36">
        <f>1210000000+686000000+238994740+230000000</f>
        <v>2364994740</v>
      </c>
      <c r="G130" s="36">
        <f>1000000000+1000000000+900000000+1148433+100000000</f>
        <v>3001148433</v>
      </c>
      <c r="H130" s="36">
        <f t="shared" si="42"/>
        <v>19566599009</v>
      </c>
      <c r="I130" s="197">
        <v>130000000</v>
      </c>
      <c r="J130" s="197">
        <v>19545097443</v>
      </c>
      <c r="K130" s="197">
        <v>230000000</v>
      </c>
      <c r="L130" s="197">
        <v>19545097443</v>
      </c>
      <c r="M130" s="197">
        <v>1039136667</v>
      </c>
      <c r="N130" s="197">
        <v>14194834125</v>
      </c>
      <c r="O130" s="197">
        <v>1969439252</v>
      </c>
      <c r="P130" s="197">
        <v>13705762933</v>
      </c>
      <c r="Q130" s="197">
        <v>0</v>
      </c>
      <c r="R130" s="197">
        <v>5350263318</v>
      </c>
      <c r="S130" s="198">
        <v>489071192</v>
      </c>
    </row>
    <row r="131" spans="1:19" ht="12.75" customHeight="1" x14ac:dyDescent="0.2">
      <c r="A131" s="195" t="s">
        <v>532</v>
      </c>
      <c r="B131" s="58" t="s">
        <v>152</v>
      </c>
      <c r="C131" s="196">
        <v>6700000000</v>
      </c>
      <c r="D131" s="36">
        <f>200000000+400000000</f>
        <v>600000000</v>
      </c>
      <c r="E131" s="36">
        <v>0</v>
      </c>
      <c r="F131" s="36">
        <f>80000000+2029241+24043891</f>
        <v>106073132</v>
      </c>
      <c r="G131" s="36">
        <f>2800000000+390000000+400000000+50000000+20000000</f>
        <v>3660000000</v>
      </c>
      <c r="H131" s="36">
        <f t="shared" si="42"/>
        <v>3746073132</v>
      </c>
      <c r="I131" s="197">
        <v>354250836</v>
      </c>
      <c r="J131" s="197">
        <v>3391169084</v>
      </c>
      <c r="K131" s="197">
        <v>0</v>
      </c>
      <c r="L131" s="197">
        <v>3391169084</v>
      </c>
      <c r="M131" s="197">
        <v>139150044</v>
      </c>
      <c r="N131" s="197">
        <v>3184506584</v>
      </c>
      <c r="O131" s="197">
        <v>139634844</v>
      </c>
      <c r="P131" s="197">
        <v>3169171740</v>
      </c>
      <c r="Q131" s="197">
        <v>0</v>
      </c>
      <c r="R131" s="197">
        <v>206662500</v>
      </c>
      <c r="S131" s="198">
        <v>15334844</v>
      </c>
    </row>
    <row r="132" spans="1:19" ht="12.75" customHeight="1" x14ac:dyDescent="0.2">
      <c r="A132" s="195" t="s">
        <v>533</v>
      </c>
      <c r="B132" s="58" t="s">
        <v>154</v>
      </c>
      <c r="C132" s="196">
        <v>4200000000</v>
      </c>
      <c r="D132" s="36">
        <f>330000000+378500000</f>
        <v>708500000</v>
      </c>
      <c r="E132" s="36">
        <v>0</v>
      </c>
      <c r="F132" s="36">
        <v>248625327</v>
      </c>
      <c r="G132" s="36">
        <f>350000000+20000000+354250836</f>
        <v>724250836</v>
      </c>
      <c r="H132" s="36">
        <f t="shared" si="42"/>
        <v>4432874491</v>
      </c>
      <c r="I132" s="197">
        <v>147880</v>
      </c>
      <c r="J132" s="197">
        <v>4651220869</v>
      </c>
      <c r="K132" s="197">
        <v>214852120</v>
      </c>
      <c r="L132" s="197">
        <v>4651220869</v>
      </c>
      <c r="M132" s="197">
        <v>622189261</v>
      </c>
      <c r="N132" s="197">
        <v>3930437086</v>
      </c>
      <c r="O132" s="197">
        <v>557549664</v>
      </c>
      <c r="P132" s="197">
        <v>3824795185</v>
      </c>
      <c r="Q132" s="197">
        <v>0</v>
      </c>
      <c r="R132" s="197">
        <v>720783783</v>
      </c>
      <c r="S132" s="198">
        <v>105641901</v>
      </c>
    </row>
    <row r="133" spans="1:19" ht="12.75" customHeight="1" x14ac:dyDescent="0.2">
      <c r="A133" s="195" t="s">
        <v>534</v>
      </c>
      <c r="B133" s="58" t="s">
        <v>399</v>
      </c>
      <c r="C133" s="196">
        <v>800000000</v>
      </c>
      <c r="D133" s="36">
        <f>100000000+100000000+200000000</f>
        <v>400000000</v>
      </c>
      <c r="E133" s="36">
        <v>0</v>
      </c>
      <c r="F133" s="36">
        <f>50000000+60000000+50000000+126000000</f>
        <v>286000000</v>
      </c>
      <c r="G133" s="36">
        <v>0</v>
      </c>
      <c r="H133" s="36">
        <f t="shared" si="42"/>
        <v>1486000000</v>
      </c>
      <c r="I133" s="197">
        <v>125170000</v>
      </c>
      <c r="J133" s="197">
        <v>1445146900</v>
      </c>
      <c r="K133" s="197">
        <v>125170000</v>
      </c>
      <c r="L133" s="197">
        <v>1445146900</v>
      </c>
      <c r="M133" s="197">
        <v>215888023</v>
      </c>
      <c r="N133" s="197">
        <v>1085657826</v>
      </c>
      <c r="O133" s="197">
        <v>143233760</v>
      </c>
      <c r="P133" s="197">
        <v>989864883</v>
      </c>
      <c r="Q133" s="197">
        <v>0</v>
      </c>
      <c r="R133" s="197">
        <v>359489074</v>
      </c>
      <c r="S133" s="198">
        <v>95792943</v>
      </c>
    </row>
    <row r="134" spans="1:19" ht="12.75" customHeight="1" x14ac:dyDescent="0.2">
      <c r="A134" s="195" t="s">
        <v>535</v>
      </c>
      <c r="B134" s="58" t="s">
        <v>158</v>
      </c>
      <c r="C134" s="196">
        <v>250000000</v>
      </c>
      <c r="D134" s="36">
        <f>30000000+35000000+45000000+35000000</f>
        <v>145000000</v>
      </c>
      <c r="E134" s="36">
        <v>0</v>
      </c>
      <c r="F134" s="36">
        <v>0</v>
      </c>
      <c r="G134" s="36">
        <v>25000000</v>
      </c>
      <c r="H134" s="36">
        <f t="shared" si="42"/>
        <v>370000000</v>
      </c>
      <c r="I134" s="197">
        <v>24605000</v>
      </c>
      <c r="J134" s="197">
        <v>355680000</v>
      </c>
      <c r="K134" s="197">
        <v>24605000</v>
      </c>
      <c r="L134" s="197">
        <v>355680000</v>
      </c>
      <c r="M134" s="197">
        <v>60490850</v>
      </c>
      <c r="N134" s="197">
        <v>270855000</v>
      </c>
      <c r="O134" s="197">
        <v>66740850</v>
      </c>
      <c r="P134" s="197">
        <v>270855000</v>
      </c>
      <c r="Q134" s="197">
        <v>0</v>
      </c>
      <c r="R134" s="197">
        <v>84825000</v>
      </c>
      <c r="S134" s="198">
        <v>0</v>
      </c>
    </row>
    <row r="135" spans="1:19" ht="12.75" customHeight="1" x14ac:dyDescent="0.2">
      <c r="A135" s="195" t="s">
        <v>371</v>
      </c>
      <c r="B135" s="58" t="s">
        <v>374</v>
      </c>
      <c r="C135" s="196">
        <v>207226671</v>
      </c>
      <c r="D135" s="36">
        <v>200000000</v>
      </c>
      <c r="E135" s="36">
        <v>0</v>
      </c>
      <c r="F135" s="36">
        <v>0</v>
      </c>
      <c r="G135" s="36">
        <f>10000000+3734000</f>
        <v>13734000</v>
      </c>
      <c r="H135" s="36">
        <f t="shared" si="42"/>
        <v>393492671</v>
      </c>
      <c r="I135" s="197">
        <v>6382700</v>
      </c>
      <c r="J135" s="197">
        <v>391426439</v>
      </c>
      <c r="K135" s="197">
        <v>10116700</v>
      </c>
      <c r="L135" s="197">
        <v>391426439</v>
      </c>
      <c r="M135" s="197">
        <v>19231044</v>
      </c>
      <c r="N135" s="197">
        <v>382540783</v>
      </c>
      <c r="O135" s="197">
        <v>19231044</v>
      </c>
      <c r="P135" s="197">
        <v>382540783</v>
      </c>
      <c r="Q135" s="197">
        <v>0</v>
      </c>
      <c r="R135" s="197">
        <v>8885656</v>
      </c>
      <c r="S135" s="198">
        <v>0</v>
      </c>
    </row>
    <row r="136" spans="1:19" ht="12.75" customHeight="1" x14ac:dyDescent="0.2">
      <c r="A136" s="195" t="s">
        <v>536</v>
      </c>
      <c r="B136" s="58" t="s">
        <v>537</v>
      </c>
      <c r="C136" s="196">
        <v>42794642</v>
      </c>
      <c r="D136" s="36">
        <f>4216099249+1845978323+5018249888+261437168</f>
        <v>11341764628</v>
      </c>
      <c r="E136" s="62">
        <v>0</v>
      </c>
      <c r="F136" s="36">
        <f>212600000+444000000</f>
        <v>656600000</v>
      </c>
      <c r="G136" s="36">
        <f>556000000+460000000</f>
        <v>1016000000</v>
      </c>
      <c r="H136" s="36">
        <f t="shared" si="42"/>
        <v>11025159270</v>
      </c>
      <c r="I136" s="197">
        <v>841240307</v>
      </c>
      <c r="J136" s="197">
        <v>11021914651</v>
      </c>
      <c r="K136" s="197">
        <v>1034429807</v>
      </c>
      <c r="L136" s="197">
        <v>11021914651</v>
      </c>
      <c r="M136" s="197">
        <v>1048761607</v>
      </c>
      <c r="N136" s="197">
        <v>11021914651</v>
      </c>
      <c r="O136" s="197">
        <v>1201087607</v>
      </c>
      <c r="P136" s="197">
        <v>10985937151</v>
      </c>
      <c r="Q136" s="197">
        <v>0</v>
      </c>
      <c r="R136" s="197">
        <v>0</v>
      </c>
      <c r="S136" s="198">
        <v>35977500</v>
      </c>
    </row>
    <row r="137" spans="1:19" s="14" customFormat="1" ht="12.75" customHeight="1" x14ac:dyDescent="0.25">
      <c r="A137" s="33" t="s">
        <v>169</v>
      </c>
      <c r="B137" s="201" t="s">
        <v>170</v>
      </c>
      <c r="C137" s="35">
        <f>SUM(C138:C151)</f>
        <v>5069819600</v>
      </c>
      <c r="D137" s="35">
        <f t="shared" ref="D137:S137" si="43">SUM(D138:D151)</f>
        <v>5140945527.25</v>
      </c>
      <c r="E137" s="35">
        <f t="shared" si="43"/>
        <v>0</v>
      </c>
      <c r="F137" s="35">
        <f>SUM(F138:F151)</f>
        <v>1981400000</v>
      </c>
      <c r="G137" s="35">
        <f t="shared" si="43"/>
        <v>1975331632</v>
      </c>
      <c r="H137" s="35">
        <f t="shared" si="43"/>
        <v>10216833495.25</v>
      </c>
      <c r="I137" s="35">
        <f t="shared" si="43"/>
        <v>745151217</v>
      </c>
      <c r="J137" s="35">
        <f t="shared" si="43"/>
        <v>10104211154</v>
      </c>
      <c r="K137" s="35">
        <f t="shared" si="43"/>
        <v>263805281</v>
      </c>
      <c r="L137" s="35">
        <f t="shared" si="43"/>
        <v>10056670669</v>
      </c>
      <c r="M137" s="35">
        <f t="shared" si="43"/>
        <v>810272355</v>
      </c>
      <c r="N137" s="35">
        <f t="shared" si="43"/>
        <v>8490765195</v>
      </c>
      <c r="O137" s="35">
        <f t="shared" si="43"/>
        <v>762774327</v>
      </c>
      <c r="P137" s="35">
        <f t="shared" si="43"/>
        <v>8253117120</v>
      </c>
      <c r="Q137" s="35">
        <f t="shared" si="43"/>
        <v>47540485</v>
      </c>
      <c r="R137" s="35">
        <f t="shared" si="43"/>
        <v>1565905474</v>
      </c>
      <c r="S137" s="102">
        <f t="shared" si="43"/>
        <v>237648075</v>
      </c>
    </row>
    <row r="138" spans="1:19" s="166" customFormat="1" ht="12.75" customHeight="1" x14ac:dyDescent="0.2">
      <c r="A138" s="195" t="s">
        <v>538</v>
      </c>
      <c r="B138" s="58" t="s">
        <v>140</v>
      </c>
      <c r="C138" s="196">
        <v>1030000000</v>
      </c>
      <c r="D138" s="36">
        <f>50000000+121607675.46+110000000+78500000</f>
        <v>360107675.45999998</v>
      </c>
      <c r="E138" s="36">
        <v>0</v>
      </c>
      <c r="F138" s="36">
        <v>47000000</v>
      </c>
      <c r="G138" s="36">
        <f>100000000+94000000+9000000+30000000+34000000+28000000</f>
        <v>295000000</v>
      </c>
      <c r="H138" s="36">
        <f t="shared" ref="H138:H151" si="44">+C138+D138-E138+F138-G138</f>
        <v>1142107675.46</v>
      </c>
      <c r="I138" s="197">
        <v>23515210</v>
      </c>
      <c r="J138" s="197">
        <v>1160709085</v>
      </c>
      <c r="K138" s="197">
        <v>6804790</v>
      </c>
      <c r="L138" s="197">
        <v>1150709085</v>
      </c>
      <c r="M138" s="197">
        <v>49429293</v>
      </c>
      <c r="N138" s="197">
        <v>947847806</v>
      </c>
      <c r="O138" s="197">
        <v>43924404</v>
      </c>
      <c r="P138" s="197">
        <v>934963907</v>
      </c>
      <c r="Q138" s="197">
        <v>10000000</v>
      </c>
      <c r="R138" s="197">
        <v>202861279</v>
      </c>
      <c r="S138" s="198">
        <v>12883899</v>
      </c>
    </row>
    <row r="139" spans="1:19" s="166" customFormat="1" ht="12.75" customHeight="1" x14ac:dyDescent="0.2">
      <c r="A139" s="195" t="s">
        <v>539</v>
      </c>
      <c r="B139" s="58" t="s">
        <v>142</v>
      </c>
      <c r="C139" s="196">
        <v>1377488203</v>
      </c>
      <c r="D139" s="36">
        <f>674948122+612054442.95+148000000+297450000+40000000</f>
        <v>1772452564.95</v>
      </c>
      <c r="E139" s="36">
        <v>0</v>
      </c>
      <c r="F139" s="36">
        <f>600000000+250000000</f>
        <v>850000000</v>
      </c>
      <c r="G139" s="36">
        <f>100000000+30000000+50000000+60000000+35000000+5000000+2000000+347333333</f>
        <v>629333333</v>
      </c>
      <c r="H139" s="36">
        <f t="shared" si="44"/>
        <v>3370607434.9499998</v>
      </c>
      <c r="I139" s="197">
        <v>347333333</v>
      </c>
      <c r="J139" s="197">
        <v>3387478801</v>
      </c>
      <c r="K139" s="197">
        <v>5500000</v>
      </c>
      <c r="L139" s="197">
        <v>3387478801</v>
      </c>
      <c r="M139" s="197">
        <v>210214798</v>
      </c>
      <c r="N139" s="197">
        <v>2853706297</v>
      </c>
      <c r="O139" s="197">
        <v>190750420</v>
      </c>
      <c r="P139" s="197">
        <v>2822279447</v>
      </c>
      <c r="Q139" s="197">
        <v>0</v>
      </c>
      <c r="R139" s="197">
        <v>533772504</v>
      </c>
      <c r="S139" s="198">
        <v>31426850</v>
      </c>
    </row>
    <row r="140" spans="1:19" s="166" customFormat="1" ht="12.75" customHeight="1" x14ac:dyDescent="0.2">
      <c r="A140" s="195" t="s">
        <v>540</v>
      </c>
      <c r="B140" s="58" t="s">
        <v>144</v>
      </c>
      <c r="C140" s="196">
        <v>500000000</v>
      </c>
      <c r="D140" s="36">
        <f>50000000+481666667+130000000+115000000</f>
        <v>776666667</v>
      </c>
      <c r="E140" s="36">
        <v>0</v>
      </c>
      <c r="F140" s="36">
        <f>65000000+60000000+9000000+150000000+38000000+40000000</f>
        <v>362000000</v>
      </c>
      <c r="G140" s="36">
        <f>20000000+11500000+166666667</f>
        <v>198166667</v>
      </c>
      <c r="H140" s="36">
        <f t="shared" si="44"/>
        <v>1440500000</v>
      </c>
      <c r="I140" s="197">
        <v>176666667</v>
      </c>
      <c r="J140" s="197">
        <v>1390000000</v>
      </c>
      <c r="K140" s="197">
        <v>0</v>
      </c>
      <c r="L140" s="197">
        <v>1360000000</v>
      </c>
      <c r="M140" s="197">
        <v>173865335</v>
      </c>
      <c r="N140" s="197">
        <v>914668731</v>
      </c>
      <c r="O140" s="197">
        <v>140402857</v>
      </c>
      <c r="P140" s="197">
        <v>875663931</v>
      </c>
      <c r="Q140" s="197">
        <v>30000000</v>
      </c>
      <c r="R140" s="197">
        <v>445331269</v>
      </c>
      <c r="S140" s="198">
        <v>39004800</v>
      </c>
    </row>
    <row r="141" spans="1:19" s="166" customFormat="1" ht="12.75" customHeight="1" x14ac:dyDescent="0.2">
      <c r="A141" s="195" t="s">
        <v>541</v>
      </c>
      <c r="B141" s="58" t="s">
        <v>146</v>
      </c>
      <c r="C141" s="196">
        <v>900000000</v>
      </c>
      <c r="D141" s="36">
        <f>10000000+42710489.38+70000000</f>
        <v>122710489.38</v>
      </c>
      <c r="E141" s="36">
        <v>0</v>
      </c>
      <c r="F141" s="36">
        <f>60000000+400000+5000000</f>
        <v>65400000</v>
      </c>
      <c r="G141" s="36">
        <f>29000000+10000000</f>
        <v>39000000</v>
      </c>
      <c r="H141" s="36">
        <f t="shared" si="44"/>
        <v>1049110489.3800001</v>
      </c>
      <c r="I141" s="197">
        <v>4700000</v>
      </c>
      <c r="J141" s="197">
        <v>1094535338</v>
      </c>
      <c r="K141" s="197">
        <v>34100000</v>
      </c>
      <c r="L141" s="197">
        <v>1094535338</v>
      </c>
      <c r="M141" s="197">
        <v>64246505</v>
      </c>
      <c r="N141" s="197">
        <v>1063563764</v>
      </c>
      <c r="O141" s="197">
        <v>65402414</v>
      </c>
      <c r="P141" s="197">
        <v>1053043664</v>
      </c>
      <c r="Q141" s="197">
        <v>0</v>
      </c>
      <c r="R141" s="197">
        <v>30971574</v>
      </c>
      <c r="S141" s="198">
        <v>10520100</v>
      </c>
    </row>
    <row r="142" spans="1:19" s="166" customFormat="1" ht="12.75" customHeight="1" x14ac:dyDescent="0.2">
      <c r="A142" s="195" t="s">
        <v>542</v>
      </c>
      <c r="B142" s="58" t="s">
        <v>148</v>
      </c>
      <c r="C142" s="196">
        <v>300000000</v>
      </c>
      <c r="D142" s="36">
        <f>60000000+68779192.46+72387755</f>
        <v>201166947.45999998</v>
      </c>
      <c r="E142" s="36">
        <v>0</v>
      </c>
      <c r="F142" s="36">
        <v>1000000</v>
      </c>
      <c r="G142" s="36">
        <f>60000000+20000000+20000000+60400000+2000000</f>
        <v>162400000</v>
      </c>
      <c r="H142" s="36">
        <f t="shared" si="44"/>
        <v>339766947.45999998</v>
      </c>
      <c r="I142" s="197">
        <v>66039</v>
      </c>
      <c r="J142" s="197">
        <v>331224891</v>
      </c>
      <c r="K142" s="197">
        <v>10565961</v>
      </c>
      <c r="L142" s="197">
        <v>331224891</v>
      </c>
      <c r="M142" s="197">
        <v>30564633</v>
      </c>
      <c r="N142" s="197">
        <v>245026132</v>
      </c>
      <c r="O142" s="197">
        <v>32197981</v>
      </c>
      <c r="P142" s="197">
        <v>242155432</v>
      </c>
      <c r="Q142" s="197">
        <v>0</v>
      </c>
      <c r="R142" s="197">
        <v>86198759</v>
      </c>
      <c r="S142" s="198">
        <v>2870700</v>
      </c>
    </row>
    <row r="143" spans="1:19" s="166" customFormat="1" ht="12.75" customHeight="1" x14ac:dyDescent="0.2">
      <c r="A143" s="195" t="s">
        <v>543</v>
      </c>
      <c r="B143" s="58" t="s">
        <v>150</v>
      </c>
      <c r="C143" s="196">
        <v>436000000</v>
      </c>
      <c r="D143" s="36">
        <f>30000000+16000000+10000000+68000000</f>
        <v>124000000</v>
      </c>
      <c r="E143" s="36">
        <v>0</v>
      </c>
      <c r="F143" s="36">
        <f>200000000+10500000+2000000</f>
        <v>212500000</v>
      </c>
      <c r="G143" s="36">
        <f>20000000+15000000+10000000+32000000</f>
        <v>77000000</v>
      </c>
      <c r="H143" s="36">
        <f t="shared" si="44"/>
        <v>695500000</v>
      </c>
      <c r="I143" s="197">
        <v>30000000</v>
      </c>
      <c r="J143" s="197">
        <v>692390000</v>
      </c>
      <c r="K143" s="197">
        <v>2000000</v>
      </c>
      <c r="L143" s="197">
        <v>692390000</v>
      </c>
      <c r="M143" s="197">
        <v>45861133</v>
      </c>
      <c r="N143" s="197">
        <v>510134199</v>
      </c>
      <c r="O143" s="197">
        <v>48304031</v>
      </c>
      <c r="P143" s="197">
        <v>507710738</v>
      </c>
      <c r="Q143" s="197">
        <v>0</v>
      </c>
      <c r="R143" s="197">
        <v>182255801</v>
      </c>
      <c r="S143" s="198">
        <v>2423461</v>
      </c>
    </row>
    <row r="144" spans="1:19" s="166" customFormat="1" ht="12.75" customHeight="1" x14ac:dyDescent="0.2">
      <c r="A144" s="195" t="s">
        <v>544</v>
      </c>
      <c r="B144" s="58" t="s">
        <v>152</v>
      </c>
      <c r="C144" s="196">
        <v>140000000</v>
      </c>
      <c r="D144" s="36">
        <v>0</v>
      </c>
      <c r="E144" s="36">
        <v>0</v>
      </c>
      <c r="F144" s="36">
        <v>15000000</v>
      </c>
      <c r="G144" s="36">
        <f>18000000+5000000+10000000</f>
        <v>33000000</v>
      </c>
      <c r="H144" s="36">
        <f t="shared" si="44"/>
        <v>122000000</v>
      </c>
      <c r="I144" s="197">
        <v>0</v>
      </c>
      <c r="J144" s="197">
        <v>121335359</v>
      </c>
      <c r="K144" s="197">
        <v>0</v>
      </c>
      <c r="L144" s="197">
        <v>121335359</v>
      </c>
      <c r="M144" s="197">
        <v>0</v>
      </c>
      <c r="N144" s="197">
        <v>119200601</v>
      </c>
      <c r="O144" s="197">
        <v>0</v>
      </c>
      <c r="P144" s="197">
        <v>119200601</v>
      </c>
      <c r="Q144" s="197">
        <v>0</v>
      </c>
      <c r="R144" s="197">
        <v>2134758</v>
      </c>
      <c r="S144" s="198">
        <v>0</v>
      </c>
    </row>
    <row r="145" spans="1:19" s="166" customFormat="1" ht="12.75" customHeight="1" x14ac:dyDescent="0.2">
      <c r="A145" s="195" t="s">
        <v>545</v>
      </c>
      <c r="B145" s="58" t="s">
        <v>154</v>
      </c>
      <c r="C145" s="196">
        <v>140000000</v>
      </c>
      <c r="D145" s="36">
        <f>10000000+305000000+25900000</f>
        <v>340900000</v>
      </c>
      <c r="E145" s="36">
        <v>0</v>
      </c>
      <c r="F145" s="36">
        <v>5000000</v>
      </c>
      <c r="G145" s="36">
        <f>15000000+248625327</f>
        <v>263625327</v>
      </c>
      <c r="H145" s="36">
        <f t="shared" si="44"/>
        <v>222274673</v>
      </c>
      <c r="I145" s="197">
        <v>0</v>
      </c>
      <c r="J145" s="197">
        <v>221274673</v>
      </c>
      <c r="K145" s="197">
        <v>20000000</v>
      </c>
      <c r="L145" s="197">
        <v>221274673</v>
      </c>
      <c r="M145" s="197">
        <v>14698387</v>
      </c>
      <c r="N145" s="197">
        <v>148523004</v>
      </c>
      <c r="O145" s="197">
        <v>9291029</v>
      </c>
      <c r="P145" s="197">
        <v>142935646</v>
      </c>
      <c r="Q145" s="197">
        <v>0</v>
      </c>
      <c r="R145" s="197">
        <v>72751669</v>
      </c>
      <c r="S145" s="198">
        <v>5587358</v>
      </c>
    </row>
    <row r="146" spans="1:19" s="166" customFormat="1" ht="12.75" customHeight="1" x14ac:dyDescent="0.2">
      <c r="A146" s="195" t="s">
        <v>546</v>
      </c>
      <c r="B146" s="58" t="s">
        <v>180</v>
      </c>
      <c r="C146" s="196">
        <v>10000</v>
      </c>
      <c r="D146" s="36">
        <v>0</v>
      </c>
      <c r="E146" s="36">
        <v>0</v>
      </c>
      <c r="F146" s="36">
        <v>20000000</v>
      </c>
      <c r="G146" s="36">
        <f>15000000+2000000</f>
        <v>17000000</v>
      </c>
      <c r="H146" s="36">
        <f t="shared" si="44"/>
        <v>3010000</v>
      </c>
      <c r="I146" s="197">
        <v>0</v>
      </c>
      <c r="J146" s="197">
        <v>2017000</v>
      </c>
      <c r="K146" s="197">
        <v>0</v>
      </c>
      <c r="L146" s="197">
        <v>2017000</v>
      </c>
      <c r="M146" s="197">
        <v>0</v>
      </c>
      <c r="N146" s="197">
        <v>2017000</v>
      </c>
      <c r="O146" s="197">
        <v>0</v>
      </c>
      <c r="P146" s="197">
        <v>2017000</v>
      </c>
      <c r="Q146" s="197">
        <v>0</v>
      </c>
      <c r="R146" s="197">
        <v>0</v>
      </c>
      <c r="S146" s="198">
        <v>0</v>
      </c>
    </row>
    <row r="147" spans="1:19" s="166" customFormat="1" ht="12.75" customHeight="1" x14ac:dyDescent="0.2">
      <c r="A147" s="195" t="s">
        <v>547</v>
      </c>
      <c r="B147" s="58" t="s">
        <v>182</v>
      </c>
      <c r="C147" s="196">
        <v>80000000</v>
      </c>
      <c r="D147" s="36">
        <f>50000000+285757591+200000000+80000000</f>
        <v>615757591</v>
      </c>
      <c r="E147" s="36">
        <v>0</v>
      </c>
      <c r="F147" s="36">
        <f>15000000+100000000+15000000+50000000</f>
        <v>180000000</v>
      </c>
      <c r="G147" s="36">
        <f>150000000+27000000+1090232</f>
        <v>178090232</v>
      </c>
      <c r="H147" s="36">
        <f t="shared" si="44"/>
        <v>697667359</v>
      </c>
      <c r="I147" s="197">
        <v>68906035</v>
      </c>
      <c r="J147" s="197">
        <v>552700664</v>
      </c>
      <c r="K147" s="197">
        <v>105315632</v>
      </c>
      <c r="L147" s="197">
        <v>546389141</v>
      </c>
      <c r="M147" s="197">
        <v>119842564</v>
      </c>
      <c r="N147" s="197">
        <v>538761460</v>
      </c>
      <c r="O147" s="197">
        <v>116281010</v>
      </c>
      <c r="P147" s="197">
        <v>478868461</v>
      </c>
      <c r="Q147" s="197">
        <v>6311523</v>
      </c>
      <c r="R147" s="197">
        <v>7627681</v>
      </c>
      <c r="S147" s="198">
        <v>59892999</v>
      </c>
    </row>
    <row r="148" spans="1:19" s="166" customFormat="1" ht="12.75" customHeight="1" x14ac:dyDescent="0.2">
      <c r="A148" s="195" t="s">
        <v>548</v>
      </c>
      <c r="B148" s="58" t="s">
        <v>417</v>
      </c>
      <c r="C148" s="196">
        <v>142000000</v>
      </c>
      <c r="D148" s="36">
        <f>50000000+400000000+40500000+70000000</f>
        <v>560500000</v>
      </c>
      <c r="E148" s="36">
        <v>0</v>
      </c>
      <c r="F148" s="36">
        <f>25000000+150000000+48500000</f>
        <v>223500000</v>
      </c>
      <c r="G148" s="36">
        <v>40500000</v>
      </c>
      <c r="H148" s="36">
        <f t="shared" si="44"/>
        <v>885500000</v>
      </c>
      <c r="I148" s="197">
        <v>80747860</v>
      </c>
      <c r="J148" s="197">
        <v>905876818</v>
      </c>
      <c r="K148" s="197">
        <v>79518898</v>
      </c>
      <c r="L148" s="197">
        <v>904647856</v>
      </c>
      <c r="M148" s="197">
        <v>101549707</v>
      </c>
      <c r="N148" s="197">
        <v>904647676</v>
      </c>
      <c r="O148" s="197">
        <v>116220181</v>
      </c>
      <c r="P148" s="197">
        <v>831609768</v>
      </c>
      <c r="Q148" s="197">
        <v>1228962</v>
      </c>
      <c r="R148" s="197">
        <v>180</v>
      </c>
      <c r="S148" s="198">
        <v>73037908</v>
      </c>
    </row>
    <row r="149" spans="1:19" s="166" customFormat="1" ht="12.75" customHeight="1" x14ac:dyDescent="0.2">
      <c r="A149" s="195" t="s">
        <v>549</v>
      </c>
      <c r="B149" s="58" t="s">
        <v>158</v>
      </c>
      <c r="C149" s="196">
        <v>1000000</v>
      </c>
      <c r="D149" s="36">
        <v>0</v>
      </c>
      <c r="E149" s="36">
        <v>0</v>
      </c>
      <c r="F149" s="36">
        <v>0</v>
      </c>
      <c r="G149" s="36">
        <v>0</v>
      </c>
      <c r="H149" s="36">
        <f t="shared" si="44"/>
        <v>1000000</v>
      </c>
      <c r="I149" s="197">
        <v>0</v>
      </c>
      <c r="J149" s="197">
        <v>0</v>
      </c>
      <c r="K149" s="197">
        <v>0</v>
      </c>
      <c r="L149" s="197">
        <v>0</v>
      </c>
      <c r="M149" s="197">
        <v>0</v>
      </c>
      <c r="N149" s="197">
        <v>0</v>
      </c>
      <c r="O149" s="197">
        <v>0</v>
      </c>
      <c r="P149" s="197">
        <v>0</v>
      </c>
      <c r="Q149" s="197">
        <v>0</v>
      </c>
      <c r="R149" s="197">
        <v>0</v>
      </c>
      <c r="S149" s="198">
        <v>0</v>
      </c>
    </row>
    <row r="150" spans="1:19" s="166" customFormat="1" ht="12.75" customHeight="1" x14ac:dyDescent="0.2">
      <c r="A150" s="195" t="s">
        <v>550</v>
      </c>
      <c r="B150" s="58" t="s">
        <v>551</v>
      </c>
      <c r="C150" s="196">
        <v>500000</v>
      </c>
      <c r="D150" s="36">
        <v>30000000</v>
      </c>
      <c r="E150" s="36">
        <v>0</v>
      </c>
      <c r="F150" s="36">
        <v>0</v>
      </c>
      <c r="G150" s="36">
        <f>15000000+13000000</f>
        <v>28000000</v>
      </c>
      <c r="H150" s="36">
        <f t="shared" si="44"/>
        <v>2500000</v>
      </c>
      <c r="I150" s="197">
        <v>0</v>
      </c>
      <c r="J150" s="197">
        <v>2000000</v>
      </c>
      <c r="K150" s="197">
        <v>0</v>
      </c>
      <c r="L150" s="197">
        <v>2000000</v>
      </c>
      <c r="M150" s="197">
        <v>0</v>
      </c>
      <c r="N150" s="197">
        <v>0</v>
      </c>
      <c r="O150" s="197">
        <v>0</v>
      </c>
      <c r="P150" s="197">
        <v>0</v>
      </c>
      <c r="Q150" s="197">
        <v>0</v>
      </c>
      <c r="R150" s="197">
        <v>2000000</v>
      </c>
      <c r="S150" s="198">
        <v>0</v>
      </c>
    </row>
    <row r="151" spans="1:19" s="166" customFormat="1" ht="12.75" customHeight="1" x14ac:dyDescent="0.2">
      <c r="A151" s="195" t="s">
        <v>552</v>
      </c>
      <c r="B151" s="202" t="s">
        <v>553</v>
      </c>
      <c r="C151" s="196">
        <v>22821397</v>
      </c>
      <c r="D151" s="36">
        <v>236683592</v>
      </c>
      <c r="E151" s="36">
        <v>0</v>
      </c>
      <c r="F151" s="36">
        <v>0</v>
      </c>
      <c r="G151" s="36">
        <f>1000000+13216073</f>
        <v>14216073</v>
      </c>
      <c r="H151" s="36">
        <f t="shared" si="44"/>
        <v>245288916</v>
      </c>
      <c r="I151" s="197">
        <v>13216073</v>
      </c>
      <c r="J151" s="197">
        <v>242668525</v>
      </c>
      <c r="K151" s="197">
        <v>0</v>
      </c>
      <c r="L151" s="197">
        <v>242668525</v>
      </c>
      <c r="M151" s="197">
        <v>0</v>
      </c>
      <c r="N151" s="197">
        <v>242668525</v>
      </c>
      <c r="O151" s="197">
        <v>0</v>
      </c>
      <c r="P151" s="197">
        <v>242668525</v>
      </c>
      <c r="Q151" s="197">
        <v>0</v>
      </c>
      <c r="R151" s="197">
        <v>0</v>
      </c>
      <c r="S151" s="198">
        <v>0</v>
      </c>
    </row>
    <row r="152" spans="1:19" s="167" customFormat="1" ht="12.75" customHeight="1" x14ac:dyDescent="0.25">
      <c r="A152" s="194" t="s">
        <v>375</v>
      </c>
      <c r="B152" s="101" t="s">
        <v>376</v>
      </c>
      <c r="C152" s="168">
        <f>SUM(C153:C154)</f>
        <v>10428084476</v>
      </c>
      <c r="D152" s="170">
        <f t="shared" ref="D152:G152" si="45">SUM(D153:D154)</f>
        <v>8337373216.3699999</v>
      </c>
      <c r="E152" s="170">
        <f t="shared" si="45"/>
        <v>0</v>
      </c>
      <c r="F152" s="170">
        <f>SUM(F153:F154)</f>
        <v>9115790423</v>
      </c>
      <c r="G152" s="170">
        <f t="shared" si="45"/>
        <v>1348804000</v>
      </c>
      <c r="H152" s="168">
        <f>SUM(H153:H154)</f>
        <v>26532444115.369999</v>
      </c>
      <c r="I152" s="168">
        <f>SUM(I153:I154)</f>
        <v>4853518927</v>
      </c>
      <c r="J152" s="37">
        <f>+J153+J154</f>
        <v>25776575146</v>
      </c>
      <c r="K152" s="168">
        <f t="shared" ref="K152:R152" si="46">SUM(K153:K154)</f>
        <v>4825321071</v>
      </c>
      <c r="L152" s="168">
        <f t="shared" si="46"/>
        <v>25745291450</v>
      </c>
      <c r="M152" s="168">
        <f t="shared" si="46"/>
        <v>4828282833</v>
      </c>
      <c r="N152" s="168">
        <f t="shared" si="46"/>
        <v>25745291551</v>
      </c>
      <c r="O152" s="168">
        <f t="shared" si="46"/>
        <v>4658499543</v>
      </c>
      <c r="P152" s="168">
        <f t="shared" si="46"/>
        <v>25514131158</v>
      </c>
      <c r="Q152" s="168">
        <f t="shared" si="46"/>
        <v>31283696</v>
      </c>
      <c r="R152" s="168">
        <f t="shared" si="46"/>
        <v>101</v>
      </c>
      <c r="S152" s="109">
        <f>SUM(S153:S154)</f>
        <v>231160393</v>
      </c>
    </row>
    <row r="153" spans="1:19" s="166" customFormat="1" ht="12.75" customHeight="1" x14ac:dyDescent="0.2">
      <c r="A153" s="195" t="s">
        <v>554</v>
      </c>
      <c r="B153" s="58" t="s">
        <v>378</v>
      </c>
      <c r="C153" s="196">
        <v>9874443602</v>
      </c>
      <c r="D153" s="36">
        <f>104688644+2071916486.37+2042333516+142000000+3976434570</f>
        <v>8337373216.3699999</v>
      </c>
      <c r="E153" s="36">
        <v>0</v>
      </c>
      <c r="F153" s="36">
        <f>7200000000+10000000+231000000+1374790423</f>
        <v>8815790423</v>
      </c>
      <c r="G153" s="36">
        <f>854804000+494000000</f>
        <v>1348804000</v>
      </c>
      <c r="H153" s="36">
        <f>+C153+D153-E153+F153-G153</f>
        <v>25678803241.369999</v>
      </c>
      <c r="I153" s="197">
        <v>4853518927</v>
      </c>
      <c r="J153" s="197">
        <v>24922934787</v>
      </c>
      <c r="K153" s="197">
        <v>4825321071</v>
      </c>
      <c r="L153" s="197">
        <v>24891651091</v>
      </c>
      <c r="M153" s="197">
        <v>4828282833</v>
      </c>
      <c r="N153" s="197">
        <v>24891651192</v>
      </c>
      <c r="O153" s="197">
        <v>4658499543</v>
      </c>
      <c r="P153" s="197">
        <v>24660490799</v>
      </c>
      <c r="Q153" s="197">
        <v>31283696</v>
      </c>
      <c r="R153" s="197">
        <v>101</v>
      </c>
      <c r="S153" s="198">
        <v>231160393</v>
      </c>
    </row>
    <row r="154" spans="1:19" s="166" customFormat="1" ht="12.75" customHeight="1" thickBot="1" x14ac:dyDescent="0.25">
      <c r="A154" s="203" t="s">
        <v>555</v>
      </c>
      <c r="B154" s="120" t="s">
        <v>380</v>
      </c>
      <c r="C154" s="204">
        <v>553640874</v>
      </c>
      <c r="D154" s="68">
        <v>0</v>
      </c>
      <c r="E154" s="68">
        <v>0</v>
      </c>
      <c r="F154" s="68">
        <v>300000000</v>
      </c>
      <c r="G154" s="68">
        <v>0</v>
      </c>
      <c r="H154" s="68">
        <f>+C154+D154-E154+F154-G154</f>
        <v>853640874</v>
      </c>
      <c r="I154" s="205">
        <v>0</v>
      </c>
      <c r="J154" s="205">
        <v>853640359</v>
      </c>
      <c r="K154" s="205">
        <v>0</v>
      </c>
      <c r="L154" s="205">
        <v>853640359</v>
      </c>
      <c r="M154" s="205">
        <v>0</v>
      </c>
      <c r="N154" s="205">
        <v>853640359</v>
      </c>
      <c r="O154" s="205">
        <v>0</v>
      </c>
      <c r="P154" s="205">
        <v>853640359</v>
      </c>
      <c r="Q154" s="205">
        <v>0</v>
      </c>
      <c r="R154" s="205">
        <v>0</v>
      </c>
      <c r="S154" s="206">
        <v>0</v>
      </c>
    </row>
    <row r="155" spans="1:19" s="141" customFormat="1" ht="12.75" customHeight="1" x14ac:dyDescent="0.2">
      <c r="A155" s="3"/>
      <c r="B155" s="1"/>
      <c r="C155" s="72"/>
      <c r="D155" s="180"/>
      <c r="E155" s="180"/>
      <c r="F155" s="180"/>
      <c r="G155" s="180"/>
      <c r="H155" s="72"/>
      <c r="I155" s="72"/>
      <c r="J155" s="74"/>
      <c r="K155" s="72"/>
      <c r="L155" s="74"/>
      <c r="M155" s="74"/>
      <c r="N155" s="74"/>
      <c r="O155" s="74"/>
      <c r="P155" s="74"/>
      <c r="R155" s="74"/>
      <c r="S155" s="74"/>
    </row>
    <row r="156" spans="1:19" s="141" customFormat="1" ht="12.75" customHeight="1" x14ac:dyDescent="0.2">
      <c r="A156" s="3"/>
      <c r="B156" s="1"/>
      <c r="C156" s="72"/>
      <c r="D156" s="180"/>
      <c r="E156" s="180"/>
      <c r="F156" s="180"/>
      <c r="G156" s="180"/>
      <c r="H156" s="72"/>
      <c r="I156" s="72"/>
      <c r="J156" s="74"/>
      <c r="K156" s="72"/>
      <c r="L156" s="74"/>
      <c r="M156" s="74"/>
      <c r="N156" s="74"/>
      <c r="O156" s="74"/>
      <c r="P156" s="74"/>
      <c r="R156" s="74"/>
      <c r="S156" s="74"/>
    </row>
    <row r="157" spans="1:19" s="141" customFormat="1" ht="12.75" customHeight="1" x14ac:dyDescent="0.2">
      <c r="A157" s="3"/>
      <c r="B157" s="1"/>
      <c r="C157" s="72"/>
      <c r="D157" s="180"/>
      <c r="E157" s="180"/>
      <c r="F157" s="180"/>
      <c r="G157" s="180"/>
      <c r="H157" s="72"/>
      <c r="I157" s="72"/>
      <c r="J157" s="74"/>
      <c r="K157" s="72"/>
      <c r="L157" s="74"/>
      <c r="M157" s="74"/>
      <c r="N157" s="74"/>
      <c r="O157" s="74"/>
      <c r="P157" s="74"/>
      <c r="R157" s="74"/>
      <c r="S157" s="74"/>
    </row>
    <row r="158" spans="1:19" s="141" customFormat="1" ht="12.75" customHeight="1" x14ac:dyDescent="0.25">
      <c r="A158" s="3"/>
      <c r="B158" s="1"/>
      <c r="C158" s="80"/>
      <c r="D158" s="180"/>
      <c r="E158" s="180"/>
      <c r="F158" s="180"/>
      <c r="G158" s="180"/>
      <c r="H158" s="72"/>
      <c r="I158" s="72"/>
      <c r="J158" s="74"/>
      <c r="K158" s="72"/>
      <c r="L158" s="74"/>
      <c r="M158" s="74"/>
      <c r="N158" s="74"/>
      <c r="O158" s="74"/>
      <c r="P158" s="74"/>
      <c r="R158" s="74"/>
      <c r="S158" s="74"/>
    </row>
    <row r="159" spans="1:19" s="141" customFormat="1" ht="12.75" customHeight="1" x14ac:dyDescent="0.2">
      <c r="A159" s="3"/>
      <c r="B159" s="1"/>
      <c r="C159" s="72"/>
      <c r="D159" s="180"/>
      <c r="E159" s="180"/>
      <c r="F159" s="180"/>
      <c r="G159" s="180"/>
      <c r="H159" s="72"/>
      <c r="I159" s="72"/>
      <c r="J159" s="74"/>
      <c r="K159" s="72"/>
      <c r="L159" s="74"/>
      <c r="M159" s="74"/>
      <c r="N159" s="74"/>
      <c r="O159" s="74"/>
      <c r="P159" s="74"/>
      <c r="R159" s="74"/>
      <c r="S159" s="74"/>
    </row>
    <row r="160" spans="1:19" s="141" customFormat="1" ht="12.75" customHeight="1" x14ac:dyDescent="0.2">
      <c r="A160" s="3"/>
      <c r="B160" s="1"/>
      <c r="C160" s="72"/>
      <c r="D160" s="180"/>
      <c r="E160" s="180"/>
      <c r="F160" s="180"/>
      <c r="G160" s="180"/>
      <c r="H160" s="72"/>
      <c r="I160" s="72"/>
      <c r="J160" s="74"/>
      <c r="K160" s="72"/>
      <c r="L160" s="74"/>
      <c r="M160" s="74"/>
      <c r="N160" s="74"/>
      <c r="O160" s="74"/>
      <c r="P160" s="74"/>
      <c r="R160" s="74"/>
      <c r="S160" s="74"/>
    </row>
    <row r="161" spans="1:19" s="141" customFormat="1" ht="12.75" customHeight="1" x14ac:dyDescent="0.2">
      <c r="A161" s="3"/>
      <c r="B161" s="1"/>
      <c r="C161" s="72"/>
      <c r="D161" s="180"/>
      <c r="E161" s="180"/>
      <c r="F161" s="180"/>
      <c r="G161" s="180"/>
      <c r="H161" s="72"/>
      <c r="I161" s="72"/>
      <c r="J161" s="47"/>
      <c r="K161" s="72"/>
      <c r="L161" s="74"/>
      <c r="M161" s="74"/>
      <c r="N161" s="74"/>
      <c r="O161" s="74"/>
      <c r="P161" s="74"/>
      <c r="R161" s="74"/>
      <c r="S161" s="74"/>
    </row>
    <row r="162" spans="1:19" s="141" customFormat="1" ht="12.75" customHeight="1" x14ac:dyDescent="0.2">
      <c r="A162" s="3"/>
      <c r="B162" s="1"/>
      <c r="C162" s="72"/>
      <c r="D162" s="180"/>
      <c r="E162" s="180"/>
      <c r="F162" s="180"/>
      <c r="G162" s="180"/>
      <c r="H162" s="72"/>
      <c r="I162" s="72"/>
      <c r="J162" s="47"/>
      <c r="K162" s="72"/>
      <c r="L162" s="74"/>
      <c r="M162" s="74"/>
      <c r="N162" s="74"/>
      <c r="O162" s="74"/>
      <c r="P162" s="74"/>
      <c r="R162" s="74"/>
      <c r="S162" s="74"/>
    </row>
    <row r="163" spans="1:19" s="207" customFormat="1" ht="12.75" customHeight="1" x14ac:dyDescent="0.25">
      <c r="B163" s="79" t="s">
        <v>187</v>
      </c>
      <c r="C163" s="79"/>
      <c r="D163" s="208"/>
      <c r="E163" s="209"/>
      <c r="F163" s="209"/>
      <c r="G163" s="209"/>
      <c r="H163" s="644" t="s">
        <v>556</v>
      </c>
      <c r="I163" s="644"/>
      <c r="J163" s="644"/>
      <c r="K163" s="210"/>
      <c r="L163" s="210"/>
      <c r="O163" s="211" t="s">
        <v>557</v>
      </c>
      <c r="P163" s="212"/>
    </row>
    <row r="164" spans="1:19" s="78" customFormat="1" ht="12.75" customHeight="1" x14ac:dyDescent="0.2">
      <c r="A164" s="213"/>
      <c r="B164" s="81" t="s">
        <v>558</v>
      </c>
      <c r="C164" s="72"/>
      <c r="D164" s="214"/>
      <c r="E164" s="157"/>
      <c r="F164" s="157"/>
      <c r="G164" s="157"/>
      <c r="H164" s="645" t="s">
        <v>559</v>
      </c>
      <c r="I164" s="645"/>
      <c r="J164" s="645"/>
      <c r="K164" s="215"/>
      <c r="L164" s="215"/>
      <c r="O164" s="176" t="s">
        <v>560</v>
      </c>
      <c r="P164" s="212"/>
    </row>
    <row r="165" spans="1:19" s="166" customFormat="1" ht="12.75" customHeight="1" x14ac:dyDescent="0.2">
      <c r="A165" s="3"/>
      <c r="B165" s="1"/>
      <c r="C165" s="72"/>
      <c r="D165" s="180"/>
      <c r="E165" s="180"/>
      <c r="F165" s="180"/>
      <c r="G165" s="180"/>
      <c r="H165" s="72"/>
      <c r="I165" s="72"/>
      <c r="J165" s="74"/>
      <c r="K165" s="72"/>
      <c r="L165" s="74"/>
      <c r="M165" s="74"/>
      <c r="N165" s="74"/>
      <c r="O165" s="74"/>
      <c r="P165" s="74"/>
    </row>
    <row r="166" spans="1:19" s="166" customFormat="1" ht="12.75" customHeight="1" x14ac:dyDescent="0.2">
      <c r="A166" s="3"/>
      <c r="B166" s="1"/>
      <c r="C166" s="72"/>
      <c r="D166" s="180"/>
      <c r="E166" s="180"/>
      <c r="F166" s="180"/>
      <c r="G166" s="180"/>
      <c r="H166" s="72"/>
      <c r="I166" s="72"/>
      <c r="J166" s="74"/>
      <c r="K166" s="72"/>
      <c r="L166" s="72"/>
      <c r="M166" s="72"/>
      <c r="N166" s="72"/>
      <c r="O166" s="72"/>
      <c r="P166" s="179"/>
    </row>
    <row r="167" spans="1:19" s="166" customFormat="1" ht="12.75" customHeight="1" x14ac:dyDescent="0.2">
      <c r="A167" s="3"/>
      <c r="B167" s="1"/>
      <c r="C167" s="72"/>
      <c r="D167" s="180"/>
      <c r="E167" s="180"/>
      <c r="F167" s="180"/>
      <c r="G167" s="180"/>
      <c r="H167" s="72"/>
      <c r="I167" s="72"/>
      <c r="J167" s="72"/>
      <c r="K167" s="72"/>
      <c r="L167" s="72"/>
      <c r="M167" s="72"/>
      <c r="N167" s="72"/>
      <c r="O167" s="72"/>
      <c r="P167" s="179"/>
    </row>
    <row r="168" spans="1:19" s="72" customFormat="1" ht="12.75" customHeight="1" x14ac:dyDescent="0.2">
      <c r="A168" s="3"/>
      <c r="B168" s="1"/>
      <c r="D168" s="180"/>
      <c r="E168" s="180"/>
      <c r="F168" s="180"/>
      <c r="G168" s="180"/>
      <c r="P168" s="179"/>
      <c r="Q168" s="166"/>
      <c r="R168" s="166"/>
    </row>
    <row r="169" spans="1:19" s="72" customFormat="1" ht="12.75" customHeight="1" x14ac:dyDescent="0.2">
      <c r="A169" s="3"/>
      <c r="B169" s="1"/>
      <c r="D169" s="180"/>
      <c r="E169" s="180"/>
      <c r="F169" s="180"/>
      <c r="G169" s="180"/>
      <c r="P169" s="179"/>
      <c r="Q169" s="166"/>
      <c r="R169" s="166"/>
    </row>
    <row r="170" spans="1:19" s="72" customFormat="1" ht="12.75" customHeight="1" x14ac:dyDescent="0.2">
      <c r="A170" s="3"/>
      <c r="B170" s="1"/>
      <c r="D170" s="180"/>
      <c r="E170" s="180"/>
      <c r="F170" s="180"/>
      <c r="G170" s="180"/>
      <c r="P170" s="179"/>
      <c r="Q170" s="166"/>
      <c r="R170" s="166"/>
    </row>
    <row r="171" spans="1:19" s="72" customFormat="1" ht="12.75" customHeight="1" x14ac:dyDescent="0.2">
      <c r="A171" s="3"/>
      <c r="B171" s="1"/>
      <c r="D171" s="180"/>
      <c r="E171" s="180"/>
      <c r="F171" s="180"/>
      <c r="G171" s="180"/>
      <c r="P171" s="179"/>
      <c r="Q171" s="166"/>
      <c r="R171" s="166"/>
    </row>
  </sheetData>
  <mergeCells count="20">
    <mergeCell ref="R6:R7"/>
    <mergeCell ref="S6:S7"/>
    <mergeCell ref="H163:J163"/>
    <mergeCell ref="H164:J164"/>
    <mergeCell ref="Q5:S5"/>
    <mergeCell ref="K6:L6"/>
    <mergeCell ref="M6:N6"/>
    <mergeCell ref="O6:P6"/>
    <mergeCell ref="Q6:Q7"/>
    <mergeCell ref="O5:P5"/>
    <mergeCell ref="A5:B5"/>
    <mergeCell ref="C5:C7"/>
    <mergeCell ref="D5:G5"/>
    <mergeCell ref="H5:H7"/>
    <mergeCell ref="I5:N5"/>
    <mergeCell ref="A6:A7"/>
    <mergeCell ref="B6:B7"/>
    <mergeCell ref="D6:E6"/>
    <mergeCell ref="F6:G6"/>
    <mergeCell ref="I6:J6"/>
  </mergeCells>
  <printOptions horizontalCentered="1"/>
  <pageMargins left="0.25" right="0.25" top="0.75" bottom="0.75" header="0.3" footer="0.3"/>
  <pageSetup paperSize="14" scale="5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P40"/>
  <sheetViews>
    <sheetView zoomScaleNormal="100" workbookViewId="0">
      <selection activeCell="K35" sqref="K35"/>
    </sheetView>
  </sheetViews>
  <sheetFormatPr baseColWidth="10" defaultColWidth="11.453125" defaultRowHeight="13.5" customHeight="1" x14ac:dyDescent="0.2"/>
  <cols>
    <col min="1" max="1" width="21.7265625" style="482" customWidth="1"/>
    <col min="2" max="3" width="5.453125" style="419" customWidth="1"/>
    <col min="4" max="4" width="43.26953125" style="421" customWidth="1"/>
    <col min="5" max="5" width="15.7265625" style="483" customWidth="1"/>
    <col min="6" max="6" width="14.81640625" style="484" customWidth="1"/>
    <col min="7" max="7" width="7.81640625" style="483" customWidth="1"/>
    <col min="8" max="8" width="14.26953125" style="485" customWidth="1"/>
    <col min="9" max="9" width="15.1796875" style="485" customWidth="1"/>
    <col min="10" max="10" width="16.26953125" style="485" customWidth="1"/>
    <col min="11" max="11" width="15.26953125" style="486" customWidth="1"/>
    <col min="12" max="12" width="17" style="132" customWidth="1"/>
    <col min="13" max="13" width="15.26953125" style="399" customWidth="1"/>
    <col min="14" max="14" width="16.54296875" style="472" customWidth="1"/>
    <col min="15" max="15" width="7.453125" style="390" customWidth="1"/>
    <col min="16" max="16" width="9.453125" style="390" customWidth="1"/>
    <col min="17" max="16384" width="11.453125" style="390"/>
  </cols>
  <sheetData>
    <row r="1" spans="1:16" s="370" customFormat="1" ht="13.5" customHeight="1" x14ac:dyDescent="0.25">
      <c r="A1" s="649" t="s">
        <v>734</v>
      </c>
      <c r="B1" s="650"/>
      <c r="C1" s="650"/>
      <c r="D1" s="375" t="s">
        <v>735</v>
      </c>
      <c r="E1" s="651" t="s">
        <v>563</v>
      </c>
      <c r="F1" s="651"/>
      <c r="G1" s="651"/>
      <c r="H1" s="651"/>
      <c r="I1" s="651"/>
      <c r="J1" s="651"/>
      <c r="K1" s="651"/>
      <c r="L1" s="651"/>
      <c r="M1" s="651"/>
      <c r="N1" s="651"/>
      <c r="O1" s="651"/>
      <c r="P1" s="652"/>
    </row>
    <row r="2" spans="1:16" s="370" customFormat="1" ht="13.5" customHeight="1" x14ac:dyDescent="0.25">
      <c r="A2" s="653" t="s">
        <v>4</v>
      </c>
      <c r="B2" s="654"/>
      <c r="C2" s="654"/>
      <c r="D2" s="654"/>
      <c r="E2" s="654" t="s">
        <v>5</v>
      </c>
      <c r="F2" s="655" t="s">
        <v>6</v>
      </c>
      <c r="G2" s="655"/>
      <c r="H2" s="655"/>
      <c r="I2" s="655"/>
      <c r="J2" s="630" t="s">
        <v>7</v>
      </c>
      <c r="K2" s="655" t="s">
        <v>568</v>
      </c>
      <c r="L2" s="657"/>
      <c r="M2" s="657"/>
      <c r="N2" s="657"/>
      <c r="O2" s="655" t="s">
        <v>569</v>
      </c>
      <c r="P2" s="658"/>
    </row>
    <row r="3" spans="1:16" s="370" customFormat="1" ht="13.5" customHeight="1" x14ac:dyDescent="0.25">
      <c r="A3" s="653" t="s">
        <v>10</v>
      </c>
      <c r="B3" s="659" t="s">
        <v>736</v>
      </c>
      <c r="C3" s="659" t="s">
        <v>737</v>
      </c>
      <c r="D3" s="654" t="s">
        <v>11</v>
      </c>
      <c r="E3" s="654"/>
      <c r="F3" s="663" t="s">
        <v>427</v>
      </c>
      <c r="G3" s="664" t="s">
        <v>428</v>
      </c>
      <c r="H3" s="664" t="s">
        <v>1000</v>
      </c>
      <c r="I3" s="664" t="s">
        <v>1001</v>
      </c>
      <c r="J3" s="656"/>
      <c r="K3" s="664" t="s">
        <v>570</v>
      </c>
      <c r="L3" s="664"/>
      <c r="M3" s="664" t="s">
        <v>571</v>
      </c>
      <c r="N3" s="664"/>
      <c r="O3" s="655" t="s">
        <v>572</v>
      </c>
      <c r="P3" s="658"/>
    </row>
    <row r="4" spans="1:16" s="370" customFormat="1" ht="20.25" customHeight="1" x14ac:dyDescent="0.25">
      <c r="A4" s="653"/>
      <c r="B4" s="659"/>
      <c r="C4" s="659"/>
      <c r="D4" s="654"/>
      <c r="E4" s="654"/>
      <c r="F4" s="663"/>
      <c r="G4" s="664"/>
      <c r="H4" s="664"/>
      <c r="I4" s="664"/>
      <c r="J4" s="656"/>
      <c r="K4" s="448" t="s">
        <v>23</v>
      </c>
      <c r="L4" s="448" t="s">
        <v>24</v>
      </c>
      <c r="M4" s="448" t="s">
        <v>23</v>
      </c>
      <c r="N4" s="448" t="s">
        <v>573</v>
      </c>
      <c r="O4" s="449" t="s">
        <v>24</v>
      </c>
      <c r="P4" s="450" t="s">
        <v>574</v>
      </c>
    </row>
    <row r="5" spans="1:16" s="381" customFormat="1" ht="13.5" customHeight="1" x14ac:dyDescent="0.25">
      <c r="A5" s="451">
        <v>1</v>
      </c>
      <c r="B5" s="452">
        <v>1</v>
      </c>
      <c r="C5" s="452" t="s">
        <v>739</v>
      </c>
      <c r="D5" s="453" t="s">
        <v>1002</v>
      </c>
      <c r="E5" s="454">
        <v>166069371611.00003</v>
      </c>
      <c r="F5" s="454">
        <v>54352711271</v>
      </c>
      <c r="G5" s="454">
        <v>0</v>
      </c>
      <c r="H5" s="454">
        <v>3862502207</v>
      </c>
      <c r="I5" s="454">
        <v>3862502207</v>
      </c>
      <c r="J5" s="454">
        <v>220422082882.00003</v>
      </c>
      <c r="K5" s="454">
        <v>17390467307</v>
      </c>
      <c r="L5" s="454">
        <v>187198964169.91998</v>
      </c>
      <c r="M5" s="454">
        <v>17390467307</v>
      </c>
      <c r="N5" s="454">
        <v>187108331498.94098</v>
      </c>
      <c r="O5" s="455">
        <v>0</v>
      </c>
      <c r="P5" s="456">
        <v>84.886382095893225</v>
      </c>
    </row>
    <row r="6" spans="1:16" ht="13.5" customHeight="1" x14ac:dyDescent="0.2">
      <c r="A6" s="457">
        <v>1.1000000000000001</v>
      </c>
      <c r="B6" s="458">
        <v>2</v>
      </c>
      <c r="C6" s="458" t="s">
        <v>739</v>
      </c>
      <c r="D6" s="459" t="s">
        <v>1003</v>
      </c>
      <c r="E6" s="460">
        <v>165953435847.00003</v>
      </c>
      <c r="F6" s="460">
        <v>54352711271</v>
      </c>
      <c r="G6" s="460">
        <v>0</v>
      </c>
      <c r="H6" s="460">
        <v>3862502207</v>
      </c>
      <c r="I6" s="460">
        <v>3862502207</v>
      </c>
      <c r="J6" s="460">
        <v>220306147118.00003</v>
      </c>
      <c r="K6" s="460">
        <v>17382124853</v>
      </c>
      <c r="L6" s="460">
        <v>187131397698.91998</v>
      </c>
      <c r="M6" s="460">
        <v>17382124853</v>
      </c>
      <c r="N6" s="460">
        <v>187040765027.94098</v>
      </c>
      <c r="O6" s="343">
        <v>0</v>
      </c>
      <c r="P6" s="461">
        <v>84.900384067703072</v>
      </c>
    </row>
    <row r="7" spans="1:16" ht="13.5" customHeight="1" x14ac:dyDescent="0.2">
      <c r="A7" s="462" t="s">
        <v>577</v>
      </c>
      <c r="B7" s="458">
        <v>3</v>
      </c>
      <c r="C7" s="458" t="s">
        <v>739</v>
      </c>
      <c r="D7" s="459" t="s">
        <v>1003</v>
      </c>
      <c r="E7" s="460">
        <v>165953435847.00003</v>
      </c>
      <c r="F7" s="460">
        <v>54352711271</v>
      </c>
      <c r="G7" s="460">
        <v>0</v>
      </c>
      <c r="H7" s="460">
        <v>3862502207</v>
      </c>
      <c r="I7" s="460">
        <v>3862502207</v>
      </c>
      <c r="J7" s="460">
        <v>220306147118.00003</v>
      </c>
      <c r="K7" s="460">
        <v>17382124853</v>
      </c>
      <c r="L7" s="460">
        <v>187131397698.91998</v>
      </c>
      <c r="M7" s="460">
        <v>17382124853</v>
      </c>
      <c r="N7" s="460">
        <v>187040765027.94098</v>
      </c>
      <c r="O7" s="343">
        <v>0</v>
      </c>
      <c r="P7" s="461">
        <v>84.900384067703072</v>
      </c>
    </row>
    <row r="8" spans="1:16" ht="13.5" customHeight="1" x14ac:dyDescent="0.2">
      <c r="A8" s="462" t="s">
        <v>1004</v>
      </c>
      <c r="B8" s="458">
        <v>4</v>
      </c>
      <c r="C8" s="458" t="s">
        <v>739</v>
      </c>
      <c r="D8" s="459" t="s">
        <v>1005</v>
      </c>
      <c r="E8" s="460">
        <v>164476</v>
      </c>
      <c r="F8" s="460">
        <v>0</v>
      </c>
      <c r="G8" s="460">
        <v>0</v>
      </c>
      <c r="H8" s="460">
        <v>0</v>
      </c>
      <c r="I8" s="460">
        <v>0</v>
      </c>
      <c r="J8" s="460">
        <v>164476</v>
      </c>
      <c r="K8" s="460">
        <v>5000</v>
      </c>
      <c r="L8" s="460">
        <v>11911695</v>
      </c>
      <c r="M8" s="460">
        <v>5000</v>
      </c>
      <c r="N8" s="460">
        <v>11911695</v>
      </c>
      <c r="O8" s="343">
        <v>0</v>
      </c>
      <c r="P8" s="461">
        <v>7242.2085897030574</v>
      </c>
    </row>
    <row r="9" spans="1:16" ht="13.5" customHeight="1" x14ac:dyDescent="0.2">
      <c r="A9" s="462" t="s">
        <v>1006</v>
      </c>
      <c r="B9" s="458">
        <v>5</v>
      </c>
      <c r="C9" s="458" t="s">
        <v>739</v>
      </c>
      <c r="D9" s="459" t="s">
        <v>1007</v>
      </c>
      <c r="E9" s="460">
        <v>164476</v>
      </c>
      <c r="F9" s="460">
        <v>0</v>
      </c>
      <c r="G9" s="460">
        <v>0</v>
      </c>
      <c r="H9" s="460">
        <v>0</v>
      </c>
      <c r="I9" s="460">
        <v>0</v>
      </c>
      <c r="J9" s="460">
        <v>164476</v>
      </c>
      <c r="K9" s="460">
        <v>5000</v>
      </c>
      <c r="L9" s="460">
        <v>11911695</v>
      </c>
      <c r="M9" s="460">
        <v>5000</v>
      </c>
      <c r="N9" s="460">
        <v>11911695</v>
      </c>
      <c r="O9" s="343">
        <v>0</v>
      </c>
      <c r="P9" s="461">
        <v>7242.2085897030574</v>
      </c>
    </row>
    <row r="10" spans="1:16" ht="13.5" customHeight="1" x14ac:dyDescent="0.2">
      <c r="A10" s="462" t="s">
        <v>1008</v>
      </c>
      <c r="B10" s="458">
        <v>6</v>
      </c>
      <c r="C10" s="458" t="s">
        <v>746</v>
      </c>
      <c r="D10" s="459" t="s">
        <v>913</v>
      </c>
      <c r="E10" s="460">
        <v>164476</v>
      </c>
      <c r="F10" s="460">
        <v>0</v>
      </c>
      <c r="G10" s="460">
        <v>0</v>
      </c>
      <c r="H10" s="460">
        <v>0</v>
      </c>
      <c r="I10" s="460">
        <v>0</v>
      </c>
      <c r="J10" s="460">
        <v>164476</v>
      </c>
      <c r="K10" s="460">
        <v>5000</v>
      </c>
      <c r="L10" s="460">
        <v>11911695</v>
      </c>
      <c r="M10" s="460">
        <v>5000</v>
      </c>
      <c r="N10" s="460">
        <v>11911695</v>
      </c>
      <c r="O10" s="343">
        <v>0</v>
      </c>
      <c r="P10" s="461">
        <v>7242.2085897030574</v>
      </c>
    </row>
    <row r="11" spans="1:16" s="381" customFormat="1" ht="13.5" customHeight="1" x14ac:dyDescent="0.25">
      <c r="A11" s="463" t="s">
        <v>1009</v>
      </c>
      <c r="B11" s="464">
        <v>6</v>
      </c>
      <c r="C11" s="464" t="s">
        <v>746</v>
      </c>
      <c r="D11" s="465" t="s">
        <v>1010</v>
      </c>
      <c r="E11" s="466">
        <v>164476</v>
      </c>
      <c r="F11" s="466">
        <v>0</v>
      </c>
      <c r="G11" s="466">
        <v>0</v>
      </c>
      <c r="H11" s="466">
        <v>0</v>
      </c>
      <c r="I11" s="466">
        <v>0</v>
      </c>
      <c r="J11" s="352">
        <v>164476</v>
      </c>
      <c r="K11" s="467">
        <v>5000</v>
      </c>
      <c r="L11" s="468">
        <v>11911695</v>
      </c>
      <c r="M11" s="468">
        <v>5000</v>
      </c>
      <c r="N11" s="468">
        <v>11911695</v>
      </c>
      <c r="O11" s="347">
        <v>0</v>
      </c>
      <c r="P11" s="344">
        <v>7242.2085897030574</v>
      </c>
    </row>
    <row r="12" spans="1:16" s="381" customFormat="1" ht="13.5" customHeight="1" x14ac:dyDescent="0.25">
      <c r="A12" s="462" t="s">
        <v>1011</v>
      </c>
      <c r="B12" s="458">
        <v>4</v>
      </c>
      <c r="C12" s="458" t="s">
        <v>739</v>
      </c>
      <c r="D12" s="459" t="s">
        <v>1012</v>
      </c>
      <c r="E12" s="460">
        <v>165953271371.00003</v>
      </c>
      <c r="F12" s="460">
        <v>54352711271</v>
      </c>
      <c r="G12" s="460">
        <v>0</v>
      </c>
      <c r="H12" s="460">
        <v>3862502207</v>
      </c>
      <c r="I12" s="460">
        <v>3862502207</v>
      </c>
      <c r="J12" s="460">
        <v>220305982642.00003</v>
      </c>
      <c r="K12" s="460">
        <v>17382119853</v>
      </c>
      <c r="L12" s="460">
        <v>187119486003.91998</v>
      </c>
      <c r="M12" s="460">
        <v>17382119853</v>
      </c>
      <c r="N12" s="460">
        <v>187028853332.94098</v>
      </c>
      <c r="O12" s="460">
        <v>0</v>
      </c>
      <c r="P12" s="461">
        <v>84.895040565859347</v>
      </c>
    </row>
    <row r="13" spans="1:16" s="381" customFormat="1" ht="13.5" customHeight="1" x14ac:dyDescent="0.25">
      <c r="A13" s="462" t="s">
        <v>1013</v>
      </c>
      <c r="B13" s="458">
        <v>5</v>
      </c>
      <c r="C13" s="458" t="s">
        <v>739</v>
      </c>
      <c r="D13" s="459" t="s">
        <v>1014</v>
      </c>
      <c r="E13" s="460">
        <v>165953271371.00003</v>
      </c>
      <c r="F13" s="460">
        <v>54352711271</v>
      </c>
      <c r="G13" s="460">
        <v>0</v>
      </c>
      <c r="H13" s="460">
        <v>3862502207</v>
      </c>
      <c r="I13" s="460">
        <v>3862502207</v>
      </c>
      <c r="J13" s="460">
        <v>220305982642.00003</v>
      </c>
      <c r="K13" s="460">
        <v>17382119853</v>
      </c>
      <c r="L13" s="460">
        <v>187119486003.91998</v>
      </c>
      <c r="M13" s="460">
        <v>17382119853</v>
      </c>
      <c r="N13" s="460">
        <v>187028853332.94098</v>
      </c>
      <c r="O13" s="460">
        <v>0</v>
      </c>
      <c r="P13" s="461">
        <v>84.895040565859347</v>
      </c>
    </row>
    <row r="14" spans="1:16" s="381" customFormat="1" ht="13.5" customHeight="1" x14ac:dyDescent="0.25">
      <c r="A14" s="462" t="s">
        <v>1015</v>
      </c>
      <c r="B14" s="458">
        <v>6</v>
      </c>
      <c r="C14" s="458" t="s">
        <v>739</v>
      </c>
      <c r="D14" s="469" t="s">
        <v>1016</v>
      </c>
      <c r="E14" s="460">
        <v>165953271371</v>
      </c>
      <c r="F14" s="460">
        <v>54352711271</v>
      </c>
      <c r="G14" s="460">
        <v>0</v>
      </c>
      <c r="H14" s="460">
        <v>3862502207</v>
      </c>
      <c r="I14" s="460">
        <v>3862502207</v>
      </c>
      <c r="J14" s="460">
        <v>220305982642.00003</v>
      </c>
      <c r="K14" s="460">
        <v>17382119853</v>
      </c>
      <c r="L14" s="460">
        <v>187119486003.91998</v>
      </c>
      <c r="M14" s="460">
        <v>17382119853</v>
      </c>
      <c r="N14" s="460">
        <v>187028853332.94098</v>
      </c>
      <c r="O14" s="460">
        <v>0</v>
      </c>
      <c r="P14" s="461">
        <v>84.895040565859347</v>
      </c>
    </row>
    <row r="15" spans="1:16" s="381" customFormat="1" ht="13.5" customHeight="1" x14ac:dyDescent="0.25">
      <c r="A15" s="462" t="s">
        <v>1017</v>
      </c>
      <c r="B15" s="458">
        <v>7</v>
      </c>
      <c r="C15" s="458" t="s">
        <v>746</v>
      </c>
      <c r="D15" s="459" t="s">
        <v>1018</v>
      </c>
      <c r="E15" s="460">
        <v>7940448828.999999</v>
      </c>
      <c r="F15" s="460">
        <v>8620265222</v>
      </c>
      <c r="G15" s="460">
        <v>0</v>
      </c>
      <c r="H15" s="460">
        <v>0</v>
      </c>
      <c r="I15" s="460">
        <v>0</v>
      </c>
      <c r="J15" s="460">
        <v>16560714051</v>
      </c>
      <c r="K15" s="460">
        <v>2094695026</v>
      </c>
      <c r="L15" s="460">
        <v>14633974083</v>
      </c>
      <c r="M15" s="460">
        <v>2094695026</v>
      </c>
      <c r="N15" s="460">
        <v>14633974083</v>
      </c>
      <c r="O15" s="460">
        <v>0</v>
      </c>
      <c r="P15" s="461">
        <v>88.365598475606461</v>
      </c>
    </row>
    <row r="16" spans="1:16" s="381" customFormat="1" ht="13.5" customHeight="1" x14ac:dyDescent="0.25">
      <c r="A16" s="462" t="s">
        <v>1019</v>
      </c>
      <c r="B16" s="458">
        <v>7</v>
      </c>
      <c r="C16" s="458" t="s">
        <v>746</v>
      </c>
      <c r="D16" s="459" t="s">
        <v>1020</v>
      </c>
      <c r="E16" s="460">
        <v>7940448828.999999</v>
      </c>
      <c r="F16" s="460">
        <v>8620265222</v>
      </c>
      <c r="G16" s="460">
        <v>0</v>
      </c>
      <c r="H16" s="460">
        <v>0</v>
      </c>
      <c r="I16" s="460">
        <v>0</v>
      </c>
      <c r="J16" s="460">
        <v>16560714051</v>
      </c>
      <c r="K16" s="460">
        <v>2094695026</v>
      </c>
      <c r="L16" s="460">
        <v>14633974083</v>
      </c>
      <c r="M16" s="460">
        <v>2094695026</v>
      </c>
      <c r="N16" s="460">
        <v>14633974083</v>
      </c>
      <c r="O16" s="460">
        <v>0</v>
      </c>
      <c r="P16" s="461">
        <v>88.365598475606461</v>
      </c>
    </row>
    <row r="17" spans="1:16" ht="13.5" customHeight="1" x14ac:dyDescent="0.25">
      <c r="A17" s="463" t="s">
        <v>1021</v>
      </c>
      <c r="B17" s="464">
        <v>7</v>
      </c>
      <c r="C17" s="464" t="s">
        <v>746</v>
      </c>
      <c r="D17" s="465" t="s">
        <v>636</v>
      </c>
      <c r="E17" s="466">
        <v>7487897352.999999</v>
      </c>
      <c r="F17" s="352">
        <v>7974381152</v>
      </c>
      <c r="G17" s="470">
        <v>0</v>
      </c>
      <c r="H17" s="470"/>
      <c r="I17" s="470"/>
      <c r="J17" s="352">
        <v>15462278505</v>
      </c>
      <c r="K17" s="352">
        <v>1668440828</v>
      </c>
      <c r="L17" s="352">
        <v>13497130505</v>
      </c>
      <c r="M17" s="352">
        <v>1668440828</v>
      </c>
      <c r="N17" s="352">
        <v>13497130505</v>
      </c>
      <c r="O17" s="343">
        <v>0</v>
      </c>
      <c r="P17" s="344">
        <v>87.290695874061925</v>
      </c>
    </row>
    <row r="18" spans="1:16" s="472" customFormat="1" ht="13.5" customHeight="1" x14ac:dyDescent="0.2">
      <c r="A18" s="463" t="s">
        <v>1022</v>
      </c>
      <c r="B18" s="464">
        <v>7</v>
      </c>
      <c r="C18" s="464" t="s">
        <v>746</v>
      </c>
      <c r="D18" s="465" t="s">
        <v>586</v>
      </c>
      <c r="E18" s="466">
        <v>32451476</v>
      </c>
      <c r="F18" s="352"/>
      <c r="G18" s="471">
        <v>0</v>
      </c>
      <c r="H18" s="471"/>
      <c r="I18" s="471"/>
      <c r="J18" s="352">
        <v>32451476</v>
      </c>
      <c r="K18" s="471">
        <v>0</v>
      </c>
      <c r="L18" s="471">
        <v>0</v>
      </c>
      <c r="M18" s="471">
        <v>0</v>
      </c>
      <c r="N18" s="471">
        <v>0</v>
      </c>
      <c r="O18" s="352">
        <v>0</v>
      </c>
      <c r="P18" s="344">
        <v>0</v>
      </c>
    </row>
    <row r="19" spans="1:16" s="472" customFormat="1" ht="22.5" customHeight="1" x14ac:dyDescent="0.2">
      <c r="A19" s="463" t="s">
        <v>1023</v>
      </c>
      <c r="B19" s="464">
        <v>7</v>
      </c>
      <c r="C19" s="464" t="s">
        <v>746</v>
      </c>
      <c r="D19" s="473" t="s">
        <v>1024</v>
      </c>
      <c r="E19" s="466">
        <v>420000000</v>
      </c>
      <c r="F19" s="352">
        <v>645884070</v>
      </c>
      <c r="G19" s="471">
        <v>0</v>
      </c>
      <c r="H19" s="471"/>
      <c r="I19" s="471"/>
      <c r="J19" s="352">
        <v>1065884070</v>
      </c>
      <c r="K19" s="196">
        <v>426254198</v>
      </c>
      <c r="L19" s="196">
        <v>1136843578</v>
      </c>
      <c r="M19" s="196">
        <v>426254198</v>
      </c>
      <c r="N19" s="196">
        <v>1136843578</v>
      </c>
      <c r="O19" s="352">
        <v>0</v>
      </c>
      <c r="P19" s="344">
        <v>106.6573382600605</v>
      </c>
    </row>
    <row r="20" spans="1:16" ht="13.5" customHeight="1" x14ac:dyDescent="0.2">
      <c r="A20" s="463" t="s">
        <v>1025</v>
      </c>
      <c r="B20" s="464">
        <v>7</v>
      </c>
      <c r="C20" s="464" t="s">
        <v>746</v>
      </c>
      <c r="D20" s="473" t="s">
        <v>590</v>
      </c>
      <c r="E20" s="466">
        <v>100000</v>
      </c>
      <c r="F20" s="352"/>
      <c r="G20" s="471">
        <v>0</v>
      </c>
      <c r="H20" s="471"/>
      <c r="I20" s="471"/>
      <c r="J20" s="352">
        <v>100000</v>
      </c>
      <c r="K20" s="471">
        <v>0</v>
      </c>
      <c r="L20" s="471">
        <v>0</v>
      </c>
      <c r="M20" s="471">
        <v>0</v>
      </c>
      <c r="N20" s="471">
        <v>0</v>
      </c>
      <c r="O20" s="352">
        <v>0</v>
      </c>
      <c r="P20" s="344">
        <v>0</v>
      </c>
    </row>
    <row r="21" spans="1:16" ht="13.5" customHeight="1" x14ac:dyDescent="0.2">
      <c r="A21" s="462" t="s">
        <v>1026</v>
      </c>
      <c r="B21" s="458">
        <v>7</v>
      </c>
      <c r="C21" s="458" t="s">
        <v>746</v>
      </c>
      <c r="D21" s="459" t="s">
        <v>1027</v>
      </c>
      <c r="E21" s="460">
        <v>158012822542.00003</v>
      </c>
      <c r="F21" s="460">
        <v>45732446049</v>
      </c>
      <c r="G21" s="460">
        <v>0</v>
      </c>
      <c r="H21" s="460">
        <v>3862502207</v>
      </c>
      <c r="I21" s="460">
        <v>3862502207</v>
      </c>
      <c r="J21" s="460">
        <v>203745268591.00003</v>
      </c>
      <c r="K21" s="460">
        <v>15287424827</v>
      </c>
      <c r="L21" s="460">
        <v>172485511920.91998</v>
      </c>
      <c r="M21" s="460">
        <v>15287424827</v>
      </c>
      <c r="N21" s="460">
        <v>172394879249.94098</v>
      </c>
      <c r="O21" s="352">
        <v>0</v>
      </c>
      <c r="P21" s="461">
        <v>460.67575856788602</v>
      </c>
    </row>
    <row r="22" spans="1:16" ht="13.5" customHeight="1" x14ac:dyDescent="0.2">
      <c r="A22" s="474" t="s">
        <v>1028</v>
      </c>
      <c r="B22" s="475">
        <v>7</v>
      </c>
      <c r="C22" s="475" t="s">
        <v>746</v>
      </c>
      <c r="D22" s="196" t="s">
        <v>644</v>
      </c>
      <c r="E22" s="466">
        <v>151074276181.00003</v>
      </c>
      <c r="F22" s="352">
        <v>33386562198</v>
      </c>
      <c r="G22" s="471"/>
      <c r="H22" s="471"/>
      <c r="I22" s="471"/>
      <c r="J22" s="352">
        <v>184460838379.00003</v>
      </c>
      <c r="K22" s="196">
        <v>15287424827</v>
      </c>
      <c r="L22" s="196">
        <v>153924995829.91998</v>
      </c>
      <c r="M22" s="196">
        <v>15287424827</v>
      </c>
      <c r="N22" s="196">
        <v>153924995829.91998</v>
      </c>
      <c r="O22" s="352">
        <v>0</v>
      </c>
      <c r="P22" s="344">
        <v>83.445894089270055</v>
      </c>
    </row>
    <row r="23" spans="1:16" ht="13.5" customHeight="1" x14ac:dyDescent="0.2">
      <c r="A23" s="476" t="s">
        <v>1029</v>
      </c>
      <c r="B23" s="475">
        <v>7</v>
      </c>
      <c r="C23" s="475" t="s">
        <v>746</v>
      </c>
      <c r="D23" s="196" t="s">
        <v>586</v>
      </c>
      <c r="E23" s="466">
        <v>74218150</v>
      </c>
      <c r="F23" s="343"/>
      <c r="G23" s="343">
        <v>0</v>
      </c>
      <c r="H23" s="343"/>
      <c r="I23" s="343"/>
      <c r="J23" s="352">
        <v>74218150</v>
      </c>
      <c r="K23" s="352">
        <v>0</v>
      </c>
      <c r="L23" s="352">
        <v>0</v>
      </c>
      <c r="M23" s="196">
        <v>0</v>
      </c>
      <c r="N23" s="196">
        <v>0</v>
      </c>
      <c r="O23" s="352">
        <v>0</v>
      </c>
      <c r="P23" s="344">
        <v>0</v>
      </c>
    </row>
    <row r="24" spans="1:16" ht="13.5" customHeight="1" x14ac:dyDescent="0.2">
      <c r="A24" s="476" t="s">
        <v>1030</v>
      </c>
      <c r="B24" s="475">
        <v>7</v>
      </c>
      <c r="C24" s="475" t="s">
        <v>746</v>
      </c>
      <c r="D24" s="196" t="s">
        <v>537</v>
      </c>
      <c r="E24" s="466">
        <v>6864228211</v>
      </c>
      <c r="F24" s="343"/>
      <c r="G24" s="343">
        <v>0</v>
      </c>
      <c r="H24" s="343"/>
      <c r="I24" s="471">
        <v>3862502207</v>
      </c>
      <c r="J24" s="352">
        <v>3001726004</v>
      </c>
      <c r="K24" s="352">
        <v>0</v>
      </c>
      <c r="L24" s="352">
        <v>2352130033</v>
      </c>
      <c r="M24" s="196">
        <v>0</v>
      </c>
      <c r="N24" s="196">
        <v>2352130033</v>
      </c>
      <c r="O24" s="352">
        <v>0</v>
      </c>
      <c r="P24" s="344">
        <v>78.359251639411127</v>
      </c>
    </row>
    <row r="25" spans="1:16" ht="13.5" customHeight="1" x14ac:dyDescent="0.2">
      <c r="A25" s="476" t="s">
        <v>1031</v>
      </c>
      <c r="B25" s="475">
        <v>7</v>
      </c>
      <c r="C25" s="475" t="s">
        <v>746</v>
      </c>
      <c r="D25" s="196" t="s">
        <v>590</v>
      </c>
      <c r="E25" s="466">
        <v>100000</v>
      </c>
      <c r="F25" s="352"/>
      <c r="G25" s="471">
        <v>0</v>
      </c>
      <c r="H25" s="471"/>
      <c r="I25" s="471"/>
      <c r="J25" s="352">
        <v>100000</v>
      </c>
      <c r="K25" s="352">
        <v>0</v>
      </c>
      <c r="L25" s="352">
        <v>0</v>
      </c>
      <c r="M25" s="196">
        <v>0</v>
      </c>
      <c r="N25" s="196">
        <v>0</v>
      </c>
      <c r="O25" s="352">
        <v>0</v>
      </c>
      <c r="P25" s="344">
        <v>0</v>
      </c>
    </row>
    <row r="26" spans="1:16" ht="13.5" customHeight="1" x14ac:dyDescent="0.2">
      <c r="A26" s="476" t="s">
        <v>1032</v>
      </c>
      <c r="B26" s="475">
        <v>7</v>
      </c>
      <c r="C26" s="475" t="s">
        <v>746</v>
      </c>
      <c r="D26" s="196" t="s">
        <v>1033</v>
      </c>
      <c r="E26" s="466">
        <v>0</v>
      </c>
      <c r="F26" s="352"/>
      <c r="G26" s="471"/>
      <c r="H26" s="471">
        <v>3862502207</v>
      </c>
      <c r="I26" s="471"/>
      <c r="J26" s="352">
        <v>3862502207</v>
      </c>
      <c r="K26" s="352">
        <v>0</v>
      </c>
      <c r="L26" s="352">
        <v>3862502207</v>
      </c>
      <c r="M26" s="196">
        <v>0</v>
      </c>
      <c r="N26" s="196">
        <v>3862502207</v>
      </c>
      <c r="O26" s="352">
        <v>0</v>
      </c>
      <c r="P26" s="344">
        <v>100</v>
      </c>
    </row>
    <row r="27" spans="1:16" ht="13.5" customHeight="1" x14ac:dyDescent="0.2">
      <c r="A27" s="476" t="s">
        <v>1034</v>
      </c>
      <c r="B27" s="475">
        <v>7</v>
      </c>
      <c r="C27" s="475" t="s">
        <v>746</v>
      </c>
      <c r="D27" s="196" t="s">
        <v>1035</v>
      </c>
      <c r="E27" s="466">
        <v>0</v>
      </c>
      <c r="F27" s="352">
        <v>4320941287</v>
      </c>
      <c r="G27" s="471"/>
      <c r="H27" s="471"/>
      <c r="I27" s="471"/>
      <c r="J27" s="352">
        <v>4320941287</v>
      </c>
      <c r="K27" s="352">
        <v>0</v>
      </c>
      <c r="L27" s="352">
        <v>4320941287</v>
      </c>
      <c r="M27" s="196">
        <v>0</v>
      </c>
      <c r="N27" s="196">
        <v>4320941287</v>
      </c>
      <c r="O27" s="352">
        <v>0</v>
      </c>
      <c r="P27" s="344">
        <v>100</v>
      </c>
    </row>
    <row r="28" spans="1:16" ht="13.5" customHeight="1" x14ac:dyDescent="0.2">
      <c r="A28" s="476" t="s">
        <v>1036</v>
      </c>
      <c r="B28" s="475">
        <v>7</v>
      </c>
      <c r="C28" s="475" t="s">
        <v>746</v>
      </c>
      <c r="D28" s="196" t="s">
        <v>981</v>
      </c>
      <c r="E28" s="466">
        <v>0</v>
      </c>
      <c r="F28" s="352">
        <v>8024942564</v>
      </c>
      <c r="G28" s="471"/>
      <c r="H28" s="471"/>
      <c r="I28" s="471"/>
      <c r="J28" s="352">
        <v>8024942564</v>
      </c>
      <c r="K28" s="352">
        <v>0</v>
      </c>
      <c r="L28" s="352">
        <v>8024942564</v>
      </c>
      <c r="M28" s="196">
        <v>0</v>
      </c>
      <c r="N28" s="196">
        <v>7934309893.0209999</v>
      </c>
      <c r="O28" s="352">
        <v>0</v>
      </c>
      <c r="P28" s="344">
        <v>98.870612839204867</v>
      </c>
    </row>
    <row r="29" spans="1:16" ht="13.5" customHeight="1" x14ac:dyDescent="0.2">
      <c r="A29" s="457">
        <v>1.2</v>
      </c>
      <c r="B29" s="458">
        <v>2</v>
      </c>
      <c r="C29" s="458" t="s">
        <v>739</v>
      </c>
      <c r="D29" s="459" t="s">
        <v>1037</v>
      </c>
      <c r="E29" s="460">
        <v>115935764</v>
      </c>
      <c r="F29" s="460">
        <v>0</v>
      </c>
      <c r="G29" s="460">
        <v>0</v>
      </c>
      <c r="H29" s="460">
        <v>0</v>
      </c>
      <c r="I29" s="460">
        <v>0</v>
      </c>
      <c r="J29" s="460">
        <v>115935764</v>
      </c>
      <c r="K29" s="460">
        <v>8342454</v>
      </c>
      <c r="L29" s="460">
        <v>67566471</v>
      </c>
      <c r="M29" s="460">
        <v>8342454</v>
      </c>
      <c r="N29" s="460">
        <v>67566471</v>
      </c>
      <c r="O29" s="343">
        <v>0</v>
      </c>
      <c r="P29" s="461">
        <v>58.279230384853463</v>
      </c>
    </row>
    <row r="30" spans="1:16" s="381" customFormat="1" ht="13.5" customHeight="1" x14ac:dyDescent="0.25">
      <c r="A30" s="462" t="s">
        <v>1038</v>
      </c>
      <c r="B30" s="458">
        <v>3</v>
      </c>
      <c r="C30" s="458" t="s">
        <v>739</v>
      </c>
      <c r="D30" s="459" t="s">
        <v>1039</v>
      </c>
      <c r="E30" s="460">
        <v>115935764</v>
      </c>
      <c r="F30" s="460">
        <v>0</v>
      </c>
      <c r="G30" s="460">
        <v>0</v>
      </c>
      <c r="H30" s="460">
        <v>0</v>
      </c>
      <c r="I30" s="460">
        <v>0</v>
      </c>
      <c r="J30" s="460">
        <v>115935764</v>
      </c>
      <c r="K30" s="460">
        <v>8342454</v>
      </c>
      <c r="L30" s="460">
        <v>67566471</v>
      </c>
      <c r="M30" s="460">
        <v>8342454</v>
      </c>
      <c r="N30" s="460">
        <v>67566471</v>
      </c>
      <c r="O30" s="343">
        <v>0</v>
      </c>
      <c r="P30" s="461">
        <v>58.279230384853463</v>
      </c>
    </row>
    <row r="31" spans="1:16" ht="13.5" customHeight="1" x14ac:dyDescent="0.2">
      <c r="A31" s="462" t="s">
        <v>1040</v>
      </c>
      <c r="B31" s="458">
        <v>4</v>
      </c>
      <c r="C31" s="458" t="s">
        <v>746</v>
      </c>
      <c r="D31" s="459" t="s">
        <v>1041</v>
      </c>
      <c r="E31" s="460">
        <v>115935764</v>
      </c>
      <c r="F31" s="460">
        <v>0</v>
      </c>
      <c r="G31" s="460">
        <v>0</v>
      </c>
      <c r="H31" s="460">
        <v>0</v>
      </c>
      <c r="I31" s="460">
        <v>0</v>
      </c>
      <c r="J31" s="460">
        <v>115935764</v>
      </c>
      <c r="K31" s="460">
        <v>8342454</v>
      </c>
      <c r="L31" s="460">
        <v>67566471</v>
      </c>
      <c r="M31" s="460">
        <v>8342454</v>
      </c>
      <c r="N31" s="460">
        <v>67566471</v>
      </c>
      <c r="O31" s="343">
        <v>0</v>
      </c>
      <c r="P31" s="461">
        <v>58.279230384853463</v>
      </c>
    </row>
    <row r="32" spans="1:16" ht="13.5" customHeight="1" x14ac:dyDescent="0.25">
      <c r="A32" s="463" t="s">
        <v>1042</v>
      </c>
      <c r="B32" s="464">
        <v>4</v>
      </c>
      <c r="C32" s="464" t="s">
        <v>746</v>
      </c>
      <c r="D32" s="465" t="s">
        <v>650</v>
      </c>
      <c r="E32" s="466">
        <v>94947133</v>
      </c>
      <c r="F32" s="343"/>
      <c r="G32" s="470">
        <v>0</v>
      </c>
      <c r="H32" s="470"/>
      <c r="I32" s="470"/>
      <c r="J32" s="352">
        <v>94947133</v>
      </c>
      <c r="K32" s="471">
        <v>7573446</v>
      </c>
      <c r="L32" s="471">
        <v>61429934</v>
      </c>
      <c r="M32" s="471">
        <v>7573446</v>
      </c>
      <c r="N32" s="471">
        <v>61429934</v>
      </c>
      <c r="O32" s="343">
        <v>0</v>
      </c>
      <c r="P32" s="344">
        <v>64.699093125855626</v>
      </c>
    </row>
    <row r="33" spans="1:16" ht="13.5" customHeight="1" x14ac:dyDescent="0.2">
      <c r="A33" s="463" t="s">
        <v>1043</v>
      </c>
      <c r="B33" s="464">
        <v>4</v>
      </c>
      <c r="C33" s="464" t="s">
        <v>746</v>
      </c>
      <c r="D33" s="465" t="s">
        <v>652</v>
      </c>
      <c r="E33" s="477">
        <v>8465469</v>
      </c>
      <c r="F33" s="352"/>
      <c r="G33" s="471">
        <v>0</v>
      </c>
      <c r="H33" s="471"/>
      <c r="I33" s="471"/>
      <c r="J33" s="352">
        <v>8465469</v>
      </c>
      <c r="K33" s="471">
        <v>6734</v>
      </c>
      <c r="L33" s="471">
        <v>1853688</v>
      </c>
      <c r="M33" s="471">
        <v>6734</v>
      </c>
      <c r="N33" s="471">
        <v>1853688</v>
      </c>
      <c r="O33" s="352">
        <v>0</v>
      </c>
      <c r="P33" s="344">
        <v>21.897050240217052</v>
      </c>
    </row>
    <row r="34" spans="1:16" ht="13.5" customHeight="1" thickBot="1" x14ac:dyDescent="0.25">
      <c r="A34" s="478" t="s">
        <v>1044</v>
      </c>
      <c r="B34" s="479">
        <v>4</v>
      </c>
      <c r="C34" s="479" t="s">
        <v>746</v>
      </c>
      <c r="D34" s="204" t="s">
        <v>613</v>
      </c>
      <c r="E34" s="480">
        <v>12523162</v>
      </c>
      <c r="F34" s="362"/>
      <c r="G34" s="481">
        <v>0</v>
      </c>
      <c r="H34" s="481"/>
      <c r="I34" s="481"/>
      <c r="J34" s="481">
        <v>12523162</v>
      </c>
      <c r="K34" s="481">
        <v>762274</v>
      </c>
      <c r="L34" s="481">
        <v>4282849</v>
      </c>
      <c r="M34" s="481">
        <v>762274</v>
      </c>
      <c r="N34" s="481">
        <v>4282849</v>
      </c>
      <c r="O34" s="362">
        <v>0</v>
      </c>
      <c r="P34" s="363">
        <v>34.199421839308634</v>
      </c>
    </row>
    <row r="35" spans="1:16" ht="13.5" customHeight="1" x14ac:dyDescent="0.2">
      <c r="H35" s="483"/>
      <c r="I35" s="483"/>
      <c r="K35" s="485"/>
      <c r="L35" s="485"/>
      <c r="M35" s="486"/>
      <c r="N35" s="132"/>
      <c r="O35" s="399"/>
      <c r="P35" s="472"/>
    </row>
    <row r="36" spans="1:16" ht="13.5" customHeight="1" x14ac:dyDescent="0.2">
      <c r="H36" s="483"/>
      <c r="I36" s="483"/>
      <c r="K36" s="485"/>
      <c r="L36" s="485"/>
      <c r="M36" s="486"/>
      <c r="N36" s="132"/>
      <c r="O36" s="399"/>
      <c r="P36" s="472"/>
    </row>
    <row r="37" spans="1:16" ht="13.5" customHeight="1" x14ac:dyDescent="0.2">
      <c r="H37" s="483"/>
      <c r="I37" s="483"/>
      <c r="K37" s="485"/>
      <c r="L37" s="485"/>
      <c r="M37" s="486"/>
      <c r="N37" s="132"/>
      <c r="O37" s="399"/>
      <c r="P37" s="472"/>
    </row>
    <row r="38" spans="1:16" ht="13.5" customHeight="1" x14ac:dyDescent="0.2">
      <c r="H38" s="483"/>
      <c r="I38" s="483"/>
      <c r="K38" s="485"/>
      <c r="L38" s="485"/>
      <c r="M38" s="486"/>
      <c r="N38" s="132"/>
      <c r="O38" s="399"/>
      <c r="P38" s="472"/>
    </row>
    <row r="39" spans="1:16" ht="13.5" customHeight="1" x14ac:dyDescent="0.25">
      <c r="A39" s="487"/>
      <c r="B39" s="370"/>
      <c r="C39" s="660" t="s">
        <v>187</v>
      </c>
      <c r="D39" s="660"/>
      <c r="E39" s="488"/>
      <c r="F39" s="661" t="s">
        <v>556</v>
      </c>
      <c r="G39" s="661"/>
      <c r="H39" s="661"/>
      <c r="I39" s="661"/>
      <c r="J39" s="661"/>
      <c r="K39" s="661"/>
      <c r="L39" s="489"/>
      <c r="M39" s="662" t="s">
        <v>557</v>
      </c>
      <c r="N39" s="662"/>
      <c r="O39" s="391"/>
      <c r="P39" s="490"/>
    </row>
    <row r="40" spans="1:16" ht="13.5" customHeight="1" x14ac:dyDescent="0.2">
      <c r="C40" s="665" t="s">
        <v>558</v>
      </c>
      <c r="D40" s="665"/>
      <c r="F40" s="666" t="s">
        <v>1045</v>
      </c>
      <c r="G40" s="666"/>
      <c r="H40" s="666"/>
      <c r="I40" s="666"/>
      <c r="J40" s="666"/>
      <c r="K40" s="666"/>
      <c r="L40" s="485"/>
      <c r="M40" s="667" t="s">
        <v>560</v>
      </c>
      <c r="N40" s="667"/>
      <c r="O40" s="399"/>
      <c r="P40" s="472"/>
    </row>
  </sheetData>
  <autoFilter ref="A5:P34"/>
  <mergeCells count="25">
    <mergeCell ref="C40:D40"/>
    <mergeCell ref="F40:K40"/>
    <mergeCell ref="M40:N40"/>
    <mergeCell ref="K3:L3"/>
    <mergeCell ref="M3:N3"/>
    <mergeCell ref="C39:D39"/>
    <mergeCell ref="F39:K39"/>
    <mergeCell ref="M39:N39"/>
    <mergeCell ref="C3:C4"/>
    <mergeCell ref="D3:D4"/>
    <mergeCell ref="F3:F4"/>
    <mergeCell ref="G3:G4"/>
    <mergeCell ref="H3:H4"/>
    <mergeCell ref="I3:I4"/>
    <mergeCell ref="A1:C1"/>
    <mergeCell ref="E1:P1"/>
    <mergeCell ref="A2:D2"/>
    <mergeCell ref="E2:E4"/>
    <mergeCell ref="F2:I2"/>
    <mergeCell ref="J2:J4"/>
    <mergeCell ref="K2:N2"/>
    <mergeCell ref="O2:P2"/>
    <mergeCell ref="A3:A4"/>
    <mergeCell ref="B3:B4"/>
    <mergeCell ref="O3:P3"/>
  </mergeCells>
  <printOptions horizontalCentered="1" verticalCentered="1"/>
  <pageMargins left="0" right="0" top="0.19684820647419074" bottom="0.74803040244969377" header="0.31496062992125984" footer="0.31496062992125984"/>
  <pageSetup paperSize="281" scale="71" fitToHeight="0" orientation="landscape" r:id="rId1"/>
  <headerFooter alignWithMargins="0">
    <oddHeader>&amp;L&amp;G&amp;C
&amp;R&amp;"Arial,Negrita"&amp;12EJECUCIÓN DE INGRESOS Y GASTOS
&amp;"Arial,Normal"&amp;10FO-GF-11
2021-08-24
V.01</oddHeader>
    <oddFooter>&amp;L&amp;G&amp;C&amp;G&amp;R&amp;P</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INGRESOS 2018</vt:lpstr>
      <vt:lpstr>GASTOS 2018 </vt:lpstr>
      <vt:lpstr>INGRESOS 2019 </vt:lpstr>
      <vt:lpstr>GASTOS 2019</vt:lpstr>
      <vt:lpstr>INGRESOS 2020 </vt:lpstr>
      <vt:lpstr>GASTOS 2020 </vt:lpstr>
      <vt:lpstr>INGRESOS 2021</vt:lpstr>
      <vt:lpstr>GASTOS 2021 </vt:lpstr>
      <vt:lpstr>INGRESOS 2022 (OCT)</vt:lpstr>
      <vt:lpstr>GASTOS 2022 (OCT)</vt:lpstr>
      <vt:lpstr>'GASTOS 2021 '!Área_de_impresión</vt:lpstr>
      <vt:lpstr>'GASTOS 2022 (OCT)'!Área_de_impresión</vt:lpstr>
      <vt:lpstr>'INGRESOS 2021'!Área_de_impresión</vt:lpstr>
      <vt:lpstr>'INGRESOS 2022 (OCT)'!Área_de_impresión</vt:lpstr>
      <vt:lpstr>'GASTOS 2018 '!Títulos_a_imprimir</vt:lpstr>
      <vt:lpstr>'GASTOS 2019'!Títulos_a_imprimir</vt:lpstr>
      <vt:lpstr>'GASTOS 2020 '!Títulos_a_imprimir</vt:lpstr>
      <vt:lpstr>'GASTOS 2021 '!Títulos_a_imprimir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ASUS</cp:lastModifiedBy>
  <dcterms:created xsi:type="dcterms:W3CDTF">2022-12-09T19:14:47Z</dcterms:created>
  <dcterms:modified xsi:type="dcterms:W3CDTF">2022-12-12T02:18:00Z</dcterms:modified>
</cp:coreProperties>
</file>