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65" yWindow="-90" windowWidth="12075" windowHeight="7050" tabRatio="602"/>
  </bookViews>
  <sheets>
    <sheet name="REPORTE DE EMERGENCIAS" sheetId="1" r:id="rId1"/>
  </sheets>
  <definedNames>
    <definedName name="_xlnm._FilterDatabase" localSheetId="0" hidden="1">'REPORTE DE EMERGENCIAS'!$A$2:$CZ$1073</definedName>
    <definedName name="_xlnm.Print_Area" localSheetId="0">'REPORTE DE EMERGENCIAS'!$A$3:$O$21</definedName>
    <definedName name="_xlnm.Print_Titles" localSheetId="0">'REPORTE DE EMERGENCIAS'!$1:$2</definedName>
  </definedNames>
  <calcPr calcId="145621" fullCalcOnLoad="1"/>
</workbook>
</file>

<file path=xl/calcChain.xml><?xml version="1.0" encoding="utf-8"?>
<calcChain xmlns="http://schemas.openxmlformats.org/spreadsheetml/2006/main">
  <c r="H3" i="1" l="1"/>
  <c r="Y3" i="1"/>
  <c r="Z3" i="1"/>
  <c r="AV3" i="1"/>
  <c r="CL3" i="1"/>
  <c r="CQ3" i="1"/>
  <c r="W3" i="1"/>
  <c r="CN3" i="1"/>
  <c r="CU3" i="1"/>
  <c r="X3" i="1"/>
  <c r="H4" i="1"/>
  <c r="X4" i="1"/>
  <c r="Y4" i="1"/>
  <c r="Z4" i="1"/>
  <c r="CL4" i="1"/>
  <c r="CN4" i="1"/>
  <c r="CQ4" i="1"/>
  <c r="W4" i="1"/>
  <c r="CU4" i="1"/>
  <c r="H5" i="1"/>
  <c r="Y5" i="1"/>
  <c r="Z5" i="1"/>
  <c r="CL5" i="1"/>
  <c r="CQ5" i="1"/>
  <c r="W5" i="1"/>
  <c r="CN5" i="1"/>
  <c r="CT5" i="1"/>
  <c r="CU5" i="1"/>
  <c r="X5" i="1"/>
  <c r="H6" i="1"/>
  <c r="Y6" i="1"/>
  <c r="Z6" i="1"/>
  <c r="AV6" i="1"/>
  <c r="CF6" i="1"/>
  <c r="CQ6" i="1"/>
  <c r="W6" i="1"/>
  <c r="CL6" i="1"/>
  <c r="CN6" i="1"/>
  <c r="CU6" i="1"/>
  <c r="X6" i="1"/>
  <c r="X7" i="1"/>
  <c r="Z7" i="1"/>
  <c r="AA7" i="1"/>
  <c r="CQ7" i="1"/>
  <c r="W7" i="1"/>
  <c r="CW7" i="1"/>
  <c r="Y7" i="1"/>
  <c r="X8" i="1"/>
  <c r="Y8" i="1"/>
  <c r="Z8" i="1"/>
  <c r="CQ8" i="1"/>
  <c r="W8" i="1"/>
  <c r="X9" i="1"/>
  <c r="Y9" i="1"/>
  <c r="Z9" i="1"/>
  <c r="AA9" i="1"/>
  <c r="CQ9" i="1"/>
  <c r="W9" i="1"/>
  <c r="X10" i="1"/>
  <c r="Y10" i="1"/>
  <c r="Z10" i="1"/>
  <c r="CQ10" i="1"/>
  <c r="W10" i="1"/>
  <c r="X11" i="1"/>
  <c r="Y11" i="1"/>
  <c r="Z11" i="1"/>
  <c r="AA11" i="1"/>
  <c r="CQ11" i="1"/>
  <c r="W11" i="1"/>
  <c r="AC11" i="1"/>
  <c r="X12" i="1"/>
  <c r="Y12" i="1"/>
  <c r="Z12" i="1"/>
  <c r="CQ12" i="1"/>
  <c r="W12" i="1"/>
  <c r="AC12" i="1"/>
  <c r="X13" i="1"/>
  <c r="Y13" i="1"/>
  <c r="Z13" i="1"/>
  <c r="CQ13" i="1"/>
  <c r="W13" i="1"/>
  <c r="AC13" i="1"/>
  <c r="X14" i="1"/>
  <c r="Y14" i="1"/>
  <c r="Z14" i="1"/>
  <c r="CQ14" i="1"/>
  <c r="W14" i="1"/>
  <c r="AC14" i="1"/>
  <c r="X15" i="1"/>
  <c r="Y15" i="1"/>
  <c r="Z15" i="1"/>
  <c r="CQ15" i="1"/>
  <c r="W15" i="1"/>
  <c r="AC15" i="1"/>
  <c r="X16" i="1"/>
  <c r="Y16" i="1"/>
  <c r="Z16" i="1"/>
  <c r="CQ16" i="1"/>
  <c r="W16" i="1"/>
  <c r="AC16" i="1"/>
  <c r="X17" i="1"/>
  <c r="Y17" i="1"/>
  <c r="Z17" i="1"/>
  <c r="CQ17" i="1"/>
  <c r="W17" i="1"/>
  <c r="AC17" i="1"/>
  <c r="X18" i="1"/>
  <c r="Y18" i="1"/>
  <c r="Z18" i="1"/>
  <c r="CQ18" i="1"/>
  <c r="W18" i="1"/>
  <c r="AC18" i="1"/>
  <c r="CS18" i="1"/>
  <c r="X19" i="1"/>
  <c r="Y19" i="1"/>
  <c r="Z19" i="1"/>
  <c r="CQ19" i="1"/>
  <c r="W19" i="1"/>
  <c r="X20" i="1"/>
  <c r="Y20" i="1"/>
  <c r="Z20" i="1"/>
  <c r="CQ20" i="1"/>
  <c r="W20" i="1"/>
  <c r="X21" i="1"/>
  <c r="Y21" i="1"/>
  <c r="Z21" i="1"/>
  <c r="CQ21" i="1"/>
  <c r="W21" i="1"/>
  <c r="X22" i="1"/>
  <c r="Y22" i="1"/>
  <c r="Z22" i="1"/>
  <c r="AV22" i="1"/>
  <c r="CQ22" i="1"/>
  <c r="W22" i="1"/>
  <c r="X23" i="1"/>
  <c r="Y23" i="1"/>
  <c r="Z23" i="1"/>
  <c r="CQ23" i="1"/>
  <c r="W23" i="1"/>
  <c r="X24" i="1"/>
  <c r="Y24" i="1"/>
  <c r="Z24" i="1"/>
  <c r="CQ24" i="1"/>
  <c r="W24" i="1"/>
  <c r="X25" i="1"/>
  <c r="Y25" i="1"/>
  <c r="Z25" i="1"/>
  <c r="CQ25" i="1"/>
  <c r="W25" i="1"/>
  <c r="X26" i="1"/>
  <c r="Y26" i="1"/>
  <c r="Z26" i="1"/>
  <c r="CQ26" i="1"/>
  <c r="W26" i="1"/>
  <c r="X27" i="1"/>
  <c r="Y27" i="1"/>
  <c r="Z27" i="1"/>
  <c r="CQ27" i="1"/>
  <c r="W27" i="1"/>
  <c r="X28" i="1"/>
  <c r="Y28" i="1"/>
  <c r="Z28" i="1"/>
  <c r="CQ28" i="1"/>
  <c r="W28" i="1"/>
  <c r="Y29" i="1"/>
  <c r="Z29" i="1"/>
  <c r="CF29" i="1"/>
  <c r="CQ29" i="1"/>
  <c r="W29" i="1"/>
  <c r="CL29" i="1"/>
  <c r="CN29" i="1"/>
  <c r="CU29" i="1"/>
  <c r="X29" i="1"/>
  <c r="X30" i="1"/>
  <c r="Y30" i="1"/>
  <c r="Z30" i="1"/>
  <c r="CQ30" i="1"/>
  <c r="W30" i="1"/>
  <c r="AC30" i="1"/>
  <c r="H31" i="1"/>
  <c r="X31" i="1"/>
  <c r="Y31" i="1"/>
  <c r="Z31" i="1"/>
  <c r="CQ31" i="1"/>
  <c r="W31" i="1"/>
  <c r="X32" i="1"/>
  <c r="Y32" i="1"/>
  <c r="Z32" i="1"/>
  <c r="CQ32" i="1"/>
  <c r="W32" i="1"/>
  <c r="X33" i="1"/>
  <c r="Y33" i="1"/>
  <c r="Z33" i="1"/>
  <c r="CQ33" i="1"/>
  <c r="W33" i="1"/>
  <c r="X34" i="1"/>
  <c r="Y34" i="1"/>
  <c r="Z34" i="1"/>
  <c r="CQ34" i="1"/>
  <c r="W34" i="1"/>
  <c r="X35" i="1"/>
  <c r="Y35" i="1"/>
  <c r="Z35" i="1"/>
  <c r="CQ35" i="1"/>
  <c r="W35" i="1"/>
  <c r="H36" i="1"/>
  <c r="Y36" i="1"/>
  <c r="Z36" i="1"/>
  <c r="CF36" i="1"/>
  <c r="CQ36" i="1"/>
  <c r="W36" i="1"/>
  <c r="CL36" i="1"/>
  <c r="CN36" i="1"/>
  <c r="CU36" i="1"/>
  <c r="X36" i="1"/>
  <c r="X37" i="1"/>
  <c r="Y37" i="1"/>
  <c r="Z37" i="1"/>
  <c r="CJ37" i="1"/>
  <c r="CQ37" i="1"/>
  <c r="W37" i="1"/>
  <c r="CL37" i="1"/>
  <c r="CU37" i="1"/>
  <c r="X38" i="1"/>
  <c r="Y38" i="1"/>
  <c r="Z38" i="1"/>
  <c r="CQ38" i="1"/>
  <c r="W38" i="1"/>
  <c r="X39" i="1"/>
  <c r="Y39" i="1"/>
  <c r="Z39" i="1"/>
  <c r="CQ39" i="1"/>
  <c r="W39" i="1"/>
  <c r="H40" i="1"/>
  <c r="I40" i="1"/>
  <c r="X40" i="1"/>
  <c r="Y40" i="1"/>
  <c r="Z40" i="1"/>
  <c r="CQ40" i="1"/>
  <c r="W40" i="1"/>
  <c r="X41" i="1"/>
  <c r="Y41" i="1"/>
  <c r="Z41" i="1"/>
  <c r="CQ41" i="1"/>
  <c r="W41" i="1"/>
  <c r="AC41" i="1"/>
  <c r="H42" i="1"/>
  <c r="X42" i="1"/>
  <c r="Y42" i="1"/>
  <c r="Z42" i="1"/>
  <c r="CQ42" i="1"/>
  <c r="W42" i="1"/>
  <c r="X43" i="1"/>
  <c r="Y43" i="1"/>
  <c r="Z43" i="1"/>
  <c r="CQ43" i="1"/>
  <c r="W43" i="1"/>
  <c r="X44" i="1"/>
  <c r="Y44" i="1"/>
  <c r="Z44" i="1"/>
  <c r="CQ44" i="1"/>
  <c r="W44" i="1"/>
  <c r="X45" i="1"/>
  <c r="Y45" i="1"/>
  <c r="Z45" i="1"/>
  <c r="CQ45" i="1"/>
  <c r="W45" i="1"/>
  <c r="X46" i="1"/>
  <c r="Y46" i="1"/>
  <c r="Z46" i="1"/>
  <c r="CQ46" i="1"/>
  <c r="W46" i="1"/>
  <c r="X47" i="1"/>
  <c r="Y47" i="1"/>
  <c r="Z47" i="1"/>
  <c r="CQ47" i="1"/>
  <c r="W47" i="1"/>
  <c r="X48" i="1"/>
  <c r="Y48" i="1"/>
  <c r="Z48" i="1"/>
  <c r="CQ48" i="1"/>
  <c r="W48" i="1"/>
  <c r="X49" i="1"/>
  <c r="Y49" i="1"/>
  <c r="Z49" i="1"/>
  <c r="CQ49" i="1"/>
  <c r="W49" i="1"/>
  <c r="X50" i="1"/>
  <c r="Y50" i="1"/>
  <c r="Z50" i="1"/>
  <c r="CQ50" i="1"/>
  <c r="W50" i="1"/>
  <c r="H51" i="1"/>
  <c r="Y51" i="1"/>
  <c r="Z51" i="1"/>
  <c r="AV51" i="1"/>
  <c r="CL51" i="1"/>
  <c r="CQ51" i="1"/>
  <c r="W51" i="1"/>
  <c r="CN51" i="1"/>
  <c r="CT51" i="1"/>
  <c r="CU51" i="1"/>
  <c r="X51" i="1"/>
  <c r="X52" i="1"/>
  <c r="Y52" i="1"/>
  <c r="Z52" i="1"/>
  <c r="CQ52" i="1"/>
  <c r="W52" i="1"/>
  <c r="X53" i="1"/>
  <c r="Y53" i="1"/>
  <c r="Z53" i="1"/>
  <c r="CQ53" i="1"/>
  <c r="W53" i="1"/>
  <c r="H54" i="1"/>
  <c r="X54" i="1"/>
  <c r="Z54" i="1"/>
  <c r="CQ54" i="1"/>
  <c r="W54" i="1"/>
  <c r="CW54" i="1"/>
  <c r="Y54" i="1"/>
  <c r="CY54" i="1"/>
  <c r="X55" i="1"/>
  <c r="Y55" i="1"/>
  <c r="Z55" i="1"/>
  <c r="CQ55" i="1"/>
  <c r="W55" i="1"/>
  <c r="X56" i="1"/>
  <c r="Y56" i="1"/>
  <c r="Z56" i="1"/>
  <c r="CQ56" i="1"/>
  <c r="W56" i="1"/>
  <c r="X57" i="1"/>
  <c r="Y57" i="1"/>
  <c r="Z57" i="1"/>
  <c r="CQ57" i="1"/>
  <c r="W57" i="1"/>
  <c r="W58" i="1"/>
  <c r="X58" i="1"/>
  <c r="Y58" i="1"/>
  <c r="Z58" i="1"/>
  <c r="AA58" i="1"/>
  <c r="CQ58" i="1"/>
  <c r="CY58" i="1"/>
  <c r="X59" i="1"/>
  <c r="Y59" i="1"/>
  <c r="Z59" i="1"/>
  <c r="CQ59" i="1"/>
  <c r="W59" i="1"/>
  <c r="X60" i="1"/>
  <c r="Y60" i="1"/>
  <c r="Z60" i="1"/>
  <c r="CQ60" i="1"/>
  <c r="W60" i="1"/>
  <c r="X61" i="1"/>
  <c r="Y61" i="1"/>
  <c r="Z61" i="1"/>
  <c r="CQ61" i="1"/>
  <c r="W61" i="1"/>
  <c r="AC61" i="1"/>
  <c r="X62" i="1"/>
  <c r="Y62" i="1"/>
  <c r="Z62" i="1"/>
  <c r="CQ62" i="1"/>
  <c r="W62" i="1"/>
  <c r="X63" i="1"/>
  <c r="Y63" i="1"/>
  <c r="Z63" i="1"/>
  <c r="CQ63" i="1"/>
  <c r="W63" i="1"/>
  <c r="X64" i="1"/>
  <c r="Y64" i="1"/>
  <c r="Z64" i="1"/>
  <c r="AA64" i="1"/>
  <c r="CQ64" i="1"/>
  <c r="W64" i="1"/>
  <c r="X65" i="1"/>
  <c r="Y65" i="1"/>
  <c r="Z65" i="1"/>
  <c r="CQ65" i="1"/>
  <c r="W65" i="1"/>
  <c r="X66" i="1"/>
  <c r="Y66" i="1"/>
  <c r="Z66" i="1"/>
  <c r="CQ66" i="1"/>
  <c r="W66" i="1"/>
  <c r="X67" i="1"/>
  <c r="Y67" i="1"/>
  <c r="Z67" i="1"/>
  <c r="CQ67" i="1"/>
  <c r="W67" i="1"/>
  <c r="X68" i="1"/>
  <c r="Y68" i="1"/>
  <c r="Z68" i="1"/>
  <c r="CQ68" i="1"/>
  <c r="W68" i="1"/>
  <c r="X69" i="1"/>
  <c r="Y69" i="1"/>
  <c r="Z69" i="1"/>
  <c r="CQ69" i="1"/>
  <c r="W69" i="1"/>
  <c r="X70" i="1"/>
  <c r="Y70" i="1"/>
  <c r="Z70" i="1"/>
  <c r="CQ70" i="1"/>
  <c r="W70" i="1"/>
  <c r="X71" i="1"/>
  <c r="Y71" i="1"/>
  <c r="Z71" i="1"/>
  <c r="CQ71" i="1"/>
  <c r="W71" i="1"/>
  <c r="H72" i="1"/>
  <c r="X72" i="1"/>
  <c r="Y72" i="1"/>
  <c r="Z72" i="1"/>
  <c r="CQ72" i="1"/>
  <c r="W72" i="1"/>
  <c r="X73" i="1"/>
  <c r="Y73" i="1"/>
  <c r="Z73" i="1"/>
  <c r="CQ73" i="1"/>
  <c r="W73" i="1"/>
  <c r="X74" i="1"/>
  <c r="Y74" i="1"/>
  <c r="Z74" i="1"/>
  <c r="CQ74" i="1"/>
  <c r="W74" i="1"/>
  <c r="X75" i="1"/>
  <c r="Y75" i="1"/>
  <c r="Z75" i="1"/>
  <c r="CQ75" i="1"/>
  <c r="W75" i="1"/>
  <c r="X76" i="1"/>
  <c r="Y76" i="1"/>
  <c r="Z76" i="1"/>
  <c r="CQ76" i="1"/>
  <c r="W76" i="1"/>
  <c r="X77" i="1"/>
  <c r="Y77" i="1"/>
  <c r="Z77" i="1"/>
  <c r="CQ77" i="1"/>
  <c r="W77" i="1"/>
  <c r="W78" i="1"/>
  <c r="X78" i="1"/>
  <c r="Y78" i="1"/>
  <c r="Z78" i="1"/>
  <c r="AC78" i="1"/>
  <c r="CQ78" i="1"/>
  <c r="X79" i="1"/>
  <c r="Y79" i="1"/>
  <c r="Z79" i="1"/>
  <c r="CQ79" i="1"/>
  <c r="W79" i="1"/>
  <c r="X80" i="1"/>
  <c r="Y80" i="1"/>
  <c r="Z80" i="1"/>
  <c r="CQ80" i="1"/>
  <c r="W80" i="1"/>
  <c r="H81" i="1"/>
  <c r="X81" i="1"/>
  <c r="Y81" i="1"/>
  <c r="Z81" i="1"/>
  <c r="CQ81" i="1"/>
  <c r="W81" i="1"/>
  <c r="H82" i="1"/>
  <c r="X82" i="1"/>
  <c r="Y82" i="1"/>
  <c r="Z82" i="1"/>
  <c r="CQ82" i="1"/>
  <c r="W82" i="1"/>
  <c r="H83" i="1"/>
  <c r="X83" i="1"/>
  <c r="Z83" i="1"/>
  <c r="CQ83" i="1"/>
  <c r="W83" i="1"/>
  <c r="CY83" i="1"/>
  <c r="Y83" i="1"/>
  <c r="H84" i="1"/>
  <c r="X84" i="1"/>
  <c r="Y84" i="1"/>
  <c r="Z84" i="1"/>
  <c r="CQ84" i="1"/>
  <c r="W84" i="1"/>
  <c r="X85" i="1"/>
  <c r="Y85" i="1"/>
  <c r="Z85" i="1"/>
  <c r="CQ85" i="1"/>
  <c r="W85" i="1"/>
  <c r="X86" i="1"/>
  <c r="Y86" i="1"/>
  <c r="Z86" i="1"/>
  <c r="CQ86" i="1"/>
  <c r="W86" i="1"/>
  <c r="X87" i="1"/>
  <c r="Y87" i="1"/>
  <c r="Z87" i="1"/>
  <c r="CQ87" i="1"/>
  <c r="W87" i="1"/>
  <c r="X88" i="1"/>
  <c r="Y88" i="1"/>
  <c r="Z88" i="1"/>
  <c r="CQ88" i="1"/>
  <c r="W88" i="1"/>
  <c r="X89" i="1"/>
  <c r="Y89" i="1"/>
  <c r="Z89" i="1"/>
  <c r="CQ89" i="1"/>
  <c r="W89" i="1"/>
  <c r="X90" i="1"/>
  <c r="Y90" i="1"/>
  <c r="Z90" i="1"/>
  <c r="CQ90" i="1"/>
  <c r="W90" i="1"/>
  <c r="X91" i="1"/>
  <c r="Y91" i="1"/>
  <c r="Z91" i="1"/>
  <c r="CL91" i="1"/>
  <c r="CQ91" i="1"/>
  <c r="W91" i="1"/>
  <c r="CN91" i="1"/>
  <c r="CU91" i="1"/>
  <c r="X92" i="1"/>
  <c r="Y92" i="1"/>
  <c r="Z92" i="1"/>
  <c r="CQ92" i="1"/>
  <c r="W92" i="1"/>
  <c r="AC92" i="1"/>
  <c r="X93" i="1"/>
  <c r="Y93" i="1"/>
  <c r="AC93" i="1"/>
  <c r="Z93" i="1"/>
  <c r="CQ93" i="1"/>
  <c r="W93" i="1"/>
  <c r="X94" i="1"/>
  <c r="Y94" i="1"/>
  <c r="Z94" i="1"/>
  <c r="CQ94" i="1"/>
  <c r="W94" i="1"/>
  <c r="H95" i="1"/>
  <c r="X95" i="1"/>
  <c r="Y95" i="1"/>
  <c r="Z95" i="1"/>
  <c r="CQ95" i="1"/>
  <c r="W95" i="1"/>
  <c r="X96" i="1"/>
  <c r="Y96" i="1"/>
  <c r="Z96" i="1"/>
  <c r="CQ96" i="1"/>
  <c r="W96" i="1"/>
  <c r="H97" i="1"/>
  <c r="Y97" i="1"/>
  <c r="Z97" i="1"/>
  <c r="CL97" i="1"/>
  <c r="CQ97" i="1"/>
  <c r="W97" i="1"/>
  <c r="CU97" i="1"/>
  <c r="X97" i="1"/>
  <c r="W98" i="1"/>
  <c r="X98" i="1"/>
  <c r="Y98" i="1"/>
  <c r="AC98" i="1"/>
  <c r="Z98" i="1"/>
  <c r="CQ98" i="1"/>
  <c r="X99" i="1"/>
  <c r="Y99" i="1"/>
  <c r="Z99" i="1"/>
  <c r="CQ99" i="1"/>
  <c r="W99" i="1"/>
  <c r="Y100" i="1"/>
  <c r="Z100" i="1"/>
  <c r="AA100" i="1"/>
  <c r="AV100" i="1"/>
  <c r="CQ100" i="1"/>
  <c r="W100" i="1"/>
  <c r="BV100" i="1"/>
  <c r="CE100" i="1"/>
  <c r="CF100" i="1"/>
  <c r="CJ100" i="1"/>
  <c r="CK100" i="1"/>
  <c r="CL100" i="1"/>
  <c r="CM100" i="1"/>
  <c r="CN100" i="1"/>
  <c r="CT100" i="1"/>
  <c r="CU100" i="1"/>
  <c r="X100" i="1"/>
  <c r="Y101" i="1"/>
  <c r="Z101" i="1"/>
  <c r="CQ101" i="1"/>
  <c r="W101" i="1"/>
  <c r="CU101" i="1"/>
  <c r="X101" i="1"/>
  <c r="CY101" i="1"/>
  <c r="X102" i="1"/>
  <c r="Y102" i="1"/>
  <c r="Z102" i="1"/>
  <c r="CQ102" i="1"/>
  <c r="W102" i="1"/>
  <c r="X103" i="1"/>
  <c r="Y103" i="1"/>
  <c r="Z103" i="1"/>
  <c r="CQ103" i="1"/>
  <c r="W103" i="1"/>
  <c r="AC103" i="1"/>
  <c r="X104" i="1"/>
  <c r="Y104" i="1"/>
  <c r="Z104" i="1"/>
  <c r="CQ104" i="1"/>
  <c r="W104" i="1"/>
  <c r="X105" i="1"/>
  <c r="Y105" i="1"/>
  <c r="Z105" i="1"/>
  <c r="CQ105" i="1"/>
  <c r="W105" i="1"/>
  <c r="X106" i="1"/>
  <c r="Y106" i="1"/>
  <c r="Z106" i="1"/>
  <c r="CQ106" i="1"/>
  <c r="W106" i="1"/>
  <c r="H107" i="1"/>
  <c r="X107" i="1"/>
  <c r="Y107" i="1"/>
  <c r="Z107" i="1"/>
  <c r="CQ107" i="1"/>
  <c r="W107" i="1"/>
  <c r="X108" i="1"/>
  <c r="Y108" i="1"/>
  <c r="Z108" i="1"/>
  <c r="CQ108" i="1"/>
  <c r="W108" i="1"/>
  <c r="X109" i="1"/>
  <c r="Y109" i="1"/>
  <c r="Z109" i="1"/>
  <c r="CQ109" i="1"/>
  <c r="W109" i="1"/>
  <c r="X110" i="1"/>
  <c r="Y110" i="1"/>
  <c r="Z110" i="1"/>
  <c r="CQ110" i="1"/>
  <c r="W110" i="1"/>
  <c r="X111" i="1"/>
  <c r="Y111" i="1"/>
  <c r="Z111" i="1"/>
  <c r="CQ111" i="1"/>
  <c r="W111" i="1"/>
  <c r="X112" i="1"/>
  <c r="Y112" i="1"/>
  <c r="Z112" i="1"/>
  <c r="CQ112" i="1"/>
  <c r="W112" i="1"/>
  <c r="X113" i="1"/>
  <c r="Y113" i="1"/>
  <c r="Z113" i="1"/>
  <c r="CQ113" i="1"/>
  <c r="W113" i="1"/>
  <c r="H114" i="1"/>
  <c r="X114" i="1"/>
  <c r="Y114" i="1"/>
  <c r="Z114" i="1"/>
  <c r="CQ114" i="1"/>
  <c r="W114" i="1"/>
  <c r="X115" i="1"/>
  <c r="Y115" i="1"/>
  <c r="Z115" i="1"/>
  <c r="CQ115" i="1"/>
  <c r="W115" i="1"/>
  <c r="H116" i="1"/>
  <c r="X116" i="1"/>
  <c r="Y116" i="1"/>
  <c r="Z116" i="1"/>
  <c r="CQ116" i="1"/>
  <c r="W116" i="1"/>
  <c r="H117" i="1"/>
  <c r="Y117" i="1"/>
  <c r="Z117" i="1"/>
  <c r="AV117" i="1"/>
  <c r="CF117" i="1"/>
  <c r="CL117" i="1"/>
  <c r="CN117" i="1"/>
  <c r="CU117" i="1"/>
  <c r="X117" i="1"/>
  <c r="H118" i="1"/>
  <c r="Y118" i="1"/>
  <c r="Z118" i="1"/>
  <c r="AV118" i="1"/>
  <c r="CF118" i="1"/>
  <c r="CQ118" i="1"/>
  <c r="W118" i="1"/>
  <c r="AC118" i="1"/>
  <c r="CL118" i="1"/>
  <c r="CN118" i="1"/>
  <c r="CU118" i="1"/>
  <c r="X118" i="1"/>
  <c r="X119" i="1"/>
  <c r="Y119" i="1"/>
  <c r="Z119" i="1"/>
  <c r="CQ119" i="1"/>
  <c r="W119" i="1"/>
  <c r="H120" i="1"/>
  <c r="X120" i="1"/>
  <c r="Y120" i="1"/>
  <c r="Z120" i="1"/>
  <c r="CQ120" i="1"/>
  <c r="W120" i="1"/>
  <c r="AC120" i="1"/>
  <c r="X121" i="1"/>
  <c r="Y121" i="1"/>
  <c r="Z121" i="1"/>
  <c r="CQ121" i="1"/>
  <c r="W121" i="1"/>
  <c r="W122" i="1"/>
  <c r="X122" i="1"/>
  <c r="Y122" i="1"/>
  <c r="Z122" i="1"/>
  <c r="AC122" i="1"/>
  <c r="CQ122" i="1"/>
  <c r="X123" i="1"/>
  <c r="Y123" i="1"/>
  <c r="AC123" i="1"/>
  <c r="Z123" i="1"/>
  <c r="CQ123" i="1"/>
  <c r="W123" i="1"/>
  <c r="X124" i="1"/>
  <c r="Y124" i="1"/>
  <c r="Z124" i="1"/>
  <c r="CQ124" i="1"/>
  <c r="W124" i="1"/>
  <c r="X125" i="1"/>
  <c r="Y125" i="1"/>
  <c r="Z125" i="1"/>
  <c r="CQ125" i="1"/>
  <c r="W125" i="1"/>
  <c r="X126" i="1"/>
  <c r="Y126" i="1"/>
  <c r="Z126" i="1"/>
  <c r="CQ126" i="1"/>
  <c r="W126" i="1"/>
  <c r="X127" i="1"/>
  <c r="Y127" i="1"/>
  <c r="Z127" i="1"/>
  <c r="CQ127" i="1"/>
  <c r="W127" i="1"/>
  <c r="X128" i="1"/>
  <c r="Y128" i="1"/>
  <c r="Z128" i="1"/>
  <c r="CQ128" i="1"/>
  <c r="W128" i="1"/>
  <c r="X129" i="1"/>
  <c r="Y129" i="1"/>
  <c r="Z129" i="1"/>
  <c r="CQ129" i="1"/>
  <c r="W129" i="1"/>
  <c r="W130" i="1"/>
  <c r="X130" i="1"/>
  <c r="Y130" i="1"/>
  <c r="Z130" i="1"/>
  <c r="AC130" i="1"/>
  <c r="CQ130" i="1"/>
  <c r="X131" i="1"/>
  <c r="Y131" i="1"/>
  <c r="Z131" i="1"/>
  <c r="CQ131" i="1"/>
  <c r="W131" i="1"/>
  <c r="X132" i="1"/>
  <c r="Y132" i="1"/>
  <c r="BV132" i="1"/>
  <c r="CQ132" i="1"/>
  <c r="W132" i="1"/>
  <c r="CS132" i="1"/>
  <c r="Z132" i="1"/>
  <c r="X133" i="1"/>
  <c r="Y133" i="1"/>
  <c r="Z133" i="1"/>
  <c r="CQ133" i="1"/>
  <c r="W133" i="1"/>
  <c r="H134" i="1"/>
  <c r="X134" i="1"/>
  <c r="Y134" i="1"/>
  <c r="Z134" i="1"/>
  <c r="CQ134" i="1"/>
  <c r="W134" i="1"/>
  <c r="X135" i="1"/>
  <c r="Y135" i="1"/>
  <c r="Z135" i="1"/>
  <c r="CQ135" i="1"/>
  <c r="W135" i="1"/>
  <c r="AC135" i="1"/>
  <c r="X136" i="1"/>
  <c r="Y136" i="1"/>
  <c r="Z136" i="1"/>
  <c r="CQ136" i="1"/>
  <c r="W136" i="1"/>
  <c r="X137" i="1"/>
  <c r="Y137" i="1"/>
  <c r="Z137" i="1"/>
  <c r="CQ137" i="1"/>
  <c r="W137" i="1"/>
  <c r="X138" i="1"/>
  <c r="Y138" i="1"/>
  <c r="Z138" i="1"/>
  <c r="CQ138" i="1"/>
  <c r="W138" i="1"/>
  <c r="W139" i="1"/>
  <c r="X139" i="1"/>
  <c r="Y139" i="1"/>
  <c r="AC139" i="1"/>
  <c r="Z139" i="1"/>
  <c r="CQ139" i="1"/>
  <c r="X140" i="1"/>
  <c r="Y140" i="1"/>
  <c r="Z140" i="1"/>
  <c r="CQ140" i="1"/>
  <c r="W140" i="1"/>
  <c r="X141" i="1"/>
  <c r="Y141" i="1"/>
  <c r="Z141" i="1"/>
  <c r="CQ141" i="1"/>
  <c r="W141" i="1"/>
  <c r="X142" i="1"/>
  <c r="Y142" i="1"/>
  <c r="Z142" i="1"/>
  <c r="CQ142" i="1"/>
  <c r="W142" i="1"/>
  <c r="W143" i="1"/>
  <c r="X143" i="1"/>
  <c r="Y143" i="1"/>
  <c r="Z143" i="1"/>
  <c r="AC143" i="1"/>
  <c r="CQ143" i="1"/>
  <c r="X144" i="1"/>
  <c r="Y144" i="1"/>
  <c r="Z144" i="1"/>
  <c r="CQ144" i="1"/>
  <c r="W144" i="1"/>
  <c r="X145" i="1"/>
  <c r="Y145" i="1"/>
  <c r="Z145" i="1"/>
  <c r="CQ145" i="1"/>
  <c r="W145" i="1"/>
  <c r="X146" i="1"/>
  <c r="Y146" i="1"/>
  <c r="Z146" i="1"/>
  <c r="CQ146" i="1"/>
  <c r="W146" i="1"/>
  <c r="W147" i="1"/>
  <c r="X147" i="1"/>
  <c r="Y147" i="1"/>
  <c r="Z147" i="1"/>
  <c r="AC147" i="1"/>
  <c r="CQ147" i="1"/>
  <c r="H148" i="1"/>
  <c r="X148" i="1"/>
  <c r="Y148" i="1"/>
  <c r="Z148" i="1"/>
  <c r="CQ148" i="1"/>
  <c r="W148" i="1"/>
  <c r="X149" i="1"/>
  <c r="Y149" i="1"/>
  <c r="Z149" i="1"/>
  <c r="CQ149" i="1"/>
  <c r="W149" i="1"/>
  <c r="H150" i="1"/>
  <c r="X150" i="1"/>
  <c r="Y150" i="1"/>
  <c r="Z150" i="1"/>
  <c r="CQ150" i="1"/>
  <c r="W150" i="1"/>
  <c r="X151" i="1"/>
  <c r="Y151" i="1"/>
  <c r="Z151" i="1"/>
  <c r="CQ151" i="1"/>
  <c r="W151" i="1"/>
  <c r="Y152" i="1"/>
  <c r="Z152" i="1"/>
  <c r="CQ152" i="1"/>
  <c r="W152" i="1"/>
  <c r="CS152" i="1"/>
  <c r="CU152" i="1"/>
  <c r="X152" i="1"/>
  <c r="X153" i="1"/>
  <c r="Y153" i="1"/>
  <c r="Z153" i="1"/>
  <c r="CQ153" i="1"/>
  <c r="W153" i="1"/>
  <c r="X154" i="1"/>
  <c r="Y154" i="1"/>
  <c r="Z154" i="1"/>
  <c r="CQ154" i="1"/>
  <c r="W154" i="1"/>
  <c r="X155" i="1"/>
  <c r="Y155" i="1"/>
  <c r="Z155" i="1"/>
  <c r="CQ155" i="1"/>
  <c r="W155" i="1"/>
  <c r="H156" i="1"/>
  <c r="X156" i="1"/>
  <c r="Y156" i="1"/>
  <c r="Z156" i="1"/>
  <c r="CQ156" i="1"/>
  <c r="W156" i="1"/>
  <c r="X157" i="1"/>
  <c r="Y157" i="1"/>
  <c r="Z157" i="1"/>
  <c r="CQ157" i="1"/>
  <c r="W157" i="1"/>
  <c r="X158" i="1"/>
  <c r="Y158" i="1"/>
  <c r="Z158" i="1"/>
  <c r="CQ158" i="1"/>
  <c r="W158" i="1"/>
  <c r="X159" i="1"/>
  <c r="Y159" i="1"/>
  <c r="Z159" i="1"/>
  <c r="AB159" i="1"/>
  <c r="CQ159" i="1"/>
  <c r="W159" i="1"/>
  <c r="X160" i="1"/>
  <c r="Y160" i="1"/>
  <c r="Z160" i="1"/>
  <c r="AA160" i="1"/>
  <c r="AU160" i="1"/>
  <c r="AV160" i="1"/>
  <c r="CF160" i="1"/>
  <c r="CK160" i="1"/>
  <c r="CL160" i="1"/>
  <c r="CN160" i="1"/>
  <c r="CQ160" i="1"/>
  <c r="W160" i="1"/>
  <c r="CT160" i="1"/>
  <c r="CU160" i="1"/>
  <c r="X161" i="1"/>
  <c r="Y161" i="1"/>
  <c r="Z161" i="1"/>
  <c r="CQ161" i="1"/>
  <c r="W161" i="1"/>
  <c r="X162" i="1"/>
  <c r="Y162" i="1"/>
  <c r="Z162" i="1"/>
  <c r="CQ162" i="1"/>
  <c r="W162" i="1"/>
  <c r="X163" i="1"/>
  <c r="Y163" i="1"/>
  <c r="Z163" i="1"/>
  <c r="CQ163" i="1"/>
  <c r="W163" i="1"/>
  <c r="X164" i="1"/>
  <c r="Y164" i="1"/>
  <c r="Z164" i="1"/>
  <c r="CQ164" i="1"/>
  <c r="W164" i="1"/>
  <c r="H165" i="1"/>
  <c r="Z165" i="1"/>
  <c r="AV165" i="1"/>
  <c r="CF165" i="1"/>
  <c r="CQ165" i="1"/>
  <c r="W165" i="1"/>
  <c r="CU165" i="1"/>
  <c r="X165" i="1"/>
  <c r="CX165" i="1"/>
  <c r="CY165" i="1"/>
  <c r="Y165" i="1"/>
  <c r="H166" i="1"/>
  <c r="Z166" i="1"/>
  <c r="AV166" i="1"/>
  <c r="CF166" i="1"/>
  <c r="CQ166" i="1"/>
  <c r="W166" i="1"/>
  <c r="CU166" i="1"/>
  <c r="X166" i="1"/>
  <c r="CX166" i="1"/>
  <c r="CY166" i="1"/>
  <c r="Y166" i="1"/>
  <c r="H167" i="1"/>
  <c r="X167" i="1"/>
  <c r="Y167" i="1"/>
  <c r="Z167" i="1"/>
  <c r="CQ167" i="1"/>
  <c r="W167" i="1"/>
  <c r="X168" i="1"/>
  <c r="Y168" i="1"/>
  <c r="Z168" i="1"/>
  <c r="CQ168" i="1"/>
  <c r="W168" i="1"/>
  <c r="W169" i="1"/>
  <c r="X169" i="1"/>
  <c r="Y169" i="1"/>
  <c r="AC169" i="1"/>
  <c r="Z169" i="1"/>
  <c r="CQ169" i="1"/>
  <c r="X170" i="1"/>
  <c r="Y170" i="1"/>
  <c r="Z170" i="1"/>
  <c r="CQ170" i="1"/>
  <c r="W170" i="1"/>
  <c r="H171" i="1"/>
  <c r="X171" i="1"/>
  <c r="Y171" i="1"/>
  <c r="Z171" i="1"/>
  <c r="CQ171" i="1"/>
  <c r="W171" i="1"/>
  <c r="X172" i="1"/>
  <c r="Y172" i="1"/>
  <c r="Z172" i="1"/>
  <c r="CQ172" i="1"/>
  <c r="W172" i="1"/>
  <c r="X173" i="1"/>
  <c r="Y173" i="1"/>
  <c r="Z173" i="1"/>
  <c r="CQ173" i="1"/>
  <c r="W173" i="1"/>
  <c r="X174" i="1"/>
  <c r="Y174" i="1"/>
  <c r="Z174" i="1"/>
  <c r="CQ174" i="1"/>
  <c r="W174" i="1"/>
  <c r="AC174" i="1"/>
  <c r="X175" i="1"/>
  <c r="Y175" i="1"/>
  <c r="Z175" i="1"/>
  <c r="CQ175" i="1"/>
  <c r="W175" i="1"/>
  <c r="X176" i="1"/>
  <c r="Y176" i="1"/>
  <c r="Z176" i="1"/>
  <c r="CQ176" i="1"/>
  <c r="W176" i="1"/>
  <c r="X177" i="1"/>
  <c r="Y177" i="1"/>
  <c r="Z177" i="1"/>
  <c r="CQ177" i="1"/>
  <c r="W177" i="1"/>
  <c r="X178" i="1"/>
  <c r="Y178" i="1"/>
  <c r="Z178" i="1"/>
  <c r="CQ178" i="1"/>
  <c r="W178" i="1"/>
  <c r="X179" i="1"/>
  <c r="Y179" i="1"/>
  <c r="Z179" i="1"/>
  <c r="CQ179" i="1"/>
  <c r="W179" i="1"/>
  <c r="X180" i="1"/>
  <c r="Y180" i="1"/>
  <c r="Z180" i="1"/>
  <c r="CQ180" i="1"/>
  <c r="W180" i="1"/>
  <c r="X181" i="1"/>
  <c r="Y181" i="1"/>
  <c r="Z181" i="1"/>
  <c r="CQ181" i="1"/>
  <c r="W181" i="1"/>
  <c r="H182" i="1"/>
  <c r="T182" i="1"/>
  <c r="X182" i="1"/>
  <c r="Y182" i="1"/>
  <c r="Z182" i="1"/>
  <c r="CQ182" i="1"/>
  <c r="W182" i="1"/>
  <c r="X183" i="1"/>
  <c r="Y183" i="1"/>
  <c r="Z183" i="1"/>
  <c r="CQ183" i="1"/>
  <c r="W183" i="1"/>
  <c r="X184" i="1"/>
  <c r="Y184" i="1"/>
  <c r="Z184" i="1"/>
  <c r="CQ184" i="1"/>
  <c r="W184" i="1"/>
  <c r="X185" i="1"/>
  <c r="Y185" i="1"/>
  <c r="Z185" i="1"/>
  <c r="CQ185" i="1"/>
  <c r="W185" i="1"/>
  <c r="X186" i="1"/>
  <c r="Y186" i="1"/>
  <c r="Z186" i="1"/>
  <c r="CQ186" i="1"/>
  <c r="W186" i="1"/>
  <c r="H187" i="1"/>
  <c r="X187" i="1"/>
  <c r="Y187" i="1"/>
  <c r="Z187" i="1"/>
  <c r="CQ187" i="1"/>
  <c r="W187" i="1"/>
  <c r="X188" i="1"/>
  <c r="Y188" i="1"/>
  <c r="Z188" i="1"/>
  <c r="AA188" i="1"/>
  <c r="CQ188" i="1"/>
  <c r="W188" i="1"/>
  <c r="CW188" i="1"/>
  <c r="CX188" i="1"/>
  <c r="CY188" i="1"/>
  <c r="H189" i="1"/>
  <c r="X189" i="1"/>
  <c r="Y189" i="1"/>
  <c r="Z189" i="1"/>
  <c r="CQ189" i="1"/>
  <c r="W189" i="1"/>
  <c r="X190" i="1"/>
  <c r="Y190" i="1"/>
  <c r="Z190" i="1"/>
  <c r="CQ190" i="1"/>
  <c r="W190" i="1"/>
  <c r="H191" i="1"/>
  <c r="X191" i="1"/>
  <c r="Y191" i="1"/>
  <c r="Z191" i="1"/>
  <c r="CQ191" i="1"/>
  <c r="W191" i="1"/>
  <c r="H192" i="1"/>
  <c r="I192" i="1"/>
  <c r="K192" i="1"/>
  <c r="X192" i="1"/>
  <c r="Y192" i="1"/>
  <c r="Z192" i="1"/>
  <c r="CQ192" i="1"/>
  <c r="W192" i="1"/>
  <c r="X193" i="1"/>
  <c r="Y193" i="1"/>
  <c r="Z193" i="1"/>
  <c r="CQ193" i="1"/>
  <c r="W193" i="1"/>
  <c r="X194" i="1"/>
  <c r="Y194" i="1"/>
  <c r="Z194" i="1"/>
  <c r="CQ194" i="1"/>
  <c r="W194" i="1"/>
  <c r="H195" i="1"/>
  <c r="X195" i="1"/>
  <c r="Y195" i="1"/>
  <c r="Z195" i="1"/>
  <c r="CQ195" i="1"/>
  <c r="W195" i="1"/>
  <c r="X196" i="1"/>
  <c r="Y196" i="1"/>
  <c r="Z196" i="1"/>
  <c r="CQ196" i="1"/>
  <c r="W196" i="1"/>
  <c r="CU196" i="1"/>
  <c r="X197" i="1"/>
  <c r="Y197" i="1"/>
  <c r="Z197" i="1"/>
  <c r="CQ197" i="1"/>
  <c r="W197" i="1"/>
  <c r="X198" i="1"/>
  <c r="Y198" i="1"/>
  <c r="Z198" i="1"/>
  <c r="CQ198" i="1"/>
  <c r="W198" i="1"/>
  <c r="CS198" i="1"/>
  <c r="X199" i="1"/>
  <c r="Y199" i="1"/>
  <c r="Z199" i="1"/>
  <c r="CQ199" i="1"/>
  <c r="W199" i="1"/>
  <c r="X200" i="1"/>
  <c r="Y200" i="1"/>
  <c r="Z200" i="1"/>
  <c r="CQ200" i="1"/>
  <c r="W200" i="1"/>
  <c r="X201" i="1"/>
  <c r="Y201" i="1"/>
  <c r="Z201" i="1"/>
  <c r="CQ201" i="1"/>
  <c r="W201" i="1"/>
  <c r="AC201" i="1"/>
  <c r="H202" i="1"/>
  <c r="X202" i="1"/>
  <c r="Y202" i="1"/>
  <c r="Z202" i="1"/>
  <c r="CQ202" i="1"/>
  <c r="W202" i="1"/>
  <c r="X203" i="1"/>
  <c r="Y203" i="1"/>
  <c r="Z203" i="1"/>
  <c r="CQ203" i="1"/>
  <c r="W203" i="1"/>
  <c r="H204" i="1"/>
  <c r="I204" i="1"/>
  <c r="X204" i="1"/>
  <c r="Y204" i="1"/>
  <c r="Z204" i="1"/>
  <c r="CQ204" i="1"/>
  <c r="W204" i="1"/>
  <c r="X205" i="1"/>
  <c r="Y205" i="1"/>
  <c r="Z205" i="1"/>
  <c r="CQ205" i="1"/>
  <c r="W205" i="1"/>
  <c r="X206" i="1"/>
  <c r="Y206" i="1"/>
  <c r="Z206" i="1"/>
  <c r="CQ206" i="1"/>
  <c r="W206" i="1"/>
  <c r="X207" i="1"/>
  <c r="Y207" i="1"/>
  <c r="Z207" i="1"/>
  <c r="CQ207" i="1"/>
  <c r="W207" i="1"/>
  <c r="X208" i="1"/>
  <c r="Y208" i="1"/>
  <c r="Z208" i="1"/>
  <c r="CQ208" i="1"/>
  <c r="W208" i="1"/>
  <c r="X209" i="1"/>
  <c r="Y209" i="1"/>
  <c r="Z209" i="1"/>
  <c r="CQ209" i="1"/>
  <c r="W209" i="1"/>
  <c r="X210" i="1"/>
  <c r="Y210" i="1"/>
  <c r="Z210" i="1"/>
  <c r="CQ210" i="1"/>
  <c r="W210" i="1"/>
  <c r="CS210" i="1"/>
  <c r="H211" i="1"/>
  <c r="X211" i="1"/>
  <c r="Y211" i="1"/>
  <c r="Z211" i="1"/>
  <c r="CQ211" i="1"/>
  <c r="W211" i="1"/>
  <c r="X212" i="1"/>
  <c r="Y212" i="1"/>
  <c r="Z212" i="1"/>
  <c r="CQ212" i="1"/>
  <c r="W212" i="1"/>
  <c r="X213" i="1"/>
  <c r="Y213" i="1"/>
  <c r="Z213" i="1"/>
  <c r="CQ213" i="1"/>
  <c r="W213" i="1"/>
  <c r="X214" i="1"/>
  <c r="Y214" i="1"/>
  <c r="Z214" i="1"/>
  <c r="CQ214" i="1"/>
  <c r="W214" i="1"/>
  <c r="X215" i="1"/>
  <c r="Y215" i="1"/>
  <c r="Z215" i="1"/>
  <c r="CQ215" i="1"/>
  <c r="W215" i="1"/>
  <c r="X216" i="1"/>
  <c r="Y216" i="1"/>
  <c r="Z216" i="1"/>
  <c r="CQ216" i="1"/>
  <c r="W216" i="1"/>
  <c r="X217" i="1"/>
  <c r="Y217" i="1"/>
  <c r="Z217" i="1"/>
  <c r="CQ217" i="1"/>
  <c r="W217" i="1"/>
  <c r="H218" i="1"/>
  <c r="X218" i="1"/>
  <c r="Y218" i="1"/>
  <c r="Z218" i="1"/>
  <c r="CQ218" i="1"/>
  <c r="W218" i="1"/>
  <c r="AC218" i="1"/>
  <c r="X219" i="1"/>
  <c r="Y219" i="1"/>
  <c r="Z219" i="1"/>
  <c r="CQ219" i="1"/>
  <c r="W219" i="1"/>
  <c r="AC219" i="1"/>
  <c r="H220" i="1"/>
  <c r="X220" i="1"/>
  <c r="Y220" i="1"/>
  <c r="Z220" i="1"/>
  <c r="CQ220" i="1"/>
  <c r="W220" i="1"/>
  <c r="H221" i="1"/>
  <c r="X221" i="1"/>
  <c r="Y221" i="1"/>
  <c r="Z221" i="1"/>
  <c r="CQ221" i="1"/>
  <c r="W221" i="1"/>
  <c r="AC221" i="1"/>
  <c r="X222" i="1"/>
  <c r="Y222" i="1"/>
  <c r="Z222" i="1"/>
  <c r="CQ222" i="1"/>
  <c r="W222" i="1"/>
  <c r="X223" i="1"/>
  <c r="Y223" i="1"/>
  <c r="Z223" i="1"/>
  <c r="CQ223" i="1"/>
  <c r="W223" i="1"/>
  <c r="X224" i="1"/>
  <c r="Y224" i="1"/>
  <c r="Z224" i="1"/>
  <c r="CQ224" i="1"/>
  <c r="W224" i="1"/>
  <c r="H225" i="1"/>
  <c r="I225" i="1"/>
  <c r="X225" i="1"/>
  <c r="Y225" i="1"/>
  <c r="Z225" i="1"/>
  <c r="CQ225" i="1"/>
  <c r="W225" i="1"/>
  <c r="X226" i="1"/>
  <c r="Y226" i="1"/>
  <c r="Z226" i="1"/>
  <c r="CQ226" i="1"/>
  <c r="W226" i="1"/>
  <c r="X227" i="1"/>
  <c r="Y227" i="1"/>
  <c r="Z227" i="1"/>
  <c r="CQ227" i="1"/>
  <c r="W227" i="1"/>
  <c r="W228" i="1"/>
  <c r="X228" i="1"/>
  <c r="Y228" i="1"/>
  <c r="Z228" i="1"/>
  <c r="AC228" i="1"/>
  <c r="CQ228" i="1"/>
  <c r="X229" i="1"/>
  <c r="Y229" i="1"/>
  <c r="Z229" i="1"/>
  <c r="CQ229" i="1"/>
  <c r="W229" i="1"/>
  <c r="X230" i="1"/>
  <c r="Y230" i="1"/>
  <c r="Z230" i="1"/>
  <c r="CQ230" i="1"/>
  <c r="W230" i="1"/>
  <c r="X231" i="1"/>
  <c r="Y231" i="1"/>
  <c r="Z231" i="1"/>
  <c r="CQ231" i="1"/>
  <c r="W231" i="1"/>
  <c r="W232" i="1"/>
  <c r="X232" i="1"/>
  <c r="Y232" i="1"/>
  <c r="Z232" i="1"/>
  <c r="AC232" i="1"/>
  <c r="CQ232" i="1"/>
  <c r="X233" i="1"/>
  <c r="Y233" i="1"/>
  <c r="Z233" i="1"/>
  <c r="CQ233" i="1"/>
  <c r="W233" i="1"/>
  <c r="X234" i="1"/>
  <c r="Y234" i="1"/>
  <c r="Z234" i="1"/>
  <c r="CQ234" i="1"/>
  <c r="W234" i="1"/>
  <c r="X235" i="1"/>
  <c r="Y235" i="1"/>
  <c r="Z235" i="1"/>
  <c r="CQ235" i="1"/>
  <c r="W235" i="1"/>
  <c r="H236" i="1"/>
  <c r="X236" i="1"/>
  <c r="Y236" i="1"/>
  <c r="Z236" i="1"/>
  <c r="CQ236" i="1"/>
  <c r="W236" i="1"/>
  <c r="K237" i="1"/>
  <c r="X237" i="1"/>
  <c r="Y237" i="1"/>
  <c r="Z237" i="1"/>
  <c r="CQ237" i="1"/>
  <c r="W237" i="1"/>
  <c r="AC237" i="1"/>
  <c r="X238" i="1"/>
  <c r="Y238" i="1"/>
  <c r="Z238" i="1"/>
  <c r="CQ238" i="1"/>
  <c r="W238" i="1"/>
  <c r="AC238" i="1"/>
  <c r="X239" i="1"/>
  <c r="Y239" i="1"/>
  <c r="Z239" i="1"/>
  <c r="CQ239" i="1"/>
  <c r="W239" i="1"/>
  <c r="X240" i="1"/>
  <c r="Y240" i="1"/>
  <c r="Z240" i="1"/>
  <c r="CQ240" i="1"/>
  <c r="W240" i="1"/>
  <c r="H241" i="1"/>
  <c r="X241" i="1"/>
  <c r="Y241" i="1"/>
  <c r="Z241" i="1"/>
  <c r="CQ241" i="1"/>
  <c r="W241" i="1"/>
  <c r="X242" i="1"/>
  <c r="Y242" i="1"/>
  <c r="Z242" i="1"/>
  <c r="CQ242" i="1"/>
  <c r="W242" i="1"/>
  <c r="X243" i="1"/>
  <c r="Y243" i="1"/>
  <c r="Z243" i="1"/>
  <c r="CQ243" i="1"/>
  <c r="W243" i="1"/>
  <c r="X244" i="1"/>
  <c r="Y244" i="1"/>
  <c r="Z244" i="1"/>
  <c r="CQ244" i="1"/>
  <c r="W244" i="1"/>
  <c r="X245" i="1"/>
  <c r="Y245" i="1"/>
  <c r="Z245" i="1"/>
  <c r="CQ245" i="1"/>
  <c r="W245" i="1"/>
  <c r="X246" i="1"/>
  <c r="Y246" i="1"/>
  <c r="Z246" i="1"/>
  <c r="CQ246" i="1"/>
  <c r="W246" i="1"/>
  <c r="Y247" i="1"/>
  <c r="Z247" i="1"/>
  <c r="AR247" i="1"/>
  <c r="AV247" i="1"/>
  <c r="CK247" i="1"/>
  <c r="CL247" i="1"/>
  <c r="CM247" i="1"/>
  <c r="CN247" i="1"/>
  <c r="CQ247" i="1"/>
  <c r="W247" i="1"/>
  <c r="CT247" i="1"/>
  <c r="CU247" i="1"/>
  <c r="X247" i="1"/>
  <c r="X248" i="1"/>
  <c r="Y248" i="1"/>
  <c r="Z248" i="1"/>
  <c r="CQ248" i="1"/>
  <c r="W248" i="1"/>
  <c r="X249" i="1"/>
  <c r="Y249" i="1"/>
  <c r="Z249" i="1"/>
  <c r="CQ249" i="1"/>
  <c r="W249" i="1"/>
  <c r="X250" i="1"/>
  <c r="Y250" i="1"/>
  <c r="Z250" i="1"/>
  <c r="CQ250" i="1"/>
  <c r="W250" i="1"/>
  <c r="X251" i="1"/>
  <c r="Y251" i="1"/>
  <c r="Z251" i="1"/>
  <c r="CQ251" i="1"/>
  <c r="W251" i="1"/>
  <c r="X252" i="1"/>
  <c r="Y252" i="1"/>
  <c r="Z252" i="1"/>
  <c r="CQ252" i="1"/>
  <c r="W252" i="1"/>
  <c r="X253" i="1"/>
  <c r="Y253" i="1"/>
  <c r="Z253" i="1"/>
  <c r="CQ253" i="1"/>
  <c r="W253" i="1"/>
  <c r="H254" i="1"/>
  <c r="Z254" i="1"/>
  <c r="AV254" i="1"/>
  <c r="CF254" i="1"/>
  <c r="CQ254" i="1"/>
  <c r="W254" i="1"/>
  <c r="CU254" i="1"/>
  <c r="X254" i="1"/>
  <c r="CX254" i="1"/>
  <c r="CY254" i="1"/>
  <c r="Y254" i="1"/>
  <c r="X255" i="1"/>
  <c r="Y255" i="1"/>
  <c r="Z255" i="1"/>
  <c r="CQ255" i="1"/>
  <c r="W255" i="1"/>
  <c r="X256" i="1"/>
  <c r="Y256" i="1"/>
  <c r="Z256" i="1"/>
  <c r="CQ256" i="1"/>
  <c r="W256" i="1"/>
  <c r="H257" i="1"/>
  <c r="W257" i="1"/>
  <c r="X257" i="1"/>
  <c r="Y257" i="1"/>
  <c r="AC257" i="1"/>
  <c r="Z257" i="1"/>
  <c r="CQ257" i="1"/>
  <c r="X258" i="1"/>
  <c r="Y258" i="1"/>
  <c r="Z258" i="1"/>
  <c r="CQ258" i="1"/>
  <c r="W258" i="1"/>
  <c r="I259" i="1"/>
  <c r="X259" i="1"/>
  <c r="Y259" i="1"/>
  <c r="Z259" i="1"/>
  <c r="CQ259" i="1"/>
  <c r="W259" i="1"/>
  <c r="X260" i="1"/>
  <c r="Y260" i="1"/>
  <c r="Z260" i="1"/>
  <c r="CQ260" i="1"/>
  <c r="W260" i="1"/>
  <c r="X261" i="1"/>
  <c r="Y261" i="1"/>
  <c r="Z261" i="1"/>
  <c r="CQ261" i="1"/>
  <c r="W261" i="1"/>
  <c r="X262" i="1"/>
  <c r="Y262" i="1"/>
  <c r="Z262" i="1"/>
  <c r="CQ262" i="1"/>
  <c r="W262" i="1"/>
  <c r="AC262" i="1"/>
  <c r="X263" i="1"/>
  <c r="Y263" i="1"/>
  <c r="Z263" i="1"/>
  <c r="CQ263" i="1"/>
  <c r="W263" i="1"/>
  <c r="X264" i="1"/>
  <c r="Y264" i="1"/>
  <c r="Z264" i="1"/>
  <c r="CQ264" i="1"/>
  <c r="W264" i="1"/>
  <c r="X265" i="1"/>
  <c r="Y265" i="1"/>
  <c r="Z265" i="1"/>
  <c r="CQ265" i="1"/>
  <c r="W265" i="1"/>
  <c r="X266" i="1"/>
  <c r="Y266" i="1"/>
  <c r="Z266" i="1"/>
  <c r="CQ266" i="1"/>
  <c r="W266" i="1"/>
  <c r="X267" i="1"/>
  <c r="Y267" i="1"/>
  <c r="Z267" i="1"/>
  <c r="CQ267" i="1"/>
  <c r="W267" i="1"/>
  <c r="X268" i="1"/>
  <c r="Y268" i="1"/>
  <c r="Z268" i="1"/>
  <c r="CQ268" i="1"/>
  <c r="W268" i="1"/>
  <c r="X269" i="1"/>
  <c r="Y269" i="1"/>
  <c r="Z269" i="1"/>
  <c r="CQ269" i="1"/>
  <c r="W269" i="1"/>
  <c r="X270" i="1"/>
  <c r="Y270" i="1"/>
  <c r="Z270" i="1"/>
  <c r="CQ270" i="1"/>
  <c r="W270" i="1"/>
  <c r="X271" i="1"/>
  <c r="Y271" i="1"/>
  <c r="Z271" i="1"/>
  <c r="CQ271" i="1"/>
  <c r="W271" i="1"/>
  <c r="X272" i="1"/>
  <c r="Y272" i="1"/>
  <c r="Z272" i="1"/>
  <c r="CQ272" i="1"/>
  <c r="W272" i="1"/>
  <c r="X273" i="1"/>
  <c r="Y273" i="1"/>
  <c r="Z273" i="1"/>
  <c r="CQ273" i="1"/>
  <c r="W273" i="1"/>
  <c r="X274" i="1"/>
  <c r="Y274" i="1"/>
  <c r="Z274" i="1"/>
  <c r="CQ274" i="1"/>
  <c r="W274" i="1"/>
  <c r="X275" i="1"/>
  <c r="Y275" i="1"/>
  <c r="Z275" i="1"/>
  <c r="CQ275" i="1"/>
  <c r="W275" i="1"/>
  <c r="X276" i="1"/>
  <c r="Y276" i="1"/>
  <c r="Z276" i="1"/>
  <c r="CQ276" i="1"/>
  <c r="W276" i="1"/>
  <c r="CU276" i="1"/>
  <c r="X277" i="1"/>
  <c r="Y277" i="1"/>
  <c r="CQ277" i="1"/>
  <c r="W277" i="1"/>
  <c r="CR277" i="1"/>
  <c r="CS277" i="1"/>
  <c r="Z277" i="1"/>
  <c r="X278" i="1"/>
  <c r="Y278" i="1"/>
  <c r="Z278" i="1"/>
  <c r="CQ278" i="1"/>
  <c r="W278" i="1"/>
  <c r="H279" i="1"/>
  <c r="Y279" i="1"/>
  <c r="Z279" i="1"/>
  <c r="AR279" i="1"/>
  <c r="AV279" i="1"/>
  <c r="CQ279" i="1"/>
  <c r="W279" i="1"/>
  <c r="CL279" i="1"/>
  <c r="CN279" i="1"/>
  <c r="CU279" i="1"/>
  <c r="X279" i="1"/>
  <c r="X280" i="1"/>
  <c r="Y280" i="1"/>
  <c r="CQ280" i="1"/>
  <c r="W280" i="1"/>
  <c r="CR280" i="1"/>
  <c r="CS280" i="1"/>
  <c r="Z280" i="1"/>
  <c r="H281" i="1"/>
  <c r="X281" i="1"/>
  <c r="Y281" i="1"/>
  <c r="Z281" i="1"/>
  <c r="CQ281" i="1"/>
  <c r="W281" i="1"/>
  <c r="X282" i="1"/>
  <c r="Y282" i="1"/>
  <c r="Z282" i="1"/>
  <c r="CQ282" i="1"/>
  <c r="W282" i="1"/>
  <c r="H283" i="1"/>
  <c r="X283" i="1"/>
  <c r="Y283" i="1"/>
  <c r="Z283" i="1"/>
  <c r="CQ283" i="1"/>
  <c r="W283" i="1"/>
  <c r="X284" i="1"/>
  <c r="Y284" i="1"/>
  <c r="Z284" i="1"/>
  <c r="CQ284" i="1"/>
  <c r="W284" i="1"/>
  <c r="X285" i="1"/>
  <c r="Y285" i="1"/>
  <c r="Z285" i="1"/>
  <c r="CQ285" i="1"/>
  <c r="W285" i="1"/>
  <c r="H286" i="1"/>
  <c r="X286" i="1"/>
  <c r="Y286" i="1"/>
  <c r="Z286" i="1"/>
  <c r="CQ286" i="1"/>
  <c r="W286" i="1"/>
  <c r="X287" i="1"/>
  <c r="Y287" i="1"/>
  <c r="Z287" i="1"/>
  <c r="CQ287" i="1"/>
  <c r="W287" i="1"/>
  <c r="H288" i="1"/>
  <c r="X288" i="1"/>
  <c r="Y288" i="1"/>
  <c r="Z288" i="1"/>
  <c r="CQ288" i="1"/>
  <c r="W288" i="1"/>
  <c r="X289" i="1"/>
  <c r="Y289" i="1"/>
  <c r="Z289" i="1"/>
  <c r="CQ289" i="1"/>
  <c r="W289" i="1"/>
  <c r="AC289" i="1"/>
  <c r="X290" i="1"/>
  <c r="Y290" i="1"/>
  <c r="Z290" i="1"/>
  <c r="CQ290" i="1"/>
  <c r="W290" i="1"/>
  <c r="AC290" i="1"/>
  <c r="X291" i="1"/>
  <c r="Y291" i="1"/>
  <c r="Z291" i="1"/>
  <c r="AA291" i="1"/>
  <c r="CQ291" i="1"/>
  <c r="W291" i="1"/>
  <c r="X292" i="1"/>
  <c r="Y292" i="1"/>
  <c r="Z292" i="1"/>
  <c r="CQ292" i="1"/>
  <c r="W292" i="1"/>
  <c r="X293" i="1"/>
  <c r="Y293" i="1"/>
  <c r="Z293" i="1"/>
  <c r="CQ293" i="1"/>
  <c r="W293" i="1"/>
  <c r="X294" i="1"/>
  <c r="Y294" i="1"/>
  <c r="Z294" i="1"/>
  <c r="CQ294" i="1"/>
  <c r="W294" i="1"/>
  <c r="X295" i="1"/>
  <c r="Y295" i="1"/>
  <c r="Z295" i="1"/>
  <c r="CQ295" i="1"/>
  <c r="W295" i="1"/>
  <c r="X296" i="1"/>
  <c r="Y296" i="1"/>
  <c r="Z296" i="1"/>
  <c r="CQ296" i="1"/>
  <c r="W296" i="1"/>
  <c r="X297" i="1"/>
  <c r="Y297" i="1"/>
  <c r="Z297" i="1"/>
  <c r="CQ297" i="1"/>
  <c r="W297" i="1"/>
  <c r="X298" i="1"/>
  <c r="Y298" i="1"/>
  <c r="Z298" i="1"/>
  <c r="CQ298" i="1"/>
  <c r="W298" i="1"/>
  <c r="X299" i="1"/>
  <c r="Y299" i="1"/>
  <c r="Z299" i="1"/>
  <c r="CQ299" i="1"/>
  <c r="W299" i="1"/>
  <c r="X300" i="1"/>
  <c r="Y300" i="1"/>
  <c r="Z300" i="1"/>
  <c r="CQ300" i="1"/>
  <c r="W300" i="1"/>
  <c r="X301" i="1"/>
  <c r="Y301" i="1"/>
  <c r="Z301" i="1"/>
  <c r="CQ301" i="1"/>
  <c r="W301" i="1"/>
  <c r="X302" i="1"/>
  <c r="Y302" i="1"/>
  <c r="Z302" i="1"/>
  <c r="CQ302" i="1"/>
  <c r="W302" i="1"/>
  <c r="X303" i="1"/>
  <c r="Y303" i="1"/>
  <c r="Z303" i="1"/>
  <c r="CQ303" i="1"/>
  <c r="W303" i="1"/>
  <c r="X304" i="1"/>
  <c r="Y304" i="1"/>
  <c r="Z304" i="1"/>
  <c r="CQ304" i="1"/>
  <c r="W304" i="1"/>
  <c r="H305" i="1"/>
  <c r="X305" i="1"/>
  <c r="Y305" i="1"/>
  <c r="Z305" i="1"/>
  <c r="CQ305" i="1"/>
  <c r="W305" i="1"/>
  <c r="X306" i="1"/>
  <c r="Y306" i="1"/>
  <c r="Z306" i="1"/>
  <c r="CQ306" i="1"/>
  <c r="W306" i="1"/>
  <c r="X307" i="1"/>
  <c r="Y307" i="1"/>
  <c r="Z307" i="1"/>
  <c r="CQ307" i="1"/>
  <c r="W307" i="1"/>
  <c r="H308" i="1"/>
  <c r="X308" i="1"/>
  <c r="Y308" i="1"/>
  <c r="Z308" i="1"/>
  <c r="CQ308" i="1"/>
  <c r="W308" i="1"/>
  <c r="X309" i="1"/>
  <c r="Y309" i="1"/>
  <c r="Z309" i="1"/>
  <c r="CQ309" i="1"/>
  <c r="W309" i="1"/>
  <c r="X310" i="1"/>
  <c r="Y310" i="1"/>
  <c r="Z310" i="1"/>
  <c r="CQ310" i="1"/>
  <c r="W310" i="1"/>
  <c r="H311" i="1"/>
  <c r="X311" i="1"/>
  <c r="Y311" i="1"/>
  <c r="Z311" i="1"/>
  <c r="CQ311" i="1"/>
  <c r="W311" i="1"/>
  <c r="X312" i="1"/>
  <c r="Y312" i="1"/>
  <c r="Z312" i="1"/>
  <c r="CQ312" i="1"/>
  <c r="W312" i="1"/>
  <c r="AC312" i="1"/>
  <c r="X313" i="1"/>
  <c r="Y313" i="1"/>
  <c r="Z313" i="1"/>
  <c r="CQ313" i="1"/>
  <c r="W313" i="1"/>
  <c r="W314" i="1"/>
  <c r="X314" i="1"/>
  <c r="Y314" i="1"/>
  <c r="Z314" i="1"/>
  <c r="AC314" i="1"/>
  <c r="CQ314" i="1"/>
  <c r="H315" i="1"/>
  <c r="X315" i="1"/>
  <c r="Y315" i="1"/>
  <c r="Z315" i="1"/>
  <c r="CQ315" i="1"/>
  <c r="W315" i="1"/>
  <c r="X316" i="1"/>
  <c r="Y316" i="1"/>
  <c r="Z316" i="1"/>
  <c r="CQ316" i="1"/>
  <c r="W316" i="1"/>
  <c r="H317" i="1"/>
  <c r="W317" i="1"/>
  <c r="X317" i="1"/>
  <c r="Y317" i="1"/>
  <c r="Z317" i="1"/>
  <c r="AC317" i="1"/>
  <c r="CQ317" i="1"/>
  <c r="X318" i="1"/>
  <c r="Y318" i="1"/>
  <c r="Z318" i="1"/>
  <c r="CQ318" i="1"/>
  <c r="W318" i="1"/>
  <c r="X319" i="1"/>
  <c r="Y319" i="1"/>
  <c r="Z319" i="1"/>
  <c r="CQ319" i="1"/>
  <c r="W319" i="1"/>
  <c r="X320" i="1"/>
  <c r="Y320" i="1"/>
  <c r="Z320" i="1"/>
  <c r="CQ320" i="1"/>
  <c r="W320" i="1"/>
  <c r="Y321" i="1"/>
  <c r="Z321" i="1"/>
  <c r="AA321" i="1"/>
  <c r="AU321" i="1"/>
  <c r="AV321" i="1"/>
  <c r="CE321" i="1"/>
  <c r="CF321" i="1"/>
  <c r="CK321" i="1"/>
  <c r="CL321" i="1"/>
  <c r="CM321" i="1"/>
  <c r="CN321" i="1"/>
  <c r="CQ321" i="1"/>
  <c r="W321" i="1"/>
  <c r="CT321" i="1"/>
  <c r="CU321" i="1"/>
  <c r="X321" i="1"/>
  <c r="X322" i="1"/>
  <c r="Y322" i="1"/>
  <c r="Z322" i="1"/>
  <c r="CQ322" i="1"/>
  <c r="W322" i="1"/>
  <c r="AC322" i="1"/>
  <c r="X323" i="1"/>
  <c r="Y323" i="1"/>
  <c r="Z323" i="1"/>
  <c r="CQ323" i="1"/>
  <c r="W323" i="1"/>
  <c r="AC323" i="1"/>
  <c r="X324" i="1"/>
  <c r="Y324" i="1"/>
  <c r="Z324" i="1"/>
  <c r="CQ324" i="1"/>
  <c r="W324" i="1"/>
  <c r="AC324" i="1"/>
  <c r="X325" i="1"/>
  <c r="Y325" i="1"/>
  <c r="Z325" i="1"/>
  <c r="CQ325" i="1"/>
  <c r="W325" i="1"/>
  <c r="AC325" i="1"/>
  <c r="X326" i="1"/>
  <c r="Y326" i="1"/>
  <c r="Z326" i="1"/>
  <c r="CQ326" i="1"/>
  <c r="W326" i="1"/>
  <c r="AC326" i="1"/>
  <c r="X327" i="1"/>
  <c r="Y327" i="1"/>
  <c r="Z327" i="1"/>
  <c r="CQ327" i="1"/>
  <c r="W327" i="1"/>
  <c r="AC327" i="1"/>
  <c r="X328" i="1"/>
  <c r="Y328" i="1"/>
  <c r="Z328" i="1"/>
  <c r="CQ328" i="1"/>
  <c r="W328" i="1"/>
  <c r="AC328" i="1"/>
  <c r="X329" i="1"/>
  <c r="Y329" i="1"/>
  <c r="Z329" i="1"/>
  <c r="CQ329" i="1"/>
  <c r="W329" i="1"/>
  <c r="AC329" i="1"/>
  <c r="X330" i="1"/>
  <c r="Y330" i="1"/>
  <c r="Z330" i="1"/>
  <c r="CQ330" i="1"/>
  <c r="W330" i="1"/>
  <c r="AC330" i="1"/>
  <c r="X331" i="1"/>
  <c r="Y331" i="1"/>
  <c r="Z331" i="1"/>
  <c r="CQ331" i="1"/>
  <c r="W331" i="1"/>
  <c r="AC331" i="1"/>
  <c r="X332" i="1"/>
  <c r="Y332" i="1"/>
  <c r="Z332" i="1"/>
  <c r="CQ332" i="1"/>
  <c r="W332" i="1"/>
  <c r="AC332" i="1"/>
  <c r="X333" i="1"/>
  <c r="Y333" i="1"/>
  <c r="Z333" i="1"/>
  <c r="CQ333" i="1"/>
  <c r="W333" i="1"/>
  <c r="AC333" i="1"/>
  <c r="X334" i="1"/>
  <c r="Y334" i="1"/>
  <c r="Z334" i="1"/>
  <c r="CQ334" i="1"/>
  <c r="W334" i="1"/>
  <c r="AC334" i="1"/>
  <c r="X335" i="1"/>
  <c r="Y335" i="1"/>
  <c r="Z335" i="1"/>
  <c r="CQ335" i="1"/>
  <c r="W335" i="1"/>
  <c r="AC335" i="1"/>
  <c r="X336" i="1"/>
  <c r="Y336" i="1"/>
  <c r="Z336" i="1"/>
  <c r="CQ336" i="1"/>
  <c r="W336" i="1"/>
  <c r="AC336" i="1"/>
  <c r="H337" i="1"/>
  <c r="Y337" i="1"/>
  <c r="Z337" i="1"/>
  <c r="AR337" i="1"/>
  <c r="AV337" i="1"/>
  <c r="CQ337" i="1"/>
  <c r="W337" i="1"/>
  <c r="CL337" i="1"/>
  <c r="CN337" i="1"/>
  <c r="CU337" i="1"/>
  <c r="X337" i="1"/>
  <c r="X338" i="1"/>
  <c r="Y338" i="1"/>
  <c r="Z338" i="1"/>
  <c r="CQ338" i="1"/>
  <c r="W338" i="1"/>
  <c r="AC338" i="1"/>
  <c r="X339" i="1"/>
  <c r="Y339" i="1"/>
  <c r="Z339" i="1"/>
  <c r="CQ339" i="1"/>
  <c r="W339" i="1"/>
  <c r="AC339" i="1"/>
  <c r="Y340" i="1"/>
  <c r="Z340" i="1"/>
  <c r="AT340" i="1"/>
  <c r="CQ340" i="1"/>
  <c r="W340" i="1"/>
  <c r="AV340" i="1"/>
  <c r="CD340" i="1"/>
  <c r="CL340" i="1"/>
  <c r="CN340" i="1"/>
  <c r="CU340" i="1"/>
  <c r="X340" i="1"/>
  <c r="H341" i="1"/>
  <c r="X341" i="1"/>
  <c r="Y341" i="1"/>
  <c r="Z341" i="1"/>
  <c r="CQ341" i="1"/>
  <c r="W341" i="1"/>
  <c r="X342" i="1"/>
  <c r="Y342" i="1"/>
  <c r="Z342" i="1"/>
  <c r="CQ342" i="1"/>
  <c r="W342" i="1"/>
  <c r="X343" i="1"/>
  <c r="Y343" i="1"/>
  <c r="Z343" i="1"/>
  <c r="CQ343" i="1"/>
  <c r="W343" i="1"/>
  <c r="X344" i="1"/>
  <c r="Y344" i="1"/>
  <c r="Z344" i="1"/>
  <c r="CQ344" i="1"/>
  <c r="W344" i="1"/>
  <c r="X345" i="1"/>
  <c r="Y345" i="1"/>
  <c r="Z345" i="1"/>
  <c r="CQ345" i="1"/>
  <c r="W345" i="1"/>
  <c r="X346" i="1"/>
  <c r="Y346" i="1"/>
  <c r="Z346" i="1"/>
  <c r="CQ346" i="1"/>
  <c r="W346" i="1"/>
  <c r="T347" i="1"/>
  <c r="X347" i="1"/>
  <c r="Y347" i="1"/>
  <c r="Z347" i="1"/>
  <c r="CQ347" i="1"/>
  <c r="W347" i="1"/>
  <c r="X348" i="1"/>
  <c r="Z348" i="1"/>
  <c r="CQ348" i="1"/>
  <c r="W348" i="1"/>
  <c r="CX348" i="1"/>
  <c r="CY348" i="1"/>
  <c r="Y348" i="1"/>
  <c r="X349" i="1"/>
  <c r="Y349" i="1"/>
  <c r="Z349" i="1"/>
  <c r="CQ349" i="1"/>
  <c r="W349" i="1"/>
  <c r="AC349" i="1"/>
  <c r="X350" i="1"/>
  <c r="Y350" i="1"/>
  <c r="Z350" i="1"/>
  <c r="CQ350" i="1"/>
  <c r="W350" i="1"/>
  <c r="AC350" i="1"/>
  <c r="H351" i="1"/>
  <c r="X351" i="1"/>
  <c r="Y351" i="1"/>
  <c r="Z351" i="1"/>
  <c r="CQ351" i="1"/>
  <c r="W351" i="1"/>
  <c r="X352" i="1"/>
  <c r="Y352" i="1"/>
  <c r="Z352" i="1"/>
  <c r="CQ352" i="1"/>
  <c r="W352" i="1"/>
  <c r="X353" i="1"/>
  <c r="Y353" i="1"/>
  <c r="Z353" i="1"/>
  <c r="CQ353" i="1"/>
  <c r="W353" i="1"/>
  <c r="X354" i="1"/>
  <c r="Y354" i="1"/>
  <c r="Z354" i="1"/>
  <c r="CQ354" i="1"/>
  <c r="W354" i="1"/>
  <c r="X355" i="1"/>
  <c r="Y355" i="1"/>
  <c r="Z355" i="1"/>
  <c r="CQ355" i="1"/>
  <c r="W355" i="1"/>
  <c r="X356" i="1"/>
  <c r="Y356" i="1"/>
  <c r="Z356" i="1"/>
  <c r="CQ356" i="1"/>
  <c r="W356" i="1"/>
  <c r="X357" i="1"/>
  <c r="Y357" i="1"/>
  <c r="Z357" i="1"/>
  <c r="CQ357" i="1"/>
  <c r="W357" i="1"/>
  <c r="H358" i="1"/>
  <c r="X358" i="1"/>
  <c r="Y358" i="1"/>
  <c r="Z358" i="1"/>
  <c r="CQ358" i="1"/>
  <c r="W358" i="1"/>
  <c r="X359" i="1"/>
  <c r="Y359" i="1"/>
  <c r="Z359" i="1"/>
  <c r="AV359" i="1"/>
  <c r="CF359" i="1"/>
  <c r="CL359" i="1"/>
  <c r="CN359" i="1"/>
  <c r="CQ359" i="1"/>
  <c r="W359" i="1"/>
  <c r="CU359" i="1"/>
  <c r="X360" i="1"/>
  <c r="Y360" i="1"/>
  <c r="Z360" i="1"/>
  <c r="CQ360" i="1"/>
  <c r="W360" i="1"/>
  <c r="H361" i="1"/>
  <c r="X361" i="1"/>
  <c r="Y361" i="1"/>
  <c r="Z361" i="1"/>
  <c r="CQ361" i="1"/>
  <c r="W361" i="1"/>
  <c r="H362" i="1"/>
  <c r="X362" i="1"/>
  <c r="Y362" i="1"/>
  <c r="Z362" i="1"/>
  <c r="CQ362" i="1"/>
  <c r="W362" i="1"/>
  <c r="H363" i="1"/>
  <c r="X363" i="1"/>
  <c r="Y363" i="1"/>
  <c r="Z363" i="1"/>
  <c r="CQ363" i="1"/>
  <c r="W363" i="1"/>
  <c r="H364" i="1"/>
  <c r="X364" i="1"/>
  <c r="Y364" i="1"/>
  <c r="Z364" i="1"/>
  <c r="CQ364" i="1"/>
  <c r="W364" i="1"/>
  <c r="X365" i="1"/>
  <c r="Y365" i="1"/>
  <c r="Z365" i="1"/>
  <c r="CQ365" i="1"/>
  <c r="W365" i="1"/>
  <c r="X366" i="1"/>
  <c r="Y366" i="1"/>
  <c r="Z366" i="1"/>
  <c r="CQ366" i="1"/>
  <c r="W366" i="1"/>
  <c r="X367" i="1"/>
  <c r="Y367" i="1"/>
  <c r="Z367" i="1"/>
  <c r="CQ367" i="1"/>
  <c r="W367" i="1"/>
  <c r="X368" i="1"/>
  <c r="Y368" i="1"/>
  <c r="Z368" i="1"/>
  <c r="CQ368" i="1"/>
  <c r="W368" i="1"/>
  <c r="H369" i="1"/>
  <c r="X369" i="1"/>
  <c r="Y369" i="1"/>
  <c r="Z369" i="1"/>
  <c r="CQ369" i="1"/>
  <c r="W369" i="1"/>
  <c r="X370" i="1"/>
  <c r="Y370" i="1"/>
  <c r="Z370" i="1"/>
  <c r="CQ370" i="1"/>
  <c r="W370" i="1"/>
  <c r="X371" i="1"/>
  <c r="Y371" i="1"/>
  <c r="Z371" i="1"/>
  <c r="CQ371" i="1"/>
  <c r="W371" i="1"/>
  <c r="X372" i="1"/>
  <c r="Y372" i="1"/>
  <c r="Z372" i="1"/>
  <c r="CQ372" i="1"/>
  <c r="W372" i="1"/>
  <c r="H373" i="1"/>
  <c r="X373" i="1"/>
  <c r="Y373" i="1"/>
  <c r="Z373" i="1"/>
  <c r="AV373" i="1"/>
  <c r="CF373" i="1"/>
  <c r="CQ373" i="1"/>
  <c r="W373" i="1"/>
  <c r="CL373" i="1"/>
  <c r="CN373" i="1"/>
  <c r="CT373" i="1"/>
  <c r="CU373" i="1"/>
  <c r="CY373" i="1"/>
  <c r="X374" i="1"/>
  <c r="Y374" i="1"/>
  <c r="Z374" i="1"/>
  <c r="CQ374" i="1"/>
  <c r="W374" i="1"/>
  <c r="X375" i="1"/>
  <c r="Y375" i="1"/>
  <c r="Z375" i="1"/>
  <c r="CQ375" i="1"/>
  <c r="W375" i="1"/>
  <c r="X376" i="1"/>
  <c r="Y376" i="1"/>
  <c r="Z376" i="1"/>
  <c r="CQ376" i="1"/>
  <c r="W376" i="1"/>
  <c r="X377" i="1"/>
  <c r="Y377" i="1"/>
  <c r="Z377" i="1"/>
  <c r="CQ377" i="1"/>
  <c r="W377" i="1"/>
  <c r="X378" i="1"/>
  <c r="Y378" i="1"/>
  <c r="Z378" i="1"/>
  <c r="CQ378" i="1"/>
  <c r="W378" i="1"/>
  <c r="X379" i="1"/>
  <c r="Y379" i="1"/>
  <c r="Z379" i="1"/>
  <c r="AR379" i="1"/>
  <c r="AV379" i="1"/>
  <c r="CL379" i="1"/>
  <c r="CQ379" i="1"/>
  <c r="W379" i="1"/>
  <c r="CN379" i="1"/>
  <c r="CU379" i="1"/>
  <c r="W380" i="1"/>
  <c r="X380" i="1"/>
  <c r="Y380" i="1"/>
  <c r="AC380" i="1"/>
  <c r="Z380" i="1"/>
  <c r="CQ380" i="1"/>
  <c r="X381" i="1"/>
  <c r="Y381" i="1"/>
  <c r="Z381" i="1"/>
  <c r="CQ381" i="1"/>
  <c r="W381" i="1"/>
  <c r="X382" i="1"/>
  <c r="Y382" i="1"/>
  <c r="Z382" i="1"/>
  <c r="CQ382" i="1"/>
  <c r="W382" i="1"/>
  <c r="X383" i="1"/>
  <c r="Y383" i="1"/>
  <c r="Z383" i="1"/>
  <c r="CQ383" i="1"/>
  <c r="W383" i="1"/>
  <c r="X384" i="1"/>
  <c r="Y384" i="1"/>
  <c r="Z384" i="1"/>
  <c r="CQ384" i="1"/>
  <c r="W384" i="1"/>
  <c r="X385" i="1"/>
  <c r="Y385" i="1"/>
  <c r="Z385" i="1"/>
  <c r="CQ385" i="1"/>
  <c r="W385" i="1"/>
  <c r="X386" i="1"/>
  <c r="Y386" i="1"/>
  <c r="Z386" i="1"/>
  <c r="CQ386" i="1"/>
  <c r="W386" i="1"/>
  <c r="AC386" i="1"/>
  <c r="X387" i="1"/>
  <c r="Y387" i="1"/>
  <c r="Z387" i="1"/>
  <c r="CQ387" i="1"/>
  <c r="W387" i="1"/>
  <c r="W388" i="1"/>
  <c r="X388" i="1"/>
  <c r="Y388" i="1"/>
  <c r="Z388" i="1"/>
  <c r="AC388" i="1"/>
  <c r="CQ388" i="1"/>
  <c r="X389" i="1"/>
  <c r="Y389" i="1"/>
  <c r="AC389" i="1"/>
  <c r="Z389" i="1"/>
  <c r="CQ389" i="1"/>
  <c r="W389" i="1"/>
  <c r="X390" i="1"/>
  <c r="Y390" i="1"/>
  <c r="Z390" i="1"/>
  <c r="CQ390" i="1"/>
  <c r="W390" i="1"/>
  <c r="X391" i="1"/>
  <c r="Y391" i="1"/>
  <c r="Z391" i="1"/>
  <c r="CQ391" i="1"/>
  <c r="W391" i="1"/>
  <c r="X392" i="1"/>
  <c r="Y392" i="1"/>
  <c r="Z392" i="1"/>
  <c r="CQ392" i="1"/>
  <c r="W392" i="1"/>
  <c r="X393" i="1"/>
  <c r="Y393" i="1"/>
  <c r="Z393" i="1"/>
  <c r="CQ393" i="1"/>
  <c r="W393" i="1"/>
  <c r="Y394" i="1"/>
  <c r="Z394" i="1"/>
  <c r="AV394" i="1"/>
  <c r="CL394" i="1"/>
  <c r="CN394" i="1"/>
  <c r="CQ394" i="1"/>
  <c r="W394" i="1"/>
  <c r="CU394" i="1"/>
  <c r="X394" i="1"/>
  <c r="X395" i="1"/>
  <c r="Y395" i="1"/>
  <c r="Z395" i="1"/>
  <c r="CQ395" i="1"/>
  <c r="W395" i="1"/>
  <c r="X396" i="1"/>
  <c r="Y396" i="1"/>
  <c r="Z396" i="1"/>
  <c r="CQ396" i="1"/>
  <c r="W396" i="1"/>
  <c r="X397" i="1"/>
  <c r="Y397" i="1"/>
  <c r="Z397" i="1"/>
  <c r="CQ397" i="1"/>
  <c r="W397" i="1"/>
  <c r="X398" i="1"/>
  <c r="Y398" i="1"/>
  <c r="Z398" i="1"/>
  <c r="CQ398" i="1"/>
  <c r="W398" i="1"/>
  <c r="AC398" i="1"/>
  <c r="X399" i="1"/>
  <c r="Y399" i="1"/>
  <c r="Z399" i="1"/>
  <c r="CQ399" i="1"/>
  <c r="W399" i="1"/>
  <c r="X400" i="1"/>
  <c r="Y400" i="1"/>
  <c r="Z400" i="1"/>
  <c r="CQ400" i="1"/>
  <c r="W400" i="1"/>
  <c r="AC400" i="1"/>
  <c r="X401" i="1"/>
  <c r="Y401" i="1"/>
  <c r="Z401" i="1"/>
  <c r="CQ401" i="1"/>
  <c r="W401" i="1"/>
  <c r="X402" i="1"/>
  <c r="Y402" i="1"/>
  <c r="Z402" i="1"/>
  <c r="CQ402" i="1"/>
  <c r="W402" i="1"/>
  <c r="X403" i="1"/>
  <c r="Y403" i="1"/>
  <c r="Z403" i="1"/>
  <c r="CQ403" i="1"/>
  <c r="W403" i="1"/>
  <c r="H404" i="1"/>
  <c r="X404" i="1"/>
  <c r="Y404" i="1"/>
  <c r="Z404" i="1"/>
  <c r="CQ404" i="1"/>
  <c r="W404" i="1"/>
  <c r="H405" i="1"/>
  <c r="X405" i="1"/>
  <c r="Y405" i="1"/>
  <c r="Z405" i="1"/>
  <c r="CQ405" i="1"/>
  <c r="W405" i="1"/>
  <c r="X406" i="1"/>
  <c r="Y406" i="1"/>
  <c r="Z406" i="1"/>
  <c r="CQ406" i="1"/>
  <c r="W406" i="1"/>
  <c r="X407" i="1"/>
  <c r="Y407" i="1"/>
  <c r="Z407" i="1"/>
  <c r="CQ407" i="1"/>
  <c r="W407" i="1"/>
  <c r="H408" i="1"/>
  <c r="X408" i="1"/>
  <c r="Y408" i="1"/>
  <c r="Z408" i="1"/>
  <c r="CQ408" i="1"/>
  <c r="W408" i="1"/>
  <c r="X409" i="1"/>
  <c r="Y409" i="1"/>
  <c r="Z409" i="1"/>
  <c r="CQ409" i="1"/>
  <c r="W409" i="1"/>
  <c r="H410" i="1"/>
  <c r="Y410" i="1"/>
  <c r="Z410" i="1"/>
  <c r="AX410" i="1"/>
  <c r="CL410" i="1"/>
  <c r="CN410" i="1"/>
  <c r="CQ410" i="1"/>
  <c r="W410" i="1"/>
  <c r="CU410" i="1"/>
  <c r="X410" i="1"/>
  <c r="X411" i="1"/>
  <c r="Y411" i="1"/>
  <c r="Z411" i="1"/>
  <c r="CQ411" i="1"/>
  <c r="W411" i="1"/>
  <c r="X412" i="1"/>
  <c r="Y412" i="1"/>
  <c r="Z412" i="1"/>
  <c r="CQ412" i="1"/>
  <c r="W412" i="1"/>
  <c r="X413" i="1"/>
  <c r="Y413" i="1"/>
  <c r="Z413" i="1"/>
  <c r="CQ413" i="1"/>
  <c r="W413" i="1"/>
  <c r="X414" i="1"/>
  <c r="Y414" i="1"/>
  <c r="Z414" i="1"/>
  <c r="CQ414" i="1"/>
  <c r="W414" i="1"/>
  <c r="H415" i="1"/>
  <c r="X415" i="1"/>
  <c r="Y415" i="1"/>
  <c r="Z415" i="1"/>
  <c r="CQ415" i="1"/>
  <c r="W415" i="1"/>
  <c r="X416" i="1"/>
  <c r="Y416" i="1"/>
  <c r="Z416" i="1"/>
  <c r="CQ416" i="1"/>
  <c r="W416" i="1"/>
  <c r="X417" i="1"/>
  <c r="Y417" i="1"/>
  <c r="Z417" i="1"/>
  <c r="CQ417" i="1"/>
  <c r="W417" i="1"/>
  <c r="X418" i="1"/>
  <c r="Y418" i="1"/>
  <c r="Z418" i="1"/>
  <c r="CQ418" i="1"/>
  <c r="W418" i="1"/>
  <c r="X419" i="1"/>
  <c r="Y419" i="1"/>
  <c r="Z419" i="1"/>
  <c r="CQ419" i="1"/>
  <c r="W419" i="1"/>
  <c r="X420" i="1"/>
  <c r="Y420" i="1"/>
  <c r="Z420" i="1"/>
  <c r="CQ420" i="1"/>
  <c r="W420" i="1"/>
  <c r="CS420" i="1"/>
  <c r="X421" i="1"/>
  <c r="Y421" i="1"/>
  <c r="Z421" i="1"/>
  <c r="CQ421" i="1"/>
  <c r="W421" i="1"/>
  <c r="Y422" i="1"/>
  <c r="Z422" i="1"/>
  <c r="AV422" i="1"/>
  <c r="BV422" i="1"/>
  <c r="CU422" i="1"/>
  <c r="X422" i="1"/>
  <c r="CY422" i="1"/>
  <c r="W423" i="1"/>
  <c r="X423" i="1"/>
  <c r="Y423" i="1"/>
  <c r="AC423" i="1"/>
  <c r="Z423" i="1"/>
  <c r="CQ423" i="1"/>
  <c r="H424" i="1"/>
  <c r="X424" i="1"/>
  <c r="Y424" i="1"/>
  <c r="Z424" i="1"/>
  <c r="CQ424" i="1"/>
  <c r="W424" i="1"/>
  <c r="H425" i="1"/>
  <c r="W425" i="1"/>
  <c r="X425" i="1"/>
  <c r="Y425" i="1"/>
  <c r="AC425" i="1"/>
  <c r="Z425" i="1"/>
  <c r="CQ425" i="1"/>
  <c r="H426" i="1"/>
  <c r="X426" i="1"/>
  <c r="Y426" i="1"/>
  <c r="Z426" i="1"/>
  <c r="CQ426" i="1"/>
  <c r="W426" i="1"/>
  <c r="H427" i="1"/>
  <c r="W427" i="1"/>
  <c r="X427" i="1"/>
  <c r="Y427" i="1"/>
  <c r="AC427" i="1"/>
  <c r="Z427" i="1"/>
  <c r="CQ427" i="1"/>
  <c r="H428" i="1"/>
  <c r="X428" i="1"/>
  <c r="Y428" i="1"/>
  <c r="Z428" i="1"/>
  <c r="CQ428" i="1"/>
  <c r="W428" i="1"/>
  <c r="H429" i="1"/>
  <c r="W429" i="1"/>
  <c r="X429" i="1"/>
  <c r="Y429" i="1"/>
  <c r="AC429" i="1"/>
  <c r="Z429" i="1"/>
  <c r="CQ429" i="1"/>
  <c r="H430" i="1"/>
  <c r="X430" i="1"/>
  <c r="Y430" i="1"/>
  <c r="Z430" i="1"/>
  <c r="CQ430" i="1"/>
  <c r="W430" i="1"/>
  <c r="H431" i="1"/>
  <c r="W431" i="1"/>
  <c r="X431" i="1"/>
  <c r="Y431" i="1"/>
  <c r="AC431" i="1"/>
  <c r="Z431" i="1"/>
  <c r="CQ431" i="1"/>
  <c r="H432" i="1"/>
  <c r="X432" i="1"/>
  <c r="Y432" i="1"/>
  <c r="Z432" i="1"/>
  <c r="CQ432" i="1"/>
  <c r="W432" i="1"/>
  <c r="H433" i="1"/>
  <c r="W433" i="1"/>
  <c r="X433" i="1"/>
  <c r="Y433" i="1"/>
  <c r="AC433" i="1"/>
  <c r="Z433" i="1"/>
  <c r="CQ433" i="1"/>
  <c r="H434" i="1"/>
  <c r="X434" i="1"/>
  <c r="Y434" i="1"/>
  <c r="Z434" i="1"/>
  <c r="CQ434" i="1"/>
  <c r="W434" i="1"/>
  <c r="H435" i="1"/>
  <c r="W435" i="1"/>
  <c r="X435" i="1"/>
  <c r="Y435" i="1"/>
  <c r="AC435" i="1"/>
  <c r="Z435" i="1"/>
  <c r="CQ435" i="1"/>
  <c r="H436" i="1"/>
  <c r="X436" i="1"/>
  <c r="Y436" i="1"/>
  <c r="Z436" i="1"/>
  <c r="CQ436" i="1"/>
  <c r="W436" i="1"/>
  <c r="H437" i="1"/>
  <c r="W437" i="1"/>
  <c r="X437" i="1"/>
  <c r="Y437" i="1"/>
  <c r="AC437" i="1"/>
  <c r="Z437" i="1"/>
  <c r="CQ437" i="1"/>
  <c r="H438" i="1"/>
  <c r="X438" i="1"/>
  <c r="Y438" i="1"/>
  <c r="Z438" i="1"/>
  <c r="CQ438" i="1"/>
  <c r="W438" i="1"/>
  <c r="H439" i="1"/>
  <c r="W439" i="1"/>
  <c r="X439" i="1"/>
  <c r="Y439" i="1"/>
  <c r="AC439" i="1"/>
  <c r="Z439" i="1"/>
  <c r="CQ439" i="1"/>
  <c r="H440" i="1"/>
  <c r="X440" i="1"/>
  <c r="Y440" i="1"/>
  <c r="Z440" i="1"/>
  <c r="CQ440" i="1"/>
  <c r="W440" i="1"/>
  <c r="H441" i="1"/>
  <c r="W441" i="1"/>
  <c r="X441" i="1"/>
  <c r="Y441" i="1"/>
  <c r="AC441" i="1"/>
  <c r="Z441" i="1"/>
  <c r="CQ441" i="1"/>
  <c r="H442" i="1"/>
  <c r="X442" i="1"/>
  <c r="Y442" i="1"/>
  <c r="Z442" i="1"/>
  <c r="CQ442" i="1"/>
  <c r="W442" i="1"/>
  <c r="H443" i="1"/>
  <c r="W443" i="1"/>
  <c r="X443" i="1"/>
  <c r="Y443" i="1"/>
  <c r="AC443" i="1"/>
  <c r="Z443" i="1"/>
  <c r="CQ443" i="1"/>
  <c r="Y444" i="1"/>
  <c r="Z444" i="1"/>
  <c r="CL444" i="1"/>
  <c r="CN444" i="1"/>
  <c r="CU444" i="1"/>
  <c r="X444" i="1"/>
  <c r="X445" i="1"/>
  <c r="Y445" i="1"/>
  <c r="Z445" i="1"/>
  <c r="CQ445" i="1"/>
  <c r="W445" i="1"/>
  <c r="H446" i="1"/>
  <c r="X446" i="1"/>
  <c r="Y446" i="1"/>
  <c r="Z446" i="1"/>
  <c r="CL446" i="1"/>
  <c r="CQ446" i="1"/>
  <c r="W446" i="1"/>
  <c r="CN446" i="1"/>
  <c r="CU446" i="1"/>
  <c r="H447" i="1"/>
  <c r="Y447" i="1"/>
  <c r="Z447" i="1"/>
  <c r="AR447" i="1"/>
  <c r="AV447" i="1"/>
  <c r="CL447" i="1"/>
  <c r="CN447" i="1"/>
  <c r="CU447" i="1"/>
  <c r="X447" i="1"/>
  <c r="X448" i="1"/>
  <c r="Y448" i="1"/>
  <c r="Z448" i="1"/>
  <c r="CQ448" i="1"/>
  <c r="W448" i="1"/>
  <c r="X449" i="1"/>
  <c r="Y449" i="1"/>
  <c r="Z449" i="1"/>
  <c r="CQ449" i="1"/>
  <c r="W449" i="1"/>
  <c r="X450" i="1"/>
  <c r="Y450" i="1"/>
  <c r="Z450" i="1"/>
  <c r="CQ450" i="1"/>
  <c r="W450" i="1"/>
  <c r="X451" i="1"/>
  <c r="Y451" i="1"/>
  <c r="Z451" i="1"/>
  <c r="CQ451" i="1"/>
  <c r="W451" i="1"/>
  <c r="X452" i="1"/>
  <c r="Y452" i="1"/>
  <c r="Z452" i="1"/>
  <c r="CQ452" i="1"/>
  <c r="W452" i="1"/>
  <c r="X453" i="1"/>
  <c r="Y453" i="1"/>
  <c r="Z453" i="1"/>
  <c r="CQ453" i="1"/>
  <c r="W453" i="1"/>
  <c r="X454" i="1"/>
  <c r="Y454" i="1"/>
  <c r="Z454" i="1"/>
  <c r="CQ454" i="1"/>
  <c r="W454" i="1"/>
  <c r="X455" i="1"/>
  <c r="Y455" i="1"/>
  <c r="Z455" i="1"/>
  <c r="CQ455" i="1"/>
  <c r="W455" i="1"/>
  <c r="X456" i="1"/>
  <c r="Y456" i="1"/>
  <c r="Z456" i="1"/>
  <c r="CQ456" i="1"/>
  <c r="W456" i="1"/>
  <c r="X457" i="1"/>
  <c r="Y457" i="1"/>
  <c r="Z457" i="1"/>
  <c r="CQ457" i="1"/>
  <c r="W457" i="1"/>
  <c r="X458" i="1"/>
  <c r="Y458" i="1"/>
  <c r="Z458" i="1"/>
  <c r="CQ458" i="1"/>
  <c r="W458" i="1"/>
  <c r="X459" i="1"/>
  <c r="Y459" i="1"/>
  <c r="Z459" i="1"/>
  <c r="CQ459" i="1"/>
  <c r="W459" i="1"/>
  <c r="CY459" i="1"/>
  <c r="Y460" i="1"/>
  <c r="Z460" i="1"/>
  <c r="CL460" i="1"/>
  <c r="CQ460" i="1"/>
  <c r="W460" i="1"/>
  <c r="AC460" i="1"/>
  <c r="CU460" i="1"/>
  <c r="X460" i="1"/>
  <c r="CY460" i="1"/>
  <c r="H461" i="1"/>
  <c r="X461" i="1"/>
  <c r="Y461" i="1"/>
  <c r="Z461" i="1"/>
  <c r="CQ461" i="1"/>
  <c r="W461" i="1"/>
  <c r="Y462" i="1"/>
  <c r="Z462" i="1"/>
  <c r="CL462" i="1"/>
  <c r="CQ462" i="1"/>
  <c r="W462" i="1"/>
  <c r="CU462" i="1"/>
  <c r="X462" i="1"/>
  <c r="H463" i="1"/>
  <c r="X463" i="1"/>
  <c r="Y463" i="1"/>
  <c r="Z463" i="1"/>
  <c r="CQ463" i="1"/>
  <c r="W463" i="1"/>
  <c r="H464" i="1"/>
  <c r="X464" i="1"/>
  <c r="Y464" i="1"/>
  <c r="Z464" i="1"/>
  <c r="CQ464" i="1"/>
  <c r="W464" i="1"/>
  <c r="H465" i="1"/>
  <c r="X465" i="1"/>
  <c r="Y465" i="1"/>
  <c r="Z465" i="1"/>
  <c r="CQ465" i="1"/>
  <c r="W465" i="1"/>
  <c r="X466" i="1"/>
  <c r="Y466" i="1"/>
  <c r="Z466" i="1"/>
  <c r="CQ466" i="1"/>
  <c r="W466" i="1"/>
  <c r="X467" i="1"/>
  <c r="Y467" i="1"/>
  <c r="Z467" i="1"/>
  <c r="CQ467" i="1"/>
  <c r="W467" i="1"/>
  <c r="H468" i="1"/>
  <c r="X468" i="1"/>
  <c r="Y468" i="1"/>
  <c r="Z468" i="1"/>
  <c r="CQ468" i="1"/>
  <c r="W468" i="1"/>
  <c r="H469" i="1"/>
  <c r="X469" i="1"/>
  <c r="Y469" i="1"/>
  <c r="Z469" i="1"/>
  <c r="AC469" i="1"/>
  <c r="CQ469" i="1"/>
  <c r="W469" i="1"/>
  <c r="X470" i="1"/>
  <c r="Y470" i="1"/>
  <c r="Z470" i="1"/>
  <c r="CQ470" i="1"/>
  <c r="W470" i="1"/>
  <c r="H471" i="1"/>
  <c r="X471" i="1"/>
  <c r="Y471" i="1"/>
  <c r="Z471" i="1"/>
  <c r="CQ471" i="1"/>
  <c r="W471" i="1"/>
  <c r="X472" i="1"/>
  <c r="Y472" i="1"/>
  <c r="Z472" i="1"/>
  <c r="CQ472" i="1"/>
  <c r="W472" i="1"/>
  <c r="X473" i="1"/>
  <c r="Y473" i="1"/>
  <c r="Z473" i="1"/>
  <c r="CQ473" i="1"/>
  <c r="W473" i="1"/>
  <c r="X474" i="1"/>
  <c r="Y474" i="1"/>
  <c r="Z474" i="1"/>
  <c r="CQ474" i="1"/>
  <c r="W474" i="1"/>
  <c r="X475" i="1"/>
  <c r="Y475" i="1"/>
  <c r="Z475" i="1"/>
  <c r="CQ475" i="1"/>
  <c r="W475" i="1"/>
  <c r="H476" i="1"/>
  <c r="Y476" i="1"/>
  <c r="Z476" i="1"/>
  <c r="CL476" i="1"/>
  <c r="CQ476" i="1"/>
  <c r="W476" i="1"/>
  <c r="CU476" i="1"/>
  <c r="X476" i="1"/>
  <c r="X477" i="1"/>
  <c r="Y477" i="1"/>
  <c r="Z477" i="1"/>
  <c r="CQ477" i="1"/>
  <c r="W477" i="1"/>
  <c r="AC477" i="1"/>
  <c r="X478" i="1"/>
  <c r="Y478" i="1"/>
  <c r="Z478" i="1"/>
  <c r="CQ478" i="1"/>
  <c r="W478" i="1"/>
  <c r="Y479" i="1"/>
  <c r="Z479" i="1"/>
  <c r="AX479" i="1"/>
  <c r="CD479" i="1"/>
  <c r="CF479" i="1"/>
  <c r="CL479" i="1"/>
  <c r="CQ479" i="1"/>
  <c r="W479" i="1"/>
  <c r="CN479" i="1"/>
  <c r="CU479" i="1"/>
  <c r="X479" i="1"/>
  <c r="X480" i="1"/>
  <c r="Y480" i="1"/>
  <c r="Z480" i="1"/>
  <c r="CQ480" i="1"/>
  <c r="W480" i="1"/>
  <c r="X481" i="1"/>
  <c r="Y481" i="1"/>
  <c r="Z481" i="1"/>
  <c r="CQ481" i="1"/>
  <c r="W481" i="1"/>
  <c r="X482" i="1"/>
  <c r="Y482" i="1"/>
  <c r="Z482" i="1"/>
  <c r="CQ482" i="1"/>
  <c r="W482" i="1"/>
  <c r="X483" i="1"/>
  <c r="Y483" i="1"/>
  <c r="Z483" i="1"/>
  <c r="CQ483" i="1"/>
  <c r="W483" i="1"/>
  <c r="H484" i="1"/>
  <c r="X484" i="1"/>
  <c r="Y484" i="1"/>
  <c r="Z484" i="1"/>
  <c r="CQ484" i="1"/>
  <c r="W484" i="1"/>
  <c r="X485" i="1"/>
  <c r="Y485" i="1"/>
  <c r="Z485" i="1"/>
  <c r="AA485" i="1"/>
  <c r="CQ485" i="1"/>
  <c r="W485" i="1"/>
  <c r="X486" i="1"/>
  <c r="Y486" i="1"/>
  <c r="Z486" i="1"/>
  <c r="CQ486" i="1"/>
  <c r="W486" i="1"/>
  <c r="X487" i="1"/>
  <c r="Y487" i="1"/>
  <c r="Z487" i="1"/>
  <c r="CQ487" i="1"/>
  <c r="W487" i="1"/>
  <c r="X488" i="1"/>
  <c r="Y488" i="1"/>
  <c r="Z488" i="1"/>
  <c r="CQ488" i="1"/>
  <c r="W488" i="1"/>
  <c r="H489" i="1"/>
  <c r="K489" i="1"/>
  <c r="X489" i="1"/>
  <c r="Y489" i="1"/>
  <c r="Z489" i="1"/>
  <c r="CQ489" i="1"/>
  <c r="W489" i="1"/>
  <c r="X490" i="1"/>
  <c r="Y490" i="1"/>
  <c r="Z490" i="1"/>
  <c r="CQ490" i="1"/>
  <c r="W490" i="1"/>
  <c r="X491" i="1"/>
  <c r="Y491" i="1"/>
  <c r="Z491" i="1"/>
  <c r="CQ491" i="1"/>
  <c r="W491" i="1"/>
  <c r="X492" i="1"/>
  <c r="Y492" i="1"/>
  <c r="Z492" i="1"/>
  <c r="CQ492" i="1"/>
  <c r="W492" i="1"/>
  <c r="X493" i="1"/>
  <c r="Y493" i="1"/>
  <c r="Z493" i="1"/>
  <c r="CQ493" i="1"/>
  <c r="W493" i="1"/>
  <c r="H494" i="1"/>
  <c r="X494" i="1"/>
  <c r="Y494" i="1"/>
  <c r="Z494" i="1"/>
  <c r="CQ494" i="1"/>
  <c r="W494" i="1"/>
  <c r="X495" i="1"/>
  <c r="Y495" i="1"/>
  <c r="Z495" i="1"/>
  <c r="CQ495" i="1"/>
  <c r="W495" i="1"/>
  <c r="H496" i="1"/>
  <c r="X496" i="1"/>
  <c r="Y496" i="1"/>
  <c r="Z496" i="1"/>
  <c r="CQ496" i="1"/>
  <c r="W496" i="1"/>
  <c r="X497" i="1"/>
  <c r="Y497" i="1"/>
  <c r="BV497" i="1"/>
  <c r="CQ497" i="1"/>
  <c r="W497" i="1"/>
  <c r="CS497" i="1"/>
  <c r="Z497" i="1"/>
  <c r="X498" i="1"/>
  <c r="Y498" i="1"/>
  <c r="Z498" i="1"/>
  <c r="CQ498" i="1"/>
  <c r="W498" i="1"/>
  <c r="X499" i="1"/>
  <c r="Y499" i="1"/>
  <c r="Z499" i="1"/>
  <c r="CQ499" i="1"/>
  <c r="W499" i="1"/>
  <c r="X500" i="1"/>
  <c r="Y500" i="1"/>
  <c r="Z500" i="1"/>
  <c r="CQ500" i="1"/>
  <c r="W500" i="1"/>
  <c r="AC500" i="1"/>
  <c r="H501" i="1"/>
  <c r="X501" i="1"/>
  <c r="Y501" i="1"/>
  <c r="Z501" i="1"/>
  <c r="CQ501" i="1"/>
  <c r="W501" i="1"/>
  <c r="X502" i="1"/>
  <c r="Y502" i="1"/>
  <c r="Z502" i="1"/>
  <c r="CQ502" i="1"/>
  <c r="W502" i="1"/>
  <c r="AC502" i="1"/>
  <c r="X503" i="1"/>
  <c r="Y503" i="1"/>
  <c r="Z503" i="1"/>
  <c r="CQ503" i="1"/>
  <c r="W503" i="1"/>
  <c r="AC503" i="1"/>
  <c r="X504" i="1"/>
  <c r="Y504" i="1"/>
  <c r="Z504" i="1"/>
  <c r="CQ504" i="1"/>
  <c r="W504" i="1"/>
  <c r="AC504" i="1"/>
  <c r="H505" i="1"/>
  <c r="X505" i="1"/>
  <c r="Y505" i="1"/>
  <c r="Z505" i="1"/>
  <c r="CQ505" i="1"/>
  <c r="W505" i="1"/>
  <c r="W506" i="1"/>
  <c r="X506" i="1"/>
  <c r="Y506" i="1"/>
  <c r="CQ506" i="1"/>
  <c r="CS506" i="1"/>
  <c r="Z506" i="1"/>
  <c r="X507" i="1"/>
  <c r="Y507" i="1"/>
  <c r="Z507" i="1"/>
  <c r="CQ507" i="1"/>
  <c r="W507" i="1"/>
  <c r="X508" i="1"/>
  <c r="Y508" i="1"/>
  <c r="Z508" i="1"/>
  <c r="CQ508" i="1"/>
  <c r="W508" i="1"/>
  <c r="X509" i="1"/>
  <c r="Y509" i="1"/>
  <c r="Z509" i="1"/>
  <c r="CQ509" i="1"/>
  <c r="W509" i="1"/>
  <c r="X510" i="1"/>
  <c r="Z510" i="1"/>
  <c r="AX510" i="1"/>
  <c r="CF510" i="1"/>
  <c r="CL510" i="1"/>
  <c r="CN510" i="1"/>
  <c r="CQ510" i="1"/>
  <c r="W510" i="1"/>
  <c r="CU510" i="1"/>
  <c r="CY510" i="1"/>
  <c r="Y510" i="1"/>
  <c r="X511" i="1"/>
  <c r="Y511" i="1"/>
  <c r="Z511" i="1"/>
  <c r="CQ511" i="1"/>
  <c r="W511" i="1"/>
  <c r="H512" i="1"/>
  <c r="X512" i="1"/>
  <c r="Y512" i="1"/>
  <c r="Z512" i="1"/>
  <c r="CQ512" i="1"/>
  <c r="W512" i="1"/>
  <c r="X513" i="1"/>
  <c r="Y513" i="1"/>
  <c r="Z513" i="1"/>
  <c r="CQ513" i="1"/>
  <c r="W513" i="1"/>
  <c r="AC513" i="1"/>
  <c r="X514" i="1"/>
  <c r="Y514" i="1"/>
  <c r="Z514" i="1"/>
  <c r="CQ514" i="1"/>
  <c r="W514" i="1"/>
  <c r="Z515" i="1"/>
  <c r="CQ515" i="1"/>
  <c r="W515" i="1"/>
  <c r="CU515" i="1"/>
  <c r="X515" i="1"/>
  <c r="CX515" i="1"/>
  <c r="CY515" i="1"/>
  <c r="Y515" i="1"/>
  <c r="X516" i="1"/>
  <c r="Y516" i="1"/>
  <c r="Z516" i="1"/>
  <c r="CQ516" i="1"/>
  <c r="W516" i="1"/>
  <c r="AC516" i="1"/>
  <c r="H517" i="1"/>
  <c r="X517" i="1"/>
  <c r="Y517" i="1"/>
  <c r="AC517" i="1"/>
  <c r="Z517" i="1"/>
  <c r="CQ517" i="1"/>
  <c r="W517" i="1"/>
  <c r="X518" i="1"/>
  <c r="Y518" i="1"/>
  <c r="Z518" i="1"/>
  <c r="CQ518" i="1"/>
  <c r="W518" i="1"/>
  <c r="X519" i="1"/>
  <c r="Y519" i="1"/>
  <c r="Z519" i="1"/>
  <c r="CQ519" i="1"/>
  <c r="W519" i="1"/>
  <c r="X520" i="1"/>
  <c r="Y520" i="1"/>
  <c r="Z520" i="1"/>
  <c r="CQ520" i="1"/>
  <c r="W520" i="1"/>
  <c r="CX520" i="1"/>
  <c r="CY520" i="1"/>
  <c r="X521" i="1"/>
  <c r="Y521" i="1"/>
  <c r="Z521" i="1"/>
  <c r="CQ521" i="1"/>
  <c r="W521" i="1"/>
  <c r="X522" i="1"/>
  <c r="Y522" i="1"/>
  <c r="Z522" i="1"/>
  <c r="CQ522" i="1"/>
  <c r="W522" i="1"/>
  <c r="AC522" i="1"/>
  <c r="X523" i="1"/>
  <c r="Y523" i="1"/>
  <c r="Z523" i="1"/>
  <c r="CQ523" i="1"/>
  <c r="W523" i="1"/>
  <c r="AC523" i="1"/>
  <c r="X524" i="1"/>
  <c r="Y524" i="1"/>
  <c r="Z524" i="1"/>
  <c r="CQ524" i="1"/>
  <c r="W524" i="1"/>
  <c r="AC524" i="1"/>
  <c r="X525" i="1"/>
  <c r="Y525" i="1"/>
  <c r="BV525" i="1"/>
  <c r="CQ525" i="1"/>
  <c r="W525" i="1"/>
  <c r="CS525" i="1"/>
  <c r="Z525" i="1"/>
  <c r="X526" i="1"/>
  <c r="Y526" i="1"/>
  <c r="Z526" i="1"/>
  <c r="CL526" i="1"/>
  <c r="CQ526" i="1"/>
  <c r="W526" i="1"/>
  <c r="CU526" i="1"/>
  <c r="CY526" i="1"/>
  <c r="X527" i="1"/>
  <c r="Y527" i="1"/>
  <c r="Z527" i="1"/>
  <c r="CQ527" i="1"/>
  <c r="W527" i="1"/>
  <c r="X528" i="1"/>
  <c r="Y528" i="1"/>
  <c r="Z528" i="1"/>
  <c r="CQ528" i="1"/>
  <c r="W528" i="1"/>
  <c r="X529" i="1"/>
  <c r="Y529" i="1"/>
  <c r="Z529" i="1"/>
  <c r="CQ529" i="1"/>
  <c r="W529" i="1"/>
  <c r="X530" i="1"/>
  <c r="Y530" i="1"/>
  <c r="Z530" i="1"/>
  <c r="CQ530" i="1"/>
  <c r="W530" i="1"/>
  <c r="X531" i="1"/>
  <c r="Y531" i="1"/>
  <c r="Z531" i="1"/>
  <c r="CQ531" i="1"/>
  <c r="W531" i="1"/>
  <c r="X532" i="1"/>
  <c r="Y532" i="1"/>
  <c r="Z532" i="1"/>
  <c r="CQ532" i="1"/>
  <c r="W532" i="1"/>
  <c r="CU532" i="1"/>
  <c r="X533" i="1"/>
  <c r="Y533" i="1"/>
  <c r="Z533" i="1"/>
  <c r="CQ533" i="1"/>
  <c r="W533" i="1"/>
  <c r="AC533" i="1"/>
  <c r="Y534" i="1"/>
  <c r="Z534" i="1"/>
  <c r="CF534" i="1"/>
  <c r="CQ534" i="1"/>
  <c r="W534" i="1"/>
  <c r="CL534" i="1"/>
  <c r="CU534" i="1"/>
  <c r="X534" i="1"/>
  <c r="CY534" i="1"/>
  <c r="X535" i="1"/>
  <c r="Y535" i="1"/>
  <c r="Z535" i="1"/>
  <c r="CQ535" i="1"/>
  <c r="W535" i="1"/>
  <c r="H536" i="1"/>
  <c r="X536" i="1"/>
  <c r="Z536" i="1"/>
  <c r="CQ536" i="1"/>
  <c r="W536" i="1"/>
  <c r="CY536" i="1"/>
  <c r="Y536" i="1"/>
  <c r="X537" i="1"/>
  <c r="Y537" i="1"/>
  <c r="Z537" i="1"/>
  <c r="CQ537" i="1"/>
  <c r="W537" i="1"/>
  <c r="W538" i="1"/>
  <c r="X538" i="1"/>
  <c r="Y538" i="1"/>
  <c r="Z538" i="1"/>
  <c r="AC538" i="1"/>
  <c r="CQ538" i="1"/>
  <c r="X539" i="1"/>
  <c r="Y539" i="1"/>
  <c r="Z539" i="1"/>
  <c r="CQ539" i="1"/>
  <c r="W539" i="1"/>
  <c r="X540" i="1"/>
  <c r="Y540" i="1"/>
  <c r="Z540" i="1"/>
  <c r="CQ540" i="1"/>
  <c r="W540" i="1"/>
  <c r="X541" i="1"/>
  <c r="Y541" i="1"/>
  <c r="Z541" i="1"/>
  <c r="CQ541" i="1"/>
  <c r="W541" i="1"/>
  <c r="X542" i="1"/>
  <c r="Y542" i="1"/>
  <c r="Z542" i="1"/>
  <c r="CQ542" i="1"/>
  <c r="W542" i="1"/>
  <c r="X543" i="1"/>
  <c r="Y543" i="1"/>
  <c r="Z543" i="1"/>
  <c r="CQ543" i="1"/>
  <c r="W543" i="1"/>
  <c r="X544" i="1"/>
  <c r="Y544" i="1"/>
  <c r="Z544" i="1"/>
  <c r="CQ544" i="1"/>
  <c r="W544" i="1"/>
  <c r="X545" i="1"/>
  <c r="Y545" i="1"/>
  <c r="Z545" i="1"/>
  <c r="CQ545" i="1"/>
  <c r="W545" i="1"/>
  <c r="X546" i="1"/>
  <c r="Y546" i="1"/>
  <c r="Z546" i="1"/>
  <c r="CQ546" i="1"/>
  <c r="W546" i="1"/>
  <c r="H547" i="1"/>
  <c r="W547" i="1"/>
  <c r="AC547" i="1"/>
  <c r="X547" i="1"/>
  <c r="Y547" i="1"/>
  <c r="Z547" i="1"/>
  <c r="AA547" i="1"/>
  <c r="CQ547" i="1"/>
  <c r="X548" i="1"/>
  <c r="Y548" i="1"/>
  <c r="Z548" i="1"/>
  <c r="CQ548" i="1"/>
  <c r="W548" i="1"/>
  <c r="X549" i="1"/>
  <c r="Y549" i="1"/>
  <c r="Z549" i="1"/>
  <c r="CQ549" i="1"/>
  <c r="W549" i="1"/>
  <c r="X550" i="1"/>
  <c r="Y550" i="1"/>
  <c r="Z550" i="1"/>
  <c r="CQ550" i="1"/>
  <c r="W550" i="1"/>
  <c r="H551" i="1"/>
  <c r="Y551" i="1"/>
  <c r="Z551" i="1"/>
  <c r="AV551" i="1"/>
  <c r="CQ551" i="1"/>
  <c r="W551" i="1"/>
  <c r="CL551" i="1"/>
  <c r="CN551" i="1"/>
  <c r="CU551" i="1"/>
  <c r="X551" i="1"/>
  <c r="X552" i="1"/>
  <c r="Y552" i="1"/>
  <c r="Z552" i="1"/>
  <c r="CQ552" i="1"/>
  <c r="W552" i="1"/>
  <c r="X553" i="1"/>
  <c r="Y553" i="1"/>
  <c r="Z553" i="1"/>
  <c r="CQ553" i="1"/>
  <c r="W553" i="1"/>
  <c r="X554" i="1"/>
  <c r="Y554" i="1"/>
  <c r="Z554" i="1"/>
  <c r="CQ554" i="1"/>
  <c r="W554" i="1"/>
  <c r="X555" i="1"/>
  <c r="Y555" i="1"/>
  <c r="Z555" i="1"/>
  <c r="CQ555" i="1"/>
  <c r="W555" i="1"/>
  <c r="X556" i="1"/>
  <c r="Y556" i="1"/>
  <c r="Z556" i="1"/>
  <c r="CQ556" i="1"/>
  <c r="W556" i="1"/>
  <c r="H557" i="1"/>
  <c r="X557" i="1"/>
  <c r="Y557" i="1"/>
  <c r="Z557" i="1"/>
  <c r="CQ557" i="1"/>
  <c r="W557" i="1"/>
  <c r="H558" i="1"/>
  <c r="X558" i="1"/>
  <c r="Y558" i="1"/>
  <c r="Z558" i="1"/>
  <c r="CQ558" i="1"/>
  <c r="W558" i="1"/>
  <c r="X559" i="1"/>
  <c r="Y559" i="1"/>
  <c r="Z559" i="1"/>
  <c r="CQ559" i="1"/>
  <c r="W559" i="1"/>
  <c r="X560" i="1"/>
  <c r="Y560" i="1"/>
  <c r="Z560" i="1"/>
  <c r="CQ560" i="1"/>
  <c r="W560" i="1"/>
  <c r="X561" i="1"/>
  <c r="Y561" i="1"/>
  <c r="Z561" i="1"/>
  <c r="CQ561" i="1"/>
  <c r="W561" i="1"/>
  <c r="X562" i="1"/>
  <c r="Y562" i="1"/>
  <c r="Z562" i="1"/>
  <c r="CQ562" i="1"/>
  <c r="W562" i="1"/>
  <c r="X563" i="1"/>
  <c r="Y563" i="1"/>
  <c r="Z563" i="1"/>
  <c r="CQ563" i="1"/>
  <c r="W563" i="1"/>
  <c r="H564" i="1"/>
  <c r="X564" i="1"/>
  <c r="Y564" i="1"/>
  <c r="Z564" i="1"/>
  <c r="CQ564" i="1"/>
  <c r="W564" i="1"/>
  <c r="X565" i="1"/>
  <c r="Y565" i="1"/>
  <c r="Z565" i="1"/>
  <c r="CQ565" i="1"/>
  <c r="W565" i="1"/>
  <c r="X566" i="1"/>
  <c r="Y566" i="1"/>
  <c r="Z566" i="1"/>
  <c r="CQ566" i="1"/>
  <c r="W566" i="1"/>
  <c r="X567" i="1"/>
  <c r="Y567" i="1"/>
  <c r="Z567" i="1"/>
  <c r="CQ567" i="1"/>
  <c r="W567" i="1"/>
  <c r="X568" i="1"/>
  <c r="Y568" i="1"/>
  <c r="Z568" i="1"/>
  <c r="CQ568" i="1"/>
  <c r="W568" i="1"/>
  <c r="X569" i="1"/>
  <c r="Y569" i="1"/>
  <c r="Z569" i="1"/>
  <c r="CQ569" i="1"/>
  <c r="W569" i="1"/>
  <c r="CS569" i="1"/>
  <c r="H570" i="1"/>
  <c r="X570" i="1"/>
  <c r="Y570" i="1"/>
  <c r="Z570" i="1"/>
  <c r="CQ570" i="1"/>
  <c r="W570" i="1"/>
  <c r="X571" i="1"/>
  <c r="Y571" i="1"/>
  <c r="Z571" i="1"/>
  <c r="CQ571" i="1"/>
  <c r="W571" i="1"/>
  <c r="I572" i="1"/>
  <c r="K572" i="1"/>
  <c r="X572" i="1"/>
  <c r="Y572" i="1"/>
  <c r="Z572" i="1"/>
  <c r="CQ572" i="1"/>
  <c r="W572" i="1"/>
  <c r="X573" i="1"/>
  <c r="Y573" i="1"/>
  <c r="Z573" i="1"/>
  <c r="CQ573" i="1"/>
  <c r="W573" i="1"/>
  <c r="X574" i="1"/>
  <c r="Y574" i="1"/>
  <c r="Z574" i="1"/>
  <c r="CQ574" i="1"/>
  <c r="W574" i="1"/>
  <c r="X575" i="1"/>
  <c r="Y575" i="1"/>
  <c r="Z575" i="1"/>
  <c r="CQ575" i="1"/>
  <c r="W575" i="1"/>
  <c r="X576" i="1"/>
  <c r="Y576" i="1"/>
  <c r="Z576" i="1"/>
  <c r="CQ576" i="1"/>
  <c r="W576" i="1"/>
  <c r="X577" i="1"/>
  <c r="Y577" i="1"/>
  <c r="Z577" i="1"/>
  <c r="CQ577" i="1"/>
  <c r="W577" i="1"/>
  <c r="X578" i="1"/>
  <c r="Y578" i="1"/>
  <c r="Z578" i="1"/>
  <c r="AA578" i="1"/>
  <c r="CQ578" i="1"/>
  <c r="W578" i="1"/>
  <c r="X579" i="1"/>
  <c r="Y579" i="1"/>
  <c r="Z579" i="1"/>
  <c r="CQ579" i="1"/>
  <c r="W579" i="1"/>
  <c r="X580" i="1"/>
  <c r="Y580" i="1"/>
  <c r="Z580" i="1"/>
  <c r="CQ580" i="1"/>
  <c r="W580" i="1"/>
  <c r="X581" i="1"/>
  <c r="Y581" i="1"/>
  <c r="Z581" i="1"/>
  <c r="CQ581" i="1"/>
  <c r="W581" i="1"/>
  <c r="X582" i="1"/>
  <c r="Y582" i="1"/>
  <c r="Z582" i="1"/>
  <c r="CQ582" i="1"/>
  <c r="W582" i="1"/>
  <c r="H583" i="1"/>
  <c r="X583" i="1"/>
  <c r="Y583" i="1"/>
  <c r="Z583" i="1"/>
  <c r="CQ583" i="1"/>
  <c r="W583" i="1"/>
  <c r="X584" i="1"/>
  <c r="Y584" i="1"/>
  <c r="Z584" i="1"/>
  <c r="CQ584" i="1"/>
  <c r="W584" i="1"/>
  <c r="X585" i="1"/>
  <c r="Y585" i="1"/>
  <c r="Z585" i="1"/>
  <c r="CQ585" i="1"/>
  <c r="W585" i="1"/>
  <c r="X586" i="1"/>
  <c r="Y586" i="1"/>
  <c r="Z586" i="1"/>
  <c r="CQ586" i="1"/>
  <c r="W586" i="1"/>
  <c r="X587" i="1"/>
  <c r="Y587" i="1"/>
  <c r="Z587" i="1"/>
  <c r="CQ587" i="1"/>
  <c r="W587" i="1"/>
  <c r="X588" i="1"/>
  <c r="Z588" i="1"/>
  <c r="CQ588" i="1"/>
  <c r="W588" i="1"/>
  <c r="CX588" i="1"/>
  <c r="CY588" i="1"/>
  <c r="Y588" i="1"/>
  <c r="H589" i="1"/>
  <c r="X589" i="1"/>
  <c r="Y589" i="1"/>
  <c r="Z589" i="1"/>
  <c r="CQ589" i="1"/>
  <c r="W589" i="1"/>
  <c r="X590" i="1"/>
  <c r="Y590" i="1"/>
  <c r="Z590" i="1"/>
  <c r="CQ590" i="1"/>
  <c r="W590" i="1"/>
  <c r="X591" i="1"/>
  <c r="Y591" i="1"/>
  <c r="Z591" i="1"/>
  <c r="CQ591" i="1"/>
  <c r="W591" i="1"/>
  <c r="X592" i="1"/>
  <c r="Y592" i="1"/>
  <c r="Z592" i="1"/>
  <c r="CQ592" i="1"/>
  <c r="W592" i="1"/>
  <c r="X593" i="1"/>
  <c r="Y593" i="1"/>
  <c r="Z593" i="1"/>
  <c r="CQ593" i="1"/>
  <c r="W593" i="1"/>
  <c r="X594" i="1"/>
  <c r="Y594" i="1"/>
  <c r="Z594" i="1"/>
  <c r="CQ594" i="1"/>
  <c r="W594" i="1"/>
  <c r="X595" i="1"/>
  <c r="Y595" i="1"/>
  <c r="Z595" i="1"/>
  <c r="CQ595" i="1"/>
  <c r="W595" i="1"/>
  <c r="X596" i="1"/>
  <c r="Y596" i="1"/>
  <c r="Z596" i="1"/>
  <c r="CQ596" i="1"/>
  <c r="W596" i="1"/>
  <c r="X597" i="1"/>
  <c r="Y597" i="1"/>
  <c r="Z597" i="1"/>
  <c r="CQ597" i="1"/>
  <c r="W597" i="1"/>
  <c r="X598" i="1"/>
  <c r="Y598" i="1"/>
  <c r="Z598" i="1"/>
  <c r="CQ598" i="1"/>
  <c r="W598" i="1"/>
  <c r="X599" i="1"/>
  <c r="Y599" i="1"/>
  <c r="Z599" i="1"/>
  <c r="CQ599" i="1"/>
  <c r="W599" i="1"/>
  <c r="X600" i="1"/>
  <c r="Y600" i="1"/>
  <c r="Z600" i="1"/>
  <c r="CQ600" i="1"/>
  <c r="W600" i="1"/>
  <c r="X601" i="1"/>
  <c r="Y601" i="1"/>
  <c r="Z601" i="1"/>
  <c r="CQ601" i="1"/>
  <c r="W601" i="1"/>
  <c r="H602" i="1"/>
  <c r="X602" i="1"/>
  <c r="Y602" i="1"/>
  <c r="Z602" i="1"/>
  <c r="CQ602" i="1"/>
  <c r="W602" i="1"/>
  <c r="AC602" i="1"/>
  <c r="X603" i="1"/>
  <c r="Y603" i="1"/>
  <c r="Z603" i="1"/>
  <c r="CQ603" i="1"/>
  <c r="W603" i="1"/>
  <c r="AC603" i="1"/>
  <c r="X604" i="1"/>
  <c r="Y604" i="1"/>
  <c r="Z604" i="1"/>
  <c r="CQ604" i="1"/>
  <c r="W604" i="1"/>
  <c r="X605" i="1"/>
  <c r="Y605" i="1"/>
  <c r="Z605" i="1"/>
  <c r="CQ605" i="1"/>
  <c r="W605" i="1"/>
  <c r="X606" i="1"/>
  <c r="Y606" i="1"/>
  <c r="Z606" i="1"/>
  <c r="CQ606" i="1"/>
  <c r="W606" i="1"/>
  <c r="X607" i="1"/>
  <c r="Y607" i="1"/>
  <c r="Z607" i="1"/>
  <c r="CQ607" i="1"/>
  <c r="W607" i="1"/>
  <c r="X608" i="1"/>
  <c r="Y608" i="1"/>
  <c r="Z608" i="1"/>
  <c r="CQ608" i="1"/>
  <c r="W608" i="1"/>
  <c r="X609" i="1"/>
  <c r="Y609" i="1"/>
  <c r="Z609" i="1"/>
  <c r="CQ609" i="1"/>
  <c r="W609" i="1"/>
  <c r="X610" i="1"/>
  <c r="Y610" i="1"/>
  <c r="Z610" i="1"/>
  <c r="CQ610" i="1"/>
  <c r="W610" i="1"/>
  <c r="X611" i="1"/>
  <c r="Y611" i="1"/>
  <c r="Z611" i="1"/>
  <c r="CQ611" i="1"/>
  <c r="W611" i="1"/>
  <c r="Y612" i="1"/>
  <c r="Z612" i="1"/>
  <c r="CL612" i="1"/>
  <c r="CN612" i="1"/>
  <c r="CQ612" i="1"/>
  <c r="W612" i="1"/>
  <c r="CU612" i="1"/>
  <c r="X612" i="1"/>
  <c r="X613" i="1"/>
  <c r="Y613" i="1"/>
  <c r="Z613" i="1"/>
  <c r="CQ613" i="1"/>
  <c r="W613" i="1"/>
  <c r="X614" i="1"/>
  <c r="Y614" i="1"/>
  <c r="Z614" i="1"/>
  <c r="CQ614" i="1"/>
  <c r="W614" i="1"/>
  <c r="X615" i="1"/>
  <c r="Y615" i="1"/>
  <c r="Z615" i="1"/>
  <c r="CQ615" i="1"/>
  <c r="W615" i="1"/>
  <c r="X616" i="1"/>
  <c r="Y616" i="1"/>
  <c r="Z616" i="1"/>
  <c r="CQ616" i="1"/>
  <c r="W616" i="1"/>
  <c r="X617" i="1"/>
  <c r="Y617" i="1"/>
  <c r="Z617" i="1"/>
  <c r="CQ617" i="1"/>
  <c r="W617" i="1"/>
  <c r="H618" i="1"/>
  <c r="X618" i="1"/>
  <c r="Y618" i="1"/>
  <c r="Z618" i="1"/>
  <c r="CQ618" i="1"/>
  <c r="W618" i="1"/>
  <c r="AC618" i="1"/>
  <c r="H619" i="1"/>
  <c r="X619" i="1"/>
  <c r="Y619" i="1"/>
  <c r="Z619" i="1"/>
  <c r="CQ619" i="1"/>
  <c r="W619" i="1"/>
  <c r="H620" i="1"/>
  <c r="X620" i="1"/>
  <c r="Y620" i="1"/>
  <c r="Z620" i="1"/>
  <c r="CQ620" i="1"/>
  <c r="W620" i="1"/>
  <c r="H621" i="1"/>
  <c r="I621" i="1"/>
  <c r="X621" i="1"/>
  <c r="Y621" i="1"/>
  <c r="Z621" i="1"/>
  <c r="CQ621" i="1"/>
  <c r="W621" i="1"/>
  <c r="H622" i="1"/>
  <c r="X622" i="1"/>
  <c r="Y622" i="1"/>
  <c r="Z622" i="1"/>
  <c r="CQ622" i="1"/>
  <c r="W622" i="1"/>
  <c r="X623" i="1"/>
  <c r="Y623" i="1"/>
  <c r="Z623" i="1"/>
  <c r="CQ623" i="1"/>
  <c r="W623" i="1"/>
  <c r="CT623" i="1"/>
  <c r="CU623" i="1"/>
  <c r="X624" i="1"/>
  <c r="Z624" i="1"/>
  <c r="CQ624" i="1"/>
  <c r="W624" i="1"/>
  <c r="CY624" i="1"/>
  <c r="Y624" i="1"/>
  <c r="X625" i="1"/>
  <c r="Y625" i="1"/>
  <c r="Z625" i="1"/>
  <c r="CQ625" i="1"/>
  <c r="W625" i="1"/>
  <c r="X626" i="1"/>
  <c r="Y626" i="1"/>
  <c r="Z626" i="1"/>
  <c r="CQ626" i="1"/>
  <c r="W626" i="1"/>
  <c r="X627" i="1"/>
  <c r="Y627" i="1"/>
  <c r="Z627" i="1"/>
  <c r="CQ627" i="1"/>
  <c r="W627" i="1"/>
  <c r="W628" i="1"/>
  <c r="X628" i="1"/>
  <c r="Y628" i="1"/>
  <c r="Z628" i="1"/>
  <c r="AC628" i="1"/>
  <c r="CQ628" i="1"/>
  <c r="X629" i="1"/>
  <c r="Y629" i="1"/>
  <c r="Z629" i="1"/>
  <c r="CQ629" i="1"/>
  <c r="W629" i="1"/>
  <c r="X630" i="1"/>
  <c r="Y630" i="1"/>
  <c r="Z630" i="1"/>
  <c r="CQ630" i="1"/>
  <c r="W630" i="1"/>
  <c r="X631" i="1"/>
  <c r="Y631" i="1"/>
  <c r="Z631" i="1"/>
  <c r="CL631" i="1"/>
  <c r="CQ631" i="1"/>
  <c r="W631" i="1"/>
  <c r="CT631" i="1"/>
  <c r="CU631" i="1"/>
  <c r="X632" i="1"/>
  <c r="Y632" i="1"/>
  <c r="Z632" i="1"/>
  <c r="CQ632" i="1"/>
  <c r="W632" i="1"/>
  <c r="X633" i="1"/>
  <c r="Y633" i="1"/>
  <c r="Z633" i="1"/>
  <c r="CQ633" i="1"/>
  <c r="W633" i="1"/>
  <c r="X634" i="1"/>
  <c r="Y634" i="1"/>
  <c r="Z634" i="1"/>
  <c r="CQ634" i="1"/>
  <c r="W634" i="1"/>
  <c r="X635" i="1"/>
  <c r="Y635" i="1"/>
  <c r="Z635" i="1"/>
  <c r="CQ635" i="1"/>
  <c r="W635" i="1"/>
  <c r="X636" i="1"/>
  <c r="Y636" i="1"/>
  <c r="Z636" i="1"/>
  <c r="CQ636" i="1"/>
  <c r="W636" i="1"/>
  <c r="H637" i="1"/>
  <c r="X637" i="1"/>
  <c r="Y637" i="1"/>
  <c r="Z637" i="1"/>
  <c r="AR637" i="1"/>
  <c r="CQ637" i="1"/>
  <c r="W637" i="1"/>
  <c r="AV637" i="1"/>
  <c r="CX637" i="1"/>
  <c r="CY637" i="1"/>
  <c r="X638" i="1"/>
  <c r="Y638" i="1"/>
  <c r="Z638" i="1"/>
  <c r="CQ638" i="1"/>
  <c r="W638" i="1"/>
  <c r="X639" i="1"/>
  <c r="Y639" i="1"/>
  <c r="Z639" i="1"/>
  <c r="CQ639" i="1"/>
  <c r="W639" i="1"/>
  <c r="X640" i="1"/>
  <c r="Y640" i="1"/>
  <c r="Z640" i="1"/>
  <c r="CQ640" i="1"/>
  <c r="W640" i="1"/>
  <c r="X641" i="1"/>
  <c r="Y641" i="1"/>
  <c r="Z641" i="1"/>
  <c r="CQ641" i="1"/>
  <c r="W641" i="1"/>
  <c r="X642" i="1"/>
  <c r="Y642" i="1"/>
  <c r="Z642" i="1"/>
  <c r="CQ642" i="1"/>
  <c r="W642" i="1"/>
  <c r="X643" i="1"/>
  <c r="Y643" i="1"/>
  <c r="Z643" i="1"/>
  <c r="CQ643" i="1"/>
  <c r="W643" i="1"/>
  <c r="X644" i="1"/>
  <c r="Y644" i="1"/>
  <c r="Z644" i="1"/>
  <c r="CQ644" i="1"/>
  <c r="W644" i="1"/>
  <c r="X645" i="1"/>
  <c r="Y645" i="1"/>
  <c r="Z645" i="1"/>
  <c r="CQ645" i="1"/>
  <c r="W645" i="1"/>
  <c r="X646" i="1"/>
  <c r="Y646" i="1"/>
  <c r="Z646" i="1"/>
  <c r="CQ646" i="1"/>
  <c r="W646" i="1"/>
  <c r="X647" i="1"/>
  <c r="Y647" i="1"/>
  <c r="Z647" i="1"/>
  <c r="CQ647" i="1"/>
  <c r="W647" i="1"/>
  <c r="X648" i="1"/>
  <c r="Y648" i="1"/>
  <c r="Z648" i="1"/>
  <c r="CQ648" i="1"/>
  <c r="W648" i="1"/>
  <c r="X649" i="1"/>
  <c r="Y649" i="1"/>
  <c r="Z649" i="1"/>
  <c r="CQ649" i="1"/>
  <c r="W649" i="1"/>
  <c r="X650" i="1"/>
  <c r="Y650" i="1"/>
  <c r="Z650" i="1"/>
  <c r="CQ650" i="1"/>
  <c r="W650" i="1"/>
  <c r="X651" i="1"/>
  <c r="Y651" i="1"/>
  <c r="Z651" i="1"/>
  <c r="CL651" i="1"/>
  <c r="CQ651" i="1"/>
  <c r="W651" i="1"/>
  <c r="CN651" i="1"/>
  <c r="CU651" i="1"/>
  <c r="X652" i="1"/>
  <c r="Y652" i="1"/>
  <c r="Z652" i="1"/>
  <c r="CQ652" i="1"/>
  <c r="W652" i="1"/>
  <c r="H653" i="1"/>
  <c r="Y653" i="1"/>
  <c r="Z653" i="1"/>
  <c r="CQ653" i="1"/>
  <c r="W653" i="1"/>
  <c r="CU653" i="1"/>
  <c r="X653" i="1"/>
  <c r="X654" i="1"/>
  <c r="Y654" i="1"/>
  <c r="Z654" i="1"/>
  <c r="CQ654" i="1"/>
  <c r="W654" i="1"/>
  <c r="X655" i="1"/>
  <c r="Y655" i="1"/>
  <c r="Z655" i="1"/>
  <c r="CQ655" i="1"/>
  <c r="W655" i="1"/>
  <c r="AC655" i="1"/>
  <c r="H656" i="1"/>
  <c r="X656" i="1"/>
  <c r="Y656" i="1"/>
  <c r="Z656" i="1"/>
  <c r="CQ656" i="1"/>
  <c r="W656" i="1"/>
  <c r="X657" i="1"/>
  <c r="Y657" i="1"/>
  <c r="Z657" i="1"/>
  <c r="CQ657" i="1"/>
  <c r="W657" i="1"/>
  <c r="CU657" i="1"/>
  <c r="X658" i="1"/>
  <c r="Y658" i="1"/>
  <c r="Z658" i="1"/>
  <c r="CQ658" i="1"/>
  <c r="W658" i="1"/>
  <c r="X659" i="1"/>
  <c r="Y659" i="1"/>
  <c r="Z659" i="1"/>
  <c r="CQ659" i="1"/>
  <c r="W659" i="1"/>
  <c r="X660" i="1"/>
  <c r="Y660" i="1"/>
  <c r="Z660" i="1"/>
  <c r="CQ660" i="1"/>
  <c r="W660" i="1"/>
  <c r="X661" i="1"/>
  <c r="Y661" i="1"/>
  <c r="Z661" i="1"/>
  <c r="CQ661" i="1"/>
  <c r="W661" i="1"/>
  <c r="X662" i="1"/>
  <c r="Y662" i="1"/>
  <c r="Z662" i="1"/>
  <c r="CQ662" i="1"/>
  <c r="W662" i="1"/>
  <c r="Y663" i="1"/>
  <c r="Z663" i="1"/>
  <c r="CQ663" i="1"/>
  <c r="W663" i="1"/>
  <c r="CU663" i="1"/>
  <c r="X663" i="1"/>
  <c r="CX663" i="1"/>
  <c r="CY663" i="1"/>
  <c r="X664" i="1"/>
  <c r="Y664" i="1"/>
  <c r="Z664" i="1"/>
  <c r="CQ664" i="1"/>
  <c r="W664" i="1"/>
  <c r="H665" i="1"/>
  <c r="X665" i="1"/>
  <c r="Y665" i="1"/>
  <c r="Z665" i="1"/>
  <c r="CQ665" i="1"/>
  <c r="W665" i="1"/>
  <c r="X666" i="1"/>
  <c r="Y666" i="1"/>
  <c r="Z666" i="1"/>
  <c r="CQ666" i="1"/>
  <c r="W666" i="1"/>
  <c r="CU666" i="1"/>
  <c r="H667" i="1"/>
  <c r="X667" i="1"/>
  <c r="Y667" i="1"/>
  <c r="Z667" i="1"/>
  <c r="CQ667" i="1"/>
  <c r="W667" i="1"/>
  <c r="AC667" i="1"/>
  <c r="X668" i="1"/>
  <c r="Y668" i="1"/>
  <c r="Z668" i="1"/>
  <c r="CQ668" i="1"/>
  <c r="W668" i="1"/>
  <c r="AC668" i="1"/>
  <c r="X669" i="1"/>
  <c r="Y669" i="1"/>
  <c r="Z669" i="1"/>
  <c r="CQ669" i="1"/>
  <c r="W669" i="1"/>
  <c r="AC669" i="1"/>
  <c r="X670" i="1"/>
  <c r="Y670" i="1"/>
  <c r="Z670" i="1"/>
  <c r="CQ670" i="1"/>
  <c r="W670" i="1"/>
  <c r="AC670" i="1"/>
  <c r="X671" i="1"/>
  <c r="Y671" i="1"/>
  <c r="Z671" i="1"/>
  <c r="CQ671" i="1"/>
  <c r="W671" i="1"/>
  <c r="AC671" i="1"/>
  <c r="X672" i="1"/>
  <c r="Y672" i="1"/>
  <c r="Z672" i="1"/>
  <c r="CQ672" i="1"/>
  <c r="W672" i="1"/>
  <c r="AC672" i="1"/>
  <c r="H673" i="1"/>
  <c r="X673" i="1"/>
  <c r="Y673" i="1"/>
  <c r="Z673" i="1"/>
  <c r="CQ673" i="1"/>
  <c r="W673" i="1"/>
  <c r="X674" i="1"/>
  <c r="Y674" i="1"/>
  <c r="Z674" i="1"/>
  <c r="CQ674" i="1"/>
  <c r="W674" i="1"/>
  <c r="X675" i="1"/>
  <c r="Y675" i="1"/>
  <c r="Z675" i="1"/>
  <c r="CQ675" i="1"/>
  <c r="W675" i="1"/>
  <c r="AC675" i="1"/>
  <c r="X676" i="1"/>
  <c r="Y676" i="1"/>
  <c r="Z676" i="1"/>
  <c r="CQ676" i="1"/>
  <c r="W676" i="1"/>
  <c r="X677" i="1"/>
  <c r="Y677" i="1"/>
  <c r="Z677" i="1"/>
  <c r="CQ677" i="1"/>
  <c r="W677" i="1"/>
  <c r="X678" i="1"/>
  <c r="Y678" i="1"/>
  <c r="Z678" i="1"/>
  <c r="CQ678" i="1"/>
  <c r="W678" i="1"/>
  <c r="X679" i="1"/>
  <c r="Y679" i="1"/>
  <c r="Z679" i="1"/>
  <c r="CQ679" i="1"/>
  <c r="W679" i="1"/>
  <c r="AC679" i="1"/>
  <c r="H680" i="1"/>
  <c r="X680" i="1"/>
  <c r="Y680" i="1"/>
  <c r="Z680" i="1"/>
  <c r="CQ680" i="1"/>
  <c r="W680" i="1"/>
  <c r="CX680" i="1"/>
  <c r="CY680" i="1"/>
  <c r="X681" i="1"/>
  <c r="Y681" i="1"/>
  <c r="Z681" i="1"/>
  <c r="CQ681" i="1"/>
  <c r="W681" i="1"/>
  <c r="X682" i="1"/>
  <c r="Y682" i="1"/>
  <c r="Z682" i="1"/>
  <c r="CQ682" i="1"/>
  <c r="W682" i="1"/>
  <c r="X683" i="1"/>
  <c r="Y683" i="1"/>
  <c r="Z683" i="1"/>
  <c r="CQ683" i="1"/>
  <c r="W683" i="1"/>
  <c r="H684" i="1"/>
  <c r="X684" i="1"/>
  <c r="Y684" i="1"/>
  <c r="Z684" i="1"/>
  <c r="CQ684" i="1"/>
  <c r="W684" i="1"/>
  <c r="X685" i="1"/>
  <c r="Y685" i="1"/>
  <c r="Z685" i="1"/>
  <c r="CQ685" i="1"/>
  <c r="W685" i="1"/>
  <c r="X686" i="1"/>
  <c r="Y686" i="1"/>
  <c r="Z686" i="1"/>
  <c r="CQ686" i="1"/>
  <c r="W686" i="1"/>
  <c r="X687" i="1"/>
  <c r="Y687" i="1"/>
  <c r="Z687" i="1"/>
  <c r="CQ687" i="1"/>
  <c r="W687" i="1"/>
  <c r="X688" i="1"/>
  <c r="Y688" i="1"/>
  <c r="Z688" i="1"/>
  <c r="CQ688" i="1"/>
  <c r="W688" i="1"/>
  <c r="H689" i="1"/>
  <c r="X689" i="1"/>
  <c r="Y689" i="1"/>
  <c r="Z689" i="1"/>
  <c r="CQ689" i="1"/>
  <c r="W689" i="1"/>
  <c r="X690" i="1"/>
  <c r="Y690" i="1"/>
  <c r="Z690" i="1"/>
  <c r="CQ690" i="1"/>
  <c r="W690" i="1"/>
  <c r="X691" i="1"/>
  <c r="Y691" i="1"/>
  <c r="Z691" i="1"/>
  <c r="CQ691" i="1"/>
  <c r="W691" i="1"/>
  <c r="X692" i="1"/>
  <c r="Y692" i="1"/>
  <c r="Z692" i="1"/>
  <c r="CQ692" i="1"/>
  <c r="W692" i="1"/>
  <c r="H693" i="1"/>
  <c r="Y693" i="1"/>
  <c r="Z693" i="1"/>
  <c r="CF693" i="1"/>
  <c r="CQ693" i="1"/>
  <c r="W693" i="1"/>
  <c r="CL693" i="1"/>
  <c r="CN693" i="1"/>
  <c r="CU693" i="1"/>
  <c r="X693" i="1"/>
  <c r="H694" i="1"/>
  <c r="K694" i="1"/>
  <c r="Y694" i="1"/>
  <c r="Z694" i="1"/>
  <c r="CF694" i="1"/>
  <c r="CQ694" i="1"/>
  <c r="W694" i="1"/>
  <c r="CL694" i="1"/>
  <c r="CN694" i="1"/>
  <c r="CU694" i="1"/>
  <c r="X694" i="1"/>
  <c r="X695" i="1"/>
  <c r="Y695" i="1"/>
  <c r="Z695" i="1"/>
  <c r="CQ695" i="1"/>
  <c r="W695" i="1"/>
  <c r="H696" i="1"/>
  <c r="X696" i="1"/>
  <c r="Y696" i="1"/>
  <c r="Z696" i="1"/>
  <c r="CQ696" i="1"/>
  <c r="W696" i="1"/>
  <c r="H697" i="1"/>
  <c r="X697" i="1"/>
  <c r="Y697" i="1"/>
  <c r="Z697" i="1"/>
  <c r="CQ697" i="1"/>
  <c r="W697" i="1"/>
  <c r="X698" i="1"/>
  <c r="Y698" i="1"/>
  <c r="Z698" i="1"/>
  <c r="CQ698" i="1"/>
  <c r="W698" i="1"/>
  <c r="X699" i="1"/>
  <c r="Y699" i="1"/>
  <c r="Z699" i="1"/>
  <c r="CQ699" i="1"/>
  <c r="W699" i="1"/>
  <c r="X700" i="1"/>
  <c r="Y700" i="1"/>
  <c r="Z700" i="1"/>
  <c r="CQ700" i="1"/>
  <c r="W700" i="1"/>
  <c r="X701" i="1"/>
  <c r="Y701" i="1"/>
  <c r="Z701" i="1"/>
  <c r="CQ701" i="1"/>
  <c r="W701" i="1"/>
  <c r="X702" i="1"/>
  <c r="Y702" i="1"/>
  <c r="Z702" i="1"/>
  <c r="CQ702" i="1"/>
  <c r="W702" i="1"/>
  <c r="H703" i="1"/>
  <c r="X703" i="1"/>
  <c r="Z703" i="1"/>
  <c r="CQ703" i="1"/>
  <c r="W703" i="1"/>
  <c r="CY703" i="1"/>
  <c r="Y703" i="1"/>
  <c r="X704" i="1"/>
  <c r="Y704" i="1"/>
  <c r="Z704" i="1"/>
  <c r="CQ704" i="1"/>
  <c r="W704" i="1"/>
  <c r="X705" i="1"/>
  <c r="Y705" i="1"/>
  <c r="Z705" i="1"/>
  <c r="CQ705" i="1"/>
  <c r="W705" i="1"/>
  <c r="H706" i="1"/>
  <c r="I706" i="1"/>
  <c r="X706" i="1"/>
  <c r="Y706" i="1"/>
  <c r="Z706" i="1"/>
  <c r="CQ706" i="1"/>
  <c r="W706" i="1"/>
  <c r="H707" i="1"/>
  <c r="I707" i="1"/>
  <c r="X707" i="1"/>
  <c r="Y707" i="1"/>
  <c r="Z707" i="1"/>
  <c r="CQ707" i="1"/>
  <c r="W707" i="1"/>
  <c r="H708" i="1"/>
  <c r="I708" i="1"/>
  <c r="K708" i="1"/>
  <c r="X708" i="1"/>
  <c r="Y708" i="1"/>
  <c r="Z708" i="1"/>
  <c r="CQ708" i="1"/>
  <c r="W708" i="1"/>
  <c r="X709" i="1"/>
  <c r="Y709" i="1"/>
  <c r="Z709" i="1"/>
  <c r="CQ709" i="1"/>
  <c r="W709" i="1"/>
  <c r="X710" i="1"/>
  <c r="Y710" i="1"/>
  <c r="Z710" i="1"/>
  <c r="CQ710" i="1"/>
  <c r="W710" i="1"/>
  <c r="X711" i="1"/>
  <c r="Y711" i="1"/>
  <c r="Z711" i="1"/>
  <c r="CQ711" i="1"/>
  <c r="W711" i="1"/>
  <c r="AC711" i="1"/>
  <c r="H712" i="1"/>
  <c r="X712" i="1"/>
  <c r="Y712" i="1"/>
  <c r="Z712" i="1"/>
  <c r="CQ712" i="1"/>
  <c r="W712" i="1"/>
  <c r="W713" i="1"/>
  <c r="X713" i="1"/>
  <c r="Z713" i="1"/>
  <c r="CQ713" i="1"/>
  <c r="CX713" i="1"/>
  <c r="CY713" i="1"/>
  <c r="Y713" i="1"/>
  <c r="W714" i="1"/>
  <c r="X714" i="1"/>
  <c r="Y714" i="1"/>
  <c r="Z714" i="1"/>
  <c r="AC714" i="1"/>
  <c r="CQ714" i="1"/>
  <c r="H715" i="1"/>
  <c r="X715" i="1"/>
  <c r="Y715" i="1"/>
  <c r="Z715" i="1"/>
  <c r="CQ715" i="1"/>
  <c r="W715" i="1"/>
  <c r="X716" i="1"/>
  <c r="Y716" i="1"/>
  <c r="Z716" i="1"/>
  <c r="CQ716" i="1"/>
  <c r="W716" i="1"/>
  <c r="X717" i="1"/>
  <c r="Y717" i="1"/>
  <c r="Z717" i="1"/>
  <c r="CF717" i="1"/>
  <c r="CQ717" i="1"/>
  <c r="W717" i="1"/>
  <c r="CL717" i="1"/>
  <c r="CU717" i="1"/>
  <c r="X718" i="1"/>
  <c r="Y718" i="1"/>
  <c r="Z718" i="1"/>
  <c r="CQ718" i="1"/>
  <c r="W718" i="1"/>
  <c r="AC718" i="1"/>
  <c r="H719" i="1"/>
  <c r="X719" i="1"/>
  <c r="Y719" i="1"/>
  <c r="Z719" i="1"/>
  <c r="CQ719" i="1"/>
  <c r="W719" i="1"/>
  <c r="X720" i="1"/>
  <c r="Z720" i="1"/>
  <c r="CQ720" i="1"/>
  <c r="W720" i="1"/>
  <c r="CY720" i="1"/>
  <c r="Y720" i="1"/>
  <c r="H721" i="1"/>
  <c r="X721" i="1"/>
  <c r="Y721" i="1"/>
  <c r="Z721" i="1"/>
  <c r="CQ721" i="1"/>
  <c r="W721" i="1"/>
  <c r="H722" i="1"/>
  <c r="X722" i="1"/>
  <c r="Y722" i="1"/>
  <c r="Z722" i="1"/>
  <c r="CQ722" i="1"/>
  <c r="W722" i="1"/>
  <c r="H723" i="1"/>
  <c r="X723" i="1"/>
  <c r="Y723" i="1"/>
  <c r="Z723" i="1"/>
  <c r="CQ723" i="1"/>
  <c r="W723" i="1"/>
  <c r="H724" i="1"/>
  <c r="X724" i="1"/>
  <c r="Y724" i="1"/>
  <c r="Z724" i="1"/>
  <c r="CQ724" i="1"/>
  <c r="W724" i="1"/>
  <c r="H725" i="1"/>
  <c r="X725" i="1"/>
  <c r="Y725" i="1"/>
  <c r="Z725" i="1"/>
  <c r="CQ725" i="1"/>
  <c r="W725" i="1"/>
  <c r="X726" i="1"/>
  <c r="Z726" i="1"/>
  <c r="AA726" i="1"/>
  <c r="CQ726" i="1"/>
  <c r="W726" i="1"/>
  <c r="CU726" i="1"/>
  <c r="CX726" i="1"/>
  <c r="CY726" i="1"/>
  <c r="Y726" i="1"/>
  <c r="X727" i="1"/>
  <c r="Y727" i="1"/>
  <c r="Z727" i="1"/>
  <c r="CQ727" i="1"/>
  <c r="W727" i="1"/>
  <c r="X728" i="1"/>
  <c r="Y728" i="1"/>
  <c r="Z728" i="1"/>
  <c r="CQ728" i="1"/>
  <c r="W728" i="1"/>
  <c r="X729" i="1"/>
  <c r="Z729" i="1"/>
  <c r="CQ729" i="1"/>
  <c r="W729" i="1"/>
  <c r="CY729" i="1"/>
  <c r="Y729" i="1"/>
  <c r="H730" i="1"/>
  <c r="X730" i="1"/>
  <c r="Y730" i="1"/>
  <c r="Z730" i="1"/>
  <c r="CQ730" i="1"/>
  <c r="W730" i="1"/>
  <c r="X731" i="1"/>
  <c r="Y731" i="1"/>
  <c r="Z731" i="1"/>
  <c r="CQ731" i="1"/>
  <c r="W731" i="1"/>
  <c r="X732" i="1"/>
  <c r="Y732" i="1"/>
  <c r="Z732" i="1"/>
  <c r="CQ732" i="1"/>
  <c r="W732" i="1"/>
  <c r="X733" i="1"/>
  <c r="Y733" i="1"/>
  <c r="Z733" i="1"/>
  <c r="CQ733" i="1"/>
  <c r="W733" i="1"/>
  <c r="X734" i="1"/>
  <c r="Y734" i="1"/>
  <c r="Z734" i="1"/>
  <c r="CQ734" i="1"/>
  <c r="W734" i="1"/>
  <c r="X735" i="1"/>
  <c r="Y735" i="1"/>
  <c r="Z735" i="1"/>
  <c r="CQ735" i="1"/>
  <c r="W735" i="1"/>
  <c r="X736" i="1"/>
  <c r="Y736" i="1"/>
  <c r="Z736" i="1"/>
  <c r="CQ736" i="1"/>
  <c r="W736" i="1"/>
  <c r="X737" i="1"/>
  <c r="Y737" i="1"/>
  <c r="Z737" i="1"/>
  <c r="CQ737" i="1"/>
  <c r="W737" i="1"/>
  <c r="X738" i="1"/>
  <c r="Y738" i="1"/>
  <c r="Z738" i="1"/>
  <c r="CQ738" i="1"/>
  <c r="W738" i="1"/>
  <c r="X739" i="1"/>
  <c r="Y739" i="1"/>
  <c r="Z739" i="1"/>
  <c r="CQ739" i="1"/>
  <c r="W739" i="1"/>
  <c r="X740" i="1"/>
  <c r="Y740" i="1"/>
  <c r="Z740" i="1"/>
  <c r="CQ740" i="1"/>
  <c r="W740" i="1"/>
  <c r="X741" i="1"/>
  <c r="Y741" i="1"/>
  <c r="Z741" i="1"/>
  <c r="CQ741" i="1"/>
  <c r="W741" i="1"/>
  <c r="X742" i="1"/>
  <c r="Y742" i="1"/>
  <c r="Z742" i="1"/>
  <c r="CQ742" i="1"/>
  <c r="W742" i="1"/>
  <c r="H743" i="1"/>
  <c r="W743" i="1"/>
  <c r="X743" i="1"/>
  <c r="Y743" i="1"/>
  <c r="AC743" i="1"/>
  <c r="Z743" i="1"/>
  <c r="CQ743" i="1"/>
  <c r="X744" i="1"/>
  <c r="Y744" i="1"/>
  <c r="Z744" i="1"/>
  <c r="CQ744" i="1"/>
  <c r="W744" i="1"/>
  <c r="X745" i="1"/>
  <c r="Y745" i="1"/>
  <c r="Z745" i="1"/>
  <c r="CQ745" i="1"/>
  <c r="W745" i="1"/>
  <c r="X746" i="1"/>
  <c r="Y746" i="1"/>
  <c r="Z746" i="1"/>
  <c r="CQ746" i="1"/>
  <c r="W746" i="1"/>
  <c r="X747" i="1"/>
  <c r="Y747" i="1"/>
  <c r="Z747" i="1"/>
  <c r="CQ747" i="1"/>
  <c r="W747" i="1"/>
  <c r="X748" i="1"/>
  <c r="Y748" i="1"/>
  <c r="Z748" i="1"/>
  <c r="CQ748" i="1"/>
  <c r="W748" i="1"/>
  <c r="X749" i="1"/>
  <c r="Y749" i="1"/>
  <c r="Z749" i="1"/>
  <c r="CQ749" i="1"/>
  <c r="W749" i="1"/>
  <c r="X750" i="1"/>
  <c r="Y750" i="1"/>
  <c r="Z750" i="1"/>
  <c r="CQ750" i="1"/>
  <c r="W750" i="1"/>
  <c r="X751" i="1"/>
  <c r="Y751" i="1"/>
  <c r="Z751" i="1"/>
  <c r="CQ751" i="1"/>
  <c r="W751" i="1"/>
  <c r="H752" i="1"/>
  <c r="X752" i="1"/>
  <c r="Z752" i="1"/>
  <c r="CQ752" i="1"/>
  <c r="W752" i="1"/>
  <c r="CY752" i="1"/>
  <c r="Y752" i="1"/>
  <c r="W753" i="1"/>
  <c r="X753" i="1"/>
  <c r="Y753" i="1"/>
  <c r="AC753" i="1"/>
  <c r="Z753" i="1"/>
  <c r="CQ753" i="1"/>
  <c r="X754" i="1"/>
  <c r="Y754" i="1"/>
  <c r="Z754" i="1"/>
  <c r="CQ754" i="1"/>
  <c r="W754" i="1"/>
  <c r="W755" i="1"/>
  <c r="X755" i="1"/>
  <c r="Y755" i="1"/>
  <c r="Z755" i="1"/>
  <c r="AC755" i="1"/>
  <c r="CQ755" i="1"/>
  <c r="X756" i="1"/>
  <c r="Y756" i="1"/>
  <c r="Z756" i="1"/>
  <c r="CQ756" i="1"/>
  <c r="W756" i="1"/>
  <c r="X757" i="1"/>
  <c r="Y757" i="1"/>
  <c r="Z757" i="1"/>
  <c r="CQ757" i="1"/>
  <c r="W757" i="1"/>
  <c r="X758" i="1"/>
  <c r="Y758" i="1"/>
  <c r="Z758" i="1"/>
  <c r="CQ758" i="1"/>
  <c r="W758" i="1"/>
  <c r="X759" i="1"/>
  <c r="Y759" i="1"/>
  <c r="Z759" i="1"/>
  <c r="CQ759" i="1"/>
  <c r="W759" i="1"/>
  <c r="CX759" i="1"/>
  <c r="CY759" i="1"/>
  <c r="H760" i="1"/>
  <c r="X760" i="1"/>
  <c r="Y760" i="1"/>
  <c r="Z760" i="1"/>
  <c r="CQ760" i="1"/>
  <c r="W760" i="1"/>
  <c r="X761" i="1"/>
  <c r="Y761" i="1"/>
  <c r="Z761" i="1"/>
  <c r="AA761" i="1"/>
  <c r="CQ761" i="1"/>
  <c r="W761" i="1"/>
  <c r="X762" i="1"/>
  <c r="Y762" i="1"/>
  <c r="Z762" i="1"/>
  <c r="CQ762" i="1"/>
  <c r="W762" i="1"/>
  <c r="X763" i="1"/>
  <c r="Y763" i="1"/>
  <c r="Z763" i="1"/>
  <c r="CQ763" i="1"/>
  <c r="W763" i="1"/>
  <c r="X764" i="1"/>
  <c r="Y764" i="1"/>
  <c r="Z764" i="1"/>
  <c r="CQ764" i="1"/>
  <c r="W764" i="1"/>
  <c r="W765" i="1"/>
  <c r="X765" i="1"/>
  <c r="Y765" i="1"/>
  <c r="Z765" i="1"/>
  <c r="AC765" i="1"/>
  <c r="CQ765" i="1"/>
  <c r="X766" i="1"/>
  <c r="Y766" i="1"/>
  <c r="Z766" i="1"/>
  <c r="CQ766" i="1"/>
  <c r="W766" i="1"/>
  <c r="X767" i="1"/>
  <c r="Y767" i="1"/>
  <c r="Z767" i="1"/>
  <c r="CQ767" i="1"/>
  <c r="W767" i="1"/>
  <c r="X768" i="1"/>
  <c r="Y768" i="1"/>
  <c r="Z768" i="1"/>
  <c r="CQ768" i="1"/>
  <c r="W768" i="1"/>
  <c r="X769" i="1"/>
  <c r="Y769" i="1"/>
  <c r="Z769" i="1"/>
  <c r="CQ769" i="1"/>
  <c r="W769" i="1"/>
  <c r="H770" i="1"/>
  <c r="X770" i="1"/>
  <c r="Y770" i="1"/>
  <c r="Z770" i="1"/>
  <c r="CQ770" i="1"/>
  <c r="W770" i="1"/>
  <c r="X771" i="1"/>
  <c r="Y771" i="1"/>
  <c r="Z771" i="1"/>
  <c r="CQ771" i="1"/>
  <c r="W771" i="1"/>
  <c r="X772" i="1"/>
  <c r="Y772" i="1"/>
  <c r="Z772" i="1"/>
  <c r="CQ772" i="1"/>
  <c r="W772" i="1"/>
  <c r="X773" i="1"/>
  <c r="Y773" i="1"/>
  <c r="Z773" i="1"/>
  <c r="CQ773" i="1"/>
  <c r="W773" i="1"/>
  <c r="X774" i="1"/>
  <c r="Y774" i="1"/>
  <c r="Z774" i="1"/>
  <c r="CQ774" i="1"/>
  <c r="W774" i="1"/>
  <c r="X775" i="1"/>
  <c r="Y775" i="1"/>
  <c r="Z775" i="1"/>
  <c r="CQ775" i="1"/>
  <c r="W775" i="1"/>
  <c r="AC775" i="1"/>
  <c r="X776" i="1"/>
  <c r="Y776" i="1"/>
  <c r="Z776" i="1"/>
  <c r="CQ776" i="1"/>
  <c r="W776" i="1"/>
  <c r="X777" i="1"/>
  <c r="Y777" i="1"/>
  <c r="Z777" i="1"/>
  <c r="CQ777" i="1"/>
  <c r="W777" i="1"/>
  <c r="H778" i="1"/>
  <c r="K778" i="1"/>
  <c r="X778" i="1"/>
  <c r="Y778" i="1"/>
  <c r="Z778" i="1"/>
  <c r="CQ778" i="1"/>
  <c r="W778" i="1"/>
  <c r="X779" i="1"/>
  <c r="Y779" i="1"/>
  <c r="Z779" i="1"/>
  <c r="CQ779" i="1"/>
  <c r="W779" i="1"/>
  <c r="H780" i="1"/>
  <c r="X780" i="1"/>
  <c r="Y780" i="1"/>
  <c r="Z780" i="1"/>
  <c r="CQ780" i="1"/>
  <c r="W780" i="1"/>
  <c r="X781" i="1"/>
  <c r="Y781" i="1"/>
  <c r="Z781" i="1"/>
  <c r="CQ781" i="1"/>
  <c r="W781" i="1"/>
  <c r="H782" i="1"/>
  <c r="X782" i="1"/>
  <c r="Y782" i="1"/>
  <c r="Z782" i="1"/>
  <c r="CQ782" i="1"/>
  <c r="W782" i="1"/>
  <c r="H783" i="1"/>
  <c r="Z783" i="1"/>
  <c r="CQ783" i="1"/>
  <c r="W783" i="1"/>
  <c r="CU783" i="1"/>
  <c r="X783" i="1"/>
  <c r="CY783" i="1"/>
  <c r="Y783" i="1"/>
  <c r="H784" i="1"/>
  <c r="Z784" i="1"/>
  <c r="CQ784" i="1"/>
  <c r="W784" i="1"/>
  <c r="CU784" i="1"/>
  <c r="X784" i="1"/>
  <c r="CY784" i="1"/>
  <c r="Y784" i="1"/>
  <c r="X785" i="1"/>
  <c r="Y785" i="1"/>
  <c r="Z785" i="1"/>
  <c r="CQ785" i="1"/>
  <c r="W785" i="1"/>
  <c r="X786" i="1"/>
  <c r="Y786" i="1"/>
  <c r="Z786" i="1"/>
  <c r="CQ786" i="1"/>
  <c r="W786" i="1"/>
  <c r="X787" i="1"/>
  <c r="Y787" i="1"/>
  <c r="Z787" i="1"/>
  <c r="CQ787" i="1"/>
  <c r="W787" i="1"/>
  <c r="X788" i="1"/>
  <c r="Y788" i="1"/>
  <c r="Z788" i="1"/>
  <c r="CQ788" i="1"/>
  <c r="W788" i="1"/>
  <c r="X789" i="1"/>
  <c r="Y789" i="1"/>
  <c r="Z789" i="1"/>
  <c r="CQ789" i="1"/>
  <c r="W789" i="1"/>
  <c r="X790" i="1"/>
  <c r="Y790" i="1"/>
  <c r="Z790" i="1"/>
  <c r="CQ790" i="1"/>
  <c r="W790" i="1"/>
  <c r="X791" i="1"/>
  <c r="Y791" i="1"/>
  <c r="Z791" i="1"/>
  <c r="CQ791" i="1"/>
  <c r="W791" i="1"/>
  <c r="X792" i="1"/>
  <c r="Z792" i="1"/>
  <c r="CQ792" i="1"/>
  <c r="W792" i="1"/>
  <c r="CY792" i="1"/>
  <c r="Y792" i="1"/>
  <c r="X793" i="1"/>
  <c r="Y793" i="1"/>
  <c r="Z793" i="1"/>
  <c r="CQ793" i="1"/>
  <c r="W793" i="1"/>
  <c r="H794" i="1"/>
  <c r="X794" i="1"/>
  <c r="Z794" i="1"/>
  <c r="CL794" i="1"/>
  <c r="CQ794" i="1"/>
  <c r="W794" i="1"/>
  <c r="CN794" i="1"/>
  <c r="CU794" i="1"/>
  <c r="CW794" i="1"/>
  <c r="Y794" i="1"/>
  <c r="CY794" i="1"/>
  <c r="X795" i="1"/>
  <c r="Y795" i="1"/>
  <c r="Z795" i="1"/>
  <c r="CQ795" i="1"/>
  <c r="W795" i="1"/>
  <c r="X796" i="1"/>
  <c r="Y796" i="1"/>
  <c r="Z796" i="1"/>
  <c r="CQ796" i="1"/>
  <c r="W796" i="1"/>
  <c r="X797" i="1"/>
  <c r="Y797" i="1"/>
  <c r="Z797" i="1"/>
  <c r="CQ797" i="1"/>
  <c r="W797" i="1"/>
  <c r="X798" i="1"/>
  <c r="Y798" i="1"/>
  <c r="Z798" i="1"/>
  <c r="CQ798" i="1"/>
  <c r="W798" i="1"/>
  <c r="X799" i="1"/>
  <c r="Y799" i="1"/>
  <c r="Z799" i="1"/>
  <c r="CQ799" i="1"/>
  <c r="W799" i="1"/>
  <c r="H800" i="1"/>
  <c r="X800" i="1"/>
  <c r="Y800" i="1"/>
  <c r="Z800" i="1"/>
  <c r="CQ800" i="1"/>
  <c r="W800" i="1"/>
  <c r="X801" i="1"/>
  <c r="Y801" i="1"/>
  <c r="Z801" i="1"/>
  <c r="CQ801" i="1"/>
  <c r="W801" i="1"/>
  <c r="X802" i="1"/>
  <c r="Y802" i="1"/>
  <c r="Z802" i="1"/>
  <c r="CQ802" i="1"/>
  <c r="W802" i="1"/>
  <c r="X803" i="1"/>
  <c r="Y803" i="1"/>
  <c r="Z803" i="1"/>
  <c r="CQ803" i="1"/>
  <c r="W803" i="1"/>
  <c r="X804" i="1"/>
  <c r="Y804" i="1"/>
  <c r="Z804" i="1"/>
  <c r="CQ804" i="1"/>
  <c r="W804" i="1"/>
  <c r="X805" i="1"/>
  <c r="Y805" i="1"/>
  <c r="Z805" i="1"/>
  <c r="CQ805" i="1"/>
  <c r="W805" i="1"/>
  <c r="X806" i="1"/>
  <c r="Y806" i="1"/>
  <c r="Z806" i="1"/>
  <c r="CQ806" i="1"/>
  <c r="W806" i="1"/>
  <c r="X807" i="1"/>
  <c r="Y807" i="1"/>
  <c r="Z807" i="1"/>
  <c r="CQ807" i="1"/>
  <c r="W807" i="1"/>
  <c r="Z808" i="1"/>
  <c r="AR808" i="1"/>
  <c r="AV808" i="1"/>
  <c r="CL808" i="1"/>
  <c r="CQ808" i="1"/>
  <c r="W808" i="1"/>
  <c r="CU808" i="1"/>
  <c r="X808" i="1"/>
  <c r="CX808" i="1"/>
  <c r="CY808" i="1"/>
  <c r="Y808" i="1"/>
  <c r="H809" i="1"/>
  <c r="X809" i="1"/>
  <c r="Z809" i="1"/>
  <c r="CQ809" i="1"/>
  <c r="W809" i="1"/>
  <c r="CY809" i="1"/>
  <c r="Y809" i="1"/>
  <c r="H810" i="1"/>
  <c r="Y810" i="1"/>
  <c r="Z810" i="1"/>
  <c r="AV810" i="1"/>
  <c r="CQ810" i="1"/>
  <c r="W810" i="1"/>
  <c r="CU810" i="1"/>
  <c r="X810" i="1"/>
  <c r="CY810" i="1"/>
  <c r="X811" i="1"/>
  <c r="Y811" i="1"/>
  <c r="Z811" i="1"/>
  <c r="CQ811" i="1"/>
  <c r="W811" i="1"/>
  <c r="AC811" i="1"/>
  <c r="X812" i="1"/>
  <c r="Y812" i="1"/>
  <c r="Z812" i="1"/>
  <c r="CQ812" i="1"/>
  <c r="W812" i="1"/>
  <c r="AC812" i="1"/>
  <c r="H813" i="1"/>
  <c r="I813" i="1"/>
  <c r="X813" i="1"/>
  <c r="Z813" i="1"/>
  <c r="AA813" i="1"/>
  <c r="CQ813" i="1"/>
  <c r="W813" i="1"/>
  <c r="CW813" i="1"/>
  <c r="Y813" i="1"/>
  <c r="CY813" i="1"/>
  <c r="X814" i="1"/>
  <c r="Y814" i="1"/>
  <c r="Z814" i="1"/>
  <c r="CQ814" i="1"/>
  <c r="W814" i="1"/>
  <c r="X815" i="1"/>
  <c r="Y815" i="1"/>
  <c r="Z815" i="1"/>
  <c r="CQ815" i="1"/>
  <c r="W815" i="1"/>
  <c r="AC815" i="1"/>
  <c r="X816" i="1"/>
  <c r="Y816" i="1"/>
  <c r="Z816" i="1"/>
  <c r="CQ816" i="1"/>
  <c r="W816" i="1"/>
  <c r="X817" i="1"/>
  <c r="Y817" i="1"/>
  <c r="Z817" i="1"/>
  <c r="CQ817" i="1"/>
  <c r="W817" i="1"/>
  <c r="X818" i="1"/>
  <c r="Y818" i="1"/>
  <c r="Z818" i="1"/>
  <c r="CQ818" i="1"/>
  <c r="W818" i="1"/>
  <c r="X819" i="1"/>
  <c r="Y819" i="1"/>
  <c r="Z819" i="1"/>
  <c r="CQ819" i="1"/>
  <c r="W819" i="1"/>
  <c r="X820" i="1"/>
  <c r="Y820" i="1"/>
  <c r="Z820" i="1"/>
  <c r="CQ820" i="1"/>
  <c r="W820" i="1"/>
  <c r="X821" i="1"/>
  <c r="Y821" i="1"/>
  <c r="Z821" i="1"/>
  <c r="CQ821" i="1"/>
  <c r="W821" i="1"/>
  <c r="AC821" i="1"/>
  <c r="H822" i="1"/>
  <c r="X822" i="1"/>
  <c r="Z822" i="1"/>
  <c r="CQ822" i="1"/>
  <c r="W822" i="1"/>
  <c r="CY822" i="1"/>
  <c r="Y822" i="1"/>
  <c r="H823" i="1"/>
  <c r="X823" i="1"/>
  <c r="Z823" i="1"/>
  <c r="CQ823" i="1"/>
  <c r="W823" i="1"/>
  <c r="CW823" i="1"/>
  <c r="Y823" i="1"/>
  <c r="CY823" i="1"/>
  <c r="X824" i="1"/>
  <c r="Y824" i="1"/>
  <c r="Z824" i="1"/>
  <c r="CQ824" i="1"/>
  <c r="W824" i="1"/>
  <c r="H825" i="1"/>
  <c r="I825" i="1"/>
  <c r="X825" i="1"/>
  <c r="Y825" i="1"/>
  <c r="Z825" i="1"/>
  <c r="CQ825" i="1"/>
  <c r="W825" i="1"/>
  <c r="H826" i="1"/>
  <c r="K826" i="1"/>
  <c r="X826" i="1"/>
  <c r="Y826" i="1"/>
  <c r="Z826" i="1"/>
  <c r="CQ826" i="1"/>
  <c r="W826" i="1"/>
  <c r="Z827" i="1"/>
  <c r="AA827" i="1"/>
  <c r="AV827" i="1"/>
  <c r="CL827" i="1"/>
  <c r="CQ827" i="1"/>
  <c r="W827" i="1"/>
  <c r="CU827" i="1"/>
  <c r="X827" i="1"/>
  <c r="CY827" i="1"/>
  <c r="Y827" i="1"/>
  <c r="H828" i="1"/>
  <c r="X828" i="1"/>
  <c r="Z828" i="1"/>
  <c r="CQ828" i="1"/>
  <c r="W828" i="1"/>
  <c r="CX828" i="1"/>
  <c r="CY828" i="1"/>
  <c r="Y828" i="1"/>
  <c r="X829" i="1"/>
  <c r="Y829" i="1"/>
  <c r="Z829" i="1"/>
  <c r="CQ829" i="1"/>
  <c r="W829" i="1"/>
  <c r="X830" i="1"/>
  <c r="Y830" i="1"/>
  <c r="Z830" i="1"/>
  <c r="CQ830" i="1"/>
  <c r="W830" i="1"/>
  <c r="X831" i="1"/>
  <c r="Y831" i="1"/>
  <c r="Z831" i="1"/>
  <c r="CQ831" i="1"/>
  <c r="W831" i="1"/>
  <c r="X832" i="1"/>
  <c r="Y832" i="1"/>
  <c r="Z832" i="1"/>
  <c r="CQ832" i="1"/>
  <c r="W832" i="1"/>
  <c r="X833" i="1"/>
  <c r="Y833" i="1"/>
  <c r="Z833" i="1"/>
  <c r="CQ833" i="1"/>
  <c r="W833" i="1"/>
  <c r="X834" i="1"/>
  <c r="Z834" i="1"/>
  <c r="CQ834" i="1"/>
  <c r="W834" i="1"/>
  <c r="CX834" i="1"/>
  <c r="CY834" i="1"/>
  <c r="Y834" i="1"/>
  <c r="X835" i="1"/>
  <c r="Z835" i="1"/>
  <c r="CQ835" i="1"/>
  <c r="W835" i="1"/>
  <c r="CX835" i="1"/>
  <c r="CY835" i="1"/>
  <c r="Y835" i="1"/>
  <c r="X836" i="1"/>
  <c r="Z836" i="1"/>
  <c r="CQ836" i="1"/>
  <c r="W836" i="1"/>
  <c r="CX836" i="1"/>
  <c r="CY836" i="1"/>
  <c r="Y836" i="1"/>
  <c r="H837" i="1"/>
  <c r="X837" i="1"/>
  <c r="Y837" i="1"/>
  <c r="Z837" i="1"/>
  <c r="CQ837" i="1"/>
  <c r="W837" i="1"/>
  <c r="AC837" i="1"/>
  <c r="CX837" i="1"/>
  <c r="CY837" i="1"/>
  <c r="X838" i="1"/>
  <c r="Y838" i="1"/>
  <c r="Z838" i="1"/>
  <c r="CQ838" i="1"/>
  <c r="W838" i="1"/>
  <c r="AC838" i="1"/>
  <c r="X839" i="1"/>
  <c r="Y839" i="1"/>
  <c r="Z839" i="1"/>
  <c r="CQ839" i="1"/>
  <c r="W839" i="1"/>
  <c r="X840" i="1"/>
  <c r="Y840" i="1"/>
  <c r="Z840" i="1"/>
  <c r="CQ840" i="1"/>
  <c r="W840" i="1"/>
  <c r="X841" i="1"/>
  <c r="Y841" i="1"/>
  <c r="Z841" i="1"/>
  <c r="CQ841" i="1"/>
  <c r="W841" i="1"/>
  <c r="H842" i="1"/>
  <c r="X842" i="1"/>
  <c r="Y842" i="1"/>
  <c r="Z842" i="1"/>
  <c r="CQ842" i="1"/>
  <c r="W842" i="1"/>
  <c r="X843" i="1"/>
  <c r="Y843" i="1"/>
  <c r="Z843" i="1"/>
  <c r="CQ843" i="1"/>
  <c r="W843" i="1"/>
  <c r="X844" i="1"/>
  <c r="Y844" i="1"/>
  <c r="Z844" i="1"/>
  <c r="CQ844" i="1"/>
  <c r="W844" i="1"/>
  <c r="X845" i="1"/>
  <c r="Y845" i="1"/>
  <c r="Z845" i="1"/>
  <c r="CQ845" i="1"/>
  <c r="W845" i="1"/>
  <c r="CX845" i="1"/>
  <c r="CY845" i="1"/>
  <c r="X846" i="1"/>
  <c r="Y846" i="1"/>
  <c r="Z846" i="1"/>
  <c r="CQ846" i="1"/>
  <c r="W846" i="1"/>
  <c r="CX846" i="1"/>
  <c r="CY846" i="1"/>
  <c r="H847" i="1"/>
  <c r="X847" i="1"/>
  <c r="Y847" i="1"/>
  <c r="Z847" i="1"/>
  <c r="CQ847" i="1"/>
  <c r="W847" i="1"/>
  <c r="H848" i="1"/>
  <c r="X848" i="1"/>
  <c r="Z848" i="1"/>
  <c r="CL848" i="1"/>
  <c r="CQ848" i="1"/>
  <c r="W848" i="1"/>
  <c r="CN848" i="1"/>
  <c r="CU848" i="1"/>
  <c r="CY848" i="1"/>
  <c r="Y848" i="1"/>
  <c r="X849" i="1"/>
  <c r="Y849" i="1"/>
  <c r="Z849" i="1"/>
  <c r="CQ849" i="1"/>
  <c r="W849" i="1"/>
  <c r="X850" i="1"/>
  <c r="Y850" i="1"/>
  <c r="Z850" i="1"/>
  <c r="CQ850" i="1"/>
  <c r="W850" i="1"/>
  <c r="X851" i="1"/>
  <c r="Y851" i="1"/>
  <c r="Z851" i="1"/>
  <c r="CQ851" i="1"/>
  <c r="W851" i="1"/>
  <c r="X852" i="1"/>
  <c r="Y852" i="1"/>
  <c r="Z852" i="1"/>
  <c r="CQ852" i="1"/>
  <c r="W852" i="1"/>
  <c r="X853" i="1"/>
  <c r="Y853" i="1"/>
  <c r="Z853" i="1"/>
  <c r="CQ853" i="1"/>
  <c r="W853" i="1"/>
  <c r="H854" i="1"/>
  <c r="Z854" i="1"/>
  <c r="CL854" i="1"/>
  <c r="CQ854" i="1"/>
  <c r="W854" i="1"/>
  <c r="CN854" i="1"/>
  <c r="CU854" i="1"/>
  <c r="X854" i="1"/>
  <c r="CX854" i="1"/>
  <c r="CY854" i="1"/>
  <c r="Y854" i="1"/>
  <c r="X855" i="1"/>
  <c r="Y855" i="1"/>
  <c r="Z855" i="1"/>
  <c r="AA855" i="1"/>
  <c r="CQ855" i="1"/>
  <c r="W855" i="1"/>
  <c r="X856" i="1"/>
  <c r="Y856" i="1"/>
  <c r="Z856" i="1"/>
  <c r="CQ856" i="1"/>
  <c r="W856" i="1"/>
  <c r="X857" i="1"/>
  <c r="Y857" i="1"/>
  <c r="Z857" i="1"/>
  <c r="CQ857" i="1"/>
  <c r="W857" i="1"/>
  <c r="AC857" i="1"/>
  <c r="H858" i="1"/>
  <c r="X858" i="1"/>
  <c r="Z858" i="1"/>
  <c r="CQ858" i="1"/>
  <c r="W858" i="1"/>
  <c r="CW858" i="1"/>
  <c r="Y858" i="1"/>
  <c r="CY858" i="1"/>
  <c r="X859" i="1"/>
  <c r="Y859" i="1"/>
  <c r="Z859" i="1"/>
  <c r="CQ859" i="1"/>
  <c r="W859" i="1"/>
  <c r="X860" i="1"/>
  <c r="Y860" i="1"/>
  <c r="Z860" i="1"/>
  <c r="CQ860" i="1"/>
  <c r="W860" i="1"/>
  <c r="X861" i="1"/>
  <c r="Y861" i="1"/>
  <c r="Z861" i="1"/>
  <c r="CQ861" i="1"/>
  <c r="W861" i="1"/>
  <c r="X862" i="1"/>
  <c r="Y862" i="1"/>
  <c r="Z862" i="1"/>
  <c r="CQ862" i="1"/>
  <c r="W862" i="1"/>
  <c r="X863" i="1"/>
  <c r="Y863" i="1"/>
  <c r="Z863" i="1"/>
  <c r="CQ863" i="1"/>
  <c r="W863" i="1"/>
  <c r="X864" i="1"/>
  <c r="Y864" i="1"/>
  <c r="Z864" i="1"/>
  <c r="CQ864" i="1"/>
  <c r="W864" i="1"/>
  <c r="X865" i="1"/>
  <c r="Y865" i="1"/>
  <c r="Z865" i="1"/>
  <c r="CQ865" i="1"/>
  <c r="W865" i="1"/>
  <c r="H866" i="1"/>
  <c r="I866" i="1"/>
  <c r="X866" i="1"/>
  <c r="Z866" i="1"/>
  <c r="CQ866" i="1"/>
  <c r="W866" i="1"/>
  <c r="CX866" i="1"/>
  <c r="CY866" i="1"/>
  <c r="Y866" i="1"/>
  <c r="H867" i="1"/>
  <c r="X867" i="1"/>
  <c r="Z867" i="1"/>
  <c r="CQ867" i="1"/>
  <c r="W867" i="1"/>
  <c r="CY867" i="1"/>
  <c r="Y867" i="1"/>
  <c r="X868" i="1"/>
  <c r="Y868" i="1"/>
  <c r="Z868" i="1"/>
  <c r="AA868" i="1"/>
  <c r="CQ868" i="1"/>
  <c r="W868" i="1"/>
  <c r="H869" i="1"/>
  <c r="X869" i="1"/>
  <c r="Z869" i="1"/>
  <c r="CQ869" i="1"/>
  <c r="W869" i="1"/>
  <c r="CX869" i="1"/>
  <c r="CY869" i="1"/>
  <c r="Y869" i="1"/>
  <c r="H870" i="1"/>
  <c r="X870" i="1"/>
  <c r="Y870" i="1"/>
  <c r="Z870" i="1"/>
  <c r="AA870" i="1"/>
  <c r="CQ870" i="1"/>
  <c r="W870" i="1"/>
  <c r="X871" i="1"/>
  <c r="Y871" i="1"/>
  <c r="Z871" i="1"/>
  <c r="CQ871" i="1"/>
  <c r="W871" i="1"/>
  <c r="X872" i="1"/>
  <c r="Y872" i="1"/>
  <c r="Z872" i="1"/>
  <c r="CQ872" i="1"/>
  <c r="W872" i="1"/>
  <c r="Z873" i="1"/>
  <c r="BH873" i="1"/>
  <c r="CQ873" i="1"/>
  <c r="W873" i="1"/>
  <c r="CL873" i="1"/>
  <c r="CS873" i="1"/>
  <c r="CU873" i="1"/>
  <c r="X873" i="1"/>
  <c r="CX873" i="1"/>
  <c r="CY873" i="1"/>
  <c r="Y873" i="1"/>
  <c r="H874" i="1"/>
  <c r="X874" i="1"/>
  <c r="Y874" i="1"/>
  <c r="Z874" i="1"/>
  <c r="CQ874" i="1"/>
  <c r="W874" i="1"/>
  <c r="AC874" i="1"/>
  <c r="H875" i="1"/>
  <c r="X875" i="1"/>
  <c r="Y875" i="1"/>
  <c r="Z875" i="1"/>
  <c r="CQ875" i="1"/>
  <c r="W875" i="1"/>
  <c r="X876" i="1"/>
  <c r="Y876" i="1"/>
  <c r="Z876" i="1"/>
  <c r="CQ876" i="1"/>
  <c r="W876" i="1"/>
  <c r="H877" i="1"/>
  <c r="X877" i="1"/>
  <c r="Z877" i="1"/>
  <c r="CQ877" i="1"/>
  <c r="W877" i="1"/>
  <c r="CY877" i="1"/>
  <c r="Y877" i="1"/>
  <c r="H878" i="1"/>
  <c r="X878" i="1"/>
  <c r="Z878" i="1"/>
  <c r="CQ878" i="1"/>
  <c r="W878" i="1"/>
  <c r="CY878" i="1"/>
  <c r="Y878" i="1"/>
  <c r="X879" i="1"/>
  <c r="Y879" i="1"/>
  <c r="Z879" i="1"/>
  <c r="CQ879" i="1"/>
  <c r="W879" i="1"/>
  <c r="X880" i="1"/>
  <c r="Y880" i="1"/>
  <c r="Z880" i="1"/>
  <c r="CQ880" i="1"/>
  <c r="W880" i="1"/>
  <c r="H881" i="1"/>
  <c r="X881" i="1"/>
  <c r="Y881" i="1"/>
  <c r="Z881" i="1"/>
  <c r="CQ881" i="1"/>
  <c r="W881" i="1"/>
  <c r="AC881" i="1"/>
  <c r="H882" i="1"/>
  <c r="X882" i="1"/>
  <c r="Z882" i="1"/>
  <c r="CQ882" i="1"/>
  <c r="W882" i="1"/>
  <c r="CX882" i="1"/>
  <c r="CY882" i="1"/>
  <c r="Y882" i="1"/>
  <c r="X883" i="1"/>
  <c r="Y883" i="1"/>
  <c r="Z883" i="1"/>
  <c r="CQ883" i="1"/>
  <c r="W883" i="1"/>
  <c r="CU883" i="1"/>
  <c r="X884" i="1"/>
  <c r="Y884" i="1"/>
  <c r="Z884" i="1"/>
  <c r="CQ884" i="1"/>
  <c r="W884" i="1"/>
  <c r="Y885" i="1"/>
  <c r="Z885" i="1"/>
  <c r="CL885" i="1"/>
  <c r="CQ885" i="1"/>
  <c r="W885" i="1"/>
  <c r="CN885" i="1"/>
  <c r="CU885" i="1"/>
  <c r="X885" i="1"/>
  <c r="CY885" i="1"/>
  <c r="X886" i="1"/>
  <c r="Y886" i="1"/>
  <c r="Z886" i="1"/>
  <c r="CQ886" i="1"/>
  <c r="W886" i="1"/>
  <c r="X887" i="1"/>
  <c r="Y887" i="1"/>
  <c r="Z887" i="1"/>
  <c r="CQ887" i="1"/>
  <c r="W887" i="1"/>
  <c r="X888" i="1"/>
  <c r="Y888" i="1"/>
  <c r="Z888" i="1"/>
  <c r="CQ888" i="1"/>
  <c r="W888" i="1"/>
  <c r="W889" i="1"/>
  <c r="X889" i="1"/>
  <c r="Y889" i="1"/>
  <c r="Z889" i="1"/>
  <c r="AC889" i="1"/>
  <c r="CQ889" i="1"/>
  <c r="CX889" i="1"/>
  <c r="CY889" i="1"/>
  <c r="W890" i="1"/>
  <c r="X890" i="1"/>
  <c r="Y890" i="1"/>
  <c r="Z890" i="1"/>
  <c r="AC890" i="1"/>
  <c r="CQ890" i="1"/>
  <c r="X891" i="1"/>
  <c r="Y891" i="1"/>
  <c r="Z891" i="1"/>
  <c r="CQ891" i="1"/>
  <c r="W891" i="1"/>
  <c r="X892" i="1"/>
  <c r="Z892" i="1"/>
  <c r="CQ892" i="1"/>
  <c r="W892" i="1"/>
  <c r="CY892" i="1"/>
  <c r="Y892" i="1"/>
  <c r="X893" i="1"/>
  <c r="Y893" i="1"/>
  <c r="Z893" i="1"/>
  <c r="CQ893" i="1"/>
  <c r="W893" i="1"/>
  <c r="X894" i="1"/>
  <c r="Y894" i="1"/>
  <c r="Z894" i="1"/>
  <c r="CQ894" i="1"/>
  <c r="W894" i="1"/>
  <c r="X895" i="1"/>
  <c r="Y895" i="1"/>
  <c r="Z895" i="1"/>
  <c r="CQ895" i="1"/>
  <c r="W895" i="1"/>
  <c r="X896" i="1"/>
  <c r="Y896" i="1"/>
  <c r="Z896" i="1"/>
  <c r="CQ896" i="1"/>
  <c r="W896" i="1"/>
  <c r="H897" i="1"/>
  <c r="X897" i="1"/>
  <c r="Z897" i="1"/>
  <c r="CQ897" i="1"/>
  <c r="W897" i="1"/>
  <c r="CY897" i="1"/>
  <c r="Y897" i="1"/>
  <c r="H898" i="1"/>
  <c r="Z898" i="1"/>
  <c r="CL898" i="1"/>
  <c r="CQ898" i="1"/>
  <c r="W898" i="1"/>
  <c r="CN898" i="1"/>
  <c r="CU898" i="1"/>
  <c r="X898" i="1"/>
  <c r="CY898" i="1"/>
  <c r="Y898" i="1"/>
  <c r="X899" i="1"/>
  <c r="Y899" i="1"/>
  <c r="Z899" i="1"/>
  <c r="CQ899" i="1"/>
  <c r="W899" i="1"/>
  <c r="H900" i="1"/>
  <c r="Z900" i="1"/>
  <c r="CL900" i="1"/>
  <c r="CN900" i="1"/>
  <c r="CQ900" i="1"/>
  <c r="W900" i="1"/>
  <c r="CU900" i="1"/>
  <c r="X900" i="1"/>
  <c r="CY900" i="1"/>
  <c r="Y900" i="1"/>
  <c r="X901" i="1"/>
  <c r="Y901" i="1"/>
  <c r="Z901" i="1"/>
  <c r="CQ901" i="1"/>
  <c r="W901" i="1"/>
  <c r="AC901" i="1"/>
  <c r="X902" i="1"/>
  <c r="Y902" i="1"/>
  <c r="Z902" i="1"/>
  <c r="CQ902" i="1"/>
  <c r="W902" i="1"/>
  <c r="AC902" i="1"/>
  <c r="X903" i="1"/>
  <c r="Y903" i="1"/>
  <c r="Z903" i="1"/>
  <c r="CQ903" i="1"/>
  <c r="W903" i="1"/>
  <c r="AC903" i="1"/>
  <c r="H904" i="1"/>
  <c r="Y904" i="1"/>
  <c r="Z904" i="1"/>
  <c r="CL904" i="1"/>
  <c r="CN904" i="1"/>
  <c r="CQ904" i="1"/>
  <c r="W904" i="1"/>
  <c r="CU904" i="1"/>
  <c r="X904" i="1"/>
  <c r="X905" i="1"/>
  <c r="Y905" i="1"/>
  <c r="Z905" i="1"/>
  <c r="CQ905" i="1"/>
  <c r="W905" i="1"/>
  <c r="X906" i="1"/>
  <c r="Y906" i="1"/>
  <c r="Z906" i="1"/>
  <c r="CQ906" i="1"/>
  <c r="W906" i="1"/>
  <c r="H907" i="1"/>
  <c r="W907" i="1"/>
  <c r="X907" i="1"/>
  <c r="Z907" i="1"/>
  <c r="CQ907" i="1"/>
  <c r="CY907" i="1"/>
  <c r="Y907" i="1"/>
  <c r="AC907" i="1"/>
  <c r="H908" i="1"/>
  <c r="Y908" i="1"/>
  <c r="Z908" i="1"/>
  <c r="AV908" i="1"/>
  <c r="CF908" i="1"/>
  <c r="CL908" i="1"/>
  <c r="CN908" i="1"/>
  <c r="CQ908" i="1"/>
  <c r="W908" i="1"/>
  <c r="CU908" i="1"/>
  <c r="X908" i="1"/>
  <c r="CY908" i="1"/>
  <c r="X909" i="1"/>
  <c r="Y909" i="1"/>
  <c r="Z909" i="1"/>
  <c r="CQ909" i="1"/>
  <c r="W909" i="1"/>
  <c r="X910" i="1"/>
  <c r="Y910" i="1"/>
  <c r="Z910" i="1"/>
  <c r="CQ910" i="1"/>
  <c r="W910" i="1"/>
  <c r="X911" i="1"/>
  <c r="Y911" i="1"/>
  <c r="Z911" i="1"/>
  <c r="CQ911" i="1"/>
  <c r="W911" i="1"/>
  <c r="X912" i="1"/>
  <c r="Y912" i="1"/>
  <c r="Z912" i="1"/>
  <c r="CQ912" i="1"/>
  <c r="W912" i="1"/>
  <c r="X913" i="1"/>
  <c r="Y913" i="1"/>
  <c r="Z913" i="1"/>
  <c r="CQ913" i="1"/>
  <c r="W913" i="1"/>
  <c r="AC913" i="1"/>
  <c r="H914" i="1"/>
  <c r="X914" i="1"/>
  <c r="Z914" i="1"/>
  <c r="CQ914" i="1"/>
  <c r="W914" i="1"/>
  <c r="CY914" i="1"/>
  <c r="Y914" i="1"/>
  <c r="X915" i="1"/>
  <c r="Y915" i="1"/>
  <c r="Z915" i="1"/>
  <c r="CQ915" i="1"/>
  <c r="W915" i="1"/>
  <c r="W916" i="1"/>
  <c r="X916" i="1"/>
  <c r="Y916" i="1"/>
  <c r="AC916" i="1"/>
  <c r="Z916" i="1"/>
  <c r="CQ916" i="1"/>
  <c r="X917" i="1"/>
  <c r="Y917" i="1"/>
  <c r="Z917" i="1"/>
  <c r="CQ917" i="1"/>
  <c r="W917" i="1"/>
  <c r="X918" i="1"/>
  <c r="Y918" i="1"/>
  <c r="Z918" i="1"/>
  <c r="AA918" i="1"/>
  <c r="CQ918" i="1"/>
  <c r="W918" i="1"/>
  <c r="AC918" i="1"/>
  <c r="X919" i="1"/>
  <c r="Y919" i="1"/>
  <c r="Z919" i="1"/>
  <c r="CQ919" i="1"/>
  <c r="W919" i="1"/>
  <c r="AC919" i="1"/>
  <c r="X920" i="1"/>
  <c r="Y920" i="1"/>
  <c r="Z920" i="1"/>
  <c r="CQ920" i="1"/>
  <c r="W920" i="1"/>
  <c r="X921" i="1"/>
  <c r="Y921" i="1"/>
  <c r="Z921" i="1"/>
  <c r="CQ921" i="1"/>
  <c r="W921" i="1"/>
  <c r="X922" i="1"/>
  <c r="Y922" i="1"/>
  <c r="Z922" i="1"/>
  <c r="CQ922" i="1"/>
  <c r="W922" i="1"/>
  <c r="X923" i="1"/>
  <c r="Y923" i="1"/>
  <c r="Z923" i="1"/>
  <c r="CQ923" i="1"/>
  <c r="W923" i="1"/>
  <c r="X924" i="1"/>
  <c r="Y924" i="1"/>
  <c r="Z924" i="1"/>
  <c r="CQ924" i="1"/>
  <c r="W924" i="1"/>
  <c r="X925" i="1"/>
  <c r="Y925" i="1"/>
  <c r="Z925" i="1"/>
  <c r="CQ925" i="1"/>
  <c r="W925" i="1"/>
  <c r="X926" i="1"/>
  <c r="Y926" i="1"/>
  <c r="Z926" i="1"/>
  <c r="CQ926" i="1"/>
  <c r="W926" i="1"/>
  <c r="X927" i="1"/>
  <c r="Y927" i="1"/>
  <c r="Z927" i="1"/>
  <c r="CQ927" i="1"/>
  <c r="W927" i="1"/>
  <c r="X928" i="1"/>
  <c r="Y928" i="1"/>
  <c r="Z928" i="1"/>
  <c r="CQ928" i="1"/>
  <c r="W928" i="1"/>
  <c r="X929" i="1"/>
  <c r="Y929" i="1"/>
  <c r="Z929" i="1"/>
  <c r="CQ929" i="1"/>
  <c r="W929" i="1"/>
  <c r="X930" i="1"/>
  <c r="Y930" i="1"/>
  <c r="Z930" i="1"/>
  <c r="CQ930" i="1"/>
  <c r="W930" i="1"/>
  <c r="X931" i="1"/>
  <c r="Y931" i="1"/>
  <c r="Z931" i="1"/>
  <c r="CQ931" i="1"/>
  <c r="W931" i="1"/>
  <c r="X932" i="1"/>
  <c r="Y932" i="1"/>
  <c r="Z932" i="1"/>
  <c r="CQ932" i="1"/>
  <c r="W932" i="1"/>
  <c r="X933" i="1"/>
  <c r="Y933" i="1"/>
  <c r="Z933" i="1"/>
  <c r="CQ933" i="1"/>
  <c r="W933" i="1"/>
  <c r="X934" i="1"/>
  <c r="Y934" i="1"/>
  <c r="Z934" i="1"/>
  <c r="CQ934" i="1"/>
  <c r="W934" i="1"/>
  <c r="X935" i="1"/>
  <c r="Y935" i="1"/>
  <c r="Z935" i="1"/>
  <c r="CQ935" i="1"/>
  <c r="W935" i="1"/>
  <c r="X936" i="1"/>
  <c r="Y936" i="1"/>
  <c r="Z936" i="1"/>
  <c r="CQ936" i="1"/>
  <c r="W936" i="1"/>
  <c r="X937" i="1"/>
  <c r="Y937" i="1"/>
  <c r="Z937" i="1"/>
  <c r="CQ937" i="1"/>
  <c r="W937" i="1"/>
  <c r="X938" i="1"/>
  <c r="Y938" i="1"/>
  <c r="Z938" i="1"/>
  <c r="CQ938" i="1"/>
  <c r="W938" i="1"/>
  <c r="X939" i="1"/>
  <c r="Y939" i="1"/>
  <c r="Z939" i="1"/>
  <c r="CQ939" i="1"/>
  <c r="W939" i="1"/>
  <c r="X940" i="1"/>
  <c r="Y940" i="1"/>
  <c r="Z940" i="1"/>
  <c r="CQ940" i="1"/>
  <c r="W940" i="1"/>
  <c r="X941" i="1"/>
  <c r="Y941" i="1"/>
  <c r="Z941" i="1"/>
  <c r="CQ941" i="1"/>
  <c r="W941" i="1"/>
  <c r="X942" i="1"/>
  <c r="Y942" i="1"/>
  <c r="Z942" i="1"/>
  <c r="CQ942" i="1"/>
  <c r="W942" i="1"/>
  <c r="X943" i="1"/>
  <c r="Y943" i="1"/>
  <c r="Z943" i="1"/>
  <c r="CQ943" i="1"/>
  <c r="W943" i="1"/>
  <c r="X944" i="1"/>
  <c r="Y944" i="1"/>
  <c r="Z944" i="1"/>
  <c r="CQ944" i="1"/>
  <c r="W944" i="1"/>
  <c r="CS944" i="1"/>
  <c r="X945" i="1"/>
  <c r="Y945" i="1"/>
  <c r="Z945" i="1"/>
  <c r="CQ945" i="1"/>
  <c r="W945" i="1"/>
  <c r="X946" i="1"/>
  <c r="Y946" i="1"/>
  <c r="Z946" i="1"/>
  <c r="CQ946" i="1"/>
  <c r="W946" i="1"/>
  <c r="H947" i="1"/>
  <c r="X947" i="1"/>
  <c r="Y947" i="1"/>
  <c r="Z947" i="1"/>
  <c r="CQ947" i="1"/>
  <c r="W947" i="1"/>
  <c r="X948" i="1"/>
  <c r="Y948" i="1"/>
  <c r="Z948" i="1"/>
  <c r="CQ948" i="1"/>
  <c r="W948" i="1"/>
  <c r="X949" i="1"/>
  <c r="Y949" i="1"/>
  <c r="Z949" i="1"/>
  <c r="CQ949" i="1"/>
  <c r="W949" i="1"/>
  <c r="X950" i="1"/>
  <c r="Y950" i="1"/>
  <c r="Z950" i="1"/>
  <c r="CQ950" i="1"/>
  <c r="W950" i="1"/>
  <c r="X951" i="1"/>
  <c r="Y951" i="1"/>
  <c r="Z951" i="1"/>
  <c r="CQ951" i="1"/>
  <c r="W951" i="1"/>
  <c r="Y952" i="1"/>
  <c r="Z952" i="1"/>
  <c r="BH952" i="1"/>
  <c r="CQ952" i="1"/>
  <c r="W952" i="1"/>
  <c r="CL952" i="1"/>
  <c r="CN952" i="1"/>
  <c r="CU952" i="1"/>
  <c r="X952" i="1"/>
  <c r="X953" i="1"/>
  <c r="Y953" i="1"/>
  <c r="Z953" i="1"/>
  <c r="CQ953" i="1"/>
  <c r="W953" i="1"/>
  <c r="H954" i="1"/>
  <c r="X954" i="1"/>
  <c r="Y954" i="1"/>
  <c r="Z954" i="1"/>
  <c r="CQ954" i="1"/>
  <c r="W954" i="1"/>
  <c r="CY954" i="1"/>
  <c r="H955" i="1"/>
  <c r="X955" i="1"/>
  <c r="Y955" i="1"/>
  <c r="Z955" i="1"/>
  <c r="CQ955" i="1"/>
  <c r="W955" i="1"/>
  <c r="X956" i="1"/>
  <c r="Y956" i="1"/>
  <c r="Z956" i="1"/>
  <c r="CQ956" i="1"/>
  <c r="W956" i="1"/>
  <c r="X957" i="1"/>
  <c r="Y957" i="1"/>
  <c r="Z957" i="1"/>
  <c r="CQ957" i="1"/>
  <c r="W957" i="1"/>
  <c r="X958" i="1"/>
  <c r="Y958" i="1"/>
  <c r="Z958" i="1"/>
  <c r="CQ958" i="1"/>
  <c r="W958" i="1"/>
  <c r="AC958" i="1"/>
  <c r="X959" i="1"/>
  <c r="Y959" i="1"/>
  <c r="Z959" i="1"/>
  <c r="CQ959" i="1"/>
  <c r="W959" i="1"/>
  <c r="X960" i="1"/>
  <c r="Y960" i="1"/>
  <c r="Z960" i="1"/>
  <c r="CQ960" i="1"/>
  <c r="W960" i="1"/>
  <c r="X961" i="1"/>
  <c r="Y961" i="1"/>
  <c r="Z961" i="1"/>
  <c r="CQ961" i="1"/>
  <c r="W961" i="1"/>
  <c r="X962" i="1"/>
  <c r="Y962" i="1"/>
  <c r="Z962" i="1"/>
  <c r="CQ962" i="1"/>
  <c r="W962" i="1"/>
  <c r="CX962" i="1"/>
  <c r="CY962" i="1"/>
  <c r="X963" i="1"/>
  <c r="Y963" i="1"/>
  <c r="Z963" i="1"/>
  <c r="CQ963" i="1"/>
  <c r="W963" i="1"/>
  <c r="H964" i="1"/>
  <c r="X964" i="1"/>
  <c r="Z964" i="1"/>
  <c r="CQ964" i="1"/>
  <c r="W964" i="1"/>
  <c r="CY964" i="1"/>
  <c r="Y964" i="1"/>
  <c r="X965" i="1"/>
  <c r="Y965" i="1"/>
  <c r="Z965" i="1"/>
  <c r="CQ965" i="1"/>
  <c r="W965" i="1"/>
  <c r="X966" i="1"/>
  <c r="Y966" i="1"/>
  <c r="Z966" i="1"/>
  <c r="CQ966" i="1"/>
  <c r="W966" i="1"/>
  <c r="X967" i="1"/>
  <c r="Y967" i="1"/>
  <c r="Z967" i="1"/>
  <c r="CQ967" i="1"/>
  <c r="W967" i="1"/>
  <c r="X968" i="1"/>
  <c r="Y968" i="1"/>
  <c r="Z968" i="1"/>
  <c r="CQ968" i="1"/>
  <c r="W968" i="1"/>
  <c r="X969" i="1"/>
  <c r="Y969" i="1"/>
  <c r="Z969" i="1"/>
  <c r="CQ969" i="1"/>
  <c r="W969" i="1"/>
  <c r="W970" i="1"/>
  <c r="X970" i="1"/>
  <c r="Y970" i="1"/>
  <c r="AC970" i="1"/>
  <c r="Z970" i="1"/>
  <c r="CQ970" i="1"/>
  <c r="X971" i="1"/>
  <c r="Y971" i="1"/>
  <c r="Z971" i="1"/>
  <c r="CQ971" i="1"/>
  <c r="W971" i="1"/>
  <c r="X972" i="1"/>
  <c r="Y972" i="1"/>
  <c r="Z972" i="1"/>
  <c r="CQ972" i="1"/>
  <c r="W972" i="1"/>
  <c r="X973" i="1"/>
  <c r="Y973" i="1"/>
  <c r="Z973" i="1"/>
  <c r="CQ973" i="1"/>
  <c r="W973" i="1"/>
  <c r="X974" i="1"/>
  <c r="Y974" i="1"/>
  <c r="Z974" i="1"/>
  <c r="CQ974" i="1"/>
  <c r="W974" i="1"/>
  <c r="X975" i="1"/>
  <c r="Z975" i="1"/>
  <c r="CQ975" i="1"/>
  <c r="W975" i="1"/>
  <c r="CY975" i="1"/>
  <c r="Y975" i="1"/>
  <c r="X976" i="1"/>
  <c r="Z976" i="1"/>
  <c r="AA976" i="1"/>
  <c r="CF976" i="1"/>
  <c r="CQ976" i="1"/>
  <c r="W976" i="1"/>
  <c r="CU976" i="1"/>
  <c r="CX976" i="1"/>
  <c r="CY976" i="1"/>
  <c r="Y976" i="1"/>
  <c r="H977" i="1"/>
  <c r="X977" i="1"/>
  <c r="Z977" i="1"/>
  <c r="CQ977" i="1"/>
  <c r="W977" i="1"/>
  <c r="CW977" i="1"/>
  <c r="CY977" i="1"/>
  <c r="CY1069" i="1"/>
  <c r="X978" i="1"/>
  <c r="Y978" i="1"/>
  <c r="Z978" i="1"/>
  <c r="CQ978" i="1"/>
  <c r="W978" i="1"/>
  <c r="H979" i="1"/>
  <c r="X979" i="1"/>
  <c r="Y979" i="1"/>
  <c r="Z979" i="1"/>
  <c r="CQ979" i="1"/>
  <c r="W979" i="1"/>
  <c r="H980" i="1"/>
  <c r="I980" i="1"/>
  <c r="X980" i="1"/>
  <c r="Y980" i="1"/>
  <c r="Z980" i="1"/>
  <c r="CQ980" i="1"/>
  <c r="W980" i="1"/>
  <c r="X981" i="1"/>
  <c r="Y981" i="1"/>
  <c r="Z981" i="1"/>
  <c r="CQ981" i="1"/>
  <c r="W981" i="1"/>
  <c r="X982" i="1"/>
  <c r="Y982" i="1"/>
  <c r="Z982" i="1"/>
  <c r="CQ982" i="1"/>
  <c r="W982" i="1"/>
  <c r="AC982" i="1"/>
  <c r="H983" i="1"/>
  <c r="X983" i="1"/>
  <c r="Y983" i="1"/>
  <c r="Z983" i="1"/>
  <c r="CQ983" i="1"/>
  <c r="W983" i="1"/>
  <c r="Y984" i="1"/>
  <c r="Z984" i="1"/>
  <c r="AT984" i="1"/>
  <c r="AV984" i="1"/>
  <c r="BV984" i="1"/>
  <c r="BV1069" i="1"/>
  <c r="CF984" i="1"/>
  <c r="CL984" i="1"/>
  <c r="CU984" i="1"/>
  <c r="X984" i="1"/>
  <c r="CY984" i="1"/>
  <c r="X985" i="1"/>
  <c r="Y985" i="1"/>
  <c r="Z985" i="1"/>
  <c r="AV985" i="1"/>
  <c r="CQ985" i="1"/>
  <c r="W985" i="1"/>
  <c r="CU985" i="1"/>
  <c r="CY985" i="1"/>
  <c r="X986" i="1"/>
  <c r="Y986" i="1"/>
  <c r="Z986" i="1"/>
  <c r="CQ986" i="1"/>
  <c r="W986" i="1"/>
  <c r="X987" i="1"/>
  <c r="Y987" i="1"/>
  <c r="Z987" i="1"/>
  <c r="CQ987" i="1"/>
  <c r="W987" i="1"/>
  <c r="X988" i="1"/>
  <c r="Y988" i="1"/>
  <c r="Z988" i="1"/>
  <c r="CQ988" i="1"/>
  <c r="W988" i="1"/>
  <c r="X989" i="1"/>
  <c r="Y989" i="1"/>
  <c r="Z989" i="1"/>
  <c r="CQ989" i="1"/>
  <c r="W989" i="1"/>
  <c r="X990" i="1"/>
  <c r="Y990" i="1"/>
  <c r="Z990" i="1"/>
  <c r="CQ990" i="1"/>
  <c r="W990" i="1"/>
  <c r="X991" i="1"/>
  <c r="Y991" i="1"/>
  <c r="Z991" i="1"/>
  <c r="CQ991" i="1"/>
  <c r="W991" i="1"/>
  <c r="X992" i="1"/>
  <c r="Y992" i="1"/>
  <c r="Z992" i="1"/>
  <c r="CQ992" i="1"/>
  <c r="W992" i="1"/>
  <c r="X993" i="1"/>
  <c r="Y993" i="1"/>
  <c r="Z993" i="1"/>
  <c r="CQ993" i="1"/>
  <c r="W993" i="1"/>
  <c r="H994" i="1"/>
  <c r="Y994" i="1"/>
  <c r="Z994" i="1"/>
  <c r="CQ994" i="1"/>
  <c r="W994" i="1"/>
  <c r="CU994" i="1"/>
  <c r="X994" i="1"/>
  <c r="X995" i="1"/>
  <c r="Y995" i="1"/>
  <c r="Z995" i="1"/>
  <c r="CQ995" i="1"/>
  <c r="W995" i="1"/>
  <c r="CT995" i="1"/>
  <c r="CU995" i="1"/>
  <c r="X996" i="1"/>
  <c r="Y996" i="1"/>
  <c r="Z996" i="1"/>
  <c r="CQ996" i="1"/>
  <c r="W996" i="1"/>
  <c r="AC996" i="1"/>
  <c r="X997" i="1"/>
  <c r="Y997" i="1"/>
  <c r="Z997" i="1"/>
  <c r="CQ997" i="1"/>
  <c r="W997" i="1"/>
  <c r="AC997" i="1"/>
  <c r="X998" i="1"/>
  <c r="Y998" i="1"/>
  <c r="Z998" i="1"/>
  <c r="CQ998" i="1"/>
  <c r="W998" i="1"/>
  <c r="AC998" i="1"/>
  <c r="X999" i="1"/>
  <c r="Y999" i="1"/>
  <c r="Z999" i="1"/>
  <c r="CQ999" i="1"/>
  <c r="W999" i="1"/>
  <c r="AC999" i="1"/>
  <c r="X1000" i="1"/>
  <c r="Z1000" i="1"/>
  <c r="CQ1000" i="1"/>
  <c r="W1000" i="1"/>
  <c r="CY1000" i="1"/>
  <c r="Y1000" i="1"/>
  <c r="H1001" i="1"/>
  <c r="X1001" i="1"/>
  <c r="Z1001" i="1"/>
  <c r="CQ1001" i="1"/>
  <c r="W1001" i="1"/>
  <c r="AC1001" i="1"/>
  <c r="CY1001" i="1"/>
  <c r="Y1001" i="1"/>
  <c r="H1002" i="1"/>
  <c r="X1002" i="1"/>
  <c r="Z1002" i="1"/>
  <c r="CQ1002" i="1"/>
  <c r="W1002" i="1"/>
  <c r="CW1002" i="1"/>
  <c r="Y1002" i="1"/>
  <c r="CY1002" i="1"/>
  <c r="X1003" i="1"/>
  <c r="Y1003" i="1"/>
  <c r="Z1003" i="1"/>
  <c r="CQ1003" i="1"/>
  <c r="W1003" i="1"/>
  <c r="X1004" i="1"/>
  <c r="Y1004" i="1"/>
  <c r="Z1004" i="1"/>
  <c r="CQ1004" i="1"/>
  <c r="W1004" i="1"/>
  <c r="X1005" i="1"/>
  <c r="Y1005" i="1"/>
  <c r="Z1005" i="1"/>
  <c r="CQ1005" i="1"/>
  <c r="W1005" i="1"/>
  <c r="X1006" i="1"/>
  <c r="Y1006" i="1"/>
  <c r="Z1006" i="1"/>
  <c r="CQ1006" i="1"/>
  <c r="W1006" i="1"/>
  <c r="X1007" i="1"/>
  <c r="Y1007" i="1"/>
  <c r="Z1007" i="1"/>
  <c r="CQ1007" i="1"/>
  <c r="W1007" i="1"/>
  <c r="X1008" i="1"/>
  <c r="Y1008" i="1"/>
  <c r="Z1008" i="1"/>
  <c r="CL1008" i="1"/>
  <c r="CN1008" i="1"/>
  <c r="CQ1008" i="1"/>
  <c r="W1008" i="1"/>
  <c r="CU1008" i="1"/>
  <c r="X1009" i="1"/>
  <c r="Y1009" i="1"/>
  <c r="Z1009" i="1"/>
  <c r="CQ1009" i="1"/>
  <c r="W1009" i="1"/>
  <c r="H1010" i="1"/>
  <c r="H1069" i="1"/>
  <c r="X1010" i="1"/>
  <c r="Y1010" i="1"/>
  <c r="Z1010" i="1"/>
  <c r="CQ1010" i="1"/>
  <c r="W1010" i="1"/>
  <c r="H1011" i="1"/>
  <c r="X1011" i="1"/>
  <c r="Y1011" i="1"/>
  <c r="Z1011" i="1"/>
  <c r="CQ1011" i="1"/>
  <c r="W1011" i="1"/>
  <c r="AC1011" i="1"/>
  <c r="X1012" i="1"/>
  <c r="Y1012" i="1"/>
  <c r="Z1012" i="1"/>
  <c r="CQ1012" i="1"/>
  <c r="W1012" i="1"/>
  <c r="H1013" i="1"/>
  <c r="X1013" i="1"/>
  <c r="Y1013" i="1"/>
  <c r="Z1013" i="1"/>
  <c r="CL1013" i="1"/>
  <c r="CN1013" i="1"/>
  <c r="CQ1013" i="1"/>
  <c r="W1013" i="1"/>
  <c r="CU1013" i="1"/>
  <c r="H1014" i="1"/>
  <c r="Y1014" i="1"/>
  <c r="Z1014" i="1"/>
  <c r="AV1014" i="1"/>
  <c r="CQ1014" i="1"/>
  <c r="W1014" i="1"/>
  <c r="CL1014" i="1"/>
  <c r="CN1014" i="1"/>
  <c r="CU1014" i="1"/>
  <c r="CU1069" i="1"/>
  <c r="X1015" i="1"/>
  <c r="Y1015" i="1"/>
  <c r="Z1015" i="1"/>
  <c r="CQ1015" i="1"/>
  <c r="W1015" i="1"/>
  <c r="X1016" i="1"/>
  <c r="Y1016" i="1"/>
  <c r="Z1016" i="1"/>
  <c r="CQ1016" i="1"/>
  <c r="W1016" i="1"/>
  <c r="X1017" i="1"/>
  <c r="Y1017" i="1"/>
  <c r="Z1017" i="1"/>
  <c r="CQ1017" i="1"/>
  <c r="W1017" i="1"/>
  <c r="H1018" i="1"/>
  <c r="I1018" i="1"/>
  <c r="K1018" i="1"/>
  <c r="X1018" i="1"/>
  <c r="Y1018" i="1"/>
  <c r="Z1018" i="1"/>
  <c r="CQ1018" i="1"/>
  <c r="W1018" i="1"/>
  <c r="X1019" i="1"/>
  <c r="Y1019" i="1"/>
  <c r="Z1019" i="1"/>
  <c r="CQ1019" i="1"/>
  <c r="W1019" i="1"/>
  <c r="X1020" i="1"/>
  <c r="Y1020" i="1"/>
  <c r="Z1020" i="1"/>
  <c r="CQ1020" i="1"/>
  <c r="W1020" i="1"/>
  <c r="X1021" i="1"/>
  <c r="Y1021" i="1"/>
  <c r="Z1021" i="1"/>
  <c r="CQ1021" i="1"/>
  <c r="W1021" i="1"/>
  <c r="X1022" i="1"/>
  <c r="Y1022" i="1"/>
  <c r="Z1022" i="1"/>
  <c r="CQ1022" i="1"/>
  <c r="W1022" i="1"/>
  <c r="X1023" i="1"/>
  <c r="Y1023" i="1"/>
  <c r="Z1023" i="1"/>
  <c r="CQ1023" i="1"/>
  <c r="W1023" i="1"/>
  <c r="X1024" i="1"/>
  <c r="Y1024" i="1"/>
  <c r="Z1024" i="1"/>
  <c r="CQ1024" i="1"/>
  <c r="W1024" i="1"/>
  <c r="AC1024" i="1"/>
  <c r="H1025" i="1"/>
  <c r="Z1025" i="1"/>
  <c r="AV1025" i="1"/>
  <c r="CQ1025" i="1"/>
  <c r="W1025" i="1"/>
  <c r="CL1025" i="1"/>
  <c r="CN1025" i="1"/>
  <c r="CU1025" i="1"/>
  <c r="X1025" i="1"/>
  <c r="CY1025" i="1"/>
  <c r="Y1025" i="1"/>
  <c r="X1026" i="1"/>
  <c r="Y1026" i="1"/>
  <c r="Z1026" i="1"/>
  <c r="CQ1026" i="1"/>
  <c r="W1026" i="1"/>
  <c r="X1027" i="1"/>
  <c r="Y1027" i="1"/>
  <c r="Z1027" i="1"/>
  <c r="CQ1027" i="1"/>
  <c r="W1027" i="1"/>
  <c r="X1028" i="1"/>
  <c r="Y1028" i="1"/>
  <c r="Z1028" i="1"/>
  <c r="CQ1028" i="1"/>
  <c r="W1028" i="1"/>
  <c r="H1029" i="1"/>
  <c r="X1029" i="1"/>
  <c r="Y1029" i="1"/>
  <c r="Z1029" i="1"/>
  <c r="CQ1029" i="1"/>
  <c r="W1029" i="1"/>
  <c r="X1030" i="1"/>
  <c r="Y1030" i="1"/>
  <c r="Z1030" i="1"/>
  <c r="CQ1030" i="1"/>
  <c r="W1030" i="1"/>
  <c r="X1031" i="1"/>
  <c r="Y1031" i="1"/>
  <c r="Z1031" i="1"/>
  <c r="CQ1031" i="1"/>
  <c r="W1031" i="1"/>
  <c r="X1032" i="1"/>
  <c r="Y1032" i="1"/>
  <c r="Z1032" i="1"/>
  <c r="CQ1032" i="1"/>
  <c r="W1032" i="1"/>
  <c r="X1033" i="1"/>
  <c r="Y1033" i="1"/>
  <c r="Z1033" i="1"/>
  <c r="CQ1033" i="1"/>
  <c r="W1033" i="1"/>
  <c r="H1034" i="1"/>
  <c r="X1034" i="1"/>
  <c r="Y1034" i="1"/>
  <c r="Z1034" i="1"/>
  <c r="CQ1034" i="1"/>
  <c r="W1034" i="1"/>
  <c r="X1035" i="1"/>
  <c r="Y1035" i="1"/>
  <c r="Z1035" i="1"/>
  <c r="CQ1035" i="1"/>
  <c r="W1035" i="1"/>
  <c r="AC1035" i="1"/>
  <c r="X1036" i="1"/>
  <c r="Y1036" i="1"/>
  <c r="Z1036" i="1"/>
  <c r="CQ1036" i="1"/>
  <c r="W1036" i="1"/>
  <c r="W1037" i="1"/>
  <c r="X1037" i="1"/>
  <c r="Z1037" i="1"/>
  <c r="CQ1037" i="1"/>
  <c r="CW1037" i="1"/>
  <c r="Y1037" i="1"/>
  <c r="CY1037" i="1"/>
  <c r="Y1038" i="1"/>
  <c r="Z1038" i="1"/>
  <c r="CL1038" i="1"/>
  <c r="CN1038" i="1"/>
  <c r="CQ1038" i="1"/>
  <c r="W1038" i="1"/>
  <c r="CU1038" i="1"/>
  <c r="X1038" i="1"/>
  <c r="X1039" i="1"/>
  <c r="Y1039" i="1"/>
  <c r="Z1039" i="1"/>
  <c r="CQ1039" i="1"/>
  <c r="W1039" i="1"/>
  <c r="X1040" i="1"/>
  <c r="Y1040" i="1"/>
  <c r="Z1040" i="1"/>
  <c r="CQ1040" i="1"/>
  <c r="W1040" i="1"/>
  <c r="X1041" i="1"/>
  <c r="Y1041" i="1"/>
  <c r="Z1041" i="1"/>
  <c r="CQ1041" i="1"/>
  <c r="W1041" i="1"/>
  <c r="X1042" i="1"/>
  <c r="Y1042" i="1"/>
  <c r="Z1042" i="1"/>
  <c r="CQ1042" i="1"/>
  <c r="W1042" i="1"/>
  <c r="H1043" i="1"/>
  <c r="W1043" i="1"/>
  <c r="X1043" i="1"/>
  <c r="Y1043" i="1"/>
  <c r="Z1043" i="1"/>
  <c r="AC1043" i="1"/>
  <c r="CQ1043" i="1"/>
  <c r="X1044" i="1"/>
  <c r="Y1044" i="1"/>
  <c r="Z1044" i="1"/>
  <c r="CQ1044" i="1"/>
  <c r="W1044" i="1"/>
  <c r="X1045" i="1"/>
  <c r="Y1045" i="1"/>
  <c r="Z1045" i="1"/>
  <c r="CQ1045" i="1"/>
  <c r="W1045" i="1"/>
  <c r="X1046" i="1"/>
  <c r="Y1046" i="1"/>
  <c r="Z1046" i="1"/>
  <c r="CQ1046" i="1"/>
  <c r="W1046" i="1"/>
  <c r="X1047" i="1"/>
  <c r="Y1047" i="1"/>
  <c r="Z1047" i="1"/>
  <c r="CQ1047" i="1"/>
  <c r="W1047" i="1"/>
  <c r="X1048" i="1"/>
  <c r="Y1048" i="1"/>
  <c r="Z1048" i="1"/>
  <c r="CQ1048" i="1"/>
  <c r="W1048" i="1"/>
  <c r="H1049" i="1"/>
  <c r="X1049" i="1"/>
  <c r="Y1049" i="1"/>
  <c r="Z1049" i="1"/>
  <c r="CQ1049" i="1"/>
  <c r="W1049" i="1"/>
  <c r="X1050" i="1"/>
  <c r="Y1050" i="1"/>
  <c r="Z1050" i="1"/>
  <c r="CQ1050" i="1"/>
  <c r="W1050" i="1"/>
  <c r="X1051" i="1"/>
  <c r="Y1051" i="1"/>
  <c r="Z1051" i="1"/>
  <c r="AA1051" i="1"/>
  <c r="CQ1051" i="1"/>
  <c r="W1051" i="1"/>
  <c r="H1052" i="1"/>
  <c r="Y1052" i="1"/>
  <c r="Z1052" i="1"/>
  <c r="CK1052" i="1"/>
  <c r="CL1052" i="1"/>
  <c r="CQ1052" i="1"/>
  <c r="W1052" i="1"/>
  <c r="CT1052" i="1"/>
  <c r="CU1052" i="1"/>
  <c r="X1052" i="1"/>
  <c r="X1053" i="1"/>
  <c r="Y1053" i="1"/>
  <c r="Z1053" i="1"/>
  <c r="CQ1053" i="1"/>
  <c r="W1053" i="1"/>
  <c r="X1054" i="1"/>
  <c r="Y1054" i="1"/>
  <c r="Z1054" i="1"/>
  <c r="CQ1054" i="1"/>
  <c r="W1054" i="1"/>
  <c r="X1055" i="1"/>
  <c r="Y1055" i="1"/>
  <c r="Z1055" i="1"/>
  <c r="CQ1055" i="1"/>
  <c r="W1055" i="1"/>
  <c r="X1056" i="1"/>
  <c r="Y1056" i="1"/>
  <c r="Z1056" i="1"/>
  <c r="CQ1056" i="1"/>
  <c r="W1056" i="1"/>
  <c r="X1057" i="1"/>
  <c r="Y1057" i="1"/>
  <c r="Z1057" i="1"/>
  <c r="CQ1057" i="1"/>
  <c r="W1057" i="1"/>
  <c r="X1058" i="1"/>
  <c r="Y1058" i="1"/>
  <c r="Z1058" i="1"/>
  <c r="CQ1058" i="1"/>
  <c r="W1058" i="1"/>
  <c r="X1059" i="1"/>
  <c r="Y1059" i="1"/>
  <c r="Z1059" i="1"/>
  <c r="CQ1059" i="1"/>
  <c r="W1059" i="1"/>
  <c r="X1060" i="1"/>
  <c r="Y1060" i="1"/>
  <c r="Z1060" i="1"/>
  <c r="CQ1060" i="1"/>
  <c r="W1060" i="1"/>
  <c r="X1061" i="1"/>
  <c r="Y1061" i="1"/>
  <c r="Z1061" i="1"/>
  <c r="CQ1061" i="1"/>
  <c r="W1061" i="1"/>
  <c r="X1062" i="1"/>
  <c r="Y1062" i="1"/>
  <c r="Z1062" i="1"/>
  <c r="CQ1062" i="1"/>
  <c r="W1062" i="1"/>
  <c r="X1063" i="1"/>
  <c r="Z1063" i="1"/>
  <c r="CQ1063" i="1"/>
  <c r="W1063" i="1"/>
  <c r="CX1063" i="1"/>
  <c r="CY1063" i="1"/>
  <c r="Y1063" i="1"/>
  <c r="X1064" i="1"/>
  <c r="Y1064" i="1"/>
  <c r="Z1064" i="1"/>
  <c r="CQ1064" i="1"/>
  <c r="W1064" i="1"/>
  <c r="X1065" i="1"/>
  <c r="Y1065" i="1"/>
  <c r="Z1065" i="1"/>
  <c r="CQ1065" i="1"/>
  <c r="W1065" i="1"/>
  <c r="X1066" i="1"/>
  <c r="Y1066" i="1"/>
  <c r="Z1066" i="1"/>
  <c r="CQ1066" i="1"/>
  <c r="W1066" i="1"/>
  <c r="X1067" i="1"/>
  <c r="Y1067" i="1"/>
  <c r="Z1067" i="1"/>
  <c r="CQ1067" i="1"/>
  <c r="W1067" i="1"/>
  <c r="X1068" i="1"/>
  <c r="Y1068" i="1"/>
  <c r="Z1068" i="1"/>
  <c r="CQ1068" i="1"/>
  <c r="W1068" i="1"/>
  <c r="E1069" i="1"/>
  <c r="F1069" i="1"/>
  <c r="G1069" i="1"/>
  <c r="I1069" i="1"/>
  <c r="J1069" i="1"/>
  <c r="K1069" i="1"/>
  <c r="L1069" i="1"/>
  <c r="M1069" i="1"/>
  <c r="N1069" i="1"/>
  <c r="O1069" i="1"/>
  <c r="P1069" i="1"/>
  <c r="Q1069" i="1"/>
  <c r="R1069" i="1"/>
  <c r="S1069" i="1"/>
  <c r="T1069" i="1"/>
  <c r="AA1069" i="1"/>
  <c r="AB1069" i="1"/>
  <c r="AD1069" i="1"/>
  <c r="AI1069" i="1"/>
  <c r="AJ1069" i="1"/>
  <c r="AK1069" i="1"/>
  <c r="AL1069" i="1"/>
  <c r="AM1069" i="1"/>
  <c r="AN1069" i="1"/>
  <c r="AO1069" i="1"/>
  <c r="AP1069" i="1"/>
  <c r="AQ1069" i="1"/>
  <c r="AR1069" i="1"/>
  <c r="AS1069" i="1"/>
  <c r="AT1069" i="1"/>
  <c r="AU1069" i="1"/>
  <c r="AV1069" i="1"/>
  <c r="AW1069" i="1"/>
  <c r="AX1069" i="1"/>
  <c r="AY1069" i="1"/>
  <c r="AZ1069" i="1"/>
  <c r="BA1069" i="1"/>
  <c r="BB1069" i="1"/>
  <c r="BC1069" i="1"/>
  <c r="BD1069" i="1"/>
  <c r="BE1069" i="1"/>
  <c r="BF1069" i="1"/>
  <c r="BG1069" i="1"/>
  <c r="BH1069" i="1"/>
  <c r="BI1069" i="1"/>
  <c r="BJ1069" i="1"/>
  <c r="BK1069" i="1"/>
  <c r="BL1069" i="1"/>
  <c r="BM1069" i="1"/>
  <c r="BN1069" i="1"/>
  <c r="BO1069" i="1"/>
  <c r="BP1069" i="1"/>
  <c r="BQ1069" i="1"/>
  <c r="BR1069" i="1"/>
  <c r="BS1069" i="1"/>
  <c r="BT1069" i="1"/>
  <c r="BU1069" i="1"/>
  <c r="BW1069" i="1"/>
  <c r="BX1069" i="1"/>
  <c r="BY1069" i="1"/>
  <c r="BZ1069" i="1"/>
  <c r="CA1069" i="1"/>
  <c r="CB1069" i="1"/>
  <c r="CC1069" i="1"/>
  <c r="CD1069" i="1"/>
  <c r="CE1069" i="1"/>
  <c r="CF1069" i="1"/>
  <c r="CG1069" i="1"/>
  <c r="CH1069" i="1"/>
  <c r="CI1069" i="1"/>
  <c r="CJ1069" i="1"/>
  <c r="CK1069" i="1"/>
  <c r="CL1069" i="1"/>
  <c r="CM1069" i="1"/>
  <c r="CN1069" i="1"/>
  <c r="CO1069" i="1"/>
  <c r="CP1069" i="1"/>
  <c r="CR1069" i="1"/>
  <c r="CS1069" i="1"/>
  <c r="CT1069" i="1"/>
  <c r="CV1069" i="1"/>
  <c r="CW1069" i="1"/>
  <c r="CX1069" i="1"/>
  <c r="AC968" i="1"/>
  <c r="AC963" i="1"/>
  <c r="AC909" i="1"/>
  <c r="AC767" i="1"/>
  <c r="AC759" i="1"/>
  <c r="AC706" i="1"/>
  <c r="AC673" i="1"/>
  <c r="AC657" i="1"/>
  <c r="AC630" i="1"/>
  <c r="AC535" i="1"/>
  <c r="AC1062" i="1"/>
  <c r="AC1027" i="1"/>
  <c r="AC1010" i="1"/>
  <c r="AC979" i="1"/>
  <c r="AC978" i="1"/>
  <c r="AC972" i="1"/>
  <c r="AC956" i="1"/>
  <c r="AC887" i="1"/>
  <c r="AC847" i="1"/>
  <c r="AC845" i="1"/>
  <c r="AC826" i="1"/>
  <c r="AC824" i="1"/>
  <c r="AC817" i="1"/>
  <c r="AC798" i="1"/>
  <c r="AC751" i="1"/>
  <c r="AC747" i="1"/>
  <c r="AC745" i="1"/>
  <c r="AC707" i="1"/>
  <c r="AC695" i="1"/>
  <c r="AC687" i="1"/>
  <c r="AC658" i="1"/>
  <c r="AC631" i="1"/>
  <c r="AC604" i="1"/>
  <c r="AC1050" i="1"/>
  <c r="AC1049" i="1"/>
  <c r="AC1022" i="1"/>
  <c r="AC1020" i="1"/>
  <c r="AC1018" i="1"/>
  <c r="AC980" i="1"/>
  <c r="AC974" i="1"/>
  <c r="AC966" i="1"/>
  <c r="AC960" i="1"/>
  <c r="AC911" i="1"/>
  <c r="AC865" i="1"/>
  <c r="AC864" i="1"/>
  <c r="AC863" i="1"/>
  <c r="AC862" i="1"/>
  <c r="AC861" i="1"/>
  <c r="AC860" i="1"/>
  <c r="AC859" i="1"/>
  <c r="AC840" i="1"/>
  <c r="AC793" i="1"/>
  <c r="AC789" i="1"/>
  <c r="AC788" i="1"/>
  <c r="AC771" i="1"/>
  <c r="AC769" i="1"/>
  <c r="AC763" i="1"/>
  <c r="AC677" i="1"/>
  <c r="AC1047" i="1"/>
  <c r="AC1045" i="1"/>
  <c r="AC1038" i="1"/>
  <c r="AC994" i="1"/>
  <c r="AC975" i="1"/>
  <c r="AC962" i="1"/>
  <c r="AC946" i="1"/>
  <c r="AC896" i="1"/>
  <c r="AC895" i="1"/>
  <c r="AC877" i="1"/>
  <c r="AC819" i="1"/>
  <c r="AC807" i="1"/>
  <c r="AC796" i="1"/>
  <c r="AC760" i="1"/>
  <c r="AC746" i="1"/>
  <c r="AC722" i="1"/>
  <c r="AC705" i="1"/>
  <c r="AC703" i="1"/>
  <c r="AC702" i="1"/>
  <c r="AC700" i="1"/>
  <c r="AC699" i="1"/>
  <c r="AC698" i="1"/>
  <c r="AC685" i="1"/>
  <c r="AC683" i="1"/>
  <c r="AC682" i="1"/>
  <c r="AC681" i="1"/>
  <c r="AC651" i="1"/>
  <c r="AC650" i="1"/>
  <c r="AC648" i="1"/>
  <c r="AC647" i="1"/>
  <c r="AC646" i="1"/>
  <c r="AC644" i="1"/>
  <c r="AC643" i="1"/>
  <c r="AC642" i="1"/>
  <c r="AC640" i="1"/>
  <c r="AC639" i="1"/>
  <c r="AC638" i="1"/>
  <c r="AC626" i="1"/>
  <c r="AC624" i="1"/>
  <c r="AC620" i="1"/>
  <c r="AC546" i="1"/>
  <c r="AC545" i="1"/>
  <c r="AC544" i="1"/>
  <c r="AC542" i="1"/>
  <c r="AC541" i="1"/>
  <c r="AC540" i="1"/>
  <c r="AC534" i="1"/>
  <c r="AC526" i="1"/>
  <c r="AC519" i="1"/>
  <c r="AC492" i="1"/>
  <c r="AC490" i="1"/>
  <c r="AC487" i="1"/>
  <c r="AC479" i="1"/>
  <c r="AC407" i="1"/>
  <c r="AC399" i="1"/>
  <c r="AC396" i="1"/>
  <c r="AC390" i="1"/>
  <c r="AC384" i="1"/>
  <c r="AC372" i="1"/>
  <c r="AC371" i="1"/>
  <c r="AC370" i="1"/>
  <c r="AC369" i="1"/>
  <c r="AC362" i="1"/>
  <c r="AC356" i="1"/>
  <c r="AC346" i="1"/>
  <c r="AC321" i="1"/>
  <c r="AC319" i="1"/>
  <c r="AC284" i="1"/>
  <c r="AC226" i="1"/>
  <c r="AC199" i="1"/>
  <c r="AC189" i="1"/>
  <c r="AC185" i="1"/>
  <c r="AC141" i="1"/>
  <c r="AC124" i="1"/>
  <c r="AC115" i="1"/>
  <c r="AC74" i="1"/>
  <c r="AC55" i="1"/>
  <c r="AC38" i="1"/>
  <c r="AC611" i="1"/>
  <c r="AC610" i="1"/>
  <c r="AC608" i="1"/>
  <c r="AC607" i="1"/>
  <c r="AC606" i="1"/>
  <c r="AC586" i="1"/>
  <c r="AC585" i="1"/>
  <c r="AC584" i="1"/>
  <c r="AC571" i="1"/>
  <c r="AC570" i="1"/>
  <c r="AC557" i="1"/>
  <c r="AC551" i="1"/>
  <c r="AC550" i="1"/>
  <c r="AC549" i="1"/>
  <c r="AC412" i="1"/>
  <c r="AC409" i="1"/>
  <c r="AC408" i="1"/>
  <c r="AC394" i="1"/>
  <c r="AC392" i="1"/>
  <c r="AC381" i="1"/>
  <c r="AC367" i="1"/>
  <c r="AC352" i="1"/>
  <c r="AC342" i="1"/>
  <c r="AC230" i="1"/>
  <c r="AC209" i="1"/>
  <c r="AC196" i="1"/>
  <c r="AC195" i="1"/>
  <c r="AC145" i="1"/>
  <c r="AC126" i="1"/>
  <c r="AC99" i="1"/>
  <c r="AC505" i="1"/>
  <c r="AC354" i="1"/>
  <c r="AC344" i="1"/>
  <c r="AC234" i="1"/>
  <c r="AC79" i="1"/>
  <c r="AC56" i="1"/>
  <c r="AC34" i="1"/>
  <c r="AC577" i="1"/>
  <c r="AC575" i="1"/>
  <c r="AC574" i="1"/>
  <c r="AC573" i="1"/>
  <c r="AC569" i="1"/>
  <c r="AC567" i="1"/>
  <c r="AC566" i="1"/>
  <c r="AC565" i="1"/>
  <c r="AC509" i="1"/>
  <c r="AC508" i="1"/>
  <c r="AC507" i="1"/>
  <c r="AC485" i="1"/>
  <c r="AC482" i="1"/>
  <c r="AC470" i="1"/>
  <c r="AC462" i="1"/>
  <c r="AC459" i="1"/>
  <c r="AC458" i="1"/>
  <c r="AC456" i="1"/>
  <c r="AC455" i="1"/>
  <c r="AC454" i="1"/>
  <c r="AC452" i="1"/>
  <c r="AC451" i="1"/>
  <c r="AC450" i="1"/>
  <c r="AC448" i="1"/>
  <c r="AC405" i="1"/>
  <c r="AC402" i="1"/>
  <c r="AC382" i="1"/>
  <c r="AC365" i="1"/>
  <c r="AC359" i="1"/>
  <c r="AC358" i="1"/>
  <c r="AC223" i="1"/>
  <c r="AC212" i="1"/>
  <c r="AC187" i="1"/>
  <c r="AC167" i="1"/>
  <c r="AC161" i="1"/>
  <c r="AC157" i="1"/>
  <c r="AC150" i="1"/>
  <c r="AC137" i="1"/>
  <c r="AC131" i="1"/>
  <c r="AC128" i="1"/>
  <c r="AC54" i="1"/>
  <c r="AC31" i="1"/>
  <c r="AC19" i="1"/>
  <c r="AC1060" i="1"/>
  <c r="AC1059" i="1"/>
  <c r="AC1058" i="1"/>
  <c r="AC1037" i="1"/>
  <c r="AC1026" i="1"/>
  <c r="AC1019" i="1"/>
  <c r="AC1017" i="1"/>
  <c r="AC1016" i="1"/>
  <c r="AC1015" i="1"/>
  <c r="AC969" i="1"/>
  <c r="AC957" i="1"/>
  <c r="AC951" i="1"/>
  <c r="AC949" i="1"/>
  <c r="AC947" i="1"/>
  <c r="AC945" i="1"/>
  <c r="AC944" i="1"/>
  <c r="AC942" i="1"/>
  <c r="AC940" i="1"/>
  <c r="AC938" i="1"/>
  <c r="AC936" i="1"/>
  <c r="AC934" i="1"/>
  <c r="AC932" i="1"/>
  <c r="AC930" i="1"/>
  <c r="AC928" i="1"/>
  <c r="AC927" i="1"/>
  <c r="AC926" i="1"/>
  <c r="AC925" i="1"/>
  <c r="AC899" i="1"/>
  <c r="AC894" i="1"/>
  <c r="AC893" i="1"/>
  <c r="AC892" i="1"/>
  <c r="AC884" i="1"/>
  <c r="AC883" i="1"/>
  <c r="AC872" i="1"/>
  <c r="AC871" i="1"/>
  <c r="AC855" i="1"/>
  <c r="AC853" i="1"/>
  <c r="AC852" i="1"/>
  <c r="AC851" i="1"/>
  <c r="AC850" i="1"/>
  <c r="AC844" i="1"/>
  <c r="AC843" i="1"/>
  <c r="AC841" i="1"/>
  <c r="AC835" i="1"/>
  <c r="AC833" i="1"/>
  <c r="AC832" i="1"/>
  <c r="AC816" i="1"/>
  <c r="AC806" i="1"/>
  <c r="AC805" i="1"/>
  <c r="AC795" i="1"/>
  <c r="AC786" i="1"/>
  <c r="AC785" i="1"/>
  <c r="AC781" i="1"/>
  <c r="AC766" i="1"/>
  <c r="AC761" i="1"/>
  <c r="AC754" i="1"/>
  <c r="AC749" i="1"/>
  <c r="AC741" i="1"/>
  <c r="AC739" i="1"/>
  <c r="AC737" i="1"/>
  <c r="AC715" i="1"/>
  <c r="AC710" i="1"/>
  <c r="AC1056" i="1"/>
  <c r="AC1055" i="1"/>
  <c r="AC1054" i="1"/>
  <c r="AC1053" i="1"/>
  <c r="AC1046" i="1"/>
  <c r="AC1028" i="1"/>
  <c r="AC1021" i="1"/>
  <c r="AC1012" i="1"/>
  <c r="AC995" i="1"/>
  <c r="AC981" i="1"/>
  <c r="AC971" i="1"/>
  <c r="AC959" i="1"/>
  <c r="Z1069" i="1"/>
  <c r="AC924" i="1"/>
  <c r="AC923" i="1"/>
  <c r="AC910" i="1"/>
  <c r="AC906" i="1"/>
  <c r="AC905" i="1"/>
  <c r="AC900" i="1"/>
  <c r="AC897" i="1"/>
  <c r="AC886" i="1"/>
  <c r="AC880" i="1"/>
  <c r="AC879" i="1"/>
  <c r="AC878" i="1"/>
  <c r="AC876" i="1"/>
  <c r="AC875" i="1"/>
  <c r="AC870" i="1"/>
  <c r="AC869" i="1"/>
  <c r="AC868" i="1"/>
  <c r="AC858" i="1"/>
  <c r="AC856" i="1"/>
  <c r="AC854" i="1"/>
  <c r="AC849" i="1"/>
  <c r="AC846" i="1"/>
  <c r="AC842" i="1"/>
  <c r="AC834" i="1"/>
  <c r="AC831" i="1"/>
  <c r="AC830" i="1"/>
  <c r="AC825" i="1"/>
  <c r="AC823" i="1"/>
  <c r="AC818" i="1"/>
  <c r="AC810" i="1"/>
  <c r="AC804" i="1"/>
  <c r="AC803" i="1"/>
  <c r="AC797" i="1"/>
  <c r="AC792" i="1"/>
  <c r="AC768" i="1"/>
  <c r="AC756" i="1"/>
  <c r="AC701" i="1"/>
  <c r="AC1067" i="1"/>
  <c r="AC1066" i="1"/>
  <c r="AC1065" i="1"/>
  <c r="AC1048" i="1"/>
  <c r="AC1034" i="1"/>
  <c r="AC1033" i="1"/>
  <c r="AC1032" i="1"/>
  <c r="AC1031" i="1"/>
  <c r="AC1030" i="1"/>
  <c r="AC1029" i="1"/>
  <c r="AC1023" i="1"/>
  <c r="AC1009" i="1"/>
  <c r="AC1008" i="1"/>
  <c r="AC1002" i="1"/>
  <c r="AC985" i="1"/>
  <c r="AC973" i="1"/>
  <c r="AC965" i="1"/>
  <c r="AC964" i="1"/>
  <c r="AC961" i="1"/>
  <c r="AC954" i="1"/>
  <c r="AC953" i="1"/>
  <c r="AC922" i="1"/>
  <c r="AC921" i="1"/>
  <c r="AC915" i="1"/>
  <c r="AC912" i="1"/>
  <c r="AC888" i="1"/>
  <c r="AC867" i="1"/>
  <c r="AC829" i="1"/>
  <c r="AC828" i="1"/>
  <c r="AC820" i="1"/>
  <c r="AC809" i="1"/>
  <c r="AC802" i="1"/>
  <c r="AC801" i="1"/>
  <c r="AC799" i="1"/>
  <c r="AC791" i="1"/>
  <c r="AC777" i="1"/>
  <c r="AC764" i="1"/>
  <c r="AC748" i="1"/>
  <c r="AC744" i="1"/>
  <c r="AC1051" i="1"/>
  <c r="AC1044" i="1"/>
  <c r="AC1036" i="1"/>
  <c r="AC967" i="1"/>
  <c r="AC955" i="1"/>
  <c r="AC920" i="1"/>
  <c r="AC917" i="1"/>
  <c r="AC891" i="1"/>
  <c r="AC839" i="1"/>
  <c r="AC814" i="1"/>
  <c r="AC813" i="1"/>
  <c r="AC800" i="1"/>
  <c r="AC790" i="1"/>
  <c r="AC778" i="1"/>
  <c r="AC757" i="1"/>
  <c r="AC724" i="1"/>
  <c r="AC721" i="1"/>
  <c r="AC719" i="1"/>
  <c r="AC780" i="1"/>
  <c r="AC773" i="1"/>
  <c r="AC762" i="1"/>
  <c r="AC758" i="1"/>
  <c r="AC750" i="1"/>
  <c r="AC729" i="1"/>
  <c r="AC717" i="1"/>
  <c r="AC713" i="1"/>
  <c r="AC709" i="1"/>
  <c r="AC692" i="1"/>
  <c r="AC691" i="1"/>
  <c r="AC690" i="1"/>
  <c r="AC686" i="1"/>
  <c r="AC678" i="1"/>
  <c r="AC674" i="1"/>
  <c r="AC663" i="1"/>
  <c r="AC659" i="1"/>
  <c r="AC637" i="1"/>
  <c r="AC627" i="1"/>
  <c r="AC623" i="1"/>
  <c r="AC622" i="1"/>
  <c r="AC619" i="1"/>
  <c r="AC617" i="1"/>
  <c r="AC616" i="1"/>
  <c r="AC615" i="1"/>
  <c r="AC614" i="1"/>
  <c r="AC613" i="1"/>
  <c r="AC612" i="1"/>
  <c r="AC556" i="1"/>
  <c r="AC555" i="1"/>
  <c r="AC554" i="1"/>
  <c r="AC553" i="1"/>
  <c r="AC552" i="1"/>
  <c r="AC488" i="1"/>
  <c r="AC484" i="1"/>
  <c r="AC468" i="1"/>
  <c r="AC467" i="1"/>
  <c r="AC465" i="1"/>
  <c r="AC446" i="1"/>
  <c r="AC414" i="1"/>
  <c r="AC697" i="1"/>
  <c r="AC680" i="1"/>
  <c r="AC666" i="1"/>
  <c r="AC665" i="1"/>
  <c r="AC662" i="1"/>
  <c r="AC654" i="1"/>
  <c r="AC653" i="1"/>
  <c r="AC652" i="1"/>
  <c r="AC649" i="1"/>
  <c r="AC645" i="1"/>
  <c r="AC641" i="1"/>
  <c r="AC636" i="1"/>
  <c r="AC635" i="1"/>
  <c r="AC634" i="1"/>
  <c r="AC633" i="1"/>
  <c r="AC632" i="1"/>
  <c r="AC621" i="1"/>
  <c r="AC609" i="1"/>
  <c r="AC605" i="1"/>
  <c r="AC587" i="1"/>
  <c r="AC583" i="1"/>
  <c r="AC576" i="1"/>
  <c r="AC572" i="1"/>
  <c r="AC568" i="1"/>
  <c r="AC564" i="1"/>
  <c r="AC548" i="1"/>
  <c r="AC543" i="1"/>
  <c r="AC532" i="1"/>
  <c r="AC531" i="1"/>
  <c r="AC530" i="1"/>
  <c r="AC529" i="1"/>
  <c r="AC528" i="1"/>
  <c r="AC527" i="1"/>
  <c r="AC525" i="1"/>
  <c r="AC518" i="1"/>
  <c r="AC480" i="1"/>
  <c r="AC727" i="1"/>
  <c r="AC726" i="1"/>
  <c r="AC725" i="1"/>
  <c r="AC720" i="1"/>
  <c r="AC716" i="1"/>
  <c r="AC712" i="1"/>
  <c r="AC708" i="1"/>
  <c r="AC704" i="1"/>
  <c r="AC696" i="1"/>
  <c r="AC689" i="1"/>
  <c r="AC688" i="1"/>
  <c r="AC684" i="1"/>
  <c r="AC676" i="1"/>
  <c r="AC664" i="1"/>
  <c r="AC660" i="1"/>
  <c r="AC656" i="1"/>
  <c r="AC629" i="1"/>
  <c r="AC625" i="1"/>
  <c r="AC601" i="1"/>
  <c r="AC600" i="1"/>
  <c r="AC599" i="1"/>
  <c r="AC598" i="1"/>
  <c r="AC597" i="1"/>
  <c r="AC596" i="1"/>
  <c r="AC595" i="1"/>
  <c r="AC594" i="1"/>
  <c r="AC593" i="1"/>
  <c r="AC592" i="1"/>
  <c r="AC591" i="1"/>
  <c r="AC590" i="1"/>
  <c r="AC589" i="1"/>
  <c r="AC582" i="1"/>
  <c r="AC581" i="1"/>
  <c r="AC580" i="1"/>
  <c r="AC579" i="1"/>
  <c r="AC578" i="1"/>
  <c r="AC563" i="1"/>
  <c r="AC562" i="1"/>
  <c r="AC561" i="1"/>
  <c r="AC560" i="1"/>
  <c r="AC559" i="1"/>
  <c r="AC558" i="1"/>
  <c r="AC537" i="1"/>
  <c r="AC520" i="1"/>
  <c r="AC512" i="1"/>
  <c r="AC511" i="1"/>
  <c r="AC489" i="1"/>
  <c r="AC445" i="1"/>
  <c r="AC661" i="1"/>
  <c r="AC588" i="1"/>
  <c r="AC539" i="1"/>
  <c r="AC521" i="1"/>
  <c r="AC514" i="1"/>
  <c r="AC501" i="1"/>
  <c r="AC498" i="1"/>
  <c r="AC497" i="1"/>
  <c r="AC496" i="1"/>
  <c r="AC495" i="1"/>
  <c r="AC494" i="1"/>
  <c r="AC491" i="1"/>
  <c r="AC483" i="1"/>
  <c r="AC478" i="1"/>
  <c r="AC475" i="1"/>
  <c r="AC474" i="1"/>
  <c r="AC473" i="1"/>
  <c r="AC472" i="1"/>
  <c r="AC471" i="1"/>
  <c r="AC499" i="1"/>
  <c r="AC493" i="1"/>
  <c r="AC486" i="1"/>
  <c r="AC481" i="1"/>
  <c r="AC476" i="1"/>
  <c r="AC464" i="1"/>
  <c r="AC463" i="1"/>
  <c r="AC404" i="1"/>
  <c r="AC397" i="1"/>
  <c r="AC387" i="1"/>
  <c r="AC379" i="1"/>
  <c r="AC368" i="1"/>
  <c r="AC357" i="1"/>
  <c r="AC313" i="1"/>
  <c r="AC305" i="1"/>
  <c r="AC304" i="1"/>
  <c r="AC303" i="1"/>
  <c r="AC302" i="1"/>
  <c r="AC301" i="1"/>
  <c r="AC300" i="1"/>
  <c r="AC299" i="1"/>
  <c r="AC298" i="1"/>
  <c r="AC297" i="1"/>
  <c r="AC296" i="1"/>
  <c r="AC295" i="1"/>
  <c r="AC294" i="1"/>
  <c r="AC293" i="1"/>
  <c r="AC292" i="1"/>
  <c r="AC291" i="1"/>
  <c r="AC287" i="1"/>
  <c r="AC286" i="1"/>
  <c r="AC282" i="1"/>
  <c r="AC242" i="1"/>
  <c r="AC215" i="1"/>
  <c r="AC204" i="1"/>
  <c r="AC177" i="1"/>
  <c r="AC155" i="1"/>
  <c r="AC153" i="1"/>
  <c r="AC152" i="1"/>
  <c r="AC104" i="1"/>
  <c r="AC94" i="1"/>
  <c r="AC80" i="1"/>
  <c r="AC72" i="1"/>
  <c r="AC62" i="1"/>
  <c r="AC59" i="1"/>
  <c r="AC32" i="1"/>
  <c r="AC20" i="1"/>
  <c r="AC360" i="1"/>
  <c r="AC351" i="1"/>
  <c r="AC341" i="1"/>
  <c r="AC318" i="1"/>
  <c r="AC256" i="1"/>
  <c r="AC245" i="1"/>
  <c r="AC220" i="1"/>
  <c r="AC461" i="1"/>
  <c r="AC421" i="1"/>
  <c r="AC420" i="1"/>
  <c r="AC411" i="1"/>
  <c r="AC406" i="1"/>
  <c r="AC401" i="1"/>
  <c r="AC391" i="1"/>
  <c r="AC383" i="1"/>
  <c r="AC378" i="1"/>
  <c r="AC377" i="1"/>
  <c r="AC376" i="1"/>
  <c r="AC375" i="1"/>
  <c r="AC374" i="1"/>
  <c r="AC364" i="1"/>
  <c r="AC363" i="1"/>
  <c r="AC361" i="1"/>
  <c r="AC353" i="1"/>
  <c r="AC347" i="1"/>
  <c r="AC343" i="1"/>
  <c r="AC320" i="1"/>
  <c r="AC307" i="1"/>
  <c r="AC280" i="1"/>
  <c r="AC279" i="1"/>
  <c r="AC254" i="1"/>
  <c r="AC252" i="1"/>
  <c r="AC247" i="1"/>
  <c r="AC243" i="1"/>
  <c r="AC241" i="1"/>
  <c r="AC240" i="1"/>
  <c r="AC239" i="1"/>
  <c r="AC105" i="1"/>
  <c r="AC76" i="1"/>
  <c r="AC63" i="1"/>
  <c r="AC413" i="1"/>
  <c r="AC403" i="1"/>
  <c r="AC395" i="1"/>
  <c r="AC393" i="1"/>
  <c r="AC385" i="1"/>
  <c r="AC373" i="1"/>
  <c r="AC366" i="1"/>
  <c r="AC355" i="1"/>
  <c r="AC345" i="1"/>
  <c r="AC316" i="1"/>
  <c r="AC315" i="1"/>
  <c r="AC311" i="1"/>
  <c r="AC310" i="1"/>
  <c r="AC309" i="1"/>
  <c r="AC308" i="1"/>
  <c r="AC306" i="1"/>
  <c r="AC278" i="1"/>
  <c r="AC261" i="1"/>
  <c r="AC246" i="1"/>
  <c r="AC236" i="1"/>
  <c r="AC164" i="1"/>
  <c r="AC251" i="1"/>
  <c r="AC248" i="1"/>
  <c r="AC244" i="1"/>
  <c r="AC233" i="1"/>
  <c r="AC229" i="1"/>
  <c r="AC225" i="1"/>
  <c r="AC222" i="1"/>
  <c r="AC213" i="1"/>
  <c r="AC210" i="1"/>
  <c r="AC207" i="1"/>
  <c r="AC200" i="1"/>
  <c r="AC197" i="1"/>
  <c r="AC194" i="1"/>
  <c r="AC191" i="1"/>
  <c r="AC186" i="1"/>
  <c r="AC183" i="1"/>
  <c r="AC180" i="1"/>
  <c r="AC175" i="1"/>
  <c r="AC172" i="1"/>
  <c r="AC168" i="1"/>
  <c r="AC162" i="1"/>
  <c r="AC159" i="1"/>
  <c r="AC146" i="1"/>
  <c r="AC142" i="1"/>
  <c r="AC138" i="1"/>
  <c r="AC134" i="1"/>
  <c r="AC125" i="1"/>
  <c r="AC106" i="1"/>
  <c r="AC83" i="1"/>
  <c r="AC73" i="1"/>
  <c r="AC57" i="1"/>
  <c r="AC37" i="1"/>
  <c r="AC33" i="1"/>
  <c r="AC21" i="1"/>
  <c r="AC4" i="1"/>
  <c r="AC216" i="1"/>
  <c r="AC211" i="1"/>
  <c r="AC208" i="1"/>
  <c r="AC205" i="1"/>
  <c r="AC202" i="1"/>
  <c r="AC198" i="1"/>
  <c r="AC192" i="1"/>
  <c r="AC190" i="1"/>
  <c r="AC184" i="1"/>
  <c r="AC181" i="1"/>
  <c r="AC178" i="1"/>
  <c r="AC173" i="1"/>
  <c r="AC166" i="1"/>
  <c r="AC160" i="1"/>
  <c r="AC158" i="1"/>
  <c r="AC154" i="1"/>
  <c r="AC151" i="1"/>
  <c r="AC148" i="1"/>
  <c r="AC133" i="1"/>
  <c r="AC127" i="1"/>
  <c r="AC114" i="1"/>
  <c r="AC113" i="1"/>
  <c r="AC112" i="1"/>
  <c r="AC111" i="1"/>
  <c r="AC100" i="1"/>
  <c r="AC97" i="1"/>
  <c r="AC75" i="1"/>
  <c r="AC58" i="1"/>
  <c r="AC53" i="1"/>
  <c r="AC52" i="1"/>
  <c r="AC50" i="1"/>
  <c r="AC49" i="1"/>
  <c r="AC48" i="1"/>
  <c r="AC47" i="1"/>
  <c r="AC46" i="1"/>
  <c r="AC45" i="1"/>
  <c r="AC44" i="1"/>
  <c r="AC43" i="1"/>
  <c r="AC42" i="1"/>
  <c r="AC39" i="1"/>
  <c r="AC35" i="1"/>
  <c r="AC28" i="1"/>
  <c r="AC27" i="1"/>
  <c r="AC26" i="1"/>
  <c r="AC25" i="1"/>
  <c r="AC24" i="1"/>
  <c r="AC23" i="1"/>
  <c r="AC22" i="1"/>
  <c r="AC9" i="1"/>
  <c r="AC3" i="1"/>
  <c r="AC235" i="1"/>
  <c r="AC231" i="1"/>
  <c r="AC227" i="1"/>
  <c r="AC224" i="1"/>
  <c r="AC217" i="1"/>
  <c r="AC214" i="1"/>
  <c r="AC206" i="1"/>
  <c r="AC203" i="1"/>
  <c r="AC193" i="1"/>
  <c r="AC188" i="1"/>
  <c r="AC182" i="1"/>
  <c r="AC179" i="1"/>
  <c r="AC176" i="1"/>
  <c r="AC171" i="1"/>
  <c r="AC170" i="1"/>
  <c r="AC165" i="1"/>
  <c r="AC163" i="1"/>
  <c r="AC156" i="1"/>
  <c r="AC149" i="1"/>
  <c r="AC144" i="1"/>
  <c r="AC140" i="1"/>
  <c r="AC136" i="1"/>
  <c r="AC132" i="1"/>
  <c r="AC129" i="1"/>
  <c r="AC121" i="1"/>
  <c r="AC102" i="1"/>
  <c r="AC101" i="1"/>
  <c r="AC96" i="1"/>
  <c r="AC95" i="1"/>
  <c r="AC91" i="1"/>
  <c r="AC90" i="1"/>
  <c r="AC89" i="1"/>
  <c r="AC88" i="1"/>
  <c r="AC87" i="1"/>
  <c r="AC86" i="1"/>
  <c r="AC85" i="1"/>
  <c r="AC84" i="1"/>
  <c r="AC82" i="1"/>
  <c r="AC81" i="1"/>
  <c r="AC77" i="1"/>
  <c r="AC71" i="1"/>
  <c r="AC70" i="1"/>
  <c r="AC69" i="1"/>
  <c r="AC68" i="1"/>
  <c r="AC67" i="1"/>
  <c r="AC66" i="1"/>
  <c r="AC65" i="1"/>
  <c r="AC64" i="1"/>
  <c r="AC60" i="1"/>
  <c r="AC40" i="1"/>
  <c r="AC29" i="1"/>
  <c r="AC10" i="1"/>
  <c r="AC8" i="1"/>
  <c r="AC7" i="1"/>
  <c r="Y1069" i="1"/>
  <c r="AC1013" i="1"/>
  <c r="AC1007" i="1"/>
  <c r="AC1006" i="1"/>
  <c r="AC1005" i="1"/>
  <c r="AC1004" i="1"/>
  <c r="AC1003" i="1"/>
  <c r="AC1000" i="1"/>
  <c r="AC993" i="1"/>
  <c r="AC992" i="1"/>
  <c r="AC991" i="1"/>
  <c r="AC990" i="1"/>
  <c r="AC989" i="1"/>
  <c r="AC988" i="1"/>
  <c r="AC987" i="1"/>
  <c r="AC986" i="1"/>
  <c r="AC983" i="1"/>
  <c r="Y977" i="1"/>
  <c r="AC976" i="1"/>
  <c r="AC914" i="1"/>
  <c r="AC904" i="1"/>
  <c r="AC898" i="1"/>
  <c r="AC882" i="1"/>
  <c r="AC873" i="1"/>
  <c r="AC866" i="1"/>
  <c r="AC822" i="1"/>
  <c r="AC783" i="1"/>
  <c r="AC1068" i="1"/>
  <c r="AC1064" i="1"/>
  <c r="AC1061" i="1"/>
  <c r="AC1057" i="1"/>
  <c r="AC1052" i="1"/>
  <c r="AC1042" i="1"/>
  <c r="AC1041" i="1"/>
  <c r="AC1040" i="1"/>
  <c r="AC1039" i="1"/>
  <c r="X1014" i="1"/>
  <c r="X1069" i="1"/>
  <c r="CQ984" i="1"/>
  <c r="W984" i="1"/>
  <c r="AC984" i="1"/>
  <c r="AC977" i="1"/>
  <c r="AC950" i="1"/>
  <c r="AC948" i="1"/>
  <c r="AC885" i="1"/>
  <c r="AC836" i="1"/>
  <c r="AC827" i="1"/>
  <c r="AC808" i="1"/>
  <c r="AC794" i="1"/>
  <c r="AC1063" i="1"/>
  <c r="AC1025" i="1"/>
  <c r="AC1014" i="1"/>
  <c r="AC952" i="1"/>
  <c r="AC943" i="1"/>
  <c r="AC941" i="1"/>
  <c r="AC939" i="1"/>
  <c r="AC937" i="1"/>
  <c r="AC935" i="1"/>
  <c r="AC933" i="1"/>
  <c r="AC931" i="1"/>
  <c r="AC929" i="1"/>
  <c r="AC908" i="1"/>
  <c r="AC848" i="1"/>
  <c r="AC779" i="1"/>
  <c r="AC774" i="1"/>
  <c r="AC770" i="1"/>
  <c r="AC728" i="1"/>
  <c r="AC723" i="1"/>
  <c r="AC694" i="1"/>
  <c r="AC693" i="1"/>
  <c r="AC510" i="1"/>
  <c r="AC787" i="1"/>
  <c r="AC784" i="1"/>
  <c r="AC752" i="1"/>
  <c r="AC515" i="1"/>
  <c r="AC506" i="1"/>
  <c r="AC782" i="1"/>
  <c r="AC776" i="1"/>
  <c r="AC772" i="1"/>
  <c r="AC742" i="1"/>
  <c r="AC740" i="1"/>
  <c r="AC738" i="1"/>
  <c r="AC736" i="1"/>
  <c r="AC735" i="1"/>
  <c r="AC734" i="1"/>
  <c r="AC733" i="1"/>
  <c r="AC732" i="1"/>
  <c r="AC731" i="1"/>
  <c r="AC730" i="1"/>
  <c r="AC536" i="1"/>
  <c r="CQ447" i="1"/>
  <c r="W447" i="1"/>
  <c r="AC447" i="1"/>
  <c r="CQ444" i="1"/>
  <c r="W444" i="1"/>
  <c r="AC444" i="1"/>
  <c r="AC442" i="1"/>
  <c r="AC440" i="1"/>
  <c r="AC438" i="1"/>
  <c r="AC436" i="1"/>
  <c r="AC434" i="1"/>
  <c r="AC432" i="1"/>
  <c r="AC430" i="1"/>
  <c r="AC428" i="1"/>
  <c r="AC426" i="1"/>
  <c r="AC424" i="1"/>
  <c r="AC337" i="1"/>
  <c r="CQ422" i="1"/>
  <c r="W422" i="1"/>
  <c r="AC422" i="1"/>
  <c r="AC419" i="1"/>
  <c r="AC418" i="1"/>
  <c r="AC417" i="1"/>
  <c r="AC416" i="1"/>
  <c r="AC415" i="1"/>
  <c r="AC410" i="1"/>
  <c r="AC340" i="1"/>
  <c r="AC466" i="1"/>
  <c r="AC457" i="1"/>
  <c r="AC453" i="1"/>
  <c r="AC449" i="1"/>
  <c r="AC348" i="1"/>
  <c r="AC283" i="1"/>
  <c r="AC277" i="1"/>
  <c r="AC276" i="1"/>
  <c r="AC275" i="1"/>
  <c r="AC274" i="1"/>
  <c r="AC273" i="1"/>
  <c r="AC272" i="1"/>
  <c r="AC271" i="1"/>
  <c r="AC270" i="1"/>
  <c r="AC269" i="1"/>
  <c r="AC268" i="1"/>
  <c r="AC267" i="1"/>
  <c r="AC266" i="1"/>
  <c r="AC265" i="1"/>
  <c r="AC264" i="1"/>
  <c r="AC259" i="1"/>
  <c r="AC258" i="1"/>
  <c r="AC255" i="1"/>
  <c r="AC253" i="1"/>
  <c r="AC250" i="1"/>
  <c r="AC288" i="1"/>
  <c r="AC285" i="1"/>
  <c r="AC281" i="1"/>
  <c r="AC263" i="1"/>
  <c r="AC260" i="1"/>
  <c r="AC249" i="1"/>
  <c r="AC119" i="1"/>
  <c r="AC116" i="1"/>
  <c r="AC36" i="1"/>
  <c r="AC6" i="1"/>
  <c r="AC5" i="1"/>
  <c r="CQ117" i="1"/>
  <c r="AC51" i="1"/>
  <c r="AC110" i="1"/>
  <c r="AC109" i="1"/>
  <c r="AC108" i="1"/>
  <c r="AC107" i="1"/>
  <c r="W117" i="1"/>
  <c r="CQ1069" i="1"/>
  <c r="AC117" i="1"/>
  <c r="AC1069" i="1"/>
  <c r="W1069" i="1"/>
</calcChain>
</file>

<file path=xl/sharedStrings.xml><?xml version="1.0" encoding="utf-8"?>
<sst xmlns="http://schemas.openxmlformats.org/spreadsheetml/2006/main" count="6557" uniqueCount="1484">
  <si>
    <r>
      <t xml:space="preserve">REPORTE DE CRUZ ROJA Y DEL CREPAD. </t>
    </r>
    <r>
      <rPr>
        <b/>
        <sz val="10"/>
        <rFont val="Arial"/>
        <family val="2"/>
      </rPr>
      <t>SE REGRESA AL CREPAD PARA APOYO LOCAL Y REGIONAL POR LIMITACION DE RECURSOS DEL FNC.</t>
    </r>
  </si>
  <si>
    <r>
      <t xml:space="preserve">BARRIOS BOSQUE PARTE ALTA Y BAJA. DELICIAS, SORRENTO, SIETE DE AGOSTO, MANDARINOS, GAVIOTA, SAN ANTONIO. </t>
    </r>
    <r>
      <rPr>
        <b/>
        <sz val="10"/>
        <rFont val="Arial"/>
        <family val="2"/>
      </rPr>
      <t>SE DEVOLVIO AL CREPAD PARA APOYO REGIONAL POR LIMITACION DE RECURSOS.</t>
    </r>
  </si>
  <si>
    <r>
      <t xml:space="preserve">REPORTE DE LA DEFENSA CIVIL </t>
    </r>
    <r>
      <rPr>
        <b/>
        <sz val="10"/>
        <rFont val="Arial"/>
        <family val="2"/>
      </rPr>
      <t>APOYO DEL FNC MEDIANTE GIRO DIRECTO AL CLOPAD PARA ALQUILER DE MAQUINARIA, OPERARIOS Y DEMAS GASTO LOGISTICOS ($60.000.000); FORTALECIMIENTO DE ENTIDADES OPERATIVAS ($20,000,000); CUATRO MOTOSIERRAS ($15,000,000) VALOR TOTAL DEL GIRO $95.000.000.</t>
    </r>
  </si>
  <si>
    <r>
      <t xml:space="preserve">AFECTADOS BARRIOS LA LIBERTAD Y SIMON BOLIVAR. </t>
    </r>
    <r>
      <rPr>
        <b/>
        <sz val="10"/>
        <rFont val="Arial"/>
        <family val="2"/>
      </rPr>
      <t>SOLICITAN RECURSOS PARA ALQUILER DE MAQUINARIA, PERO SE DEVOLVIO AL CREPAD PARA APOYO REGIONAL POR LIMITACION DE RECURSOS.</t>
    </r>
  </si>
  <si>
    <r>
      <t xml:space="preserve">VEREDAS NORTE REDONDO, LA FLORESTA, AGUASNEGRAS, SAN RAFAEL, LA CUCHILLA, BARRIOS CENTRO, MODELO LA FLORESTA. </t>
    </r>
    <r>
      <rPr>
        <b/>
        <sz val="10"/>
        <rFont val="Arial"/>
        <family val="2"/>
      </rPr>
      <t>SE REGRESA AL CREPAD PARA APOYO LOCAL Y REGIONAL POR LIMITACION DE RECURSOS DEL FNC.</t>
    </r>
  </si>
  <si>
    <r>
      <t xml:space="preserve">BARRIOS LA MARIA, LA ESPERANZA, TURBAQUITO, CINCO DE NOVIEMBRE, LAS PARCELAS, EL POLIDEPORTIVO.. AFECTADO EL COLEGIO BENJAMIN HERRERA DONDE RESULTARON HERIDOS TRES ESTUDIANTES. </t>
    </r>
    <r>
      <rPr>
        <b/>
        <sz val="10"/>
        <rFont val="Arial"/>
        <family val="2"/>
      </rPr>
      <t>SE SOLICITO AL CREPAD ATENDER CON RECURSOS PROPIOS DEBIDO A LIMITACION DE RECURSOS</t>
    </r>
  </si>
  <si>
    <r>
      <t xml:space="preserve">VEREDA CURVAS DE SAN CALIXTO. REPRESAMIENTO RIO TIMANA. </t>
    </r>
    <r>
      <rPr>
        <b/>
        <sz val="10"/>
        <rFont val="Arial"/>
        <family val="2"/>
      </rPr>
      <t>EVACUACION PREVENTIVA DE 254 PERSONAS. APOYO DEL FNC MEDIANTE GIRO DIRECTO AL CLOPAD PARA COMBUSTIBLE Y LUBRICANTES ($10.000.000), ALQUILER DE MAQUINARIA ($15,000,000), LABORES DE MONITORES ($15,000,000), MATERIALES DE CONSTRUCCION Y HERRAMIENTA MENORA PARA REHABILITACION DE ACUEDUCTOS ($30,000,000), APOYO PARA LABORES EDAN ($30,000,000).</t>
    </r>
  </si>
  <si>
    <r>
      <t xml:space="preserve">EL MUNICIPIO DECLARO EMERGENCIA VIAL. AFECTADAS VIAS VENECIA - SAN JOSE, SAN JOSE - SANTA LUCIA, SAN JOSE - LA FLORESTA, SOCHE - GUASIMAL ALTO. </t>
    </r>
    <r>
      <rPr>
        <b/>
        <sz val="10"/>
        <rFont val="Arial"/>
        <family val="2"/>
      </rPr>
      <t>PASA A SECTOR VIAS.</t>
    </r>
  </si>
  <si>
    <r>
      <t xml:space="preserve">AFECTADAS VIAS JUNIN CEDRO - JAIMITO, JAIMITO - BUCUTA, TABETA - NITAGA, TABETA - BAJO CHAMACA, TULI - CORRAL DE PEÑA, PIEDRA BOLIVAR - AGUAS CALIENTES. </t>
    </r>
    <r>
      <rPr>
        <b/>
        <sz val="10"/>
        <rFont val="Arial"/>
        <family val="2"/>
      </rPr>
      <t>SE DEVOLVIO AL CREPAD SOLICITUD DE RECURSOS POR $80.000.000 PARA COMBUSTIBLE.</t>
    </r>
  </si>
  <si>
    <r>
      <t xml:space="preserve">DESBORDAMIENTO RIO CISNEROS, CINCO BARRIOS AFECTADOS. PENDIENTE EVALUACION. </t>
    </r>
    <r>
      <rPr>
        <b/>
        <sz val="10"/>
        <rFont val="Arial"/>
        <family val="2"/>
      </rPr>
      <t>APOYO DEL FNC MEDIANTE GIRO DIRECTO AL CLOPAD PARA ALQUILER DE MAQUINARIA Y PERSONAL PARA LA REALIZACION DE TRABAJOS ENCAMINADOS A LA REMOCION DE ESCOMBROS EN LA VIA QUE COMUNICA A LA VEREDA LE SILENCIO.</t>
    </r>
  </si>
  <si>
    <r>
      <t xml:space="preserve">SOLICITAN AYUDS CONSISTENTES EN MATERIALES DE CONSTRUCCIONPARA REUBICACION DE 14 </t>
    </r>
    <r>
      <rPr>
        <b/>
        <sz val="10"/>
        <rFont val="Arial"/>
        <family val="2"/>
      </rPr>
      <t>VIVIENDAS., PERO NO ENVIAN PROYECTO, NI BANCO DE MATERIALES.</t>
    </r>
  </si>
  <si>
    <r>
      <t xml:space="preserve">CORREGIMIENTO DE SINAI.  PENDIENTE MAYOR INFORMACION. </t>
    </r>
    <r>
      <rPr>
        <b/>
        <sz val="10"/>
        <rFont val="Arial"/>
        <family val="2"/>
      </rPr>
      <t>APOYO DEL FNC MEDIANTE GIRO DIRECTO AL CLOPAD PARA LA CONSTRUCCION DE UN BOX COULVERT POR VALOR DE $30.000.000</t>
    </r>
  </si>
  <si>
    <r>
      <t xml:space="preserve">EL CLOPAD ENVIA DECRETO 020 DE MARZO 22 MEDIANTE EL CUAL SE DECLARA ESTADO DE EMERGENCIA EN SUS VIAS PRINCIPALES DE ACCESO. </t>
    </r>
    <r>
      <rPr>
        <b/>
        <sz val="10"/>
        <rFont val="Arial"/>
        <family val="2"/>
      </rPr>
      <t>PASA A SECTOR DE INFRAESTRUCTURA VIAL. AFECTADAS VIAS QUE CONDUCEN A LOS MUNICIPIOS DE MUZO, PACHO, COSCUEZ. SE APOYA EN EL MES DE NOVIEMBRE CON TEJAS DE ZINC.</t>
    </r>
  </si>
  <si>
    <r>
      <t xml:space="preserve">SOLICITAN ASISTENCIA HUMANITARIA. </t>
    </r>
    <r>
      <rPr>
        <b/>
        <sz val="10"/>
        <rFont val="Arial"/>
        <family val="2"/>
      </rPr>
      <t>SE REGRESA AL CREPAD PARA APOYO LOCAL Y REGIONAL POR LIMITACION DE RECURSOS DEL FNC. EN EL MES DE NOVIEMBRE REALIZAN NUEVAMENTE LA SOLICITUD QUE SERA REEVALUADA.</t>
    </r>
  </si>
  <si>
    <r>
      <t xml:space="preserve">SOLICITAN APOYO EN RECURSOS ECONOMICOS PARA REHABILITACION DE LAS VIAS. </t>
    </r>
    <r>
      <rPr>
        <b/>
        <sz val="10"/>
        <rFont val="Arial"/>
        <family val="2"/>
      </rPr>
      <t>LA SOLICITUD VIENE SIN ACTA NI AVAL DEL CREPAD. PASA AL SECTOR VIAS.</t>
    </r>
  </si>
  <si>
    <r>
      <t xml:space="preserve">REPORTE PPRELIMINAR DEL CREPAD. APOYO A TRAVES DEL DEPARTAMENTO. </t>
    </r>
    <r>
      <rPr>
        <b/>
        <sz val="10"/>
        <rFont val="Arial"/>
        <family val="2"/>
      </rPr>
      <t>APOYO DEL FNC MEDIANTE EL SUMINISTRO DE 1 BOTE PESQUERO Y UN MOTOR DF 15</t>
    </r>
  </si>
  <si>
    <r>
      <t xml:space="preserve">SOLICITAN ASISTENCIA HUMANITARIA. </t>
    </r>
    <r>
      <rPr>
        <b/>
        <sz val="10"/>
        <rFont val="Arial"/>
        <family val="2"/>
      </rPr>
      <t>SE REGRESA AL CREPAD PARA APOYO LOCAL Y REGIONAL POR LIMITACION DE RECURSOS DEL FNC.</t>
    </r>
  </si>
  <si>
    <r>
      <t xml:space="preserve">INFORMAN SOBRE AFECTACION VIAS CHORRO CLARO - NUSITO, LA CANDELARIA, SAN PABLO - SAN JOS E DEL NARE. </t>
    </r>
    <r>
      <rPr>
        <b/>
        <sz val="10"/>
        <rFont val="Arial"/>
        <family val="2"/>
      </rPr>
      <t>PASA A SECTOR VIAS.</t>
    </r>
  </si>
  <si>
    <r>
      <t xml:space="preserve">CORREGIMIENTO TASAJERA, SANTA CRUZ DE LA HENEA Y ROBLES </t>
    </r>
    <r>
      <rPr>
        <b/>
        <sz val="10"/>
        <rFont val="Arial"/>
        <family val="2"/>
      </rPr>
      <t>SE SOLICIO AL CREPAD ATENDER CON RECURSOS PROPIOS DEBIDO A LA LIMITACION DE RECURSOS.</t>
    </r>
  </si>
  <si>
    <r>
      <t xml:space="preserve">CORREGIMIENTO SINAIVEREDAS LOS CEDROS Y LA CHORRERA. REPRESAMIENTO DE LAS QUEBRADAS LOS CEDROS Y LA CHORRERA. </t>
    </r>
    <r>
      <rPr>
        <b/>
        <sz val="10"/>
        <rFont val="Arial"/>
        <family val="2"/>
      </rPr>
      <t xml:space="preserve">PENDIENTE SOLICITUD DE ASISTENCIA </t>
    </r>
    <r>
      <rPr>
        <sz val="10"/>
        <rFont val="Arial"/>
        <family val="2"/>
      </rPr>
      <t xml:space="preserve">HUMANITARIA Y PROYECTOS SECTOR VIAS ($123,334,318), SECTOR AGUA POTABLE Y SANEAMIENTO BASICO ($152,661,582), SECTOR EDUCACION (60,000,000). </t>
    </r>
    <r>
      <rPr>
        <b/>
        <sz val="10"/>
        <rFont val="Arial"/>
        <family val="2"/>
      </rPr>
      <t>SE REGRESA AL CREPAD PARA APOYO LOCAL Y REGIONAL POR LIMITACION DE RECURSOS DEL FNC.</t>
    </r>
  </si>
  <si>
    <r>
      <t>AFECTADAS VIAS AL MUNICIPIO DE URRAO, A LA VEREDA ARGELIA Y A LA VEREDA EL SIETE.</t>
    </r>
    <r>
      <rPr>
        <b/>
        <sz val="10"/>
        <rFont val="Arial"/>
        <family val="2"/>
      </rPr>
      <t xml:space="preserve"> APOYO DEL FNC MEDIANTE GIRO DIRECTO AL CLOPAD PARA LA COMPRA DE COMBUSTIBLES Y LUBRICANTE PARA LA REMOCION DEL MATERIAL QUE SE ENCUENTRA TAPONANDO EL PUENTE EN LA VIA CARMEN DE ATRATO - EL SIETE SECTOR LA ANASTASIA.</t>
    </r>
  </si>
  <si>
    <r>
      <t xml:space="preserve">REPORTE DEL CREPAD. APOYO A TRAVES DEL DEPARTAMENTO. </t>
    </r>
    <r>
      <rPr>
        <b/>
        <sz val="10"/>
        <rFont val="Arial"/>
        <family val="2"/>
      </rPr>
      <t>APOYO DEL FNC MEDIANTE EL SUMINISTRO DE DOS MOTORES FUERA DE BORDA.</t>
    </r>
  </si>
  <si>
    <r>
      <t xml:space="preserve">REPORTE DE LA DEFENSA CIVIL </t>
    </r>
    <r>
      <rPr>
        <b/>
        <sz val="10"/>
        <rFont val="Arial"/>
        <family val="2"/>
      </rPr>
      <t>PASA A SECTOR VIVIENDA POR SER PROYECTO DE REUBICACION</t>
    </r>
  </si>
  <si>
    <r>
      <t xml:space="preserve">CORREGIMIENTO DE JURUBIDA. </t>
    </r>
    <r>
      <rPr>
        <b/>
        <sz val="10"/>
        <rFont val="Arial"/>
        <family val="2"/>
      </rPr>
      <t>APOYO DEL FNC MEDIANTE GIRO DIRECTO AL CLOPAD PARA ADQUISICION DE COMBUSTIBLE, ALQUILER DE EMBARCACIONES, ARMADA DE GAVIONES Y ADQUISICION DE ELEMENTOS PARA ACONDICIONAR LA ZONA SEGURA Y LOS ALOJAMIENTOS TEMPORALES.</t>
    </r>
  </si>
  <si>
    <r>
      <t xml:space="preserve">16 VEREDAS AFECTADAS. SITUACION EN EVALUACION. EN EVALUACION. REPORTE PRELIMINAR DEL CLOPAD. </t>
    </r>
    <r>
      <rPr>
        <b/>
        <sz val="10"/>
        <rFont val="Arial"/>
        <family val="2"/>
      </rPr>
      <t>SITUACION ATENDIDA POR EL CREPAD</t>
    </r>
  </si>
  <si>
    <r>
      <t xml:space="preserve">CREPAD VALLE REPORTO. SOLICITAN ELEMENTOS MEDICOS. </t>
    </r>
    <r>
      <rPr>
        <b/>
        <sz val="10"/>
        <rFont val="Arial"/>
        <family val="2"/>
      </rPr>
      <t>APOYO DEL FNC MEDIANTE SUMINISTROS DE INSUMOS MEDICOS.</t>
    </r>
  </si>
  <si>
    <r>
      <t xml:space="preserve">CORREGIMIENTO DE PESCADOR, Y DEL PITAL. </t>
    </r>
    <r>
      <rPr>
        <b/>
        <sz val="10"/>
        <rFont val="Arial"/>
        <family val="2"/>
      </rPr>
      <t>DEVUELTO POR LIMITACION DE RECURSOS</t>
    </r>
  </si>
  <si>
    <r>
      <t xml:space="preserve">ARROYOS SALADO Y PLATANAL . VILLA DEL REY, SAN VICENTE, PRADO, SOLEDAD2, NUEVA ESPERANZA, VILLA MARIA, CIUDAD PARAISO, VUIULLA DEL CARMEN II, BELLO HORIZONTE, VILLA DEL SOL, LA CANDELARIA II, LOS LOTEROS, LAS COMETAS, LA INMACULADA. </t>
    </r>
    <r>
      <rPr>
        <b/>
        <sz val="10"/>
        <rFont val="Arial"/>
        <family val="2"/>
      </rPr>
      <t>SE BRINDO APOYO GLOBAL PARA LOS EVENTOS OCURRIDOS EL 14 Y EL 18 DE AGOSTO.</t>
    </r>
  </si>
  <si>
    <r>
      <t xml:space="preserve">REPORTE DE LA DEFENSA CIVIL. EL CLOPAD INFORMA DE INCENDIOS EN LOS SECTORES DE LLORENTE, AGUA CLARA, BARRIO OBRERO, ALTO SAN ISIDRO Y BARRIO MARQUEZ. </t>
    </r>
    <r>
      <rPr>
        <b/>
        <sz val="10"/>
        <rFont val="Arial"/>
        <family val="2"/>
      </rPr>
      <t>LA SOLICITUD SE REMITE AL CREPAD PARA SER ATENDIDA A NIVEL LOCAL Y REGIONAL.</t>
    </r>
  </si>
  <si>
    <r>
      <t xml:space="preserve">APOYO PARA LOS VENDAVALES E INCENIOS FORESTALES. </t>
    </r>
    <r>
      <rPr>
        <b/>
        <sz val="10"/>
        <rFont val="Arial"/>
        <family val="2"/>
      </rPr>
      <t>EL VALOR DE OTROS CORRESPONDE A MATERIALES DE CONSTRUCCION PARA LA REHABILITACION DE VIVIENDAS AFECTADAS.</t>
    </r>
  </si>
  <si>
    <r>
      <t xml:space="preserve">ASENTAMIENTO LAURA SIMONS. VEREDA POMONA. </t>
    </r>
    <r>
      <rPr>
        <b/>
        <sz val="10"/>
        <rFont val="Arial"/>
        <family val="2"/>
      </rPr>
      <t>SE REGRESA CONSIDERANDO QUE LA EMERGENCIA NO SUPERA LAS CAPACIDADES LOCALES Y REGIONALES.</t>
    </r>
  </si>
  <si>
    <r>
      <t xml:space="preserve">AFECTACION EN ACUEDUCTOS DOMICILIARIOS Y CERCAS. </t>
    </r>
    <r>
      <rPr>
        <b/>
        <sz val="10"/>
        <rFont val="Arial"/>
        <family val="2"/>
      </rPr>
      <t>EL VALOR DE OTROS CORRESPONDE A 42 ROLLOS DE MANGUERA DE 1/2 Y 4 ROLLOS DE ALAMBRE DE PUAS</t>
    </r>
  </si>
  <si>
    <r>
      <t xml:space="preserve">POR LA SEQUIA EL CORREGIMIENTO LA TOMA SE ENCUENTRA SIN SERVICIO DE AGUA. </t>
    </r>
    <r>
      <rPr>
        <b/>
        <sz val="10"/>
        <rFont val="Arial"/>
        <family val="2"/>
      </rPr>
      <t>APOYO DEL FNC MEDIANTE EL SUMINISTRO DE 60 TANQUE PARA ALMACENAMIENTO DE AGUA DE 250 LITROS</t>
    </r>
  </si>
  <si>
    <r>
      <t xml:space="preserve">AFECTADA MALLA VIAL TERCIARIA. </t>
    </r>
    <r>
      <rPr>
        <b/>
        <sz val="10"/>
        <rFont val="Arial"/>
        <family val="2"/>
      </rPr>
      <t>APOYO DEL FNC MEDIANTE EL ALQUILER DE MOTONIVELADORA, MATERIALES DE CONSTRUCCION PARA ALCANTARILLAS Y LA CONSTRUCCION DE PLACAS.</t>
    </r>
  </si>
  <si>
    <r>
      <t>REPORTE DEL CREPAD. S</t>
    </r>
    <r>
      <rPr>
        <b/>
        <sz val="10"/>
        <rFont val="Arial"/>
        <family val="2"/>
      </rPr>
      <t>E APOYA A TRAVES DEL CREPAD Y CLOPAD</t>
    </r>
  </si>
  <si>
    <r>
      <t>BARRIOS LA VORAGINE, VILLA MAGDALENA, VILLA COLOMBIA, VILLA FERRY, CHICALA, BRISAS DEL RIO. REPORTE PRELIMINAR. SE ENCUENTRAN EN LABORES DE CENSO.</t>
    </r>
    <r>
      <rPr>
        <b/>
        <sz val="10"/>
        <rFont val="Arial"/>
        <family val="2"/>
      </rPr>
      <t xml:space="preserve"> SE DEVOLVIO EL 23 DE OCTUBRE OF. 6507 PARA COMPLEMENTAR INFORMACION. MEDIANTE OFICIO DEL 22 DE DICIEMBRE COMPLEMENTARON LA INFORMACION</t>
    </r>
  </si>
  <si>
    <r>
      <t xml:space="preserve">REPORTE DE LA DEFENSA CIVIL.. </t>
    </r>
    <r>
      <rPr>
        <b/>
        <sz val="10"/>
        <rFont val="Arial"/>
        <family val="2"/>
      </rPr>
      <t>SE APOYA A TRAVES DEL CREPAD Y CLOPAD</t>
    </r>
  </si>
  <si>
    <r>
      <t xml:space="preserve">VEREDAS CALIFORNIA Y PLACITAS. AFECTADA VIA FOSCA - GUTIERREZ. </t>
    </r>
    <r>
      <rPr>
        <b/>
        <sz val="10"/>
        <rFont val="Arial"/>
        <family val="2"/>
      </rPr>
      <t>SE ENVIA AL CREPAD POR FALTA DE AVAL</t>
    </r>
  </si>
  <si>
    <r>
      <t xml:space="preserve">REPORTE DEL CREPAD. </t>
    </r>
    <r>
      <rPr>
        <b/>
        <sz val="10"/>
        <rFont val="Arial"/>
        <family val="2"/>
      </rPr>
      <t>EL VALOR DE OTROS CORRESPONDE A 7 TANQUES DE ALMACENAMIENTO DE AGUA DE 1000 LTS.</t>
    </r>
  </si>
  <si>
    <r>
      <t xml:space="preserve">VEREDAS QUEBRADON SUR, LA DANTA, SANTA LUCIA, ANDES BAJOS, COLON, PRIMAVERA, ANDES MIRADOR, LA PERDIZ.  AVALANCHA RIO BLANCO Y LAS QUEBRADAS LAS DAMAS Y LA PERDIZ. DESTRUIDO PUENTE VEHICULAR JUNTAS E INCOMUNICADOS CON CAMPOALEGRE. DAÑO EN RED DE DISTRIBUCION DE GAS, FLUIDO ELECTRICO Y ACUEDUCTO MUNICIPAL ADEMAS DE DAÑO EN 200 ACUEDUCTOS RURALES DOMICILIARIOS. SOLICITAN INCORPORAR EL TEMA DE LAS PERDIDAS AGROPECUARIAS AL MINISTERIO DE AGRICULTURA. </t>
    </r>
    <r>
      <rPr>
        <b/>
        <sz val="10"/>
        <rFont val="Arial"/>
        <family val="2"/>
      </rPr>
      <t>APOYO DEL FNC MEDIANTE GIRO DIRECTO AL CLOPAD PARA LA CONSTRUCCION DE UN MURO EN CONCRETO CICLOPEO PARA LA PROTECCION DE LOS BARRIOS SAN JUANITO, SAN PEDRO Y TIMANCO.</t>
    </r>
  </si>
  <si>
    <r>
      <t xml:space="preserve">REPORTE DEL CREPAD. </t>
    </r>
    <r>
      <rPr>
        <b/>
        <sz val="10"/>
        <rFont val="Arial"/>
        <family val="2"/>
      </rPr>
      <t>APOYO DEL FNC MEDIANTE GIRO DIRECTO AL CLOPAD PARA APOYAR LA CONSTRUCCION DE UN MURO EN HORMIGON ARMADO PARA LA PROTECCION DE LAS VIVIENDAS UBICADAS EN EL BARRIO LA LIBERTAD.</t>
    </r>
  </si>
  <si>
    <r>
      <t xml:space="preserve">APOYO A LA FUERZA AEREA POR LOS VENDAVALES OCURRIDOS EN PUERTO SALGAR Y TRES ESQUINAS. </t>
    </r>
    <r>
      <rPr>
        <b/>
        <sz val="10"/>
        <rFont val="Arial"/>
        <family val="2"/>
      </rPr>
      <t>APOYO DEL FNC MEDIANTE EL CUMINISTRO DE MATERIALES DE CONSTRUCCION VARIOS PARA LA REPARACION DE LAS BASES DE LA FAC AFECTADAS POR VENDAVALES.</t>
    </r>
  </si>
  <si>
    <r>
      <t xml:space="preserve">AFECTADAS VIAS KM 20 VIA RIONEGRO-CAMPOAMOR, KM 30 VIA RIO NEGRO - SAN ALBERTO, KM 36 VIA BUCARAMANGA - LA COSTA. </t>
    </r>
    <r>
      <rPr>
        <b/>
        <sz val="10"/>
        <rFont val="Arial"/>
        <family val="2"/>
      </rPr>
      <t>APOYO DEL FNC MEDIANTE GIRO DIRECTO AL CLOPAD PARA APOYAR EL DRAGADO DE EMERGENCIA Y CONSTRUCCION DE LA MURALLA EN EL RIO NEGRO Y LA QUEBRADA SILGARA, SECTORES DE PUERTO AMOR, LA CHAPA Y EL BAMBU.</t>
    </r>
  </si>
  <si>
    <r>
      <t xml:space="preserve">DESBORDAMIENTO QUEBRADA BARRANCOS. AFECTADA VIA BARRANCO BAJO - BARRANCO ALTO. </t>
    </r>
    <r>
      <rPr>
        <b/>
        <sz val="10"/>
        <rFont val="Arial"/>
        <family val="2"/>
      </rPr>
      <t>APOYO DEL FNC MEDIANTE GIRO DIRECTO AL CLOPAD PARA APOYAR LA LIMPIEZA DE LECHOS DE QUEBRADAS Y REMOCION DE ALUDES SOBRE VIAS.</t>
    </r>
  </si>
  <si>
    <r>
      <t xml:space="preserve">SE PRESENTO UNA ERUPCION DE LODO EN EL CAÑO PANCEGUITA ENTRE LOS CORREGIMIENTOS SAN RAFAEL, TRAVESIA, Y LA VEREDA EL SOCORRO, AUMENTANDO EL NIVEL DE LAS AGUAS DEL CAÑO Y DEJANDO ESCOMBROS. </t>
    </r>
    <r>
      <rPr>
        <b/>
        <sz val="10"/>
        <rFont val="Arial"/>
        <family val="2"/>
      </rPr>
      <t xml:space="preserve">APOYO DEL FNC MEDIANTE GIRO DIRECTO AL CLOPAD PARA LA LIMPIEZA DEL CAÑO PANCEGUITA UBICADO ENTRE LOS CORREGIMIENTOS DE SAN RAFAEL, TRAVESÍA Y LA VEREDA EL SOCORRO DEL MUNICIPIO DE SUCRE DEPARTAMENTO DE SUCRE, AFECTADO POR UNA ERUPCIÓN DE LODO. </t>
    </r>
  </si>
  <si>
    <t>EXPLOSION EN MINA DE CARBON DE NOMBRE LA ORQUIDIA</t>
  </si>
  <si>
    <t>BARRIOS BELEN, LAURELES, CAMPO VALDES. PENDIENTE INFORMACION. REPORTE DEL CREPAD.</t>
  </si>
  <si>
    <t>MOSQUERA</t>
  </si>
  <si>
    <t>PENDIENTE CONSOLIDADO. REPORTE DE DEFENSA CIVIL  Y CRUZ ROJA.</t>
  </si>
  <si>
    <t>CUBARRAL</t>
  </si>
  <si>
    <t>RESTREPO</t>
  </si>
  <si>
    <t>GIRON</t>
  </si>
  <si>
    <t>CORREGIMIENTO DE SAN ANTONIO DE PRADO.</t>
  </si>
  <si>
    <t>BARRIO BAYARCO. INCINERADAS DOS BODEGAS EMPRESAS TARGECOL Y ADECOL.</t>
  </si>
  <si>
    <t>SECTOR PANCE. VEREDA SAN FRANCISCO. REPORTE PRELIMINAR DE CREPAD.</t>
  </si>
  <si>
    <t>DESBORDAMIENTO RIO BEBARAMA AFLUENTE DEL ATRATO-. APOYO A TRAVES DEL DEPARTAMENTO</t>
  </si>
  <si>
    <t>VIA PANOYA TAMINANGO LA UNION. APOYO GLOBAL AL DEPARTAMENTO.</t>
  </si>
  <si>
    <t>VIA AL CARRIZAL, VIA A LA LLANADA, VIA SAN FRANCISCO A SAN VICENTE. APOYO GLOBAL AL DEPARTAMENTO.</t>
  </si>
  <si>
    <t>DEBORDAMIENTO QUEBRADA SAN FRANCISCO, BARRIO SANTANDER, BARRIOS UNIDOS, ZONA CENTRO.</t>
  </si>
  <si>
    <t>SANTANDER DE QUILICHAO</t>
  </si>
  <si>
    <t>QUEBRADA LA LOMITA. REPORTE DE CRUZ ROJA.</t>
  </si>
  <si>
    <t>CARTAGENA</t>
  </si>
  <si>
    <t>SIBUNDOY</t>
  </si>
  <si>
    <t>EXPLOSION DE MINA DE CARBON UBICADA EN EL SECTOR SANTA CLARA POR ACUMULACION DE GASES.</t>
  </si>
  <si>
    <t>NUEVA GRANADA</t>
  </si>
  <si>
    <t>REPORTE PRELIMINAR DEL CREPAD</t>
  </si>
  <si>
    <t>QUEBRADA NABUYACO. BARRIO LA ESMERALDA VEREDA BELLAVISTA. REPORTE DE MINPROTECCION SOCIAL.</t>
  </si>
  <si>
    <t>PUERTO CAICEDO</t>
  </si>
  <si>
    <t>VEREDAS EL PARAISO, LA PLAYA, LA ROCHELA Y VILLA FLOR. REPORTE DE MINPROTECCION SOCIAL.</t>
  </si>
  <si>
    <t>BRISAS DEL MIRADOR BARRIO ANTONIA SANTOS</t>
  </si>
  <si>
    <t>AFECTADA UNA BODEGA</t>
  </si>
  <si>
    <t>MINA EL BLOQUE. REPORTE DEL CREPAD Y MINPROTECCION SOCIAL Y SNB. EXPLOSION POR ACUMULACION DE GASES.</t>
  </si>
  <si>
    <t>TORMENTA ELECTRICA</t>
  </si>
  <si>
    <t>VEREDA SALITRE SECTOR ARENERAS. REPORTE DEL CREPAD.</t>
  </si>
  <si>
    <t>VALENCIA</t>
  </si>
  <si>
    <t>BARRIO SAN CARLOS. REPORTO PRELIMINAR DEL CREPAD.</t>
  </si>
  <si>
    <t>ALCALA</t>
  </si>
  <si>
    <t>CENTRO COMERCIAL ALEJANDRIA</t>
  </si>
  <si>
    <t>HATONUEVO</t>
  </si>
  <si>
    <t>VEREDAS LA ESTRELLA Y EL PLACER.. REPORTE PRELIMINAR DEL CREPAD.</t>
  </si>
  <si>
    <t>FRESNO</t>
  </si>
  <si>
    <t>SECTOR EL TABLAZO, VEREDA SAN ISIDRO. REPORTE DEL CREPAD.</t>
  </si>
  <si>
    <t>RIOHACHA</t>
  </si>
  <si>
    <t>INCENDIO EN 16 BODEGAS DE ALIMENTOS</t>
  </si>
  <si>
    <t>ANSERMA</t>
  </si>
  <si>
    <t>CORREGIMIENTO DE VILLARESTREPO Y PUERTO PERU. DESBORDAMIETNO QUEBRADA EL SALTO. AFECTADO ACUEDUCTO DE IBAGUE Y DEL CORREGIMIENTO DE VILLARESTREPO</t>
  </si>
  <si>
    <t>DESBORDAMIENTO QUEBRADA LEANDROAGREDA Y LLANO GRANDE.</t>
  </si>
  <si>
    <t xml:space="preserve">ANSERMANUEVO </t>
  </si>
  <si>
    <t>AMBALEMA</t>
  </si>
  <si>
    <t>DESBORDAMIENTO DEL RIO RECIOQUE AFECTO INFRAESTRUCTURA DEL ACUEDUCTO. REPORTE DEL CREPAD.</t>
  </si>
  <si>
    <t>EXPLOSION DE POLVORERIA CLANDESTINA EN EL BARRIO TIMANACO IV</t>
  </si>
  <si>
    <t>COLAPSO DE MINA DE ORO.  CORREGIMIENTO DE MAMBU</t>
  </si>
  <si>
    <t>QUIPAMA</t>
  </si>
  <si>
    <t>VEREDA EL PUENTE.</t>
  </si>
  <si>
    <t>REPORTE DE BOM,BEROS</t>
  </si>
  <si>
    <t>FACATATIVA</t>
  </si>
  <si>
    <t>DESBORDAMIENTO RIO BOTELLO. BARRIOS SAN RAFAEL ALTO, VILLA LILIAN. PENDIENTE EVALUACION.</t>
  </si>
  <si>
    <t>PAICOL</t>
  </si>
  <si>
    <t>VEREDA VERGEL.  REPORTE DEL CREPAD.</t>
  </si>
  <si>
    <t>EL AGRADO</t>
  </si>
  <si>
    <t>REPORTE DEL CREPAD. VEREDA LA MARIA, CALOTO Y EL CARMEN.</t>
  </si>
  <si>
    <t>BARAYA</t>
  </si>
  <si>
    <t>CAFÉ Y PLATANO AFECTADOS</t>
  </si>
  <si>
    <t>MONTECITOS.</t>
  </si>
  <si>
    <t>CAMPOALEGRE</t>
  </si>
  <si>
    <t>BARRIO VILLA GLORIA</t>
  </si>
  <si>
    <t>BARRIO EL ARROYO</t>
  </si>
  <si>
    <t>BARRIO LOS CAMBULOS.</t>
  </si>
  <si>
    <t>VEREDA PROVIDENCIA. DESLIZAMIENTO SOBRE LA VIA.</t>
  </si>
  <si>
    <t>GUADALUPE</t>
  </si>
  <si>
    <t>YONDO</t>
  </si>
  <si>
    <t>PENDIENTE EVALUACION DE DAÑOS</t>
  </si>
  <si>
    <t>REPORTE DEL CREPAD.  AFECTADA ZONA URBANA Y VEREDAS SAN LUIS, EL ENCANTO, NUDILLALES Y EL RESGUARDO INDIGENA</t>
  </si>
  <si>
    <t>REPORTE DE LA DEFENSA CIVIL Y CREPAD. PENDIENTE EVALUACION.</t>
  </si>
  <si>
    <t>EL RETEN</t>
  </si>
  <si>
    <t>DESBORAMIENTO RIO ATRATO INFORME GILBERTO MAZO CREPAD ANTIOQUIA</t>
  </si>
  <si>
    <t>BOGOTA</t>
  </si>
  <si>
    <t>DIBUYA</t>
  </si>
  <si>
    <t>REPORTE DEL CREPAD GUAJIRA DR. JAIME EZPELETA NO SE PRESENTO NINGUNA AFECTACION</t>
  </si>
  <si>
    <t>UNGUIA</t>
  </si>
  <si>
    <t>REPORTE DEL CREPAD CHOCO, INUNDACION POR DESBORDAMIENTO RIOS TANELA, TISLO, QUQUE, TIQUE, UNGUIA, CON DAÑOS ESPECIALMENTE EN EL ACUEDUCTO Y VARIAS VIAS PRINCIPALES</t>
  </si>
  <si>
    <t>CONVENCION</t>
  </si>
  <si>
    <t>SARDINATA</t>
  </si>
  <si>
    <t>REPORTE DEL CREPAD NORTE DE SANTANDER, DEBIDO A LA INUNDACION SE COLAPSARON VARIOS PUENTES</t>
  </si>
  <si>
    <t>MEDIO ATRATO</t>
  </si>
  <si>
    <t>QUIBDO</t>
  </si>
  <si>
    <t>PLANADAS</t>
  </si>
  <si>
    <t>REPORTE CRUZ ROJA COLOMBIANA, AFECTACION EN EL BARRIO SAN FRANCISCO</t>
  </si>
  <si>
    <t>REPORTE DEL CLOPAD PLANADAS, AFECTACION EN LAS VEREDAS FLORESTA, CAIMAN, ALDEA, EL DESIERTO Y LOS MANGOS, SE REQUIERE REUBICAR 21 VIVIENDAS Y DAÑOS EN 40 KILOMETROS DE VIAS.</t>
  </si>
  <si>
    <t>ACUED.</t>
  </si>
  <si>
    <t>C. SALUD</t>
  </si>
  <si>
    <t>C.EDUCAT.</t>
  </si>
  <si>
    <t>ALCANT.</t>
  </si>
  <si>
    <t>CONTAMINACION</t>
  </si>
  <si>
    <t>AVALANCHA</t>
  </si>
  <si>
    <t>100 TEJAS DE ZINC, 100 DE AC NO., 6 Y 3000 DE BARRO</t>
  </si>
  <si>
    <t>APOYO EDL FNC MEDIANTE EL SUMINSTRO DE 500 RACIONES DE CAMPAÑA</t>
  </si>
  <si>
    <t>REPORTE PRELIMINAR</t>
  </si>
  <si>
    <t>DABEIBA</t>
  </si>
  <si>
    <t>SECTOR CERRO DE ORO. OBREROS REALIZANDO LABORES DE ESTABILIZACION DE TERRENO. REPORTE DE MINPROTECCION SOCIAL.</t>
  </si>
  <si>
    <t>REMOCION EN MASA</t>
  </si>
  <si>
    <t>OLAYA</t>
  </si>
  <si>
    <t>DESBORDAMIENTO QUEBRADA LA PESCADA. REPORTE DE BOMBEROS</t>
  </si>
  <si>
    <t>AIPE</t>
  </si>
  <si>
    <t>PUERTO SALGAR</t>
  </si>
  <si>
    <t>LOS CORDOBAS</t>
  </si>
  <si>
    <t>BARRIO GALILEA. REPORTE DE LA DEFENSA CIVIL.</t>
  </si>
  <si>
    <t>BARRIO PARQUE LA GLORIA</t>
  </si>
  <si>
    <t>BARRIO PLAYA RICA</t>
  </si>
  <si>
    <t>PERDIDA DE CULTIVOS DE CEBOLLA, MAIZ Y FRIJOL.</t>
  </si>
  <si>
    <t>APOYO PARA ALQUILER DE MAQUINARIA PARA LA REALIZACION DE OBRAS DE PROTECCION EN EL RIO CRAVO SUR EN LAS VEREDAS PALOMAS, LA CALCETA, LA MANGA Y BARBASCO.</t>
  </si>
  <si>
    <t>HATILLO DE LOBA</t>
  </si>
  <si>
    <t>APOYO EN SACOS PARA OBRA DE PROTECCION</t>
  </si>
  <si>
    <t>DESLIZAMIENTO SOBRE QUEBRADA DOCORDO</t>
  </si>
  <si>
    <t>AFECTADA VIA SAN JOSE DEL PALMAR</t>
  </si>
  <si>
    <t>BARRIO GIRASOLES. REPORTE DE LA DEFENSA CIVIL</t>
  </si>
  <si>
    <t>BARRIO SAN JAVIER, COMUNA 13. REPORTE DEL CREPAD.</t>
  </si>
  <si>
    <t>CASCO URBANO. REPORTE DEL CREPAD HUILA</t>
  </si>
  <si>
    <t>TAPONAMIENTO DE ALCANTARILLAS Y AFECTACION EN VIAS.. REPORTE DE LA DEFENSA CIVIL.</t>
  </si>
  <si>
    <t>CORREGIMIENTO SITIONUEVO. REPORTE DEL CREPAD.</t>
  </si>
  <si>
    <t>DESBORDAMIENTO QUEBRADA LAS PALMAS PORTACHUELO Y MARSELLA. AFECTADO ACUEDUCTO.</t>
  </si>
  <si>
    <t>CORREGIMIENTO DE TIMBA, LA BALSA Y HONDURAS. BARRIOS LA PAZ, MIRAFLORES, BELLO HORIZONTE, GUARDERIA, SECTOR EL COLEGIO</t>
  </si>
  <si>
    <t>COYAIMA</t>
  </si>
  <si>
    <t>AFECTADO COLEGIO SAN PEDRO CLAVER Y COLEGIO ANTONIA SANTOS. ENTIDADES POLICIA NACIONAL Y CUERPO DE BOMBEROS.</t>
  </si>
  <si>
    <t>TENERIFE</t>
  </si>
  <si>
    <t>CORREGIMIENTRO DE SAN LUIS.</t>
  </si>
  <si>
    <t>ISNOS</t>
  </si>
  <si>
    <t>CORREGIMIENTO SAMANA</t>
  </si>
  <si>
    <t>BARRIOS LA LOMA, LA UNION Y YARUMAL</t>
  </si>
  <si>
    <t>ASENTAMIENTO LAS PALMAS, BARRIOS ALVARO URIBE, COMUNA 10, BAJO PEDREGAL, VICTOR FELIX TRUJILLO APOYADO EL 30-04-09</t>
  </si>
  <si>
    <t>DESBORDAMIENTO RIO CEIBA APOYADO EL 30-04-09</t>
  </si>
  <si>
    <t>CORREGIMIENTO MINAS, LA BANCA Y TORCOROMA. EN ESPERA DE SOLICITUD DE APOYO EN ARRIENDO TEMPORAL, Y PROYECTO DE REUBICACION.</t>
  </si>
  <si>
    <t>DESBORDAMIENTO QUEBRADA LA CLARA, VEREDA LA CLARA Y VEREDA VALERIA.. REPORTE DE LA DEFENSA CIVIL.</t>
  </si>
  <si>
    <t>ZIPAQUIRA</t>
  </si>
  <si>
    <t>EXPLOSION DE MINA DE CARBON EN EL SECTOR PARAMO DE LA VIRGEN. REPORTE DE MINPROTECCION SOCIAL.</t>
  </si>
  <si>
    <t>BARRIO JULIO FIGUEROA</t>
  </si>
  <si>
    <t>SOLITA</t>
  </si>
  <si>
    <t>APOYO DEL FNC MEDIANTE GIRO DIRECTO AL CLOPAD PARA APOYAR EL PAGO DE SUBSIDIOS DE ARRIENDO PARA 48 FAMILIAS AFECTADAS POR LAS INUNDACIONES EN EL 2008 ($9.000.000) Y APOYAR LA CONSTRUCCION DE UN TERRAPLEN DE PROTECCION DESDE LA VEREDA LA ESPERANZAHASTA LA VEREDA PLAN BONITO EN EL MUNICIPIO DE NECHI ($55,000,000) . EL VALOR DE OTROS CORRESPONDE A DOTACION (OVEROLES, CAMISETA, CACHUCHA, BOTAS, REATAS) PARA LOS SOCORRISTAS DE LA DEFENSA CIVIL POR VALOR DE $14,534,800 Y COMPRA DE BOTE, MOTOR, CHALECOS Y CARPAS PARA LA DEFENSA CIVIL POR VALOR DE $107,026,400,</t>
  </si>
  <si>
    <t>BARRIOS VALPARAISO 2DO. BARRIO NUEVA ESPERANZA. SECTOR, DESBORDAMIENTO RIO FUCHA 264 VEHICULOS AFECTADOS.</t>
  </si>
  <si>
    <t>CRECIENTE RIO SUMAPAZ Y MAGDALENA</t>
  </si>
  <si>
    <t>GIRARDOT</t>
  </si>
  <si>
    <t>SECTOR ISLA DEL SOL. DESBORDAMIENTO RIO MAGDALENA Y SUMAPAZ.</t>
  </si>
  <si>
    <t>APOYO GLOBAL CON 1000 MERCADOS AL DEPARTAMENTO</t>
  </si>
  <si>
    <t>MELGAR</t>
  </si>
  <si>
    <t>DESBORDAMIENTO QUEBRADAS LA MELGARA, LONGANIZA Y RIO SUMAPAZ, 11 BARRIOS AFECTADOS, 4 VEREDAS.</t>
  </si>
  <si>
    <t>CHINU</t>
  </si>
  <si>
    <t>UTICA</t>
  </si>
  <si>
    <t>DESBORDAIENTO QUEBRADA LAS MARGARITAS</t>
  </si>
  <si>
    <t>ARMENIA</t>
  </si>
  <si>
    <t>BARRIO BOSQUES DE PALERMO</t>
  </si>
  <si>
    <t>CALARCA</t>
  </si>
  <si>
    <t>ZONA URBANA.</t>
  </si>
  <si>
    <t>EBEJICO</t>
  </si>
  <si>
    <t>GUAPI</t>
  </si>
  <si>
    <t>CRECIENTE RIO GUAJUI Y NAPI. REPORTO EL CLOPAD ING. PABLO CESAR OCORO.</t>
  </si>
  <si>
    <t>CAICEDONIA</t>
  </si>
  <si>
    <t>EL ANTECEDENTE SE REMITIO AL MINISTERIO DE AGRICULTURA YA QUE LOS DAÑOS EN LA INSTITUCION EDUCATIVA DE MONTERILLA FUERON EN VIVEROS Y CULTIVOS QUE SIRVEN PARA EL MANTENIMIENTO DE LA INSTITUCION.</t>
  </si>
  <si>
    <t>ACCIDENTE EN EL RIO MAGDALENA, AFECTADO GRUPO JUVENIL DEL ICBF</t>
  </si>
  <si>
    <t>BARRIO EL TOLIMA. EROSION DE LA QUEBRADA EL ARPERO. SOLICITAN APOYAR PROYETO DE REUBICACION</t>
  </si>
  <si>
    <t>BARRIOS CARTAGENITA, WILTON LORA CASERIO LAS BALSAS. REPORTE PRELIMINAR DEL CREPAD.</t>
  </si>
  <si>
    <t>INFORMACION PRELIMINAR DEL CREPAD</t>
  </si>
  <si>
    <t>CHIMICHAGUA</t>
  </si>
  <si>
    <t>AFECTADAS CINCO VEREDAS, 14 PREDIOS, PENDIENTE AFECTACION. VEREDA ARGENZUL FINCAS LA MIRANDA, EL EDEN , LOS NOGALES. VEREDA SANTA TERESAFINCAS EL REMOLINO Y LA ESPERANZAVEREDA EL CONGAL, FINCASLA BELLA, EL JARDIN Y EL ROSAL, VISTA HERMOSA. VEREDA LA PALMERA FINCA LA ESMERALDA, LOS SAUCES, CASA LOTE EDUCATIVO. VEREDA LA MORELIA, CENTRO EDUCATIV O CASA LOTE, VEREDA LA CASTILLA FINCA EL JARDIN Y ZONA URBANA</t>
  </si>
  <si>
    <t>DESBORDAMIENTO QUEBRADA GALAPO. BARRIOS CHIRCAL, CURUMANI, PUEBLONUEVO</t>
  </si>
  <si>
    <t>REPRESAMIENTO RIO TIMANA VEREDAS ALTON DE SANTA BARBARA, CASCAJAL, Y PANTANO AFETCADO HOSPITAL DE SAN ANTONIO</t>
  </si>
  <si>
    <t>ALGECIRAS</t>
  </si>
  <si>
    <t>DESBORDAMIENTO RIO CEIBA. AL PARECER SE ENCUENTREAN PERSONAS AISLADAS.</t>
  </si>
  <si>
    <t>MAPIRIPAN</t>
  </si>
  <si>
    <t>VEREDA RINCON INDIO</t>
  </si>
  <si>
    <t>BARRIO PRIMERO DE AGOSTO</t>
  </si>
  <si>
    <t>GUAVIARE</t>
  </si>
  <si>
    <t>SAN JOSE DEL GUAVIARE</t>
  </si>
  <si>
    <t>ESTADIO MUNICIPAL. REPORTE DE SOCORRO NACIONAL</t>
  </si>
  <si>
    <t>LOCALIDAD CIUDAD BOLIVAR BARRIO PEÑON DEL CORTIJO.</t>
  </si>
  <si>
    <t>ARANZAZU</t>
  </si>
  <si>
    <t>AGUADAS</t>
  </si>
  <si>
    <t>VILLAMARIA</t>
  </si>
  <si>
    <t>VEREDA LAS MINAS, FINCA LA ESPERANZA</t>
  </si>
  <si>
    <t>EXPLOSION DE POLVORERIA EN EL BARRIO SAN VICENTE. REPORTE DE SOCORRO NACIONAL.</t>
  </si>
  <si>
    <t>TENZA</t>
  </si>
  <si>
    <t>APOYO DEL FNC MEDIANT GIRO DIRECTO AL CLOPAD PARA APOYAR EL MEJORAMIENTO (PINTURA Y PISOS) DE LAS 18 VIVIENDAS CONSTRUIDAS CON RECURSOS DEL FNC EN DIAS PASADOS.</t>
  </si>
  <si>
    <t>SASAIMA</t>
  </si>
  <si>
    <t>FLORIDABLANCA</t>
  </si>
  <si>
    <t>VEREDA BRASILIA. REPORTE DE LA DEFENSA CIVIL.</t>
  </si>
  <si>
    <t>DESBORDAMINETO RIO GUABAS Y QUEBRADA CHAMBAS. REPORTE DELA DEFENSA CIVIL.</t>
  </si>
  <si>
    <t>DESBORDAMIENTO QUEBRADA LA ESPERANZA.  AFECTADOS BARRIOS LA FERIA, SAGRADO CORAZON Y EL MIRADOS. CORREGIMIENTO LA PEDREGOZA.. REPORTE DEL CREPAD. NO CONSOLIDAN AFECTACION</t>
  </si>
  <si>
    <t>VEREDA CHAFALOTE</t>
  </si>
  <si>
    <t>SECTOR LOS MICOS. CRECIENTE QUEBRADA CUNE</t>
  </si>
  <si>
    <t>EXPLOSION POR ACUMULACION DE GASES , CARRERA 8 CALLE 5. REPORTE DE BOMBEROS Y DCC</t>
  </si>
  <si>
    <t>AFECTADA CLINICA EL BOSQUE</t>
  </si>
  <si>
    <t>BUENOS AIRES</t>
  </si>
  <si>
    <t>PIENDAMO</t>
  </si>
  <si>
    <t>BARRIO SANTO DOMINGO SABIO.</t>
  </si>
  <si>
    <t>PERDIDA DE CULTIVOS DE MAIZ, FRIJOL, PLATANO Y NARANJA.</t>
  </si>
  <si>
    <t>VEREDA SAN AGUSTIN</t>
  </si>
  <si>
    <t>YARUMAL</t>
  </si>
  <si>
    <t>SAN ANDRES</t>
  </si>
  <si>
    <t>TOLEDO</t>
  </si>
  <si>
    <t>CARTAGO</t>
  </si>
  <si>
    <t>SUPIA</t>
  </si>
  <si>
    <t>SAN VICENTE DEL CAGUAN</t>
  </si>
  <si>
    <t>NEIVA</t>
  </si>
  <si>
    <t>DESBORDAMIENTO RIO ARIARI.</t>
  </si>
  <si>
    <t>LA TEBAIDA</t>
  </si>
  <si>
    <t>LA CELIA</t>
  </si>
  <si>
    <t>UBATE</t>
  </si>
  <si>
    <t>BARRIOS ISABELA BAJO, NARIÑO, CIUDAD ALEGRIA, VILLA MARLEN, PABLO SEXTO, CENTENARIO, URBANIZACION COINTEVI, ALASKA, NARIÑO, LA ESPERANZA, SANTA HELENA.</t>
  </si>
  <si>
    <t>VEREDA NARANJAL, FINCAS VILLA LOLA, VERIOSKA, LA FLORIODA, EL JARDIN, VILLA ANA, LA ESPERANZA, ELROCIO, COINTEVI</t>
  </si>
  <si>
    <t>APOYO DEL FNC PARA LA REPARACION Y MANTENIMIENTO DE EQUIPOS DE LA EMISORA NASA COMO APOYO AL PLAN DE CONTINGENCIA FRENTE A ERUPCION DEL VOPLCAN NEVADO DEL HUILA.</t>
  </si>
  <si>
    <t>MARIPI</t>
  </si>
  <si>
    <t>COPER</t>
  </si>
  <si>
    <t>AFECTADA VIA MARIPI SANTA HELENA</t>
  </si>
  <si>
    <t>VIA OTANCHE PUERTO BOYACA.</t>
  </si>
  <si>
    <t>SECTOR ENVIGADO SITIO LA MINA</t>
  </si>
  <si>
    <t>NEIRA</t>
  </si>
  <si>
    <t>VEREDA MARACAS. REPORTE DE LA DEFENSA CIVIL.</t>
  </si>
  <si>
    <t>PUERTO COLOMBIA</t>
  </si>
  <si>
    <t>MAR DE LEVA</t>
  </si>
  <si>
    <t>TUBARA</t>
  </si>
  <si>
    <t>MERCADERES</t>
  </si>
  <si>
    <t>EL CLOPAD DECLARO SITUACION DE EMERGENICA SANITARIA DEBDO A LA CONTAMINACION DEL RIO HATO VIEJO DE DNDE SE SURTE EL ACUEDUCTO DE LA VEREDA SOMBRERILLOS.</t>
  </si>
  <si>
    <t>PONEDERA</t>
  </si>
  <si>
    <t>CORREGIMIENTO DE PUERTO GIRALDO</t>
  </si>
  <si>
    <t>BARANOA</t>
  </si>
  <si>
    <t>JURISDICCION UPANE. VEREDA HATOCARRERA</t>
  </si>
  <si>
    <t>APOYO PARA LOS MUNICIPIOS DE FOSNSECA, MAICAO Y BARRANCAS</t>
  </si>
  <si>
    <t>AFECTADA ZONA URBANA Y RURAL REPORTE DEL CLOPAD Y CREPAD APOYO PARA LOS EVENTOS DEL 8 DE MAYO Y 22 DE AGOSTO.</t>
  </si>
  <si>
    <t>CAUSA ROMPIMIENTO TUBO DE ALCANTARILLADO. BARRIO SAN LUIS.Ç</t>
  </si>
  <si>
    <t>BARRIO LA PALMERA, REPORTE DEL CREPAD Y DEFENSA CIVIL.</t>
  </si>
  <si>
    <t>BARRIO NIÑO JESUS.</t>
  </si>
  <si>
    <t>BARRIOS EL MILLON Y EL PARAISO.</t>
  </si>
  <si>
    <t>CORREGIMIENTO EL TROPEZON REPORTE DEL CREPAD.</t>
  </si>
  <si>
    <t>REPORTE DEL MINPROTECCION SOCIAL, 1 LOCAL COMERCIAL DESTRUIDO.</t>
  </si>
  <si>
    <t>PASTO</t>
  </si>
  <si>
    <t>CORREGIMIENTO CAUCANA  VERED COLORADO DESBORDAMIENTO QUEBRADA LA CIDRA.</t>
  </si>
  <si>
    <t>AFECTADAS 1800 PLANTAS DE CACAO PROYECTO DE LA ONU</t>
  </si>
  <si>
    <t>TORO</t>
  </si>
  <si>
    <t>REPORTE EL SOCORRO NACIONAL.</t>
  </si>
  <si>
    <t>ACEVEDO</t>
  </si>
  <si>
    <t>600 TEJAS DE ZINC Y 2600 AMARRES</t>
  </si>
  <si>
    <t>600 TEJAS DE ZINC ÇY 2400 AMARRES</t>
  </si>
  <si>
    <t>REPORTE CREPAD VALLE Y D.C.C DE CALI, A RAIZ DE FUERTES LLUVIAS Y TORMENTA ELECTRICA SE PRESENTARON INUNDACIONES EN VARIOS BARRIOS Y CAIDA DE ARBOLES, VARIAS VIVIENDAS DESTECHADAS, COMPLEMENTARAN INFORMACION.</t>
  </si>
  <si>
    <t>SUAREZ</t>
  </si>
  <si>
    <t>REPORTE DE LA D.C.C., SE PRESENTO DERRUMBE EN MINA DE ORO CON 1 PERSONA FALLECIDA.</t>
  </si>
  <si>
    <t>EL CHARCO</t>
  </si>
  <si>
    <t>GINEBRA</t>
  </si>
  <si>
    <t>GUACARI</t>
  </si>
  <si>
    <t>REPORTE DEL CREPAD VALLE, SE PRESENTARON FUERTES LLUVIAS QUE OCASIONARON INUNDACIONES EN EL SECTOR URBANO DEL MPIO PARA LO CUAL AMPLIARAN INFORMACION.</t>
  </si>
  <si>
    <t>IBAGUE</t>
  </si>
  <si>
    <t>ULLOA</t>
  </si>
  <si>
    <t>CAIDA DE ARBOLES Y REDES ELECTRICAS</t>
  </si>
  <si>
    <t>CHIMA</t>
  </si>
  <si>
    <t>FINCA NARANJITO REPORTE DE CRUZ ROJA</t>
  </si>
  <si>
    <t>SEGOVIA</t>
  </si>
  <si>
    <t>BARRIOS EL CENTRO, ALFARO, SANTANDER, ZONA RURAL: VEREDAS DELIRIO, UNION DE LA CAL, SAN ANTONIO, EL CABLE, EL REPOSO, MALABAR, CAÑO TIGRE, CUMARA BAJO, CAÑO DULCE, RIO VIEJO, SANTA CRUZ, BENJAMIN HERRERA.  SECTOR CAÑO NORTE Y PUENTE CAIDO. DESBORDAMIENTO RIO ARIARI. EL CLOPAD ENVIA ACTA SIN SOLICITUD DE APOYO.</t>
  </si>
  <si>
    <t>GUACHETA</t>
  </si>
  <si>
    <t>DESBORDAMIENTO RIO ARAUCA, VEREDA LLANO GRANDE.</t>
  </si>
  <si>
    <t>COLAPSO MINA DE OROSECTOR LA CRUZADA. REPORTE DEL CREPAD.</t>
  </si>
  <si>
    <t>COLAPSO DE MINA DE ORO. VEREDA RIO ANCHO.</t>
  </si>
  <si>
    <t>REPORTE DEL CREPAD NARIÑO AFECTADA 10.102 PERSONAS POR FALTA DE SUMINISTRO DE AGUA EN LA ZONA URBANA Y RURAL</t>
  </si>
  <si>
    <t>BOLIVAR</t>
  </si>
  <si>
    <t>SAN MARTIN DE LOBA</t>
  </si>
  <si>
    <t>COLAPSO DE MINA SECTOR CERRO DE FEDERICO. REPORTE DEL MINISTERIO DE LA PROTECCION SOCIAL.</t>
  </si>
  <si>
    <t>TRES MODULOS DE FLORES</t>
  </si>
  <si>
    <t>BARRIO CARTAGENITA. REPORTE DE LA DEFENSA CIVIL.</t>
  </si>
  <si>
    <t>BARRIO BELLAVISTA, CONJUNTO LOS ARRAYANES. LAS FAMILIAS ESTAN SIENDO EVACUADAS POR LA DPAE.</t>
  </si>
  <si>
    <t>SAN CAYETANO</t>
  </si>
  <si>
    <t>CUCUTA</t>
  </si>
  <si>
    <t>EL TARRA</t>
  </si>
  <si>
    <t>CORREGIMIENTO CORNEJO. REPORTE PRELIMINAR DEL CREPAS</t>
  </si>
  <si>
    <t>CORREGIMIENTO ORIPAYA Y SECTORES LA NEVERA Y EL PINAR.</t>
  </si>
  <si>
    <t>SAN FRANCISCO</t>
  </si>
  <si>
    <t>VILLETA</t>
  </si>
  <si>
    <t>REPORTE DE LA DEFENSA CIVIL</t>
  </si>
  <si>
    <t>CRECIENTE RIO MANI, AFECTADO UN ANCIANATO CON 8 ANCIANOS Y CRECIENTE RIO DULCE, PERDIDA DE LA BANCA SECTOR PASO MALO.</t>
  </si>
  <si>
    <t>CAQUETA</t>
  </si>
  <si>
    <t>ALBANIA</t>
  </si>
  <si>
    <t>REPORTE DEL CREPAD</t>
  </si>
  <si>
    <t>DESBORDAMIENTO RIO PAUTO. VEREDAS SAN ISIDRO. EL VERDE, LA NAPORA, EL BANCO, ,MATALARGA. SITUACION EN EVALUACION. VIA VILLAVICENCIO YOPAL A LA ALTURA DE PUENTE CUSIANA. ALCALDE DE PORE 3123261740 JORGE GARZON. SITUACION E EVALUACION.</t>
  </si>
  <si>
    <t>APOYADO A PARQUES NACIONALES NATURALES MEDIANTE EL SUMINISTRO DE 500 RACIONES DE CAMPAÑA</t>
  </si>
  <si>
    <t>VEREDA MORETO</t>
  </si>
  <si>
    <t>PENSILVANIA</t>
  </si>
  <si>
    <t>DESBORDAMIENTO RIO SAN JUAN. REPORTE DE LA CRUZ ROJA</t>
  </si>
  <si>
    <t>PENDIENTE CONSOLIDADO. VEREDAS PUERTO GOMEZ, PALOMAS, AGUAS BLANCAS. REPRESEAMIENTO RIO ARIARI Y CAÑO PERRO LOCO. REPORTE DE DEFENSA CIVIL  Y CRUZ ROJA.</t>
  </si>
  <si>
    <t>AREA RURAL. REPORTE PRELIMINAR DEL CREPAD</t>
  </si>
  <si>
    <t>MORALES</t>
  </si>
  <si>
    <t>CAJIBIO</t>
  </si>
  <si>
    <t>PERDIDAS EN CULTIVOS</t>
  </si>
  <si>
    <t>DESBORDAMIENTO QUEBRADA LA MARIA. BARRIO LA MARIA. REPORTE PRELIMINAR DEL CREPAD.</t>
  </si>
  <si>
    <t>AFECTADA VIA MEDELLIN - ANGELOPOLIS. MEDELLIN - SANTUARIO. LABORES CON INVIAS PARA DESPEJAR LA VIA. REPORTE PRELIMINAR DEL CREPAD.</t>
  </si>
  <si>
    <t>LA ZONA HABIA SIDO EVACUADA PREVIAMENTE. REPORTE PRELIMINAR DEL CREPAD.</t>
  </si>
  <si>
    <t>BARRIO MIRADOR DEL NORTE. LAS VIVIENDAS FUERON EVACUADAS. REPORTE DE LA DEFENSA CIVIL.</t>
  </si>
  <si>
    <t>DESBORDAMIENTO QUEBRADA CHACUCHA. VEREDA COSTA RICA. REPORTE DE LA DEFENSA CIVIL.</t>
  </si>
  <si>
    <t>VIA CALI BUENAVENTURA SECTOR DESLIZAMIENTO DE TIERRA SOBRE VEHICULO.</t>
  </si>
  <si>
    <t>QUEBRADA PERIQUEROS. REPORTE DEL CREPAD.</t>
  </si>
  <si>
    <t>DESLIZAMIENTO SOBRE VIA SECTOR EL MANGLAR.</t>
  </si>
  <si>
    <t>CORREGIMIENTO SANTA HELENA. FINCA LA CASCADA</t>
  </si>
  <si>
    <t>BARRIO LA FLORIDA. . REPORTE PRELIMINAR DEL CREPAD</t>
  </si>
  <si>
    <t>DESBORDAMIENTO RIO DESBARATADO. CORREGIMIENTOS AGUAZUL, SANTODOMINGO, LA UNION, PÀZ DEL AGRADO, REMOLINO, TAMBORAL, SANTA ROSA.. APOYO GLOBAL DADO AL DEPARTAMENTO</t>
  </si>
  <si>
    <t>CUATRO MENORES HERIDOS POR CAIDA DE ARBOL EN EL BARRIO OBRERO ESCUELA CUMARAL. SIN FLUIDO ELECTRICO. REPORTE DEL CREPAD. APOYO GLOBAL DADO AL DEPARTAMENTO</t>
  </si>
  <si>
    <t>DESBORDAMIENTO RIO BOLO. APOYO GLOBAL DADO AL DEPARTAMENTO</t>
  </si>
  <si>
    <t>39 TEJAS DE AC N0. 6 Y 14 NO, 8</t>
  </si>
  <si>
    <t>630 TEJAS DEAC NO. 8, 336 NO. 6, 167 CABALLETES</t>
  </si>
  <si>
    <t>25 TEJAS DE AC NO. 6</t>
  </si>
  <si>
    <t>500 LAMINAS DE ZINC, 500 DE AC NO. 6</t>
  </si>
  <si>
    <t>2400 TEJAS DE AC NO.8 Y 1600 NO. 6, 400 ZINC Y500 AC NO. 6</t>
  </si>
  <si>
    <t>CATRE</t>
  </si>
  <si>
    <t>SITIO CAÑON DE IGLESIAS, MORTANDAD DE PECES</t>
  </si>
  <si>
    <t>LA ESTRELLA</t>
  </si>
  <si>
    <t>LA VEGA</t>
  </si>
  <si>
    <t>PERDIDA DE FLUIDO ELECTRICO</t>
  </si>
  <si>
    <t>BARRIOS LA FERIAS, LA POLA, LIBERTADOR, VEREDAS DEL CAÑON DEL COMBEIMA.. REPORTE DEL CREPAD.</t>
  </si>
  <si>
    <t>SAN JUAN DE RIOSECO</t>
  </si>
  <si>
    <t>CURILLO</t>
  </si>
  <si>
    <t>QUEBRADA LA BATEA. REPRESAMIENTO POR ACUMULACION DE BASURAS. AFECTADOS CINCO BARRIOS. YA EL AGUA BAJO. REPORTE DEL CREPAD. DESBORDAMIENTO RIO ORO</t>
  </si>
  <si>
    <t>DURANIA</t>
  </si>
  <si>
    <t>VEREDA SAN JOSE. SOLICITAN APOYAR PROGRAMA DE REUBICACION DE VIVIENDAS.</t>
  </si>
  <si>
    <t>SACOS PUESTOS EN LA DEFENSA CIVIL DE BARRANCABERMEJA PARA ATENDER LAS INUNDACIONES.</t>
  </si>
  <si>
    <t>DESBORDAMIENTO RIOS BACHE, AIPE, MAGDALENA. AFECTADA BOCATOMA DEL ACUEDUCTO. REPORTE DEL CLOPAD.</t>
  </si>
  <si>
    <t>YACUANQUER</t>
  </si>
  <si>
    <t>FUNES</t>
  </si>
  <si>
    <t>AFECTACON EN VIAS EN LOS MUNICIPIOS DE ILES, SOTOMAYOR, PEÑON, TAMBO, TABLON DE GOMEZ, BUESACO, SAN JOSE DE ALBAN, SAN BERNARDO.</t>
  </si>
  <si>
    <t>LOS APOYOS EN TRAMITE CORRESPONDEN A ASISTENCIA HUMANITARIA ENTREGADA, PERO QUE SE ENCUENTRA EN TRAMITE ADMINISTRATIVO EN LA DGR</t>
  </si>
  <si>
    <t>SAN ALBERTO</t>
  </si>
  <si>
    <t>DESBRDAMIENTO QUEBRADA LA LOCAL</t>
  </si>
  <si>
    <t>FUERTES LLUVIAS AFECTADOS SECTORE DE BOSA, KENEDY  Y FONTIBON. BARRIO CASANDRA EL PORTAL DE KENEDY, LA RIVIERA Y PATIO BONITO.CINCO BARRIOS AFECTADOS. PENDIENTE EVALUACION.</t>
  </si>
  <si>
    <t>BARRANCABERMEJA</t>
  </si>
  <si>
    <t>CORREGIMIENTO EL PLATEADO, VEREDA PAMBIRAL</t>
  </si>
  <si>
    <t>APOYO DEL FNC MEDIANTE EL SUMINISTRO E 700 RACIONES DE CAMPAÑ Y 2016 BOTELLAS DE AGUA, 50 PALAS, 50 AZADONES Y 50 MACHETES.</t>
  </si>
  <si>
    <t>EL VALOR DE OTROS CORRESPONDE A MATERIALES DE CONSTRUCCION PARA LA CONSTRUCCION DE UN ALBERGUE TEMPORAL PARA 24 FAMILIAS DE LÑA VEREDA EL ESPINAL AFECTADAS POR LA ERUPCION DEL VOLCAN NEVADO DEL HUILA EL AÑO PASADO.</t>
  </si>
  <si>
    <t xml:space="preserve">3500 TEJAS DE ZINC DE 2.14. 20 LIBRAS DE CLAVO PARA ZINC, 3000 TEJAS DE FIBROCEMENTO NO. 10 Y 6000 GANCHOS PARA TEJA </t>
  </si>
  <si>
    <t>APOYO GLOBAL A TRAVES DEL DEPARTAMENTO. EL VALOR DE OTROS CORRESPONDE A 2000 LISTONES DE 2X4 Y 25LIBRAS DE PUNTILLA DE 3".</t>
  </si>
  <si>
    <t>REPORTE DEL CREPAD Y LA DEFENSA CIVILÇ</t>
  </si>
  <si>
    <t>BARRIOS LAS PALMAS, KENNEDY, SECTOR BAJO, SAN MIGUEL, SIETE DE AGOSTOCALLE NUEVA, NUEVO MILENIO. REPORTE DEL CREPAD.</t>
  </si>
  <si>
    <t>SE APOYA EN EL MES DE NOVIEMBRE CON TEJAS DE ZINC Y ASISTENCIA HUMANITARIA</t>
  </si>
  <si>
    <t>BARRIOS FERIAS, RECUERDO, VEREDAS MINABUCO, LA ESPERANZA. APOYOPARA ATENDER LOS EVENTOS DE MAYO, AGOSTO  Y NOVIEMBRE.</t>
  </si>
  <si>
    <t>GIGANTE</t>
  </si>
  <si>
    <t>LEIVA</t>
  </si>
  <si>
    <t>CALDONO</t>
  </si>
  <si>
    <t>APOYO GLOBAL DADO AL DEPARTAMENTO. SOLICITAN APOYO EN OBRAS COMO MUROS, BOX COULVERTS, ETC..</t>
  </si>
  <si>
    <t>OCAÑA</t>
  </si>
  <si>
    <t>SAN BERNARDO DEL VIENTO</t>
  </si>
  <si>
    <t>DESBORDAMIENTO QUEBRADAS EL COLEGIO Y LA APACIBLE. REPORTE DEL CLOPAD</t>
  </si>
  <si>
    <t>APOYO GLOBAL PARA LOS MUNICIPIOS AFECTADOS POR LAS INUNDACIONES EN EL MES DE JUNIO</t>
  </si>
  <si>
    <t>REPORTE DEL CREPAD. APOYO DADO A TRAVES DEL CREPAD.</t>
  </si>
  <si>
    <t>CHIA</t>
  </si>
  <si>
    <t>SECTOR RIOFRIO, ALENDRIA, CERCA DE PIEDRA.</t>
  </si>
  <si>
    <t>BARRIO TUCUNARE PARTE ALTAY PARTE BAJA.</t>
  </si>
  <si>
    <t>ACANDI</t>
  </si>
  <si>
    <t>PERDIDA DE CULTIVOS Y VIVEROS</t>
  </si>
  <si>
    <t>RIOSUCIO</t>
  </si>
  <si>
    <t>HATO</t>
  </si>
  <si>
    <t>AFECTACION REDES ELECTRICAS.</t>
  </si>
  <si>
    <t>REPORTE DEL CREPAD. APOYADO A TRAVES DEL CREPAD. EL TEMA E VIVIENDA PASA AL SECTOR.</t>
  </si>
  <si>
    <t>REPORTE DE MINPROTECCION SOCIAL Y DCC.</t>
  </si>
  <si>
    <t>EN EVALUACION REPORTE DEL CREPAD.</t>
  </si>
  <si>
    <t>SECTOR GUAYURIBA.. REPORTE DEL CLOPAD Y LA DCC.</t>
  </si>
  <si>
    <t>EN EVALUACION. REPORTE DEL CREPAD.</t>
  </si>
  <si>
    <t>AFECTADO UN LOCAL COMERCIAL</t>
  </si>
  <si>
    <t>BARRIO OLAYA HERRERA CALLE LA PAZ. REPORTE DE LA DEFENSA CIVIL.</t>
  </si>
  <si>
    <t>AFECTADO COLEGIO ALOLSURE. REPORTE DE DCC.</t>
  </si>
  <si>
    <t>PUERTO RONDON</t>
  </si>
  <si>
    <t>REPORTE PRELIMINAR DE LA DEFENSA CIVIL.</t>
  </si>
  <si>
    <t>PALESTINA</t>
  </si>
  <si>
    <t>DESBORDAMIENTO QUEBRADA EL SALADO, VEREDA EMUS REPORTE PRELIMINAR DEL CREPAD.</t>
  </si>
  <si>
    <t>DESBORDAMIENTO RIO GUAYURIBA VEREDA VEGAS DEL GUAYURIBA. REPORTE PRELIMINAR DEL CLOPAD.</t>
  </si>
  <si>
    <t xml:space="preserve">CORREGIMIENTO DE GENOY. SE PRESENTO INCENDIO ESTRRUCTURAL EN EL ALBERGUE EL VERGEL. SE QUEMARON DOS MODULOS. </t>
  </si>
  <si>
    <t>BARRIO LOS ALPES. REPORTO EL CREPAD.</t>
  </si>
  <si>
    <t>BARRIO EL REPOSO 1.</t>
  </si>
  <si>
    <t>284 LAMINAS DE ZINC, 314 DE AC NO. 6, 68 CABALLETES</t>
  </si>
  <si>
    <t>528 LAMINAS DE ZINC Y 30 DE AC NO. 6</t>
  </si>
  <si>
    <t>ZONA URBANA. BARRIO SAN MIGUEL. COLAPSO DE MINA DE ORO. REPORTE DEL MINISTERIO DE LA PROTECCION SOCIAL.</t>
  </si>
  <si>
    <t>ITAGUI</t>
  </si>
  <si>
    <t>SANTANDER</t>
  </si>
  <si>
    <t>BUCARAMANGA</t>
  </si>
  <si>
    <t>BARRIOS ROCIO BAJO, LA PLAYA Y CORTES. FUERTES LLUVIAS.</t>
  </si>
  <si>
    <t>BUGA LA GRANDE</t>
  </si>
  <si>
    <t>BARRIO BELLAVISTA. REPORTE DE LA DEFENSA CIVL.</t>
  </si>
  <si>
    <t>VILLA DE LEIVA</t>
  </si>
  <si>
    <t>PITALITO</t>
  </si>
  <si>
    <t>BARRIO TUCUARE PARTE ALTA, ANTONIA SANTOS, 6 DE MAYO, PARAISO, PRIMAVERA, FLORIDA. REPORTE DEL CREPAD. NO PRESENTAN SOLICITUD DE APOYO.</t>
  </si>
  <si>
    <t>GRAMALOTE</t>
  </si>
  <si>
    <t>AFECTADA VIA QUE COMUNICA A LA VEREDA ZARZALES CON LA VEREDA EL TRIUNFO.</t>
  </si>
  <si>
    <t>LOURDES</t>
  </si>
  <si>
    <t>QUEBRADAS EL EDEN Y LA POLVORA. AFECTADA VIA QUE COMUNICA CON LAS VEREDAS LA PRIMAVERA Y LA ALIANZA,,</t>
  </si>
  <si>
    <t>EL ZULIA</t>
  </si>
  <si>
    <t>DESBORDAMIENTO RIO PERALONSO. VEREDA CAMPO ALICIA.</t>
  </si>
  <si>
    <t>VILLA DEL ROSARIO</t>
  </si>
  <si>
    <t>DESBORDAMIETNO RIO TACHIRA.</t>
  </si>
  <si>
    <t>VILLANUEVA</t>
  </si>
  <si>
    <t>VEREDAS BELALCAZAR Y CISNEROS. REPORTE PRELIMINAR DE LA DCC EN ESPERA DE EVALUACION.</t>
  </si>
  <si>
    <t>SAN JOSE</t>
  </si>
  <si>
    <t>VEREEDAS CARIMAÑOLA, ORQUERON Y CAIMAN BAJO REPORTE DEL SOCORRO NACIONAL.</t>
  </si>
  <si>
    <t>MINA LA PLAYITA. REPORTE DEL CREPAD.</t>
  </si>
  <si>
    <t>ITSMINA</t>
  </si>
  <si>
    <t>CINCO VEHICULOS ATRAPADOS</t>
  </si>
  <si>
    <t>BARRIO CIUDAD SALITRE. REPORTE DE MINPROTECCION SOCIAL</t>
  </si>
  <si>
    <t>MAGDALENA</t>
  </si>
  <si>
    <t>APOYO DEL FNC MEDIANTE GIRO DIRECTO AL CREPAD PARA ADQUISICION DE MATERIALES PARA AFRONTAR LOS DESBORDAMIENTOS DEL RIO MAGDALENA OCURRIDOS DURANTE L SEGUNDA TEMPORADA DE 2008,</t>
  </si>
  <si>
    <t>FOMEQUE</t>
  </si>
  <si>
    <t>TITIRIBI</t>
  </si>
  <si>
    <t>VEREDA SANTA ANA. REPORTE DEL CREPAD.</t>
  </si>
  <si>
    <t xml:space="preserve">APOYO DEL FNC MEDIANTE GIRO DIRECTO AL CLOPAD PARA APOYAR EL TRANSPORTE DE 1000 CABEZAS DE GANADO DESDE ZAMBRANO HASTA LOS CORREGIMIENTOS DE SAN JOSE DE LAS MARTAS, SAN SEBASTIAN DE BUENAVISTA Y TOLU POR VALOR DE $30.000.000 Y ADQUISICION DE COMBUSTIBLE, LUBRICANTES Y MANTENIMIENTO DE EQUIPOS PARA EL TAPONAMIENTO DE LOS ROMPEDEROS POR VALOR DE $130,068,000. </t>
  </si>
  <si>
    <t>REPORTE DE LA CRUZ ROJA</t>
  </si>
  <si>
    <t>EL MUNICIPIO DECLARA LA URGENCIA MANIFIESTA DEBIDO A LA AFECTACION DE LAS VIAS, PUENTES VEHICULARES Y DAÑO EN CENTROS EDUCATIVOS</t>
  </si>
  <si>
    <t>AFECTADA VIA APIA - PUEBLO NUEVO.</t>
  </si>
  <si>
    <t>BAHIA SOLANO</t>
  </si>
  <si>
    <t>CAUCASIA</t>
  </si>
  <si>
    <t>APOYO DEL FNC EN SEMILLA VARIADA PARA APOYAR LA REACTIVACION ECONOMICA DEL DEPARTAENTO.</t>
  </si>
  <si>
    <t xml:space="preserve">VEREDA GUAYACUNDO ALTO. </t>
  </si>
  <si>
    <t>ALBAN</t>
  </si>
  <si>
    <t>EL BANCO</t>
  </si>
  <si>
    <t>CORREGIMIENTO EL TREBOL, VEREDAS VIJAGUAL Y SAN JOSE, AFECTADAS ESCUELAS NUESTRA SEÑORA EL CARMEN DE VIJAGUALMARIA AUXILIADORA DE EL TREBOL Y RURAL MIXTA SAN JOSE.--</t>
  </si>
  <si>
    <t>BAGADO</t>
  </si>
  <si>
    <t>COMUNIDADES SAN MARINO, PIEDRA HONDA, ENGRIBADO, PLAYA BONITA, CUAJANDO, MUCHICHI, EL SALTO, OCHOA, LA SIERRA, CHAMBARE Y CABECERA MUNICIPAL</t>
  </si>
  <si>
    <t>LOPEZ</t>
  </si>
  <si>
    <t>ARMERO GUAYABAL</t>
  </si>
  <si>
    <t>APOYO DEL FNC MEDIANTE GIRO DIRECTO AL CLOPAD PARA APOYAR EL DESTAPONAMIENTO PROVISIONAL DE LA VIA PRINCIPAL QUE DE LA VEREDA SAN LORENZO CONDUCE A LAS VEREDAS DE LA MOYA, PONTA Y POTREROGRANDE, MEDIANTE EL PAGO DE JORNALES DE MANO DE OBRA, SECTOR DONDE SE ENCUENTRA UBICADO EL COLEGIO INSTITUCION EDUCATIVA INEDRIS.</t>
  </si>
  <si>
    <t>CAJAMARCA</t>
  </si>
  <si>
    <t>EL VALOR DE OTROS CORRESPONDE A LA COMPRA DE ELEMENTOS DE DOTACION CON DESTINO AL CUERPO DE BOMBEROS DE VIGIA DEL FUERTE.</t>
  </si>
  <si>
    <t>CARMEN DEL DARIEN</t>
  </si>
  <si>
    <t>REPORTE PRELIMONAR DEL CREPAD</t>
  </si>
  <si>
    <t>EL BAGRE</t>
  </si>
  <si>
    <t>BELLO</t>
  </si>
  <si>
    <t>ACHI</t>
  </si>
  <si>
    <t>APOYO GLOBAL PARA LOS MUNICIPIOS DE SAN MARTIN, PUEBLO BELLO, MANAURE, CURUMANI, LA PAZ, SAN DIEGO.</t>
  </si>
  <si>
    <t>VEREDA MATAPALO. DESBORDAMIENTO RIO PAUTO. REPORTE DE LA DEFENSA CIVIL</t>
  </si>
  <si>
    <t>VEREDA MIROLINDO, DESBORDAMIENTO DEL RIO PAUTO. REPORTE DE LA DEFENSA CIVIL</t>
  </si>
  <si>
    <t>PENDIENTE MAYOR INFORMACION. REPORTE DEL CLOPAD. BARRIOS PRADERA, LA MANGA, CARLOS MEISSEN, EL BOSQUE, SIETE DE ABRIL, CARRIZAL, LOS ANGELES, EL EDEN, CALAMARI, MEUEJO, NUEVA COLOMBIA, LOS OLIVOS, SAN JOSE, CENTRO, LA PLAYA, LA PAZ, SAN MARTIN, CAMPO ALEGRE, LOS PINOS, SURVID, SANTA MARIA.</t>
  </si>
  <si>
    <t>VEREDA EL MANZANO, CORREGIMIENTO LA FLORIDA</t>
  </si>
  <si>
    <t>RIONEGRO</t>
  </si>
  <si>
    <t>DESBORDAMIENTO QUEBRADA EL MEDIO.</t>
  </si>
  <si>
    <t>UBAQUE</t>
  </si>
  <si>
    <t>VEREDA ZONA VERDE.</t>
  </si>
  <si>
    <t>VEREDA EL ESTANQUILLO ALTO. FINCA LOS LAGOS.</t>
  </si>
  <si>
    <t>REPORTE DEL CLOPAD MEDELLIN.</t>
  </si>
  <si>
    <t>LA UNION</t>
  </si>
  <si>
    <t>FORTUL</t>
  </si>
  <si>
    <t>ARAUCA</t>
  </si>
  <si>
    <t>TOCANCIPA</t>
  </si>
  <si>
    <t>DERRUMBE EN CANTERA DE ARENA EN LA VEREDAPRIMAVERA</t>
  </si>
  <si>
    <t>QUINDIO</t>
  </si>
  <si>
    <t>CIRCASIA</t>
  </si>
  <si>
    <t>SECTOR POLVORINES POMPAS DEL MIRADOS</t>
  </si>
  <si>
    <t>SANTACRUZ</t>
  </si>
  <si>
    <t>BUESACO</t>
  </si>
  <si>
    <t>ARBOLEDA</t>
  </si>
  <si>
    <t>ANCUYA</t>
  </si>
  <si>
    <t>APOYO EN SACOS PARA OBRAS DE PROTECCION</t>
  </si>
  <si>
    <t>VALLE DE SAN JUAN</t>
  </si>
  <si>
    <t>SINCELEJO</t>
  </si>
  <si>
    <t>VEREDA SANTA TERESITA.EXPLOSION DE POLVORERIA</t>
  </si>
  <si>
    <t>Barrio muchajagua. DESBORDAMIENTO RIO SAN JORGE</t>
  </si>
  <si>
    <t>NOVITA</t>
  </si>
  <si>
    <t>DESBORDAMIENT RIO SAN JUAN. REPORTE DE CRUZ ROJA</t>
  </si>
  <si>
    <t>DESBORDAMIENTO RIO TACANA. REPORTE DE CRUZ ROJA</t>
  </si>
  <si>
    <t>BARRIO BONANZA. REPORTE DE CRUZ ROJA</t>
  </si>
  <si>
    <t>LITORAL DEL SAN JUAN</t>
  </si>
  <si>
    <t>MEDIO SAN JUAN</t>
  </si>
  <si>
    <t xml:space="preserve">REPORTE PRELIMINAR. SECTORES SIMON BOLIVAR, MEISEN, AMERICAS, EL BOSQUE, CARIIZAL, </t>
  </si>
  <si>
    <t>ARCABUCO</t>
  </si>
  <si>
    <t>VEREDA RUPADITA. ACCIDENTE DE TRACTOMULA VBERTIENDO CARBON MINERAL AL RIO POMECASE.</t>
  </si>
  <si>
    <t>ANZOATEGUI</t>
  </si>
  <si>
    <t>VEREDAS LA UNION LA ALEJANDRA Y PALOMAR. AVALANCHA RIO FRIO.</t>
  </si>
  <si>
    <t>PUERTO LEGUIZAMO</t>
  </si>
  <si>
    <t>PUERTO ASIS</t>
  </si>
  <si>
    <t>TIERRALTA</t>
  </si>
  <si>
    <t>CORREGIMIENTO PIÑALITO</t>
  </si>
  <si>
    <t>DESBORDAMIENTO RIO GUAMAL</t>
  </si>
  <si>
    <t xml:space="preserve">VEREDA LA MANGA. DESBPORDAMIENTO RIO CRAVO SUR </t>
  </si>
  <si>
    <t>AYAPEL</t>
  </si>
  <si>
    <t>LA APARTADA</t>
  </si>
  <si>
    <t>DESBORDAMIENTO QUEBRADA PIEDRAHITAS, LA CHUSCALA Y EL LIMO, BARRIO MANDALAY. BARRIOS LA INMACULADA, LA QUIEBRA, LOS CEREZOS. REPORTE DEL CREPAD.</t>
  </si>
  <si>
    <t>GENOVA - PIJAO</t>
  </si>
  <si>
    <t>PUERTO WILCHES</t>
  </si>
  <si>
    <t>CHAGUANI</t>
  </si>
  <si>
    <t>INFORMACION</t>
  </si>
  <si>
    <t>NO</t>
  </si>
  <si>
    <t>REPORTE PRELIMINAR DE LA DEFENSA CIVIL</t>
  </si>
  <si>
    <t>LA CEJA</t>
  </si>
  <si>
    <t xml:space="preserve">DERRAME DE Q000 GALONES DE GASOLINA EN ALCANTARILLADO DEL MUNICIPIO, DOS BARRIOS EVACUADOS. </t>
  </si>
  <si>
    <t>MURINDO</t>
  </si>
  <si>
    <t>DESBORDAMIENTO RIO MURINDO. REPORTE PRELIMINAR DEL CREPAD.</t>
  </si>
  <si>
    <t>LETICIA</t>
  </si>
  <si>
    <t>DESBORDAMIENTO QUEBRADA MIÑA. VEREDA MIÑA. EL CLOPAD ENVIA INFORMACION SI SOLICITUD DE APOYO.</t>
  </si>
  <si>
    <t>CARMEN DE VIBORAL</t>
  </si>
  <si>
    <t>BARRIO SAN JOSE. FUERTES LLUVIAS</t>
  </si>
  <si>
    <t>BARRIO VILLA ESPAÑA, EL REPOSO.</t>
  </si>
  <si>
    <t>OIBA</t>
  </si>
  <si>
    <t>SOCORRO</t>
  </si>
  <si>
    <t>GUACAMAYO</t>
  </si>
  <si>
    <t>PERDIDA EN CULTIVOS DE FRIJOL, MAIZ, PLATANOI, YUCA, Y SEMOVIENTES</t>
  </si>
  <si>
    <t>DESBORDAMIENTO RIO SAN ALBERTO. REPORTE DEL CREPAD SITUACION EN EVALUACION.</t>
  </si>
  <si>
    <t>PORE</t>
  </si>
  <si>
    <t>DESBORDAMIENTO DE LOS RIOS EL TAMBOR, Y CAQUETA. INSPECCION MIRAFLORES REPORTE DE LA DEFENSA CIVIL.</t>
  </si>
  <si>
    <t>FABRICA DE ELEMENTOS DE ASEO.</t>
  </si>
  <si>
    <t>ZARAGOZA</t>
  </si>
  <si>
    <t>EL VALOR DE OTROS CORRESPONDE A LA ADQUISICION DE MATERIALES DE CONSTRUCCION COMO APOYO PARA LA REUBICACION DE 16 FAMILIAS AFECTADAS EN EL MUNICIPIO DE LA PASERA</t>
  </si>
  <si>
    <t>SECTOR SANTA MONICA, LA AURORA, CAMILO TORRES, SANTA ISABEL, CAMPUS, VALHER Y SECTOR COMERCIAL. DESBORDAMIENTO QUEBRADA LA VIBORA Y CAÑAVERAL.</t>
  </si>
  <si>
    <t>EL PEÑON</t>
  </si>
  <si>
    <t>SOLICITU DE APOYO CON (500) RACIONES DE CAMPAÑA</t>
  </si>
  <si>
    <t>SOLICITUD DE APOYO CON 500 RACIONES DE CAMPAÑA PARA LA DEFENSA CIVIL DE CUNDINAMARCA</t>
  </si>
  <si>
    <t>CUCUTILLA</t>
  </si>
  <si>
    <t>PERDIDA DE CULTIVOS, ACUEDUCTOS Y VIAS. PASA A SECTOR VIVIENDA. NO SOLICITAN AYUD HUMANITARIA</t>
  </si>
  <si>
    <t>REPORTE DE LA CRUZ ROJA..</t>
  </si>
  <si>
    <t>SALENTO</t>
  </si>
  <si>
    <t>EL CLOPAD ENVIA INFORMACION PRELIMINAR SOBRE AFECTACION EN VIAS Y SOLICITA APOYO DE MANERA GENERAL SIN CUANTIFICAR. SE LE INDICO QUE DOCUMENTOS DEBE ADJUNTAR.</t>
  </si>
  <si>
    <t>SECTOR JANOY ALTO Y JANOY BAJO. REPORTE DE LA DEFENSA CIVIL.</t>
  </si>
  <si>
    <t>DESBORDAMIENTO RIO ITUANGO.REPORTE PRELIMINAR DE LA DEFENSA CIVIL.</t>
  </si>
  <si>
    <t>CORREGIMIENTO JUNCAL. AFECTADA BASE MILITAR LUCIANO DE LUYER. CENTRO DE INSTRUCCIÓN Y ENTRENAMIENTO DE LA V BRIGADA DEL EJERCITO. REPORTE DE LA DEFENSA CIVIL.</t>
  </si>
  <si>
    <t>TIBACUY</t>
  </si>
  <si>
    <t>CABRERA</t>
  </si>
  <si>
    <t>REPORTE DE LA CRUZ ROJA.</t>
  </si>
  <si>
    <t>INSPECCION CUMACA. SECTOR CANECAS. REPORTE DEL CREPAD</t>
  </si>
  <si>
    <t>VENECIA</t>
  </si>
  <si>
    <t>DESBORDAMIENTO RIO NAUCA. REPORTE PRELIMINAR DEL SOCORRO NACIONAL.</t>
  </si>
  <si>
    <t>VEREDAS PUERTO CESAR Y RIO MAR. LLUVIAS INTENSAS ACOMPAÑADAS DE FUERTES VIENTOS. AFECTADAS 21 VEREDAS. 13 BARRIOS. INFORMACION PRELIMINAR.</t>
  </si>
  <si>
    <t>DESBORDAMIENTO DE LOS CAÑOS LAURELES Y PORTUGAL, AFECTADAS VEREDAS SAN PERUCHO, PERUCHITO, EL CARDAL, SAN MIGUEL, BARRIOS VIJAO, FLORESTA, LAURELES, PIEDRAS BLANCAS, CASA ROJA. REPORTE DEL CREPAD</t>
  </si>
  <si>
    <t>AFECTADO APARTAMENTO EN EL EDIFICIO ALAMOS.</t>
  </si>
  <si>
    <t>REPORTE DE LA D.C.C. SE PRESENTO INCENDIO ESTRUCTURAL EN EL BARRIO DIANA TURBAY SIN CONSECUENCIAS MAYORES.</t>
  </si>
  <si>
    <t>DOSQUEBRADAS</t>
  </si>
  <si>
    <t>REPORTE DE LA D.C.C. DONDE SE INFORMA DE INCENDIO ESTRUCTURAL EN EL BARRIO EL VALSO EN UNA FABRICA DE COLCHONES</t>
  </si>
  <si>
    <t>PURISIMA</t>
  </si>
  <si>
    <t>REPORTE DEL CREPAD CORDOBA PATRICIA ANAYA, SE PRESENTO VENDAVAL EN EL CORREGIMIENTO ARROYO HONDO</t>
  </si>
  <si>
    <t>ACCIDENTE TERRESTRE</t>
  </si>
  <si>
    <t>SI</t>
  </si>
  <si>
    <t>AFECTADOS BARRIOS SAN PEDRO ALEJANDRINO, JAZMIN, BOQUERON, GRANADA, MIRADOR, LA UNION Y EL GORDILLO. DESBORDAMIENTO QUEBRADA EL TEJAR Y DESLIZAMIENTOS, REPORTE DEL CREPAD.</t>
  </si>
  <si>
    <t>TAPONAMIENTO VIA PRINCIPAL QUE CONDUCE A ARMENIA.</t>
  </si>
  <si>
    <t>DESBORDAMIENTO QUEBRADA LA MARIA 1 VEHICULO AFECTADO.</t>
  </si>
  <si>
    <t>SAN ANTONIO DE PRADO. REPORTE DEL CREPAD.</t>
  </si>
  <si>
    <t>DESBORDAMIENTO QUEBRADAS BELLAVISTA, PERLA, SECA Y LA GONZALEZ, SECTORES CAÑON DEL CONVEIMA, PASCALES, CARRETEROS, PIEDRAGRANDE, VEREDAS LLANITOS, LA CRISTALINA Y PICO DE ORO, BARRIOS LA BELLA AVENIDA ALTA Y BAJA, BALTASAR Y LA VEGA, CORREGIMIENTOS VILLA RESTREPO, VEGA LARGA Y JUNTAS. REPORTO CREPAD TOLIMA Y CLOPAD IBAGUE</t>
  </si>
  <si>
    <t>CRECIENTE SUBITA RIO PAEZ, VEREDA PUERTO SECO, REPORTO CREPAD HUILA</t>
  </si>
  <si>
    <t>CRECIENTE RIO MAGDALENA EN EL SITIO EL LLANO DE LA VIRGEN, REPORTO CREPAD HUILA.</t>
  </si>
  <si>
    <t>LA ARGENTINA</t>
  </si>
  <si>
    <t>12 MILLONES EN PERDIDAS EN EQUIPO Y MADERAS Y 150 MILLONES EN PERDIDA DE VIVIENDA</t>
  </si>
  <si>
    <t>INCENDIO ESTRUCTURAL REPORTO CREPAD HUILA.</t>
  </si>
  <si>
    <t>BARRIO GALAN DESBORDAMIENTO ARROYO AFAN. REPORTE DEL CLOPAD. BARRIOS SIMON BOLIVAR, BELLA ANDREA, BOSQUE, SANTA MARIA, ARMENIA, SANTO DOMINGO, VILLA ROSARIO, CARRISAL Y LOS OLIVOS. REPORTO CLOPAD BARRANQUILLA Y DC BARRANQUILLA</t>
  </si>
  <si>
    <t>BARRIOS EL CABLE, TORCORAMA, FATIMA, EL COMERCIO, PALOMERA, PESQUERA Y ACITUNAS, REPORTO DEFENSA CIVIL DIRECCION GENERAL BOGOTA.</t>
  </si>
  <si>
    <t>MOCOA</t>
  </si>
  <si>
    <t>LIBORINA</t>
  </si>
  <si>
    <t>REMOLINO</t>
  </si>
  <si>
    <t>CHITAGA</t>
  </si>
  <si>
    <t>REORTE DEL CREPAD, PASA A VIVIENDA.</t>
  </si>
  <si>
    <t>ROBERTO PAYAN</t>
  </si>
  <si>
    <t>EL PEÑOL</t>
  </si>
  <si>
    <t>POLICARPA</t>
  </si>
  <si>
    <t>MAGUI PAYAN</t>
  </si>
  <si>
    <t>SAMANIEGO</t>
  </si>
  <si>
    <t>CUMBITARA</t>
  </si>
  <si>
    <t>BELEN</t>
  </si>
  <si>
    <t>GUACHUCAL</t>
  </si>
  <si>
    <t>LINARES</t>
  </si>
  <si>
    <t>SAN PEDRO DE CARTAGO</t>
  </si>
  <si>
    <t>INFORME DEL CREPAD</t>
  </si>
  <si>
    <t>SAN LORENZO</t>
  </si>
  <si>
    <t>SAN JOSE DE ALBAN</t>
  </si>
  <si>
    <t>SANDONA</t>
  </si>
  <si>
    <t>PERDIDA DE CULTIVOS</t>
  </si>
  <si>
    <t>TAMINANGO</t>
  </si>
  <si>
    <t>LOS ANDES</t>
  </si>
  <si>
    <t>HUILA</t>
  </si>
  <si>
    <t xml:space="preserve"> NEIVA</t>
  </si>
  <si>
    <t>SOCOTA</t>
  </si>
  <si>
    <t>SOLICITAN APOYO EN SACOS Y PLASTICO PARA ARAUQUITA Y RESTO DE DEPARTAMENTO.</t>
  </si>
  <si>
    <t>CAQUEZA</t>
  </si>
  <si>
    <t>DESBORDAMIENTO QUEBRADA LOS ANGELES VEREDA EL OASIS, LOS MANGOS Y EL RUBI. EN LA VEREDA LOS MANGOS ESTA AFECTADA LA BOCATOMA DEL ACUEDUCTO. REPORTE DEL CREPAD.</t>
  </si>
  <si>
    <t>VEREDAS LOS ANDES, BRUCELAS, PRIMAVERA, LA ESTRELLA Y EL DIVISO. REPORTE DEL CREPAD.</t>
  </si>
  <si>
    <t>TIMANA</t>
  </si>
  <si>
    <t>DESBORDAMIENTO DE ASEQUIAS. REPORTE DEL CREPAD</t>
  </si>
  <si>
    <t>ARJONA</t>
  </si>
  <si>
    <t>BARRIOS GRACIELA, EL BALSO, QUINTA PEDREGAL, LA ROMELIA</t>
  </si>
  <si>
    <t>C.COMUNIT.</t>
  </si>
  <si>
    <t>MENAJES</t>
  </si>
  <si>
    <t>AFECTADA VIA CAICEDONIA - LA RIVERA, SAN GERARDO ALTO - LA PAVA, CAICEDONIA - SAMARIA. VEREDAS LA RIVERA, LA LEONA, SAN GERARDO BAJO, PUERTO RICO, SAN GERARDO, BURILA, LA PAVA, AURES, PARAISEO, QUINCE LETRAS, PALOGRANDE, BOSQUE ALTO, CAMPO AZUL.</t>
  </si>
  <si>
    <t>GARZON</t>
  </si>
  <si>
    <t>QUEBRADAS AYURA Y APOLO.</t>
  </si>
  <si>
    <t>COMBITARA</t>
  </si>
  <si>
    <t>YACOPI</t>
  </si>
  <si>
    <t>SAN PELAYO</t>
  </si>
  <si>
    <t>DIEZ VEHICULOS AFECTADOS.</t>
  </si>
  <si>
    <t>DESBORDAMIENTO RIO FUCHA. CALLE 13 AVENIDA BOYACA Y LOCALIDAD DE BOSA. VARIOS SECTORES. REPORTE DE DEFENSA CIVIL Y CRUZ ROJA COLOMBIANA</t>
  </si>
  <si>
    <t>DESBORDAMIENTO RIO CLARO, SECTOR MIRADOR DE  SAN NICOLAS, LOS OLIVOS, LA MARIA, PERRA GRATA, LEON XIII. REPORTE DE LA DEFENSA CIVIL.</t>
  </si>
  <si>
    <t>IMUES</t>
  </si>
  <si>
    <t>CORREGIMIENTO DE PÌLCUAN. REPORTE DEL CREPAD.</t>
  </si>
  <si>
    <t>VEREDAS SAN ISIDRO, LOMA DE LOS HENAOS, SECTORES LA DOCTORA, LA BARQUEREÑA, CALE LARGA. REPORTE DEL CREPAD.</t>
  </si>
  <si>
    <t>ANTIOQUIA</t>
  </si>
  <si>
    <t>JABON BAÑO</t>
  </si>
  <si>
    <t>AP.ALIMENT.</t>
  </si>
  <si>
    <t>OTROS</t>
  </si>
  <si>
    <t>CANTIDAD</t>
  </si>
  <si>
    <t>VALOR</t>
  </si>
  <si>
    <t>CEPILLO ADULTO</t>
  </si>
  <si>
    <t>GUAJIRA</t>
  </si>
  <si>
    <t>KIT ASEO</t>
  </si>
  <si>
    <t>ATENDIDO</t>
  </si>
  <si>
    <t>REPORTE DEL CREPAD. CORREGIMIENTO PALENQUE.</t>
  </si>
  <si>
    <t>APOYO A LOS MUNICIPIOS DE PUERTO COLOMBIA, TUBARA Y SOLEDAD</t>
  </si>
  <si>
    <t>PLANETARICA</t>
  </si>
  <si>
    <t>INCENDIO POR CHOQUE DE CAMION CARGADO  CON COMBUSTIBLE. REPORTE DE LA DEFENSA CIVIL.</t>
  </si>
  <si>
    <t>APOYO DEL FNC MEDIANTE GIRO DIRECTO AL CREPAD PARA LA ADQUISICION DE 2500 MERCADOS, 200 KITS DE COCINA, 300 KITS DE ASEO Y 1500 GALONES DE GASOLINA LUBRICADA. VALOR DEL GIRO $119.955.000.</t>
  </si>
  <si>
    <t>MOTAVITA</t>
  </si>
  <si>
    <t>DESBORDAMIENTO RIO APARTADO. REPORTE DE LA DEFENSA CIVIL.</t>
  </si>
  <si>
    <t>OTANCHE</t>
  </si>
  <si>
    <t>VEREDA PENJAMO. REPRESAMIENTO DE LAS QUEBRADAS LA CARCHONA. CERRO DE CUY.  REPORTE PRELIMINAR..</t>
  </si>
  <si>
    <t>SAN LUIS</t>
  </si>
  <si>
    <t>DESLIZAMIENTO CORREGIMIENTO RIO CLARO POR FALLA GEOLOGICA</t>
  </si>
  <si>
    <t>PEREIRA</t>
  </si>
  <si>
    <t>DESLIZAMIENTO QUE SE LLEVO LA BANCA 4 FAMILIAS EVACUADAS</t>
  </si>
  <si>
    <t>COCORNA</t>
  </si>
  <si>
    <t>DERRUMBE POR LLUVIAS CONSTANTES QUEBRADA PAILANIA, INFORME DE GILBERTO MAZO CREPAD ANTIOQUIA.</t>
  </si>
  <si>
    <t>BOJAYA</t>
  </si>
  <si>
    <t>REPRESAMIENTO RIO BOJAYA CON ALTO RIESGO DE 656 FAMILIAS INDIGENAS</t>
  </si>
  <si>
    <t>VEREDAS GUAVITO, SANTA LUCIA, LOS ARBOLES, APARTADERO.</t>
  </si>
  <si>
    <t>VEREDAS LAMEDEROS, ALTO DE LA JAGUA, LA DEPRESION, SAN LORENZO EL GUINDAL.</t>
  </si>
  <si>
    <t>SITIO INMACULADA, BARRIO ANCON.. REPORTE PRELIMINAR DEL CREPAD.</t>
  </si>
  <si>
    <t>YALI</t>
  </si>
  <si>
    <t>AFECTADA PARTE URBANA Y RURAL. PENDIENTE EVALUACION. REPORTE DEL CREPAD.</t>
  </si>
  <si>
    <t>GUAYABETAL</t>
  </si>
  <si>
    <t>ANSERMANUEVO</t>
  </si>
  <si>
    <t>VEREDA LAS CRUCES</t>
  </si>
  <si>
    <t>JAMUNDI</t>
  </si>
  <si>
    <t>CISNEROS</t>
  </si>
  <si>
    <t>SAN ROQUE</t>
  </si>
  <si>
    <t>CORREGIMIENTOS SAN JOSE DE LUZ, LA PRIMAVERA.</t>
  </si>
  <si>
    <t>REPORT DE LA DEFENSA CIVIL.</t>
  </si>
  <si>
    <t>AVALANCHA RIO ARQUITI, RIO TOLO, RIO NECA RIO ACANDI. AFECTADA VIA CALETA-CHUGANDI Y PUENTE SOBRE EL RIO ARQUITI.</t>
  </si>
  <si>
    <t>VIOTA</t>
  </si>
  <si>
    <t>DESBORDAMIENTO RIO LINDO</t>
  </si>
  <si>
    <t>SECTOR SANTA CATALINA Y VILLA LILI. DESBORDAMIENTO RIO MEDELLIN.</t>
  </si>
  <si>
    <t>REPORTE DE LA D.C.C. SECCIONAL CALDAS SE PRESENTO DERRUMBE EN LA MINA DE ORO ARTESANALCOROZO.</t>
  </si>
  <si>
    <t>SAN MARTIN</t>
  </si>
  <si>
    <t>PUEBLO BELLO</t>
  </si>
  <si>
    <t>CURUMANI</t>
  </si>
  <si>
    <t>LA PAZ</t>
  </si>
  <si>
    <t>SAN DIEGO</t>
  </si>
  <si>
    <t>VEREDA SAN ADOLFO, CRECIENTE QUEBRADA EL TRIUNFO Y VEREDA EL TRIUNFO DESBORDAMIENTO QUEBRADA LA PELIGROSA.VEREDA LA PLAYITA QUEBRADA LA PELIGROSA.</t>
  </si>
  <si>
    <t>RIO IRO</t>
  </si>
  <si>
    <t>APOYO DEL FNC MEDIANTE GIRO DIRECTO AL CLOPAD PARA LA ADQUISICION DE COMBUSTIBLE Y ALQUILER DE MAQUINARIA PARA EL MEJON¡RAMIENTO DE LA VIA VIRO VIRO - SANTA RITA AFECTADA POR LA TEMPORADA INVERNAL.</t>
  </si>
  <si>
    <t>DESBORDAMIENTO RIO MIRA, AFECTADAS ZONAS IMBILI Y CANDELILLAS. REPORTAN PERDIDAS DE COSECHAS, SANIMALES DOMESTICOS. PENDIENTE CONSOLIDADO.</t>
  </si>
  <si>
    <t>APOYO DEL FNC MEDIANTE GIRO DIRECTO AL CLOPAD PARA LA REHABILITACION DE LA VIA LA GLORIA - VIJAGUAL, AFECTADA POR LA TEMPORADA INVERNAL.</t>
  </si>
  <si>
    <t>LORICA</t>
  </si>
  <si>
    <t>MOMIL</t>
  </si>
  <si>
    <t>DESBORDAMIENTO DE ARROYOS. RPORTE DEL CREPAD.</t>
  </si>
  <si>
    <t>IINUNDACION POR AGUAS ESTANCADAS. REPORTE DEL CREPAD.</t>
  </si>
  <si>
    <t>DESBORDAMIENTO DE CANALES POR TAPONAMIENTO. REPORTE DEL CREPAD.</t>
  </si>
  <si>
    <t>BARRIOS VILLAS DE CAMPO ALEGRE, COOPERATIVO, MANO DE DIOS, COMUNITARIO, LA LUCHA, 31 DE OCTUBRE.</t>
  </si>
  <si>
    <t>APOYO DEL FNC MEDIANTE EL SUMINISTRO DE DOS MOTOBOMBAS HIDROMAS Y DOS MOTOBOMBAS KTC</t>
  </si>
  <si>
    <t>REPORTE DEL CLOPAD. PRELIMINAR</t>
  </si>
  <si>
    <t>CESAR</t>
  </si>
  <si>
    <t>AGUACHICA</t>
  </si>
  <si>
    <t>IQUIRA</t>
  </si>
  <si>
    <t>VEREDA SAN LUIS SECTOR CERRO DAMITA.</t>
  </si>
  <si>
    <t>MULTIPLES DESLIZAMIENTOS EN VIAS. AFECTADOS BARRIOS 19 DE FEBRERO, VIRGEN DEL CARMEN Y EL CRISTO. COLAPSO DE MURO EN EL BARRIO LA FORTUNA.</t>
  </si>
  <si>
    <t>CAÑASGORDAS</t>
  </si>
  <si>
    <t>GAMARRA</t>
  </si>
  <si>
    <t>QUEBRADAS JUAN GARCIA, JUAN BARRIGA Y LA PORQUERA. BARRIOS ARGELIA, GALAN, TRECE DE MAYO, CAMACOL. REPORTO CREPAD ANTIOQUIA</t>
  </si>
  <si>
    <t>APOYO DEL FNC MEDIANTE GIRO DIRECTO AL CLOPAD PARA APOYAR EL DESPLAZAMIENTO Y MANUTENCION DE LOS APRENDICES DEL SENA, QUIENES ADELANTARAN LAS OBRAS RELACIONADAS CON LA REPARACION DE LS VIVIENDAS AFECTADASPOR EL SISMO OCURRIDO EL PASADO 24 DE MAYO DE 2008.</t>
  </si>
  <si>
    <t>REPORTO CREPAD ANTIOQUIA</t>
  </si>
  <si>
    <t>INUNDACION EN EL CORREGIMIENTO SAN ANTONIO DE PRADO, INFORMACION EN EVALUACION REPORTO CREPAD ANTIOQUIA.</t>
  </si>
  <si>
    <t>VEREDA TORRENCIAL. EN EVALUACION, REPORTO CREPAD ANTIOQUIA</t>
  </si>
  <si>
    <t>DESBORDAMIENTO ARROYO EL SALADO BARRIOS AFECTADOS EL PORVENIR, FERROCARRIL Y VILLA HELENA. REPORTO DC SECCIONAL ATLANTICO</t>
  </si>
  <si>
    <t>VEREDAS LA UNION UY NUEVO HORIZONTE DESBORDAMIENTO RIO SINU. APOYO GLOBAL A TRAVES DEL DEPARTAMENTO</t>
  </si>
  <si>
    <t>CORREGIMIENTO MUCURA. APOYO GLOBAL A TRAVES DEL DEPARTAMENTO</t>
  </si>
  <si>
    <t>CORREGIMIENTO PUERTO CORDOBA MANZANARES.  DESBORDAMIENTO RIO SAN JORGE. APOYO GLOBAL A TRAVES DEL DEPARTAMENTO</t>
  </si>
  <si>
    <t>BARRIOS LA UNION, AGUAS VIVAS Y CUMBA. DESBORDAMIENTO RIO SAN JORGE. APOYO GLOBAL A TRAVES DEL DEPARTAMENTO</t>
  </si>
  <si>
    <t>BARRIOS LA PESQUERA MUCHAS AGUAS, LOMA FRESCA, LA ESPERANZA, 11 DE NOVIEMBRE Y SAN LUIS Y LA LUCHA. DEBORDAMIENTO RIO SAN JORGE. APOYO GLOBAL A TRAVES DEL DEPARTAMENTO</t>
  </si>
  <si>
    <t>APOYO GLOBAL A TRAVES DEL DEPARTAMENTO</t>
  </si>
  <si>
    <t>APOYO GLOBAL AL DEPARTAMENTO</t>
  </si>
  <si>
    <t>CAIMITO</t>
  </si>
  <si>
    <t>APOYO PARA REFORZAMIENTO DE JARILLON</t>
  </si>
  <si>
    <t>VIA EL EMPATE-LA UNION, SAN JOSE DE ALBAN - PUENTE JANACATU. APOYO GLOBAL AL DEPARTAMENTO.</t>
  </si>
  <si>
    <t>VIA SANDONA -PASTO.APOYO GLOBAL AL DEPARTAMENTO.</t>
  </si>
  <si>
    <t>1860 TEJAS DEZINC, 16300 AMARRES, 180 TEJAS DE ASBESTO CEMENTO, 360 GANCHOS Y 40 CABALLETES</t>
  </si>
  <si>
    <t>1500 TEJAS DE AC.</t>
  </si>
  <si>
    <t>SAN ANTERO</t>
  </si>
  <si>
    <t>BARRIO MUNDO FELIZ. REPORTE PRELIMINAR DE LA DEFENSA CIVIL</t>
  </si>
  <si>
    <t>OLAYA HERRERA</t>
  </si>
  <si>
    <t>SAN JOSE DE URE</t>
  </si>
  <si>
    <t>DESBORDAMIENTO RIO ARIARI. REPORTE DE LA DEFENSA CIVIL</t>
  </si>
  <si>
    <t>BARRIO ALFONSO LOPEZ</t>
  </si>
  <si>
    <t>LA DORADA</t>
  </si>
  <si>
    <t>CRECIENTE RIO MAGDALENA</t>
  </si>
  <si>
    <t>LA MERCED</t>
  </si>
  <si>
    <t>DESTECHADOS COLEGIO MUNICIPAL, ESCUELA, PARROQUIA, ESTADIO Y HOSPITAL. REPORTE DEL CREPAD.</t>
  </si>
  <si>
    <t>VIANI</t>
  </si>
  <si>
    <t>SIETE VEREDAS AFECTADAS.</t>
  </si>
  <si>
    <t>EL HOBO</t>
  </si>
  <si>
    <t>OPORAPA</t>
  </si>
  <si>
    <t>VILLAVIEJA</t>
  </si>
  <si>
    <t>DESBORDAMIENTO QUEBRADA LA VIEJA</t>
  </si>
  <si>
    <t>PERDIDA DE CULTIVOS DE ARROZ</t>
  </si>
  <si>
    <t>COLOMBIA</t>
  </si>
  <si>
    <t>HELICONIA</t>
  </si>
  <si>
    <t>APOYO GLOBAL PARA EL DEPARTAMENTO CON MENAJES PARA 200 FAMILIAS.</t>
  </si>
  <si>
    <t>SABANETA</t>
  </si>
  <si>
    <t>SECTORES KM 25, ISLA PALOMO, LA CEIBA Y PUERTO ROMERO. SECTORES PUERTO PINZON-LA ARENOSA-EL MARFIL-CIELO ROTO POR AFECTACIONE N EL VIA.</t>
  </si>
  <si>
    <t>SEQUIA</t>
  </si>
  <si>
    <t>APOYO DEL FNC MEDIANTE GIRO DIRECTO AL CLOPAD PARA APOYAR LA CONSTRUCCION DE UN PUENTE COLGANTEVEHICULAS METALICO SOBRE LA QUEBRADA LA MORENO, VEREDA SAN JOSE, AFECTADO POPR EL SISMO  OCURRIDO EL PASADO 24 DE MAYO DE 2008.</t>
  </si>
  <si>
    <t>TAMESIS</t>
  </si>
  <si>
    <t>CORREGIMIENTO JURUBIDA. REPORTE DE LA DEFENSA CIVIL, VAN A SOLICITAR LA REUBICACION DE LAS VIVIENDAS YA QUE NO SE PUEDEN REAIZAR OBRA DE MITIGACION.</t>
  </si>
  <si>
    <t>SECTORES: LOS PINOS, LA FORTUNA, MIRALINDO, LA CASTELLANA, LIBERTADORES, EL JARDIN, LEOPOLDO PIZARRO, EL PROGRESO, SAN ANTONIO, ESPERANZA, LAS PALMAS</t>
  </si>
  <si>
    <t>EXPLOSION DE POLVORERIA CLANDESTINA BARRIO BUENOS AIRES. REPORTE DE MINPROTECCION SOCIAL.</t>
  </si>
  <si>
    <t>CALOTO</t>
  </si>
  <si>
    <t>SISMO DE MAGNITUD 5.3 PROFUNDIDAD 147.7 KM EPICENTRO CALOTO. (SENTIDO EN POPAYAN CAJIBIO, PURACE, PINEDAMO, SUCRE Y SANTANDER DE QUILICHAO EN CAUCA; LA UNION, PASTO Y SAN PABLO EN NARIÑO; PEREIRA EN RISARALDA; JAMUNDI, CALI, SEVILLA CARTAGO YUMBO Y PALMIRA EN EL VALLE; NEIVA EN HUILA,; MANIZALE, CALDAS; ARMENIA, QUINDIO). EN CALOTO FUERON AFECTADOS LOS BARRIOS LA PALMA, LA UNION, Y CENTRO Y VEREDAS MARAÑON, MORALES, BODEGA ALTA Y SANTA ROSA.</t>
  </si>
  <si>
    <t>VALLE DEL GUAMUEZ</t>
  </si>
  <si>
    <t>BARRIO EL SALADO, REPORTE DEL CREPAD.</t>
  </si>
  <si>
    <t>BARRIO SUCRE. REPORTE DE LA DEFENSA ACIVIL</t>
  </si>
  <si>
    <t>SALAMINA</t>
  </si>
  <si>
    <t>APOYO DEL FNC MEDIANTE GIRO DIRECTOO AL CLOPAD PARA LA COMPRA DE COMBUSTIBLE Y ALQUILER DE MAQUINARIAPARA LA LIMPIEZA DEL CAÑOEL SALADO.</t>
  </si>
  <si>
    <t>ACCIDENTE DE CARROTANQUE CON PLAGUICIDA, RESULTO MUERTO EL CONDUCTOR DE LA TRACTOMULA. EL MATERIAL CAYO AL RIO CAQUEZA, POR TAL MOTIVO SE CERRO LA BOCATOMA DEL ACUEDUCTO.</t>
  </si>
  <si>
    <t>EXPLOSION MINA DE CARBON VEREDA CUSCUVITA. REPORTE DEL CREPAD</t>
  </si>
  <si>
    <t>ERUPCION VOLCANICA</t>
  </si>
  <si>
    <t>DECLARADO NIVEL 1 (ROJO) POR ERUPCION EN CURSO. SE PRESENTO CAIDA DE CENIZAS.</t>
  </si>
  <si>
    <t>CORINTO</t>
  </si>
  <si>
    <t>DESBORDAMIENTO RIO LA PAILA, VEREDAS EL BARRANCONEL PLAYON. REPORTE DEL CLOPAD.</t>
  </si>
  <si>
    <t>BARBACOAS</t>
  </si>
  <si>
    <t>BUGA</t>
  </si>
  <si>
    <t>EL CERRITO</t>
  </si>
  <si>
    <t>REPORTE DE LA DEFENSA CIVIL.</t>
  </si>
  <si>
    <t>ALTO BAUDO</t>
  </si>
  <si>
    <t>APOYO ALIMENTARIO PARA LOS MUNICIPIOS DE BOJAYA, CANTON DE SAN PABLO, MEDIO ATRATO Y ALTO BAUDO</t>
  </si>
  <si>
    <t>VEREDA HUERTOS CASERIO DOÑA MARIA. REPORTE DE LA DEFENSA CIVIL.</t>
  </si>
  <si>
    <t>BARRIO VIRGEN DE LA ROCA. SOLICITAN GESTION ANTE MAVDT PARA REUBICACION DE VIVIENDAS.</t>
  </si>
  <si>
    <t>CORREGIMIENTO DE TUTUNENDO. AFECTADAS COMUNIDADES INDIGENAS. REPORTE DE LA DEFENSA CIVIL.</t>
  </si>
  <si>
    <t>PERDIDA E CULTIVOS</t>
  </si>
  <si>
    <t>PUTUMAYO</t>
  </si>
  <si>
    <t>PUERTO GUZMAN</t>
  </si>
  <si>
    <t>MALLAMA</t>
  </si>
  <si>
    <t>RICAURTE</t>
  </si>
  <si>
    <t>SOTOMAYOR</t>
  </si>
  <si>
    <t>LA PLATA</t>
  </si>
  <si>
    <t>LA PLAYA</t>
  </si>
  <si>
    <t>REPORTE PRELIMINAR DEL CREPAD.</t>
  </si>
  <si>
    <t>PERDIDA DE CULTIVOS E CEBOLLA Y FRIJOL. ESTIMADO EN $28.560.000. VEREDA SAN PEDRO</t>
  </si>
  <si>
    <t>PENDIENTE INFORMACION</t>
  </si>
  <si>
    <t>BARRIO CENTRO. REPORTE DE LA DEFENSA CIVIL.</t>
  </si>
  <si>
    <t>BARRIOS PERDOMO BOSA Y NARANJOS</t>
  </si>
  <si>
    <t>VEREDA POTRERILLOS, REPORTE DEL CREPAD.</t>
  </si>
  <si>
    <t>ISLA BARU. REPORTE DEL CLOPAD.</t>
  </si>
  <si>
    <t>SUPATA</t>
  </si>
  <si>
    <t>BARRIO LA YESQUITA. REPORTE DE LA DEFENSA CIVIL.</t>
  </si>
  <si>
    <t>META</t>
  </si>
  <si>
    <t>SAN JUANITO</t>
  </si>
  <si>
    <t>VEREDA EL TAMBO FLORAL, ACEVEDO GOMEZ. DESBORDAMIENTO QUEBRADA GUANCO. DESBORDAMIENTO RIO CHENCHE, CORREGIMIENTO LA CASTILLA.</t>
  </si>
  <si>
    <t>HERBEO</t>
  </si>
  <si>
    <t>TADO</t>
  </si>
  <si>
    <t>DESBORDAMIENTO RIO OBANDO VEREDAS OBANDO SILENCIO, LLANO DE TABLA, CAMPO LLANITO Y LA 25. PENDIENTE EVALUACION.</t>
  </si>
  <si>
    <t>BARRANCAS</t>
  </si>
  <si>
    <t>REPORTE DEL CREPAD GUAJIRA</t>
  </si>
  <si>
    <t>MAICAO</t>
  </si>
  <si>
    <t>QUINCE BARRIOS AFECTADOS. REPORTE DEL CREPAD. EN ESPER DE SOLICITUD FORMAL.</t>
  </si>
  <si>
    <t>DESBORDAMIENTO ARROYO PASO HONDO Y ARROYO PRINGAMOSAL NUEVE BARRIOS AFECTADOS</t>
  </si>
  <si>
    <t>PERDIDA DE CAIDA DE ARBOLES, REDES ELECTRICAS</t>
  </si>
  <si>
    <t>REPORTE DE MINPROTECCION SOCIAL</t>
  </si>
  <si>
    <t>REPORTE DEL CREPAD. NO PRESENTA SOLICITUD CONCRETA DE APOYO. PASA A VIVIENDA PARA REVISION DE CENSOS.</t>
  </si>
  <si>
    <t>INUNDACION POR DESBORDAMIENTO CAÑO AGUAS NEGRAS. PENDIENTE EVALUACION.BARRIOS PETECUY 1, 2, 3 GAITAN, SAN LUIS Y FLORALIA.</t>
  </si>
  <si>
    <t>VERSALLES</t>
  </si>
  <si>
    <t>CALIMA - DARIEN</t>
  </si>
  <si>
    <t xml:space="preserve">DESBORDAMIENTO QUEBRADA EL DIAMANTE. REPORTE DEL CREPAD. </t>
  </si>
  <si>
    <t>REPORTE DEL SOCORRO NACIONAL.</t>
  </si>
  <si>
    <t>SOACHA</t>
  </si>
  <si>
    <t>CONJUNTO TIBANA, SECTOR EL ARROYO Y VILLA ESPERANZA EL BARRENO. POR COMPLEMENTAR EVALUACION.</t>
  </si>
  <si>
    <t>MAGANGUE</t>
  </si>
  <si>
    <t>TARAZA</t>
  </si>
  <si>
    <t>SANTA BARBARA</t>
  </si>
  <si>
    <t>BARRIOS DIVINO NIÑO Y ALTO LAS GUACAS. REPORTE DEL CREPAD Y DEFENSA CIVIL.</t>
  </si>
  <si>
    <t>PERDIDA DE CINCO VEHICULOS</t>
  </si>
  <si>
    <t>PATIA</t>
  </si>
  <si>
    <t>RIOFRIO</t>
  </si>
  <si>
    <t>VENADILLO</t>
  </si>
  <si>
    <t>VEREDA LA HONDA.</t>
  </si>
  <si>
    <t>VALDIVIA</t>
  </si>
  <si>
    <t>BARRIOS EL TEMPLETE Y PARQUE PRINCIPAL.</t>
  </si>
  <si>
    <t>SALGAR</t>
  </si>
  <si>
    <t>SAN CALIXTO</t>
  </si>
  <si>
    <t>VALLEDUPAR</t>
  </si>
  <si>
    <t xml:space="preserve">BARRIOS PRIMERO DE MAYO, 12 DE OCTUBRE, 7 DE AGOSTO, SABALA, MANANTIAL, COLEGIO MILSIADES CANTILLA. </t>
  </si>
  <si>
    <t>GACHETA</t>
  </si>
  <si>
    <t>DESBORDAMIENTO RIO ARAUCA, VEREDAS CLARETIANO, EL VAPOR, BOCAS DEL ARAUCA. COROCITO, PAPAYITO. BARRIO LLANO ALTO.</t>
  </si>
  <si>
    <t>REPORTE PRELIMINAR DEL CREPAD. APOYO A TRAVES DEL DEPARAMENTO</t>
  </si>
  <si>
    <r>
      <t xml:space="preserve">AFECTACION POR LA AVALANCHA OCURRIDA EL 23 DE NOVIEMBRE DE 2008. </t>
    </r>
    <r>
      <rPr>
        <b/>
        <sz val="10"/>
        <rFont val="Arial"/>
        <family val="2"/>
      </rPr>
      <t xml:space="preserve"> APOYO PARA LA RECONSTRUCCION DE PUENTES PEATONALES. EL VALOR DE OTROS CORRESPONDE A 200 METROS DE MALLA GALVANIZADA POR $4,700,000. APOYO PARA LA REPOTENCIACION DE LAS EMISORAS RADIO EUCHA, RADIO NASA, RADIO PAEZ VIVE POR VALOR DE $125,380,374</t>
    </r>
  </si>
  <si>
    <r>
      <t xml:space="preserve">REPORTE DEL CREPAD NARIÑO Y D.C.C. SE PRESENTO INCENDIO ESTRUCTURAL EN EL SECTOR SAN JOSE RIVERA DEL RIO TAPAJE, LAS FAMILIAS AFECTADAS SE ENCUENTRAN ALBERGADAS EN VIVIENDAS DE FAMILIARES. </t>
    </r>
    <r>
      <rPr>
        <b/>
        <sz val="10"/>
        <rFont val="Arial"/>
        <family val="2"/>
      </rPr>
      <t>EL VALOR DE OTROS CORRESPONDE A 20 TANQUES PARA ALMACENAMIENTO DE AGUA X 1000 LITROS POR VALOR DE $8,400,000. MATERIANLES PARA LA RECONSTRUCCION DE LAS VIVIENDAS. $20,278,200</t>
    </r>
  </si>
  <si>
    <r>
      <t xml:space="preserve">VIA VEREDAS LA SELVA Y FLAUTAS, CORREGIMIENTO COSTA RICA - JUNTAS, PUENTE SOBRE EL RIO ZABALETAS QUE COMUNICA LA VIA GINEBRA - CERRITO, VIA VEREDA CUESTA - BARRANCO BAJO, VIA GINEBRA - CORREGIMIENTO LA FLORESTA. REPORTE DEL CREPAD VALLE, SE HAN PRESENTADO FUERTES LLUVIAS QUE DESBORDARON EL RIO GUABAS, QUEBRADA VANEGAS, QUEBRADA PAPORRINAS. COMPLEMENTARAN INFORMACION. EL CLOPAD ENVIA PRESUPUESTOS POR $720 MILLONES DE PESOS PARA REPARACION DE VARIAS VIAS </t>
    </r>
    <r>
      <rPr>
        <b/>
        <sz val="10"/>
        <rFont val="Arial"/>
        <family val="2"/>
      </rPr>
      <t>PASA APROYECTOS</t>
    </r>
  </si>
  <si>
    <r>
      <t xml:space="preserve">REPORTE DEL MINISTERIO DE LA PROTECCION SOCIAL, DEBIDO A UN DESLIZAMIENTO EN LA VIA MEDELLIN CARMEN DE ATRATO SE PRODUJO EL ACCIDENTE DE UN BUS DE RAPIDO OCHOA EL CUAL SE ENCUENTRAN LOS ORGANISMOS DE SOCORRO VERIFICANDO Y EFECTUANDO LAS LABORES DE RESCATE. </t>
    </r>
    <r>
      <rPr>
        <b/>
        <sz val="10"/>
        <rFont val="Arial"/>
        <family val="2"/>
      </rPr>
      <t>APOYO DEL FNC MEDIANTE GIRO DIRECTO AL CLOPAD PARA APOYAR LOS GASTOS OCASIONADOS POR LAS LABORES DE BUSQUEDA Y DEMAS LOGISTICA PARA LA ATENCCION DEL ACCIDENTE POR VALOR DE $33.000.000.</t>
    </r>
  </si>
  <si>
    <r>
      <t xml:space="preserve">AFECTADAS COMUNIDADES DE LOS RIOS TANGUI, BETE, Y EL BUEY. REPORTE DE LA CRUZ ROJA. </t>
    </r>
    <r>
      <rPr>
        <b/>
        <sz val="10"/>
        <rFont val="Arial"/>
        <family val="2"/>
      </rPr>
      <t xml:space="preserve">APOYO DEL FNC PARA LA ADQUISICION DE COMBUSTIBLE, DOS MOTOSIERRAS, AZADONES Y MACHETES PARA APOYAR LA ATENCION DE LA EMERGENCIA </t>
    </r>
  </si>
  <si>
    <r>
      <t xml:space="preserve">BARRIOS VILLA CARMEN, SAN ANTONIO, FERROCARRIL, CIUDAD CAMELOT, LAS MORAS, LA CENTRAL, PORVENIR, VILLA SALAMAR, LOS ALMENDROS, PUMAREJO, ALTOS DE LA METROPOLITANA. EL PUEBLITO, JUAN MINA Y SEVILLAR. CENTROS EDUCATIVOS: ALBERTO PUMAREJO, POLICARPA SALAVARRIETA, JOHN F, KENNEDY, JOSE CASTILLO BOLIVAR, CENTRO EDUCATIVO TECNICO INDUSTRIAL COMUNAL DE LAS MORAS, CENTRO EDUCATIVO RAMON NAVARRO. REPORTE DEL CREPAD. NO CONCRETAN SOLICITUD DE APOYO. </t>
    </r>
    <r>
      <rPr>
        <b/>
        <sz val="10"/>
        <rFont val="Arial"/>
        <family val="2"/>
      </rPr>
      <t>APOYO GOBAL AL DEPARTAMENTO PARA LOS MUNICIPIOS DE SOLEDAD, TUBARA Y PUERTO COLOMBIA.</t>
    </r>
  </si>
  <si>
    <r>
      <t xml:space="preserve">CORREGIMIENTO BELLAVISTA, EL PASO, VEREDA LAS TORRES. 29 DESLIZAMIENTOS EN VIAS. AFECTADA VIA EL TARRA - CONVENCIÓN. </t>
    </r>
    <r>
      <rPr>
        <b/>
        <sz val="10"/>
        <rFont val="Arial"/>
        <family val="2"/>
      </rPr>
      <t>SE DEVOLVIO AL CREPAD PARA APOYO REGIONAL.</t>
    </r>
  </si>
  <si>
    <r>
      <t>DESBORDAMIENTO RIO MIRA. CORREGIMIENTO LA PLAYITA. REPORTE PRELIMINAR. 62 VEREDAS AFECTADAS. REPORTE PRELIMINAR DEL CREPAD. INUNDADA LA CARCEL. APOYO EN DONACIONES (ALIMENTOS, HIPOCLORITO, EQUIPO DE COMUNICACIONES, LOGISTICA) POR PARTE DE LA CRUZ ROJA, APOYO CON BIENESTARINA DEL ICBF.BABARIA, POSTOBON, COCACOLA, EPM, AGUA Y AGUAS DE PEREIRA, AGUAS DE PASTO, PROTER AND GAMBLE AAA BARRANQUILLA, CARREFUR, CARULLA, OLIMPICA, COMITE DE CAFETEROS, ACUAVALLE,  GLAXO SMIH KLINE MEDICAMENTOS. LA DEFENSA CIVIL INFORMO SOBRE EL ENVIO DE 1.371 KI, REPRESENTADOS EN ALIMENTOS Y ROPA. .</t>
    </r>
    <r>
      <rPr>
        <b/>
        <sz val="10"/>
        <rFont val="Arial"/>
        <family val="2"/>
      </rPr>
      <t>MEDIANTE DECRETO 505 DEL 23 DE FEBRERO DE 2009 FUE DECLARADA LA SITUACION DE DESASTRE MUNICIPAL. EL VALOR DE OTROS CORRESPONDE A APOYO DEL FNC MEDIANTE UN BOTE DE 25 PIES Y 1 MOTOR DE 40 H.P. POR VALOR DE $36,919,930;388 GARRAFAS DE AGUA POR VALOR DE $1.707.200.</t>
    </r>
  </si>
  <si>
    <r>
      <t xml:space="preserve">DESBORDAMIENTO RIO TELEMBI. AFECTADA VIA AL MAR. INCOMUNICADOS LOS MUNICIPIOS DE MALLAMA Y TUMACO. REPORTE PRELIMINAR DEL CREPAD. </t>
    </r>
    <r>
      <rPr>
        <b/>
        <sz val="10"/>
        <rFont val="Arial"/>
        <family val="2"/>
      </rPr>
      <t>EL VALOR DE OTROS CORRESPONDE A AL SUMINISTRO DE UN BOTE DE 17 PIES Y 1 MOTOR DE115 H.P, ENTREGADO AL CUERPO DE BOMBEROS VOLUNTARIOS.</t>
    </r>
  </si>
  <si>
    <r>
      <t xml:space="preserve">REPORTE DE LA DEFENSA CIVIL. </t>
    </r>
    <r>
      <rPr>
        <b/>
        <sz val="10"/>
        <rFont val="Arial"/>
        <family val="2"/>
      </rPr>
      <t>EL VALOR DE OTROS CORRESPONDE A LA ENTREGA DE UN BOTE DE 17" Y UN MOTOR DE 115 HP PATA LARGA.</t>
    </r>
  </si>
  <si>
    <r>
      <t xml:space="preserve">SOLICUTUD. </t>
    </r>
    <r>
      <rPr>
        <b/>
        <sz val="10"/>
        <rFont val="Arial"/>
        <family val="2"/>
      </rPr>
      <t>APOYO GOBAL AL DEPARTAMENTO PARA LOS MUNICIPIOS DE SOLEDAD, TUBARA Y PUERTO COLOMBIA.</t>
    </r>
  </si>
  <si>
    <r>
      <t xml:space="preserve">PUERTO VELERO. </t>
    </r>
    <r>
      <rPr>
        <b/>
        <sz val="10"/>
        <rFont val="Arial"/>
        <family val="2"/>
      </rPr>
      <t>APOYO GOBAL AL DEPARTAMENTO PARA LOS MUNICIPIOS DE SOLEDAD, TUBARA Y PUERTO COLOMBIA.</t>
    </r>
  </si>
  <si>
    <r>
      <t xml:space="preserve">DESBORDAMIENTO RIOS MARY LOPEZ Y DAMIAN. REPORTE PRELIMINAR ESTAMOS A LA ESPERA DE LA SOLICITUD DE APOYO. REPORTE DEL CREPAD Y CLOPAD. </t>
    </r>
    <r>
      <rPr>
        <b/>
        <sz val="10"/>
        <rFont val="Arial"/>
        <family val="2"/>
      </rPr>
      <t>EL VALOR DE OTROS CORRESPONDE A 2000 BOTELLONES DE AGUA POR VALOR DE $11.600.000. MATERIALES PARA LA CONSTRUCCION DE ALBERGUES TEMPORALES (MADERA, LAMINAS DE ZINC, SANAITARIOS) POR VALOR DE $17,959,120.</t>
    </r>
  </si>
  <si>
    <r>
      <t xml:space="preserve">REPORTE PRELIMINAR DEL CREPAD. </t>
    </r>
    <r>
      <rPr>
        <b/>
        <sz val="10"/>
        <rFont val="Arial"/>
        <family val="2"/>
      </rPr>
      <t>EL VALOR DE OTROS CORRESPONDE A 66 LISTONES DE MADERA, 20 VARILLAS DE 1/2, 4600 BLOQUES,, 10 PERFILES DE ALUMINIO, 20 M2 DE CIELO RASO DE ICOPOR.</t>
    </r>
  </si>
  <si>
    <r>
      <t>AVALANCHA QUEBRADA LA MARIA. VEREDA LA MARIA CORREGIMENTO PUERTO FRAZADAS. REPORTE DEL CLOPAD. TAPONAMIENTOS DE VIAS PERDIDA DE ACUEDUCTO DE LAS VEREDAS LA MARIA, ALTO DEL ROSARIO Y QUEBRADA GRANDE.</t>
    </r>
    <r>
      <rPr>
        <b/>
        <sz val="10"/>
        <rFont val="Arial"/>
        <family val="2"/>
      </rPr>
      <t xml:space="preserve"> PRESENTARON PROYECTO QUE PASA A COORDINACION REGIONAL.</t>
    </r>
  </si>
  <si>
    <r>
      <t xml:space="preserve">DESBORDAMIENTO RIO SAN JUAN. REPORTE DE LA CRUZ ROJA. </t>
    </r>
    <r>
      <rPr>
        <b/>
        <sz val="10"/>
        <rFont val="Arial"/>
        <family val="2"/>
      </rPr>
      <t>APOYO DEL FNC MEDIANTE GIRO DIRECTO AL CLOPAD PARA ADQUISICION DE COMBUSTIBLE PARA TRANSPORTE DE AYUDAS HUMANITARIAS A LO LARGO DEL RIO SAN JUAN.</t>
    </r>
  </si>
  <si>
    <r>
      <t xml:space="preserve">VEREDA PUEBLO NUEVO, BELEN Y COMUNEROS. SOLICITAN 3000 LAMINAS DE ZINC, </t>
    </r>
    <r>
      <rPr>
        <b/>
        <sz val="10"/>
        <rFont val="Arial"/>
        <family val="2"/>
      </rPr>
      <t>PERO NO INFORMAN SOBRE AFECTACION  NI ENVIAN CENSOS.</t>
    </r>
  </si>
  <si>
    <r>
      <t xml:space="preserve">REPORTE DEL CREPAD. </t>
    </r>
    <r>
      <rPr>
        <b/>
        <sz val="10"/>
        <rFont val="Arial"/>
        <family val="2"/>
      </rPr>
      <t xml:space="preserve">APOYO DEL FNC MEDIANTE GIRO DIRECTO AL CLOPAD PARA APOYAR LA PROTECCION DE VIVIENDAS EN EL BARRIO SAN JOSE  ALEDAÑAS A LA QUEBRADA EL PUEBLO MEDIANTE LA CONSTRUCCION DE UN MURO DE CONTENCION EN CONCRETO CICLOPEO. ($69,996,189)). </t>
    </r>
  </si>
  <si>
    <r>
      <t>CORREGIMIENTO LOS MILAGROS, VIA AGUA GORDA - LOS MILAGROS - EL PUENTE. SOLICITUD DE GIRO DIRECTO PARA RECONSTRUCCION DE BOX COULVER EN LA QUEBRADA NEGRA.</t>
    </r>
    <r>
      <rPr>
        <b/>
        <sz val="10"/>
        <rFont val="Arial"/>
        <family val="2"/>
      </rPr>
      <t xml:space="preserve"> NO COMPLEMENTARION LA INFORMACION Y EL PROYECTO FUE DEVUELTO.</t>
    </r>
  </si>
  <si>
    <r>
      <t xml:space="preserve">CORREGIMIENTO DE CARPINTERO. </t>
    </r>
    <r>
      <rPr>
        <b/>
        <sz val="10"/>
        <rFont val="Arial"/>
        <family val="2"/>
      </rPr>
      <t>APOYO DEL FNC PARA LA ADQUISICION DE UN TERRENO ENLA VEREDA CARPINTERO PARA APOYAR LA REUBICACION DE 26 FAMILIAS.</t>
    </r>
  </si>
  <si>
    <r>
      <t>EL CLOPAD DECLARO LA EMERGENCIA VIAL. POR AFECTACION EN 15 VIA VEREDALES. AFECTADA ESCUELA LA ESTACION.</t>
    </r>
    <r>
      <rPr>
        <b/>
        <sz val="10"/>
        <rFont val="Arial"/>
        <family val="2"/>
      </rPr>
      <t xml:space="preserve"> APOYO DEL FNC PARA LA PROTECCION DE LA ESCUELA LA ESTACION MEDIANTE LA CONSTRUCCION DE UN MURO DE CONTENCION POR VALOR DE $69,993,777,</t>
    </r>
  </si>
  <si>
    <r>
      <t>APOYO GLOBAL AL DEPARTAMENTO CON MENAJES PARA 800 FAMILIAS.</t>
    </r>
    <r>
      <rPr>
        <b/>
        <sz val="10"/>
        <rFont val="Arial"/>
        <family val="2"/>
      </rPr>
      <t xml:space="preserve"> EL VALOR DE OTROS CORRESPONDE A SUMINISTRO DE 380 GARRAFAS DE AGUA</t>
    </r>
  </si>
  <si>
    <r>
      <t xml:space="preserve">AFECTADA ESCUELA LA PLANADA. AFECTADAS VIAS SAN JACINTO-VALLECITO, VALLECITO-LA CHAPA, BUENAVISTA-ALEGRIA, HIJO DEL VALLE-BUENAVISTA BAJA, HIJO DEL VALLE-BUENAVISTA -ALTAHIJO DEL VALLE-TASAJERA. </t>
    </r>
    <r>
      <rPr>
        <b/>
        <sz val="10"/>
        <rFont val="Arial"/>
        <family val="2"/>
      </rPr>
      <t>APOYO DEL FNC MEDIANTE GIRO DIRECTO AL CLOPAD PARA REPARACION DE LA ESCUELA LA PLANADA, REHABILITACION DE LAS VIAS TERCIARIAS Y ARREGLO DEL BADEM EN LA VIA PRINCIPAL EN EL SECTOR TOMINAL.</t>
    </r>
  </si>
  <si>
    <t>VEREDA PUERTO LLERAS, VEREDA EL DIAMANTE, VEREDA EL MESON, VEREDA LAS BRISAS, VEREDA EL PALMITO, VEREDA VILLA FATIMA, VEREDA PRIMAVERA, CORREGIMIENTO PALMARITO, CHARGUAYACO. REPORTE DEL CLOPAD MEDIANTE ENVIO DE ACTA. NO CONCRETAN SOLICITUD DE APOYO.</t>
  </si>
  <si>
    <t>DESBORDAMIENTO QUEBRADA LA DOCTORA</t>
  </si>
  <si>
    <t>PUERTO GAITAN</t>
  </si>
  <si>
    <t>DESBORDAMIENTO RIO MANACASIAS. CAÑO EL BOLSILLO. REPORTE DE LA DEFENSA CIVIL</t>
  </si>
  <si>
    <t>COROZAL</t>
  </si>
  <si>
    <t>INUNDACION POR FUERTES LLUVIAS. REPORTE DE LA DEFENSA CIVIL.</t>
  </si>
  <si>
    <t>GUTIERREZ</t>
  </si>
  <si>
    <t>VEREDAS EL EDEN, AMOLADORA, ALTA, MONTELARGO, CARACOL, LA CURVA, BARRIOS ROCIO ALTO, EL DORADO, LA UNIDAD REPORTE DE LA DEFENSA CIVIL.</t>
  </si>
  <si>
    <t>COLAPSO DE MINA DE ARENA. REPORTE DEL CREPAD.</t>
  </si>
  <si>
    <t>REPORTE DE CLOPAD YU CREPAD.</t>
  </si>
  <si>
    <t>600 TEJAS DE AC NO. 6, 150 CABALLETES, 250 LAMINAS DE ZINC, 1500 AMARRES.</t>
  </si>
  <si>
    <t>CAPITANEJO</t>
  </si>
  <si>
    <t>SIMACOTA</t>
  </si>
  <si>
    <t>ARATOCA</t>
  </si>
  <si>
    <t>PARAMO</t>
  </si>
  <si>
    <t>PALMAS DEL SOCORRO</t>
  </si>
  <si>
    <t>REPORTE DEL CREPAD POR FUERTES LLUVIAS</t>
  </si>
  <si>
    <t xml:space="preserve">VEREDAS ARENILLOS DOS Y ESTRELLA. </t>
  </si>
  <si>
    <t>SAN ANTONIO</t>
  </si>
  <si>
    <t>VEREDA LA LIBRADA QUEBRADA EL EDEN.</t>
  </si>
  <si>
    <t>ORTEGA</t>
  </si>
  <si>
    <t>BARRIOS ALTO VIAS Y GRANJA VIVIENDA</t>
  </si>
  <si>
    <t>COMBITA</t>
  </si>
  <si>
    <t>TOTORO</t>
  </si>
  <si>
    <t>TORIBIO</t>
  </si>
  <si>
    <t>CASTILLA LA NUEVA</t>
  </si>
  <si>
    <t>DESBORDAMIENTO RIO GUAMAL.</t>
  </si>
  <si>
    <t>REPORTE DEL CLOPAD</t>
  </si>
  <si>
    <t>ABREGO</t>
  </si>
  <si>
    <t>DESBORDAMIENTO RIOS PILPE Y GUAPI, SECTORES BALSITA, LA JUNTA, SAN AGUSTIN, CAUCHO, SANTA CLARA, SANTA CLARA, PITAL, GUABAL, SAN VICENTE, NARANJO Y EL ROSARIO.</t>
  </si>
  <si>
    <t>BARRIOS SAN JOAQUIN, SANTA MARIA, CAMPO ALEGRE, PINARES, ALAMOS, LAURELES, MARISCAL ROBLEDO Y SAN PABLO. REPORTE PRELIMINAR DEL CREPAD. PENDIENTE EVALUACION.</t>
  </si>
  <si>
    <t>CONTADERO</t>
  </si>
  <si>
    <t>VEREDA SIMON BOLIVAR</t>
  </si>
  <si>
    <t>BRICEÑO</t>
  </si>
  <si>
    <t>CAMPAMENTO</t>
  </si>
  <si>
    <t>VEREDA ARGUELLO Y CHAPACUAL.</t>
  </si>
  <si>
    <t>GUALMATAN</t>
  </si>
  <si>
    <t>PROVIDENCIA</t>
  </si>
  <si>
    <t>APIA</t>
  </si>
  <si>
    <t>QUEBRADA SANTA INES. RPORTE DEL CREPAD.</t>
  </si>
  <si>
    <t>DUITAMA</t>
  </si>
  <si>
    <t>BARRIOS LAZO, CENIVA, JUAN GRANDE.</t>
  </si>
  <si>
    <t>NOBSA</t>
  </si>
  <si>
    <t>APOYO GLOBAL AL DEPARTAMENTO EN SACOS DE POLIPROPILENO</t>
  </si>
  <si>
    <t>GENOVA</t>
  </si>
  <si>
    <t>VIAS BALAICA-GUACHAVEZ, GUACHAVEZ-SAN MARTIN. APOYO GLOBAL AL DEPARTAMENTO.</t>
  </si>
  <si>
    <t>DESTRUIDO UN PARQUEADERO Y CINCO VEHICULOS.</t>
  </si>
  <si>
    <t>BUENAVENTURA</t>
  </si>
  <si>
    <t>YUMBO</t>
  </si>
  <si>
    <t>REPORTE DE LA CRUZ ROJA APOYADO EL 30-04-09</t>
  </si>
  <si>
    <t xml:space="preserve">APOYO A LOS DIFERENTES EVENTOS OCURRIDOS EN EL MUNICIPIO </t>
  </si>
  <si>
    <t>APOYO DEL FNC MEDIANTE GIRO DIRECTO AL CLOPAD PARA REHABILITACION DE LA VIA CALDONO - CERRO ALTO ($27,944,333) Y LA VIA CRUCERO EL ROSARIO - PRIMAVERA - BUENAVISTA ($39,313,017)</t>
  </si>
  <si>
    <t>BARRIO SANTA ANA. REPOORTE DEL CREPAD.</t>
  </si>
  <si>
    <t>ROLDANILLO</t>
  </si>
  <si>
    <t>AFECTADA INSTITUCION EDUCATIVA NUESTRA SEÑORA DE CHIQUINQUIRA.</t>
  </si>
  <si>
    <t>EL AGUILA</t>
  </si>
  <si>
    <t>VALPARAISO</t>
  </si>
  <si>
    <t>REPORTE DE LA D.C.C COMO RESULTADO DEL DESLIZAMIENTO EN LA VEREDA MONTINILLA SE AFECTO EL SISTEMA DE RIEGO</t>
  </si>
  <si>
    <t>CARMEN DE ATRATO</t>
  </si>
  <si>
    <t>POPAYAN</t>
  </si>
  <si>
    <t>REPORTE DE LA D.C.C. DE POPAYAN SE AFECTO EN EL BARRIO CALICANTO 1 VIVIENDA DE 1 FAMILIA POR COLAPSO DE TECHO A RAIZ DE FUERTES LLUVIAS</t>
  </si>
  <si>
    <t>CALDAS</t>
  </si>
  <si>
    <t>MARMATO</t>
  </si>
  <si>
    <t>AFECTADO EDIFICIO ROYAL POR CORTO REPORTE DE CRUZ ROJA.</t>
  </si>
  <si>
    <t>DESBORDAMIENTO QUEBRADA LA GRANJITA</t>
  </si>
  <si>
    <t>DESBORDAMIENTO QUEBRADA TUISTUIS. REPORTE DEL CREPAD</t>
  </si>
  <si>
    <t>VEREDAS RIVERA ALTA, FINCA EL PLACER</t>
  </si>
  <si>
    <t>SOLICITAN CALMIDAD PUBLICA.</t>
  </si>
  <si>
    <t>BARRIOS ARIGUANI, YAVANNY SOTO Y BUENOS AIRES. VEREDAS EL CAIRO, MONTE AZUL, EL CAÑON, ANTIGUOS 1 Y LA HONDAGUNARINCHUKUANUEVO HORIZONTE, TRANQUILIDAD, EL REPOSO Y SOPLAVIENTO</t>
  </si>
  <si>
    <t>REPORTE DEL CREPAD. LOS DAÑOS EN VIVIENDA SERAN PRESENTADOS COMO BANCO DE MATERIALES. (LAS PERDIDAS EN CULTIVOS PARA A LA DRA. CONSUELO BARRERA PARA SU RESPECTIVO  TRAMITE).</t>
  </si>
  <si>
    <t>BALBOA</t>
  </si>
  <si>
    <t>PIAMONTE</t>
  </si>
  <si>
    <t>VEREDAs SAN JUAN, LA WILLIAM, MIRAMARA, SAN MATIAS, SAN JUAN MEDIO, LA RAL. QUEBRADA SAN PEDRO. AFECTADOS 30 LOCALES COMERCIALES. REPORTE DE LA DEFENSA CIVIL. SE BRINDO APOYO CN 1000 MERCADOS, 500 COLCHONETAS Y CINCO ROLLOS DE PLASTICO.</t>
  </si>
  <si>
    <t>39 ESTABLECIMIENTOS COMERCIALES.</t>
  </si>
  <si>
    <t>BARRIO PINARES. REPORTE PRELIMINAR DEL CLOPAD</t>
  </si>
  <si>
    <t>BARRIOS EL CAFÉ MADRID TUNEL KENNEDY, SAN IGNACIO, LA PLAYA, FLORIDABLANCA, PLUMAS.REPORTE DE LA DEFENSA CIVIL.</t>
  </si>
  <si>
    <t>DESBORDAMIENTO RIO UVA. AFECTANDO LA COMUNICDAD ED CANTAGALLO. REPORTE DE LA CRUZ ROJA.</t>
  </si>
  <si>
    <t>APULO</t>
  </si>
  <si>
    <t>CAPARRAPI</t>
  </si>
  <si>
    <t>BARRIOS BUENOS AIRES Y EL CAMELLO. REPORTE PRELIMINAR DEL CREPAD. REPORTE DEL CREPAD PRELIMINAR</t>
  </si>
  <si>
    <t xml:space="preserve">BARRIOS SAN PABLITO, PROGRESO Y PALOMAR.  </t>
  </si>
  <si>
    <t xml:space="preserve">REPORTE DEL CREPAD. LOS DAÑOS EN VIVIENDA SERAN PRESENTADOS COMO BANCO DE MATERIALES. </t>
  </si>
  <si>
    <t>LA SIERRA</t>
  </si>
  <si>
    <t>APOYO DEL FNC PARA EL SUMINISTRO DE 4000 GALONES DE ACPM PARA EL MANTEWNIMIENTO DE LAS VIAS DE ACCESO A LOS DIFERENTES RESGUARDOS QUE HABITAN LA ZONA DE INFLUENCIA DEL VOLCAN PURACE.</t>
  </si>
  <si>
    <t>AFECTACION DEL AÑO PASADO EN LA VEREDA CAPARROSAL.. REPORTE DEL CREPAD.</t>
  </si>
  <si>
    <t>APOYO DEL FNC MEDIANTE GIRO DIRECTO AL CLOPAD CON EL OBJETO DE APOYAR LA CONSTRUCCIÓN DE DOS (2) MUROS DE CONTENCIÓN EN CONCRETO SITUADOS EN LOS KILÓMETROS 13.4 Y 13.6 RESPECTIVAMENTE DESDE LA CABECERA DEL MUNICIPIO DE ANSERMANUEVO Y QUE CORRESPONDE A  LA VÍA LA QUIEBRA – PALO NEGRO, ASÍ MISMO APOYAR LAS DEMÁS OBRAS COMPLEMENTARIAS TALES COMO EXCAVACIONES, RETIRO DE ESCOMBROS, ELABORACIÓN DE CUNETAS EN CONCRETO, ACARREO DE MATERIAL ENTRE OTROS. LO ANTERIOR TENIENDO EN CUENTA EL AVANZADO DETERIORO DE DICHA VÍA A CAUSA DE LA FUERTE OLA INVERNAL.</t>
  </si>
  <si>
    <t>MONTELIBANO</t>
  </si>
  <si>
    <t>BARRIOS FLOR DE MILLANO, SAN ANTONIO, LA GRANJA LA UNION Y BRISAS DEL PUENTE. ATENDIDO A NIVEL LOCAL.</t>
  </si>
  <si>
    <t>PERDIDA DE CULTIVOS DE BANANO, LIMON Y PATILLA</t>
  </si>
  <si>
    <t>REPORTE DE MINP'ROTECCION</t>
  </si>
  <si>
    <t>GIRALDO</t>
  </si>
  <si>
    <t>21 BARRIOS REPRESAMIENTO DE CAÑOS</t>
  </si>
  <si>
    <t>EXPLOSION POR ACUMULACION DE GASES DE LA MINA DE CARBON LA PRESIOSA. REPORTE DE MINPROTECCION SOCIAL.</t>
  </si>
  <si>
    <t>VEREDA PALMAR BAJO Y MEDIO. REPORTE DEL CREPAD.</t>
  </si>
  <si>
    <t>REPORTE DE PROTECCION SOCIAL.</t>
  </si>
  <si>
    <t>DESLIZAMIENTO EN LA VIA CIRCUNVALAR AL GALERAS. VEREDA CHAPACUAL. REPORTE DE LA CRUZ ROJA.</t>
  </si>
  <si>
    <t>BARRIOS EL ROCIO BAJO Y CORTES.</t>
  </si>
  <si>
    <t>DESBPORDAMIENTO RIO MORALES Y RIO TULUA. VEREDA LA RIVERITA. REPORTE DE LA DEFENSA CIVIL</t>
  </si>
  <si>
    <t>DESBORDAMIENTO QUEBRADA URE. REPORTE PRELIMINAR DEL CREPAD.APOYO GLOBAL A TRAVES DEL DEPARTAMENTO</t>
  </si>
  <si>
    <t>REPORTE DEL CREPAD..APOYO GLOBAL A TRAVES DEL DEPARTAMENTO</t>
  </si>
  <si>
    <t>APOYO DEL FNC MEDIANTE GIRO DIRECTO AL CLOPAD PARAAPOYAR LA RECUPERACION DEL ACUEDUCTO DEL CORREGIMIENTO DE SAN PABLO., AFECTADO EN SU BOCATOMA Y TANQUE DESARENADOR COMO CONSECUENCIA DE LA AVALANCHA DE LA QUEBRADA LA SOSA.</t>
  </si>
  <si>
    <t>NECHI</t>
  </si>
  <si>
    <t>SAN PABLO</t>
  </si>
  <si>
    <t xml:space="preserve">BARRIOS LAS PALMS Y 9 DE MARZO. REPORTE PRELIMINAR </t>
  </si>
  <si>
    <t>EL VALOR DE OTROS CORRESPONDE A LA COMPRA DE HERRAMIENTA MENOR, CAMILLAS, ALARMAS, KIT ESCOLAR POR VALOR DE $51,495,880,</t>
  </si>
  <si>
    <t>VIGIA DEL FUERTE</t>
  </si>
  <si>
    <t>ARAUQUITA</t>
  </si>
  <si>
    <t>BARRIOS AMERICA JAZMIN Y PALMA. QUEBADA YESCA. MARGARITA Y ESMERALDA</t>
  </si>
  <si>
    <t>REPORTE DE LA DEFENSA CIVIL. APOYO GLOBAL AL DEPARTAMENTO EN TEJAS DE ETERNIT Y MERCADOS.</t>
  </si>
  <si>
    <t>REPORTE DEL CREPAD. APOYO GLOBAL AL DEPARTAMENTO EN TEJAS DE ETERNIT Y MERCADOS</t>
  </si>
  <si>
    <t>SAN GIL</t>
  </si>
  <si>
    <t>REPORTAN PERDIDAS EN CULTIVOS DE 100 PRODUCTORES</t>
  </si>
  <si>
    <t>CORREGIMIENTO SITIO VIEJO. REPORTE DE LA DEFENSA CIVIL.APOYO GLOBAL A TRAVES DEL DEPARTAMENTO</t>
  </si>
  <si>
    <t>DESBORDAMIENTO ARROYO EL DILUBIO. VEREDAS CAÑOLAR, LA CHAMARRA, SAN ISIDRO, LA TRAMPA Y NAPAL.. REPORTE PRELIMINAR DEL CREPAD APOYO GLOBAL A TRAVES DEL DEPARTAMENTO</t>
  </si>
  <si>
    <t>COREGIMIENTO GALILEA. REPORTE DEL CREPAD.APOYO GLOBAL A TRAVES DEL DEPARTAMENTO</t>
  </si>
  <si>
    <t>REPORTE DE DEFENSA CIVIL.</t>
  </si>
  <si>
    <t>VIA SEVILLA - ARBELAEZ. INFORME PRELIMINAR.</t>
  </si>
  <si>
    <t>BELMIRA</t>
  </si>
  <si>
    <t>DESBORDAMIENTO RIO CHICO VEREDAS LA MIGUEL Y RIO CHICO</t>
  </si>
  <si>
    <t>APOYO GLOBAL AL DEPARTAMENTO CONSISTENTE EN 5000 LAMINAS DE ASBESTO CEMENTO NO. 6</t>
  </si>
  <si>
    <t>AFECTADOS 16 TRAPICHES</t>
  </si>
  <si>
    <t>ITUANGO</t>
  </si>
  <si>
    <t>VEREDA LOMA DE OCHILI. APOYO GLOBAL AL DEPARTAMENTO EN TEJAS DE ETERNIT Y MERCADOS.</t>
  </si>
  <si>
    <t>SAN MIGUEL, ADENTRO MONTAÑA, CAÑADUSALES, EL PEÑOL, LA LOMA DEL INDIO Y MEDIALOMA. APOYO GLOBAL AL DEPARTAMENTO EN TEJAS DE ETERNIT Y MERCADOS.</t>
  </si>
  <si>
    <t>VEREDAS NARANJO, GUAYABAL, SANTODOMINGO, LA LINDA.. APOYO GLOBAL AL DEPARTAMENTO EN TEJAS DE ETERNIT Y MERCADOS</t>
  </si>
  <si>
    <t>EL PESCADOR LAS BRISAS.. APOYO GLOBAL AL DEPARTAMENTO EN TEJAS DE ETERNIT Y MERCADOS</t>
  </si>
  <si>
    <t>REPORTE DE LA DEFENSA CIVIL Y CRUZ ROJA APOYO POR VENDAVAL Y SEQUIA.</t>
  </si>
  <si>
    <t>SECTORES CANTARITO Y CARRERA QUINTA OASIS DE VIDAS, EL CANTARO, EL BOSQUE, ALAMBRA, GABRIUEL LOPEZ.</t>
  </si>
  <si>
    <t>EXPLOSION POR ACUMULACION DE GASES EN FABRICA DE ELEMENTOS DE ASEO.</t>
  </si>
  <si>
    <t>BARRIO URIBE URIBE.</t>
  </si>
  <si>
    <t>BARRIO LA FLORESTA, DESBORDAMIENTO Q. LA PERDIZ Y LA SARDINA.</t>
  </si>
  <si>
    <t>LA MONTAÑITA</t>
  </si>
  <si>
    <t>TUQUERRES</t>
  </si>
  <si>
    <t>BARRIO EL CARMEN</t>
  </si>
  <si>
    <t>EL CASTILLO</t>
  </si>
  <si>
    <t>PERDIDA DE CULTIVOS DE PLATANO, YUCA Y MAIZ.</t>
  </si>
  <si>
    <t>ALTOS DE CASUCA, SECTOR LA CAPILLA. BARRIOS ALPES, FLORIDA, HOGAR DEL SOL, EL SILO, CIEN FAMILIAS, PORTO ALEGRE, CALLE 16, AUTOPISTA SUR, URBANIZACION COLMENA, SAN MATEO, CALLE 22, RINCON, DE SANTA MARIA, LA DESPENSA, SECTOR LEON 13, QUINTANARES, ANDALUCIA, SATELITE, OLIVOS 1 Y 3 SECTOR CIPRES. REPORTE DEL CREPAD.</t>
  </si>
  <si>
    <t>APOYO GLOBAL AL DEPARTAMENTO.</t>
  </si>
  <si>
    <t>ANGELOPOLIS</t>
  </si>
  <si>
    <t>BARRIO BELLO HORIZONTE. REPORTE DE CRUZ ROJA</t>
  </si>
  <si>
    <t>ZONA RURAL DE SANDENGUACAMAYO. REPORTE DE LA DEFENSA CIVIL Y CRUZ ROJA</t>
  </si>
  <si>
    <t>CRECIENTE SUBITA DEL RIO DAGUA. REPORTE DE LA DEFENSA CIVIL.</t>
  </si>
  <si>
    <t>LOS PALMITOS</t>
  </si>
  <si>
    <t>PERDIDA DE BOBINOS, PORCINOS Y AVES DE CORRAL</t>
  </si>
  <si>
    <t>PERDIDA DE CULTIVOS DE ARROZ, CACAO, PLATANO Y GUANABANA</t>
  </si>
  <si>
    <t>APOYO PARA LOS MUNICIPOS DE TIMANA, CAMPOALEGRE Y ALGECIRAS.</t>
  </si>
  <si>
    <t>SAN JUAN NEPOMUCENO</t>
  </si>
  <si>
    <t>ACCIDENTE DE DOS TRACTOMULAS CON DERRAME DE NASTA LO CUAL PRODUJO UN POSTERIOR INCENDIO CON AFECTACION EN LOS PATIOS DE CUATRO VIVIENDAS. EL CREPAD REPORTO COMO SUPERADA LA SITUACION.</t>
  </si>
  <si>
    <t>BARRIO LA ISLA, SANTA LUCIA, FINCAS LA GAVIOTA, EL DIAMANTE, BUENOS AIRES, EL PORVENIR LA ESPERANZA, EL SILENCIO.</t>
  </si>
  <si>
    <t>VEREDAS BARCELONA ALTA, FINCAS LA COMBA, VILLA ANDREA, GUADUALITO, ALTO BONITO. JERUSALEN</t>
  </si>
  <si>
    <t>FINCAS EL PINO, LA MEJORANA, LA ESPERANZA, BELÑLOS HORIZONTES, LA ESMERALDA EL GUAYABO, SAN HERNANDO, LA CABAÑITA LIMAJAQUE.</t>
  </si>
  <si>
    <t>DESBORDAMIENTO RIO PUTUMAYO Y CAQUETA REPORTE DEL CREPAD.. APOYO GLOBAL A TRAVES DEL DEPARTAMENTO</t>
  </si>
  <si>
    <t>DESBORDAMIENTO RIO CAQUETA REPORTE DEL CREPAD APOYO GLOBAL A TRAVES DEL DEPARTAMENTO</t>
  </si>
  <si>
    <t>DESBORDAMIENTO RIO PUTUMAYO. REPORTE DEL CREPAD. APOYO GLOBAL A TRAVES DEL DEPARTAMENTO</t>
  </si>
  <si>
    <t>DESBORDAMIENTO RIOS MULATO, MOCOA Y PEPINO REPORTE DEL CREPAD. APOYO GLOBAL A TRAVES DEL DEPARTAMENTO</t>
  </si>
  <si>
    <t>SAMPUES</t>
  </si>
  <si>
    <t>TOLUVIEJO</t>
  </si>
  <si>
    <t>APOYO GLOBAL AL DEPARTAMENTO PARA LOS MUNICIPIOS DE SAMPOUES, SUCRE, GUARANDA TOLUVIEJO, LA UNION Y SINCELEJO.</t>
  </si>
  <si>
    <t>APOYO DEL FNC MEDIANTE GIRO DIRECTO AL CLOPAD PARA LIMPIEZA DEL CAÑO LA MOJANA POR VALOR DE $60.000.000. EL VALOR DE OTROS CORRESPONDE A LA COMPRA DE 16 CARPAS HOSPITALARIAS EN LONA.</t>
  </si>
  <si>
    <t>ABREAQUI</t>
  </si>
  <si>
    <t>COLPASO IGLESIA CRISTIANA MISION CARISMATICA INTERNACIONAL</t>
  </si>
  <si>
    <t>MANIZALES</t>
  </si>
  <si>
    <t>AFECTADA VIA MANIZALES BOGOTA</t>
  </si>
  <si>
    <t>MANZANARES</t>
  </si>
  <si>
    <t>AFECTADA VIA MANZANARES - MARQUETALIA Y MANZANARES - PETEQUEROS.</t>
  </si>
  <si>
    <t>MARQUETALIA</t>
  </si>
  <si>
    <t>LA VICTORIA</t>
  </si>
  <si>
    <t>PUERTO LIBERTADOR</t>
  </si>
  <si>
    <t>VILLAVICENCIO</t>
  </si>
  <si>
    <t>BARRIO LAS AMERICAS. UN ARBOL CAYO SOBRE UN COLEGIO BUENOS AIRES</t>
  </si>
  <si>
    <t>PLATO</t>
  </si>
  <si>
    <t>BUENAVISTA</t>
  </si>
  <si>
    <t>REPORTE CLOPAD MEDELLIN, AFECTACION POR DESLIZAMIENTO EN VILLATINA, SOLICITUD DE 173 COLCHONETAS</t>
  </si>
  <si>
    <t>SOLICITUD</t>
  </si>
  <si>
    <t>SOLEDAD</t>
  </si>
  <si>
    <t>GALAPA</t>
  </si>
  <si>
    <t>AGUA AZUL</t>
  </si>
  <si>
    <t>TRINIDAD</t>
  </si>
  <si>
    <t>SAN LUIS DE PALENQUE</t>
  </si>
  <si>
    <t>MANI</t>
  </si>
  <si>
    <t>TAURAMENA</t>
  </si>
  <si>
    <t>AFECTADOS CULTIVOS DE ARROZ</t>
  </si>
  <si>
    <t>SECTOR SAN JOSE DE GUAGUY</t>
  </si>
  <si>
    <t>CULTIVOS DE PAPAYA, YUCA, PLATANO Y TOMATE.</t>
  </si>
  <si>
    <t>VEREDA EL ROMERO</t>
  </si>
  <si>
    <t>BARRIO SANTA LUCIA, NIÑO JESUS Y SAN VICENTE.</t>
  </si>
  <si>
    <t>SECTORES VILLA LAURES, MAGOLA, LOS PINOS.</t>
  </si>
  <si>
    <t>ANGOSTURA</t>
  </si>
  <si>
    <t>SECTOR URBANO</t>
  </si>
  <si>
    <t>AFECTADOS TRES LOCALES COMERCALES</t>
  </si>
  <si>
    <t>CORREGIMIENTO MECAYA</t>
  </si>
  <si>
    <t>AFECTADOS DOS INVERNADEROS. SE DEVUELVE PARA ATENCION LOCAL.</t>
  </si>
  <si>
    <t>DESBORDAMIENTO QUEBRADAS SUBACHOQUE, EL PORVENIR Y QUEBRADA ARRIBA. AFECTADOS BARRIOS LA POLA, EL PORVENIR, LA PLAYA, EL HOYO. PENDIENTE MAYOR INFORMACION.</t>
  </si>
  <si>
    <t>BARRIOS EL CENTRO, NUEVA ESPERANZA, SANTANDER. DESBORDAMIENTO RIO ARIARI</t>
  </si>
  <si>
    <t>CANTON DE SAN PABLO</t>
  </si>
  <si>
    <t>VEREDAS RUMIYACO Y CALIYACO, REPORTO DCC, SOCORRO NACIONAL. DESBORDAMIENTO RIO RUMILLACO. REPORTE DEL CREPAD.</t>
  </si>
  <si>
    <t>TURBACO</t>
  </si>
  <si>
    <t>APOYO DEL FNC MEDIANTE GIRO DIRECTO AL CLOPAD PARA SUMINISTRO DE 800 VOLCOS CON BALASTRO, 3000 TABLAS DE CARACOLI Y 1000 LISTONES DE ZAPATILLO PARA ENTREGAS A LA COMUNIDAD AFECTADA POR LA TEMPORADA INVERNAL.</t>
  </si>
  <si>
    <t>VEREDA LAS ISLAS</t>
  </si>
  <si>
    <t>AFECTADO PUENTE EL VENADO</t>
  </si>
  <si>
    <t>QUINCHIA</t>
  </si>
  <si>
    <t>APOYO PARA LOS MUNICIPIOS DE PUERTO LEGUIZAMO, PUERTO GUZMAN, PUERTO ASIS, MOCOA Y COLON.</t>
  </si>
  <si>
    <t>PAEZ</t>
  </si>
  <si>
    <t>NACION</t>
  </si>
  <si>
    <t>EN EVALUACION, REPORTO CREPAD NARIÑO Y MINISTERIO DE LA PROTECCION SOCIAL. VEREDAS LA VEGA, HORMIGUERO Y PULVUSA</t>
  </si>
  <si>
    <t>DESBORDAMIENTO RIO AMAZONAS. COMUNIDAD PUERTO TRIUNFO. PENDIENTE MAYOR INFORMACION. REPORTE DE DEFENSA CIVIL.</t>
  </si>
  <si>
    <t>PUERTO NARIÑO</t>
  </si>
  <si>
    <t>DESBORDAMIENTO RIO AMAZONAS. COMUNIDAD DE PALENCIA. REPORTE DE LA DEFENSA CIVIL.</t>
  </si>
  <si>
    <t>MEDELLIN</t>
  </si>
  <si>
    <t>BARRIO FRANCIA. REPORTE DE LA DEFENSA CIVIL.</t>
  </si>
  <si>
    <t>NUQUI</t>
  </si>
  <si>
    <t>APARTADO</t>
  </si>
  <si>
    <t>JAMBALO</t>
  </si>
  <si>
    <t>REPORTE DE CREPAD PARA TRMITE ANTE MINAMBIENTE</t>
  </si>
  <si>
    <t>REPORTE PRELIMINAR DEL CREPAD. BARRIOS CERREJON, NUEVA ESPERANZA,CRISATOREY, EL RETIRO, DOS VEREDAS.</t>
  </si>
  <si>
    <t>PAIPA</t>
  </si>
  <si>
    <t>VEREDA RINCON DE LOS ESPAÑOLES. MINA DE CARBON</t>
  </si>
  <si>
    <t>GUAMO</t>
  </si>
  <si>
    <t>EL DONCELLO</t>
  </si>
  <si>
    <t>KIT COCINA</t>
  </si>
  <si>
    <t>KIT ALCOBA</t>
  </si>
  <si>
    <t>JABON BARRA</t>
  </si>
  <si>
    <t>DESCRIPCION Y UBICACIÓN</t>
  </si>
  <si>
    <t>NARIÑO</t>
  </si>
  <si>
    <t>ATLANTICO</t>
  </si>
  <si>
    <t>INCENDIO FORESTAL</t>
  </si>
  <si>
    <t>OLLAS</t>
  </si>
  <si>
    <t>EXPLOSION</t>
  </si>
  <si>
    <t xml:space="preserve">M E N A J E S </t>
  </si>
  <si>
    <t>VALOR TOTAL</t>
  </si>
  <si>
    <t>CEMENTO</t>
  </si>
  <si>
    <t>CERETE</t>
  </si>
  <si>
    <t>SECTORES CAMPANITOMANGUELITO, CEIBITA MAGUEY, COROZA ARGENTINA, CEIBITA 1-2-3-5.</t>
  </si>
  <si>
    <t>SABANALARGA</t>
  </si>
  <si>
    <t>VIA SAN LORENZO-LA LAGUINA, SAN LORANZO-BERRUECOS, PANAMERICANA - SAN LORENZON, SAN LORENZO-SANTA CRUZ. AFECTADA ESCUELA-EL COF4RE, ESCUELA VEREDA ARMENIA, CENTRO EDUCATIVO EL PLACER. ACUEDUCTO DEL CASCO URBANO.  APOYO GLOBAL AL DEPARTAMENTO</t>
  </si>
  <si>
    <t>ENVIGADO</t>
  </si>
  <si>
    <t>FLORENCIA</t>
  </si>
  <si>
    <t>IPIALES</t>
  </si>
  <si>
    <t>REPORTE DEL MINISTERIO DE LA PROTECCION SOCIAL. REPORTE DE LA CRUZ ROJA</t>
  </si>
  <si>
    <t>HONDA</t>
  </si>
  <si>
    <t>UNION</t>
  </si>
  <si>
    <t>ZARZAL</t>
  </si>
  <si>
    <t>SAN JACINTO</t>
  </si>
  <si>
    <t>PENDIENTE EVALUACION</t>
  </si>
  <si>
    <t>BARRIOS PABLON Y ESPERANZA REPORTE DE LA DEFENSA CIVIL</t>
  </si>
  <si>
    <t>,,,,,</t>
  </si>
  <si>
    <t>POCILLO</t>
  </si>
  <si>
    <t>SABANAS</t>
  </si>
  <si>
    <t>TOLIMA</t>
  </si>
  <si>
    <t>DESLIZAMIENTO</t>
  </si>
  <si>
    <t>AMAZONAS</t>
  </si>
  <si>
    <t>CORDOBA</t>
  </si>
  <si>
    <t>COLAPSO</t>
  </si>
  <si>
    <t>FECHA TRAMITE ADTIVO</t>
  </si>
  <si>
    <t>CHOCO</t>
  </si>
  <si>
    <t>CUCHARA ACERO</t>
  </si>
  <si>
    <t>CUCHARA MADERA</t>
  </si>
  <si>
    <t>COMENTARIOS</t>
  </si>
  <si>
    <t>TRAMITE ANTE DPAD</t>
  </si>
  <si>
    <t>MUNICIPIO</t>
  </si>
  <si>
    <t>EVENTO</t>
  </si>
  <si>
    <t>PERSONAS</t>
  </si>
  <si>
    <t>FAMILIAS</t>
  </si>
  <si>
    <t>SACOS</t>
  </si>
  <si>
    <t>TOLDILLOS</t>
  </si>
  <si>
    <t>TOALLAS</t>
  </si>
  <si>
    <t>CHOCOLATERA</t>
  </si>
  <si>
    <t>COBIJA TERMICA</t>
  </si>
  <si>
    <t>SOBRECAMAS</t>
  </si>
  <si>
    <t>PAPEL H.</t>
  </si>
  <si>
    <t>PLASTICO NEGRO</t>
  </si>
  <si>
    <t>RISARALDA</t>
  </si>
  <si>
    <t>JUEGO CUBIERTOS</t>
  </si>
  <si>
    <t>INCENDIO ESTRUCTURAL</t>
  </si>
  <si>
    <t>VENDAVAL</t>
  </si>
  <si>
    <t>INUNDACION</t>
  </si>
  <si>
    <t xml:space="preserve"> </t>
  </si>
  <si>
    <t>PEINILLA</t>
  </si>
  <si>
    <t>PLATO HONDO</t>
  </si>
  <si>
    <t>PLATO PANDO</t>
  </si>
  <si>
    <t>ESTUFAS</t>
  </si>
  <si>
    <t>VIAS</t>
  </si>
  <si>
    <t>MERCADOS</t>
  </si>
  <si>
    <t>EROSION</t>
  </si>
  <si>
    <t>CUNDINAMARCA</t>
  </si>
  <si>
    <t>HAMACAS</t>
  </si>
  <si>
    <t>CEPILLO NIÑO</t>
  </si>
  <si>
    <t>CINTA EMPALMAR</t>
  </si>
  <si>
    <t>COBIJA</t>
  </si>
  <si>
    <t>COLCHONETA</t>
  </si>
  <si>
    <t>CREMA DESOD.</t>
  </si>
  <si>
    <t>SISMO</t>
  </si>
  <si>
    <t>ERUPCION</t>
  </si>
  <si>
    <t>NORTE DE SANTANDER</t>
  </si>
  <si>
    <t>MUERTOS</t>
  </si>
  <si>
    <t>FECHA</t>
  </si>
  <si>
    <t>DEPTO</t>
  </si>
  <si>
    <t>TEJAS</t>
  </si>
  <si>
    <t>TAME</t>
  </si>
  <si>
    <t>SARAVENA</t>
  </si>
  <si>
    <t>VEREDA EL CARMEN.</t>
  </si>
  <si>
    <t>PERDIDA DE CULTIVOS.</t>
  </si>
  <si>
    <t>EL VALOR DE OTROS CORRESPONDE A UNA BOMBA DE SUCCION Y DESCARGA DE 8"X8" POR VALOR DE $68,672,000</t>
  </si>
  <si>
    <t>CRECIENTE QUEBRADA LA MAJA. DESTRUIDO PUENTE SAN MIGUEL. FUERTES LLUVIAS. PENDIENTE MAYOR AFECTACION.</t>
  </si>
  <si>
    <t>SAN JUAN DEL CESAR</t>
  </si>
  <si>
    <t>FUENTE DE ORO</t>
  </si>
  <si>
    <t>DESBORDAMIENTO DEL RIO ARIARI. REPORTE DE LA DEFENSA CIVIL. VEREDAS PUERTO NUEVO, LA COOPERATIVA, LA CARPA, Y TROCHAS.</t>
  </si>
  <si>
    <t>DESBORDAMIENTO RIOS TAMBOR,. BARBASCO, GUAYIYACO Y CAQUETA.</t>
  </si>
  <si>
    <t>JUAN DE ACOSTA</t>
  </si>
  <si>
    <t>REPROTE DEL CREPAD.</t>
  </si>
  <si>
    <t>MONTERIA</t>
  </si>
  <si>
    <t>GUARANDA</t>
  </si>
  <si>
    <t>SAN MARCOS</t>
  </si>
  <si>
    <t>AFECTADA VIA ENTRE EL TRAPICHE Y LA SORINZA</t>
  </si>
  <si>
    <t>CORREGIMIENTOS DE CURUNDO, JUNTAS DE TAMANA, URABARA, CABECERA URABUBU, CARMEN DE SURAMA, VEREDAS NIMAS, Y MANSO.</t>
  </si>
  <si>
    <t>FRONTINO</t>
  </si>
  <si>
    <t>SECTOR LA CRUZ.</t>
  </si>
  <si>
    <t>CORREGIMIENTO DE BOLOMBOLO. DESBORDAMIENTO RIO CAUCA.</t>
  </si>
  <si>
    <t>LA PINTADA</t>
  </si>
  <si>
    <t>DESBORDAMIENTO RIO CAUCA.</t>
  </si>
  <si>
    <t>GUAMAL</t>
  </si>
  <si>
    <t>DESBORDAMIENTO QUEBRADA LA HUMADEA.</t>
  </si>
  <si>
    <t>PASCA</t>
  </si>
  <si>
    <t>DESBORDAMIENTO QUEBRADA FLANDES.</t>
  </si>
  <si>
    <t>BARRIO BUENOS AIRES BAJO</t>
  </si>
  <si>
    <t>PINILLOS</t>
  </si>
  <si>
    <t>APOYO DEL FNC MEDIANTE GIRO DIRECTO AL CLOPAD PARA ADQUISICION DE COMBUSTIBLE Y LUBRICANTES PARA LA OPERACIÓN DEL BANCO DE MATERIALESCON DESTINO A LA EJECUCION DE OBRAS DE PROTECCION,.</t>
  </si>
  <si>
    <t>VILLAGARZON</t>
  </si>
  <si>
    <t>PURACE</t>
  </si>
  <si>
    <t>URIBIA</t>
  </si>
  <si>
    <t>SE PRESENTAN PROBLEMAS POR ESCASEZ DE AGUA.</t>
  </si>
  <si>
    <t>REPORTE DEL CREPAD. AFECTACION EN ZONAS RIVEREÑAS DE LOS RIOS BEDON, RIONEGRO, CAUCA Y GRANDE.</t>
  </si>
  <si>
    <t>LA JAGUA DEL PILAR</t>
  </si>
  <si>
    <t>EL CARMEN DE CHUCURI</t>
  </si>
  <si>
    <t xml:space="preserve">PERDIDA DE CULTIVOS. </t>
  </si>
  <si>
    <t>AFECTACION EN TORRES DE ENERGIA ELECTRICA.</t>
  </si>
  <si>
    <t>CINCO VEHICULOS</t>
  </si>
  <si>
    <t>RAGONVALIA</t>
  </si>
  <si>
    <t>REPORTE DE MINPROTECCION SOCIAL.</t>
  </si>
  <si>
    <t>MANAURE</t>
  </si>
  <si>
    <t>APOYO PARA LOS MUNICIPIOS DE EL RETEN, ZONA BANANERA, REMOLINO Y EL BANCO</t>
  </si>
  <si>
    <t>TIBU</t>
  </si>
  <si>
    <t>SANTIAGO</t>
  </si>
  <si>
    <t>SALAZAR DE LAS PALMAS</t>
  </si>
  <si>
    <t>HERRAN</t>
  </si>
  <si>
    <t xml:space="preserve">APOYO GLOBAL PARA LOS MUNICIPIOS DE CAPITANEJO, GALAN, SIMACOTA, ARATOCA, PARAMO, PALMAS DEL SOCORRO, OCAMONTE </t>
  </si>
  <si>
    <t>SOLICITAN 40000 SACOS.</t>
  </si>
  <si>
    <t>APOYO PARA EL DEPARTAMENTO</t>
  </si>
  <si>
    <t>AFECTACION GENERAL DE VIAS.. SOLICITAN RECURSO PARA MAQUINARIA. PASA A SECTOR VIAS.</t>
  </si>
  <si>
    <t>BARRIOS POPULAINA, SAN FRANCISCO DE PAULA SANTANDER Y 450 AÑOS.</t>
  </si>
  <si>
    <t>EL VALOR DE OTROS CORRESPONDE A MATERIALES DE CONSTRUCCION PARA LA REPARACION DE LA BASE DE LA FAC AFECTADA POR EL DESBORDMIENTO DEL RIO MAGDALENA.</t>
  </si>
  <si>
    <t>BARRIOS RIALENGO, SECTORES TERRON COLORADO, ALTO AGUACATAL. REPORTE DEL CLOPAD.</t>
  </si>
  <si>
    <t>CORREGIMIENTO BARBACOAS, BARRANCOS Y GALAN. REPORTE DE LA CRUZ ROJA.</t>
  </si>
  <si>
    <t>VEREDA LA MANCHA, FINCA LA FINQUITA</t>
  </si>
  <si>
    <t>PENDIENTE CENSO &lt;ONA RURAL. REPORTE DEL CREPAD Y CLOPAD.</t>
  </si>
  <si>
    <t>REPORTE DE LA DEFENS ACIVIL. APOYO GLOBAL DADO AL DEPARTAMENTO</t>
  </si>
  <si>
    <t>SECTORES CANDELARIA, BOLIVAR, JAMUNDI, RIO FRIO, PALMIRA. PENDIENTE AFCTACION. REPORTE DEL CREPAD. APOYO GLOBAL DADO AL DEPARTAMENTO</t>
  </si>
  <si>
    <t>548 TEJA DE ZINC, 20 DE AC NO. 8, 173 DE AC NO. 6,. 20 DE AC NO. 4.</t>
  </si>
  <si>
    <t xml:space="preserve">AFECTAA VIA ROSA-FÑLORIDA-BERRUECOS. APOYO GLOBAL AL DEPARTAMENTO. </t>
  </si>
  <si>
    <t>TURBO</t>
  </si>
  <si>
    <t>OR CONFIRMAR</t>
  </si>
  <si>
    <t>CAIDA DE ARBOLES</t>
  </si>
  <si>
    <t>REPORTE PRELIMINAR DE CRUZ ROJA Y DEFENSA CIVL.</t>
  </si>
  <si>
    <t>APOYO DEL FNC MEDIANTE GIERO DIRECTO AL CLOPAD PARA LA ADQUISICION DE MATERIALES DE CONSTRUCCION PARA LA REHABILITACION DE 19 VIVIENDAS AFECTADAS POR LA TEMPORADA INVERNAL.</t>
  </si>
  <si>
    <t>SERRANIA DEL PERIJA. VEREDA PUERTO LOPEZ. REPORTE DE LA DEFENSA CIVIL.</t>
  </si>
  <si>
    <t>GUACHENE</t>
  </si>
  <si>
    <t>BARRIO BUENOS AIRES. REPORTE DE DEFENSA CIVIL Y SOCORRO NACIONAL.</t>
  </si>
  <si>
    <t>MACANAL</t>
  </si>
  <si>
    <t>ACCIDENTE</t>
  </si>
  <si>
    <t>ACCIDENTE EN EL EMBALSE DE CHIVOR.</t>
  </si>
  <si>
    <t>PENDIENTE AFECTACION.</t>
  </si>
  <si>
    <t>BARRIO VEINTE DE JULIO. PÈNDIENTE AFECTACION.- COLAPSO DE UNA VIVIENDA.</t>
  </si>
  <si>
    <t>MAHATES</t>
  </si>
  <si>
    <t>REPORTE DE LA CRUZ ROJA. SERA APOYADO POR LA CRUZ ROJA</t>
  </si>
  <si>
    <t>ISLA DEL CHARCO CORREGIMIENTO PUERTO NARIÑO. REPORTE DE LA CRUZ ROJA. SERA APOYADO POR LA CRUZ ROJA</t>
  </si>
  <si>
    <t>APOYO FONDO NACIONAL DE CALAMIDADES</t>
  </si>
  <si>
    <t>BARRIOS SAN DIEGO, VERSALLES, LA CAPILLA, SANTA TERESA, PANORAMA, MODELO, OTUN EL BALSO CAMILO TORRES, SAN FERNANDO, BUENOS AIRES, LOS ANGELES, SOLEDAD. REPORTE DE LA CRUZ ROJA..</t>
  </si>
  <si>
    <t>FECHA RECIBO</t>
  </si>
  <si>
    <t>TOTAL</t>
  </si>
  <si>
    <t>HECTAREAS</t>
  </si>
  <si>
    <t>-</t>
  </si>
  <si>
    <t>CAUCA</t>
  </si>
  <si>
    <t>CERRO LA  POPA, SECTOR LOMA FRESCA.</t>
  </si>
  <si>
    <t>BOYACA</t>
  </si>
  <si>
    <t>GIRO DIRECTO</t>
  </si>
  <si>
    <t>APOYOS EN TRAMITE</t>
  </si>
  <si>
    <t>GRANIZADA</t>
  </si>
  <si>
    <t>MATERIALES CONSTRUCCION</t>
  </si>
  <si>
    <t>VARIOS</t>
  </si>
  <si>
    <t xml:space="preserve"> A F E C T A C I Ó N</t>
  </si>
  <si>
    <t>VIV.DESTRU.</t>
  </si>
  <si>
    <t>VIV.AVER.</t>
  </si>
  <si>
    <t>.</t>
  </si>
  <si>
    <t>HERIDOS</t>
  </si>
  <si>
    <t>DESAPA.</t>
  </si>
  <si>
    <t>PTES.VEHIC.</t>
  </si>
  <si>
    <t>PTES.PEAT.</t>
  </si>
  <si>
    <t>REPORTE DEL CREPAD ANTIOQUIA</t>
  </si>
  <si>
    <t>ENVIAN ACTA PERO NO SOLICITUD CONCRETA DE APOYO. SE INFORMA AL CREPAD PARA REVISAR EL TEMA., QUIEN MANIFIESTA QUE LA EMERGENCIA YA FUE ATENDIDA CON RECURSOS DEL CREPAD Y CLOPAD.</t>
  </si>
  <si>
    <t>COLAPSO DE MINA DE CARBON EN EL SECTOR GOLONDRINAS</t>
  </si>
  <si>
    <t>FONSECA</t>
  </si>
  <si>
    <t>EL VALOR DE OTROS CORRESPONDE A COMPROMISO PRESIDENCIAL  PARA LA REPARACION DE BOTES DE LOS ARENEROS AFECTADOS POR LA TEMPORADA INVERNAL.</t>
  </si>
  <si>
    <t>SAN CARLOS</t>
  </si>
  <si>
    <t>BARRIO VILLA JACKY. AVENIDA BOYACA CON 66 SUR. DESLIZAMIENTO EN CANTERA DE GRAVILLA.</t>
  </si>
  <si>
    <t>GALAN</t>
  </si>
  <si>
    <t>GUAPOTA</t>
  </si>
  <si>
    <t>MACARAVITA</t>
  </si>
  <si>
    <t>MOLAGAVITA</t>
  </si>
  <si>
    <t>OCAMONTE</t>
  </si>
  <si>
    <t>SAN BENITO</t>
  </si>
  <si>
    <t>SANTA HELENA DEL OPON</t>
  </si>
  <si>
    <t>SABANA DE TORRES</t>
  </si>
  <si>
    <t>SURATA</t>
  </si>
  <si>
    <t>VALLE DE SAN JOSE</t>
  </si>
  <si>
    <t>REPORTE DEL CREPAD. APOYADO A TRAVES DEL CREPAD.</t>
  </si>
  <si>
    <t>APOYO GLOBAL PARA LOS MUNICIPIOS AFECTADOS POR LAS INUNDACIONES.</t>
  </si>
  <si>
    <t>APOYO DEL FNC AL MUNICIPIO CON ROLLOS PLASTICO Y SACOS</t>
  </si>
  <si>
    <t>APOYO CON SACOS AL DEPARTAMENTO</t>
  </si>
  <si>
    <t>APOYO CON SACOS AL DEPARTAMENTO.</t>
  </si>
  <si>
    <t>DESBORDAMIENTO RIO ORTEGAVEREDAS CEDRALES, GUALANDAY, PORVENIR, LA FRANCIA, LOS ANDES, MESONES, SAMARIA, ANABA, CORAZON DE PERALONSO, CHAPINERO, SAN PEDRO EL DIVISO, SAN MIGUEL.</t>
  </si>
  <si>
    <t>SEVILLA</t>
  </si>
  <si>
    <t>DESBORDAMIENTO RIO MEDELLIN. SECTOR LA VARIANTE. BARRIOS UNIDOS, ANDALUCIA, LA VALERIA, LA INMACULADA, MANDALAY.  PENDIENTE MAYOR INFORMACION.</t>
  </si>
  <si>
    <t>BARRIOS MORAVIA, LA CRUZ Y VILLATINA.</t>
  </si>
  <si>
    <t>AFETCADA VIA BUCARMANGA - LEBRIJA.SEPULTADA UNA MAQUINA</t>
  </si>
  <si>
    <t>BARRIO EL GUAYABITO.</t>
  </si>
  <si>
    <t>TONA</t>
  </si>
  <si>
    <t>EXPLOSION EN MINA DE CARBON. SECTOR ALTOS DEL AGUILA.  REPORTE DEL CREPAD.</t>
  </si>
  <si>
    <t>VEREDA SAN JUAN. EL 2 DE JUNIO EL CREPAD REMITE ACTA PERO DE DICIEMBRE DE 2008 CON LA QUE SOLICITA APOYO POR ESTA RAZON NO SE ATIENDE EL REQUERIMIENTO</t>
  </si>
  <si>
    <t>DESBORDAMIENTO RIO CAUCA REPORTE DEL CREPAD. SE BRINDO APOYO A TRAVES DEL DEPARTAMENTO</t>
  </si>
  <si>
    <t>PADILLA</t>
  </si>
  <si>
    <t>AVALANCHA RIO GUENGUE. DECRETADA EMERGENCIA SANITARIA</t>
  </si>
  <si>
    <t>MIRANDA</t>
  </si>
  <si>
    <t>PACHO</t>
  </si>
  <si>
    <t>GUADUAS</t>
  </si>
  <si>
    <t>DESBORDAMIENTO RIO BUEY. REPORTE DE LA CRUZ ROJA</t>
  </si>
  <si>
    <t>REPORTE PRELIMINAR DEL CREPAD. DESBORDAMIENTO RIOS GUENGUE, DESBARATADO, CAÑAS Y CAPARROSAL</t>
  </si>
  <si>
    <t>LOCALIDAD RAFAEL URIBE, BARRIO EL PORTAL</t>
  </si>
  <si>
    <t>TIMBIO</t>
  </si>
  <si>
    <t>REPORTE DEL CREPAD.</t>
  </si>
  <si>
    <t>PUERTO TRIUNFO</t>
  </si>
  <si>
    <t>DESBORDAMIENTO RIO CUSAI Y ELE VEREDA BRUSELAS</t>
  </si>
  <si>
    <t>REPORTE DEL CREPAD NORTE DE SANTANDER, DEBIDO A LA INUNDACIO SE AHOGO UN MENOR DE 4 AÑOS. CORREGIMIENTO DE LA TRINIDAD</t>
  </si>
  <si>
    <t>VEREDA SAN SEBASTIAN. REPORTE DE LA DEFENSA CIVIL</t>
  </si>
  <si>
    <t>GIRO DIRECTO AL CLOPAD A F9N DE APOYAR EL MEJOPRAMIENTO DE LAS VIAS AFECTADAS POR LA TEMPORADA INVERNAL HACIA LAS VEREDAS RABILARGO, EL PAISAJE, LA VICTORIA, PUEBLO RIZO, PAJARITO, LAS MARGARITAS, LAS SABIAS, LAS PIÑUELAS Y PIÑALITO</t>
  </si>
  <si>
    <t>CRECIMIENTO RIO GUALIYACO. VEREDA GUALIYACO.</t>
  </si>
  <si>
    <t>BAJO BAUDO</t>
  </si>
  <si>
    <t>CORREGIMIENTO DE SIVIRU. SOLICTA REUBICACION DE LA POBLACION</t>
  </si>
  <si>
    <t>APOYO GLOBAL AL DEPARTAMENTO MUNICIPIOS DE SEGOVIA, NECHI, LIBORINA, BAGRE Y ZARAGOZA</t>
  </si>
  <si>
    <t>REPORTO SOCORRO NACIONAL Y CREPAD ANTIOQUIA. SE BRINDO APOYO A TRAVES DEL DEPARTAMENTO</t>
  </si>
  <si>
    <t>VEREDA LA MONTAÑITA. SE BRINDO APOYO A TRAVES DEL DEPARTAMENTO</t>
  </si>
  <si>
    <t>DESBORDAMIENTO RIO NECHI. REPORTE DEL CREPAD. SE BRINDO APOYO A TRAVES DEL DEPARTAMENTO</t>
  </si>
  <si>
    <t>DESBORDAMIENTO RIO BECHI Y TIGUI. REPORTE DEL CREPAD. SE BRINDO APOYO A TRAVES DEL DEPARTAMENTO</t>
  </si>
  <si>
    <t>ZIPACON</t>
  </si>
  <si>
    <t>CORREGIMIENTO EL OCASO. REPORTE DEL CREPAD</t>
  </si>
  <si>
    <t>BARRIOS LAS PALMERAS, EL PARAISO, FREDONIA, VILLA ROSITA, OLAYA HERRERA. REPORTE PRELIMINAR. PENDIENTE CONSOLIDACION DE INFORMACION</t>
  </si>
  <si>
    <t>APOYO GLOBAL AL DEPARTAMENTO PARA LOS MUNICIPIOS DE JAMUNDI, RIOFRIO, CANDELARIA, BOLIVAR, BUGA, FLORIDA, PRADERA, SEVILLA VERSALLES SEGÚN OFICIO DEL 11 DE MAYO DE 2009</t>
  </si>
  <si>
    <t>AFECTADAS VIAS ANCUYA CONSACA, ANCUYA-SANDONA, ANCUYA-LINARES ANCUYA,-GUATARILLA, ANCUYA-VEREDA CRUZ DE MAYO, ANCUYA-COCHA, BLANCA, EL INGENI-GUAYABAL. APOYO GLOBAL AL DEPARTAMENTO</t>
  </si>
  <si>
    <t>ZONA BANANERA</t>
  </si>
  <si>
    <t>CASANARE</t>
  </si>
  <si>
    <t>YOPAL</t>
  </si>
  <si>
    <t>BARRIOS PINAR, SANTA CECILIA, VILLA MADY, URIBE, MOCHILA, LAS AMERICAS, PACALOA, PUERTO ARTURO, PARAISO, PUNTA ROJA, TRIPA LARGA, CRUZ DE MAYO, LA CANDELARIA, EL CONSUELO.</t>
  </si>
  <si>
    <t>BODEGAS ZONA FRANCA</t>
  </si>
  <si>
    <t>DESBORDAMIENTO RIO ARAUCA, RIO CUSAY, VEREDAS CAJAROS, EL CAUCHO, EL PROGRESO, PUERTO RICO, PLAYA RICA, BARRANQUILLITA, LAS ACACIAS, GAVIOTAS, TRES PALMAS, PUEBLO NUEVO, CAÑO ARENAS, GRAN BRETAÑA, BOCAS DE JULU, PERALONZA, PLACER, ANGELITOS BARRIOS SANTA BARBARA, MAPORITA Y LAURELES. REPORTE PRELIMINAR</t>
  </si>
  <si>
    <t>APOYO GLOBAL PARA LOS MUNICIPIOS DE FLORIDABLANCA, RIONEGRO Y HATO</t>
  </si>
  <si>
    <t>AFECTADOS CULTIVOS POR LA SEQUIA.</t>
  </si>
  <si>
    <t>AFECTADOS SECTORES DE PUERTO REMOLINO, TABLON PANAMERICANO, CHARGUAYACO, MANZANO Y VEREDASPANOYA, MAJUANDO, GUAMBUYACO,  LOMA LARGA, LA LLANA, MAMA JUANA, CHAPUNGO, TAMINANNGUITO, LAS JUNTAS, LECHERAL, PAPAYAL, VIENTO LIBRE, CUMBAL, DIVISO</t>
  </si>
  <si>
    <t>SAN BENITO ABAD</t>
  </si>
  <si>
    <t>SINCE</t>
  </si>
  <si>
    <t>LERIDA</t>
  </si>
  <si>
    <t>300 TEJAS DE ZINC Y 1800 AMARRES</t>
  </si>
  <si>
    <t>500 TEJAS DE ZINC Y 3000 AMARRES</t>
  </si>
  <si>
    <t>1000 TEJAS Y 6000 AMARRES</t>
  </si>
  <si>
    <t>,</t>
  </si>
  <si>
    <t>DESBORDAMIENTPO QUEBRADA LA GARCIA. SECTOR DE LA 55 Y LAS GRANJAS.</t>
  </si>
  <si>
    <t>PERDIDA DE CULTIVOS DE PLATANO Y MAIZ</t>
  </si>
  <si>
    <t>ARBOLETES</t>
  </si>
  <si>
    <t>DESBORAMIENTO QUEBRADA EL INGLES. BARRIOS ARENOSA Y SINAI</t>
  </si>
  <si>
    <t>DESBORDAMIENTO QUEBRADA LA GARCIA. BARRIO PLAYA RICA.</t>
  </si>
  <si>
    <t>TAMALAMEQUE</t>
  </si>
  <si>
    <t>PERDIDA DE CULTIVOS DE PANCOGER</t>
  </si>
  <si>
    <t>DESBORAMIENTO QUEBRADA PASACORRIENDO EN LA VEREDA PASACORRIENDO. REPORTE DEL CREPAD.</t>
  </si>
  <si>
    <t>BARRIOS PUMAREJO, NUEVA COLOMBIA Y TALON. REPPORTE DE LA DEFENSA CIVIL.</t>
  </si>
  <si>
    <t>AFECTADOS 45 TECHOS DE SECADERO  DE CAFÉ. PERDIDA DE CULTIVOS</t>
  </si>
  <si>
    <t>INFORME DE LA COMUNIDAD. SE REMITE AL CREPAD PARA CONOCER APOYO DADO.</t>
  </si>
  <si>
    <t>LA ESPERANZA</t>
  </si>
  <si>
    <t>EVACUACION PREVENTIVA DE 10 FAMILIAS. REPORTE DEL CREPAD.</t>
  </si>
  <si>
    <t>ANDES-TURBO-BAGRE</t>
  </si>
  <si>
    <t>APOYO GLOBAL PARA LOS MUNICIPIOS DE ANDES, TURBO Y BAGRE.</t>
  </si>
  <si>
    <t>VEREDA SANTA HELENA. REPORTE DEL CREPAD.</t>
  </si>
  <si>
    <t>30 VEHICULOS AFECTADOS</t>
  </si>
  <si>
    <t>DESBORDAMIENTO RIO FUCHA. CALLE 13 AVENIDA BOYACA. VARIOS SECTORES. REPORTE DE DEFENSA CIVIL Y CRUZ ROJA COLOMBIANA</t>
  </si>
  <si>
    <t>PENDIENTE INFORMACION.</t>
  </si>
  <si>
    <t xml:space="preserve">VEREDA SAN FELIPE. REPORTE DEL CREPAD. </t>
  </si>
  <si>
    <t>REPORTE DEL CREPAD PRELIMINAR</t>
  </si>
  <si>
    <t xml:space="preserve">DESBORDAMIENTO QUEBRADAS SECA Y TORO. BARRIOS VILLA COLOMBIA, PUENTE QUEBRADA TORO, BOLIVAR, VIVIENDA OBRERA, SALAZAR BAJO.  AFECTADA ESCUELA MARIA MONTESORI CORREGIMIENTO GRAMALOTE. VIA LA PUERTA - TRES ESQUINAS. </t>
  </si>
  <si>
    <t>GUAVATA</t>
  </si>
  <si>
    <t>BARRIO LAS AMERICAS, BRISAS, PUENTE BOLIVAR, LA ESTACION, LAS QUINTAS. REPORTE DE LA DEFENSA CIVIL.</t>
  </si>
  <si>
    <t>PRADERA</t>
  </si>
  <si>
    <t>DESBORDAMIENTO QUEBRADAS ZAPATA Y JANEIRO. REPORTE DE LA DEFENSA CIVIL Y CREPAD.</t>
  </si>
  <si>
    <t>REPORTE CRUZ ROJA COLOMBIANA, AFECTACION EN LA COMUNIDAD SAN ROQUE. DESBORDAMIENTO RIOS PAIMA, TANGUI, BETE, AME Y BUEY</t>
  </si>
  <si>
    <t>BARRIO MALABAR. REPORTE DE SOCORRO NACIONAL.</t>
  </si>
  <si>
    <t>INFORME DE D.C.C. EN LA VIA PASTO LAGUNA DE COCHA EN EL SITIO LA PASTORA SE PRESENTO DESLIZAMIENTO (PENDIENTE INFORMACION), EN LA VIA SAN FERNANDO SE PRESENTO DESBORDAMIENTO DEL RIO PASTO (PENDIENTE INFORMACION)</t>
  </si>
  <si>
    <t>REPORTE DE LA D.C.C DE QUIBDO, EL CLOPAD Y CREPAD EN REVISION SITUACION Y APORTE DE RECURSOS Y APOYOS.</t>
  </si>
  <si>
    <t>BARRANQUILLA</t>
  </si>
  <si>
    <t>REPORTE DEL CLOPAD BARRANQUILLA, A RAIZ DE LOS VIENTOS ALICIOS SE AFECTARON LOS BARRIOS 7 DE ABRIL, ROBLEDO Y EL BOSQUE.</t>
  </si>
  <si>
    <t>TUMACO</t>
  </si>
  <si>
    <t>REPORTE DE LA D.C.C. SE PRESENTO INUNDACION POR FUERTES LLUVIAS SE PRESENTO INUNDACION., COMPLEMENTARAN INFORMACION</t>
  </si>
  <si>
    <t>VALLE DEL CAUCA</t>
  </si>
  <si>
    <t>CALI</t>
  </si>
  <si>
    <t>REPORTE DE LA CRUZ ROJA. EN REUNION DE CONSOLIDACION</t>
  </si>
  <si>
    <t>CAIDA DE ARBOLES Y POSTES DE ENERGIA. REPORTE DEL CREPAD. BARRIOS VILLA MARINA, LA LORENA, LAS PALMAS, LA LIBERTAD, PRIMERO DE MAYO Y COMUNEROS</t>
  </si>
  <si>
    <t>BARRIO BERLLIN. REPORTE PRELIMINAR DEL CREPAD.</t>
  </si>
  <si>
    <t>BARRIO TUNA ALTA. REPORTE DE LA DEFENSA CIVIL.</t>
  </si>
  <si>
    <t>BARRIOS SIETE DE ABRIL, LOS OLIVOS Y SANTA MARIA</t>
  </si>
  <si>
    <t>APOYO PARA LOS MUNICIPIOS DE TIERRALTA, AYAPEL, BUENAVISTA, PUERTO LIBERTADOR, MONTELIBANO Y LA APARTADA.</t>
  </si>
  <si>
    <t>APOGLO GLOBAL DADO AL DEPARTAMENTO</t>
  </si>
  <si>
    <t>FUNZA</t>
  </si>
  <si>
    <t>VEREDA FIRIVITA PEÑA ALTA COLAPSO DE MINA DE CARBOSN EL PLAYON</t>
  </si>
  <si>
    <t>FREDONIA</t>
  </si>
  <si>
    <t>CORREGIMIENTO PALOMO MINA DE CARBON HUYERAS DE ANTIOQUIA. RESCATADOS NUEVE PERSONAS CON VIDA..</t>
  </si>
  <si>
    <t>VEREDAS TRIBUNA, CONDINA, JORDAN Y BETANIA.</t>
  </si>
  <si>
    <t>BARRIO ROMELIA ALTA Y LUSITANIA.</t>
  </si>
  <si>
    <t>RIO OCA</t>
  </si>
  <si>
    <t>CIUDAD BOLIVAR</t>
  </si>
  <si>
    <t>BARRIOS CRISTO REY Y KENNEDY.</t>
  </si>
  <si>
    <t>BARRIO LAVADOMO. REPORTE DE LA DEFENSA CIVIL</t>
  </si>
  <si>
    <t>CORREGIMIENTO SAN CRISTOBAL. FUERTES LLUVIAS. UNA PERSONA MUERTA ENCONTRADA EN ITAGUI EN LA QUEBRADA LA MARIA. REPORTE PRELIMINAR DEL CREPAD.</t>
  </si>
  <si>
    <t>ANDES</t>
  </si>
  <si>
    <t>BETULIA</t>
  </si>
  <si>
    <t>VEREDA LLANITOS. REPORTE DE CRUZ ROJA</t>
  </si>
  <si>
    <t>BARRIO SAN JOSE. AFECTADA VIA QUE COMUNICA GRANADA CON COCORNA.</t>
  </si>
  <si>
    <t>VEREDA LA LINDA. REPORTE PRELIMINAR DEL CREPAD.</t>
  </si>
  <si>
    <t>BARRIO SANTA RITA. REPORTE DEL CLOPAD.</t>
  </si>
  <si>
    <t>SE PRESENTO UNA PERSONA ARRASTRADA POR EL ARROYO REBOLO.</t>
  </si>
  <si>
    <t>REPORTE DEL CREPAD Y LA DEFENSA CIVIL. BARRIOS EL POBLADO, LA VID, EL NISPERO, MINUTO DE DIOS, JUAN PABLO XX1, JUAN II MANUEL JIMENEZ, LA ESPERANZA, EL DORADO, LOS COLORES, CASITA NUEVA, LOS ROBLES, NUEVA JERUSALEM, LAS PALMAS, MOCARI, SIETE DE MAYO Y EL PORTAL..APOYO GLOBAL A TRAVES DEL DEPARTAMENTO</t>
  </si>
  <si>
    <t>QUEBRADAS GUARUMAL, EL LIMON EL HIGUERON, SANTA ANA, LA UNION, APOYO GLOBAL A TRAVES DEL DEPARTAMENTO</t>
  </si>
  <si>
    <t>SIPI</t>
  </si>
  <si>
    <t>SISMO DEMAGNITUD 4.3 SUPERFICIAL. VIVENDAS AGRIETADAS POR VERIFICAR.</t>
  </si>
  <si>
    <t>LIBANO</t>
  </si>
  <si>
    <t>BARRIO MATA DE GUADUA. REPORTE DEL CREPAD.</t>
  </si>
  <si>
    <t>SAN JOSE DEL PALMAR</t>
  </si>
  <si>
    <t>CORREGIMIENTO SURAMITA.</t>
  </si>
  <si>
    <t>MAR DELEVA</t>
  </si>
  <si>
    <t>REPORTE DE MINPROTECCION SOCIAL, CREPAD Y DEFENSA CIVIL.</t>
  </si>
  <si>
    <t>BARRIO COMPARTIR. REPORTE DEL CREPAD.</t>
  </si>
  <si>
    <t>REPORTE DEL CLOPAD.</t>
  </si>
  <si>
    <t>COPACABANA</t>
  </si>
  <si>
    <t>FABRICA DE CURTIEMBRES</t>
  </si>
  <si>
    <t>REPELON</t>
  </si>
  <si>
    <t>CORREGIMIENTO PUEBLO NUEVO, ARBOLEDA Y SANDANIEL Y BOLIVIA REPORTE DEL CREPAD.</t>
  </si>
  <si>
    <t>COLON</t>
  </si>
  <si>
    <t>PUERTO BOYACA</t>
  </si>
  <si>
    <t>BARRIOS CALLE 20 Y VILLA DEL RIO</t>
  </si>
  <si>
    <t>SOGAMOSO</t>
  </si>
  <si>
    <t>BARRIO JAZMIN</t>
  </si>
  <si>
    <t>CRECIENTE RIO PASTO. REPORTE DE CRUZ ROJA.</t>
  </si>
  <si>
    <t>GRANADA</t>
  </si>
  <si>
    <t>MAJAGUAL</t>
  </si>
  <si>
    <t>LLORO</t>
  </si>
  <si>
    <t>BARRIO CALAPOTE</t>
  </si>
  <si>
    <t>BARRIO EL RECUERDO</t>
  </si>
  <si>
    <t>CRECIENTE SUBITA RIO LA PLATA. REPORTE DE CRUZ ROJA.</t>
  </si>
  <si>
    <t>CHIGORODO</t>
  </si>
  <si>
    <t>REPORTE DE LA DEFENSA CIVIL Y CRUZ ROJA</t>
  </si>
  <si>
    <t>VIA LA UNION - TAMINANGO, PUENTE EL BRINCO DESTRUIDO, EL EMPATE - LA UNION. AFECTADO CENTRO EDUCATIVO LA PRADERA. APOYO GLOBAL AL DEPARTAMENTO.</t>
  </si>
  <si>
    <t>BARRIOSBUCARAMANGA, CAMILO, CRUZ DE MAYO, CRIST VIENE, ALTOS DEL ROSARIO, 28 DE MAYO CALLE Y EL CAMPO.</t>
  </si>
  <si>
    <t>VEREDA CAMPO ALEGRE. BARRIO 20 DE JULIO SECTOR COVIVA. QUEBRADA LA COLORADA Y RIO MAGDALENA. AFECTADO EL ACUEDUCTO QUE SIRVE EL 35% DE LA POBLACION</t>
  </si>
  <si>
    <t>DIBULLA</t>
  </si>
  <si>
    <t>DESBORDAMIENTO RIO JEREZ. PENDIENTE AFECTACION. REPORTE PRELIMINAR DE LA DEFENSA CIVIL.</t>
  </si>
  <si>
    <t>REPORTE DE CRUZ ROJA</t>
  </si>
  <si>
    <t>SANTA ROSA DE CABAL</t>
  </si>
  <si>
    <t>FLORIDA</t>
  </si>
  <si>
    <t>FILANDIA</t>
  </si>
  <si>
    <t>QUIMBAYA</t>
  </si>
  <si>
    <t>MONTENEGRO</t>
  </si>
  <si>
    <t>CANDELARIA</t>
  </si>
  <si>
    <t>TULUA</t>
  </si>
  <si>
    <t>PERDIDAS AGROPECUARIAS</t>
  </si>
  <si>
    <t>AFECTADOS CULTIVOS DE FRIJOL, TABACO, MAIZ, YUCA.</t>
  </si>
  <si>
    <t>REPORTE PRELIMINAR DEL CREPAD. PENDIENTE AFECTACION. AFECTADA CARCEL MUNICIPAL.</t>
  </si>
  <si>
    <t>EL CREPAD INFORMO SOBRE PERDIDAS AGROPECUARIAS EN 38 MUNICIPIOS: ALBAN, ANCUYA, ARBOLEDA, BARBACOAS, BELEN, BUESACO, COLON, CONSACA, COPRDOBA, CUMBAL CUMBITARA, EL PENOL, EL ROSARIO, EL TABLON DE GOMEZ, EL TAMBO, FUNES IMUES, ILES, LA CRUZ, LA FLORIDA, LA UNION, LEIVA, LINARES, LOS ANGELES, MAGUI PAYAN, MALLAMA, NARIÑO, PROVIDENCIA, RICARTE, ROBERTO PAYAN, SAN BERNARDO, SAN PABLO, SAN PEDRO, SANDONA, TAMINANGO, TANGUA, TUMACO Y TUQUERRES.</t>
  </si>
  <si>
    <t>VIA PASTO GENOY KM 4. DESLIZAMIENTO SOBRE MOTOCICLISTAS. REPORTE DE CRUZ ROJA.</t>
  </si>
  <si>
    <t>TERUEL</t>
  </si>
  <si>
    <t>CORREGIMIENTO JURUBVIRA, SECTOR BOXCAS DE CUEVITAS.</t>
  </si>
  <si>
    <t>APOYO DEL FNC MEDIANTE GIRO DIRECTO AL CLOPAD PARA APOYAR LA COMPRA DE MATERIALES PARA INTERVENIR LAS PRIMERAS VIVIENDASDE LAS VEREDAS SANTA ANA Y LAS LAJAS AFECTADAS POR LOS ENJAMBRES O SISMOS ORIGINADOS POR EL VOLCAN CERRO MACHIN.</t>
  </si>
  <si>
    <t>FOSCA</t>
  </si>
  <si>
    <t>REPORTYE DE BOMBREROS CUCUTA Y CREPAD.</t>
  </si>
  <si>
    <t>BARRIOS LA MARIA, LOS NARANJOS, SECTOR LAGOS, LA CAPITANIA. LOMAS DE COMFACAUCA, 5 DE ABRIL, CHAMA, REPORTE PRELIMINAR.</t>
  </si>
  <si>
    <t>EL GUAMO</t>
  </si>
  <si>
    <t>MARSELLA</t>
  </si>
  <si>
    <t>DESBORDAMIENTO RIO GUAGUAQUI. PENDIENTE INFORMACION</t>
  </si>
  <si>
    <t>DON MATIAS</t>
  </si>
  <si>
    <t>MACEO</t>
  </si>
  <si>
    <t>AFECTADA UNA FABRICA</t>
  </si>
  <si>
    <t>CORREGIMIENTO EL CANSANCIO</t>
  </si>
  <si>
    <t>SECTOR EMPUJE, MANZANILLO, CORREGIMIENTO JARILLONES</t>
  </si>
  <si>
    <t>BARRIOS LA VEGA Y CLAVELLINA</t>
  </si>
  <si>
    <t>SECTOR SAN JOSE DEL ÑUZ. DESBORDAMIENTO QUEBRADA ALTO Y DOLORES</t>
  </si>
  <si>
    <t>AFECTADOS LOCALES COMERCIALES</t>
  </si>
  <si>
    <t>EL PLAYON</t>
  </si>
  <si>
    <t>ALTAMIRA</t>
  </si>
  <si>
    <t>PERDIDA DE CULTIVOS  DE PLATANO, CEBOLLA Y ARBOLES FRUTALES.</t>
  </si>
  <si>
    <t>VEREDAS SANDEROS, CORINTO, BARRIOS VILLA MARIA Y LAS BRISAS</t>
  </si>
  <si>
    <t>APOYARON BOMBEROS DE CUCUTA Y VENEZUELA. REPORTE DEL CREPAD.</t>
  </si>
  <si>
    <t>ARGELIA</t>
  </si>
  <si>
    <t>BARRIO GAITAN BAJO. REPORTE DEL CLOPAD.</t>
  </si>
  <si>
    <t>DESBORDAMIENTO QUEBRADA GRANDE. REPORTE PRELIMINAR DEL CREPAD.. APOYO GLOBAL DADO AL DEPARTAMENTO</t>
  </si>
  <si>
    <t>ZAPATOCA</t>
  </si>
  <si>
    <t>SE REMITE AL CREPAD PARA APOYO.</t>
  </si>
  <si>
    <t>REPORTE DEL CREPAD NORTE DE SANTANDER, AFECTACION POR DESBORDAMIENTO DEL RIO SAN MIGUEL Y QUEBRADA LOS NOVILLOS, EN LA VEREDA LA ANGELITA Y SAN MIGUEL.</t>
  </si>
  <si>
    <t>SUCRE</t>
  </si>
  <si>
    <t>DEPARTAMENTO</t>
  </si>
  <si>
    <t>AFECTADA VIA PASTO BUESACOSECTOR PAJAGOY APOYO GLOBAL AL DEPARTAMENTO</t>
  </si>
  <si>
    <t>AFECTADA VIA LA UNION TAMINANGO.. APOYO GLOBAL AL DEPARTAMENTO</t>
  </si>
  <si>
    <t>VEREDA CAMPO BELLO</t>
  </si>
  <si>
    <t>LA MESA</t>
  </si>
  <si>
    <t>DESBORDAMIENTO RIO AMAZONA</t>
  </si>
  <si>
    <t>BECERRIL</t>
  </si>
  <si>
    <t>NAUFRAGIO</t>
  </si>
  <si>
    <t>SECTOR AGUA CLARA.</t>
  </si>
  <si>
    <t>INFORME DEL SOCORRO NACIONAL</t>
  </si>
  <si>
    <t>REPORTE DE SOCORRO NACIONAL.</t>
  </si>
  <si>
    <t>PUERTO TEJADA</t>
  </si>
  <si>
    <t>REPORTE DEL CLOPAD Y CREPAD.</t>
  </si>
  <si>
    <t>BARBOSA</t>
  </si>
  <si>
    <t>CEPITA</t>
  </si>
  <si>
    <t>CIMITARRA</t>
  </si>
  <si>
    <t>CONCEPCION</t>
  </si>
  <si>
    <t>COROMORO</t>
  </si>
  <si>
    <t>CHARTA</t>
  </si>
  <si>
    <t>REPORTE DE LA C.R.C A RAÌZ DE FUERTES LLUVIAS EN EL MUNICIPIO DE IBAGUE.</t>
  </si>
  <si>
    <t>SUSA</t>
  </si>
  <si>
    <t xml:space="preserve">REPORTE DE LA D.C.C. </t>
  </si>
  <si>
    <t>OVEJAS</t>
  </si>
  <si>
    <t>CIENAGA DE ORO</t>
  </si>
  <si>
    <t>BARRIOS LA TIERRITA, LA MARIA, LA PAZ, AVENIDA ZAMORA, SAN JOSE, EL PASO, SANTA RITA, LA TRANVIA, REPORTE DE DEFENSA CIVIL</t>
  </si>
  <si>
    <t>REPORTE DEL CREPAD VEREDA EL FALSO.</t>
  </si>
  <si>
    <t>VEREDA SOCORRO Y LA PALMAS REPORTE DEL SOCORRO NACIONAL</t>
  </si>
  <si>
    <t>RESULTO DESTRUIDA LA CATEDRAL DEL PARQUE PRINCIPAL. REPORTE DE BOMBEROS. EL CREPAD ENVIA ACTA PERO NO HAY SOLICITUD CONCRETA DE APOYO.</t>
  </si>
  <si>
    <t>CORREGIMIENTO SAN ANTONIO</t>
  </si>
  <si>
    <t>280 LAMINAS DE ZINC Y 400 TEJAS DE AC NO. 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</si>
</sst>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2" formatCode="dd\-mmm\-\y\y"/>
    <numFmt numFmtId="183" formatCode="&quot;$&quot;#,##0.00"/>
    <numFmt numFmtId="184" formatCode="&quot;$&quot;#,##0.0"/>
    <numFmt numFmtId="185" formatCode="#,##0.0"/>
    <numFmt numFmtId="188" formatCode="&quot;$&quot;\ #,##0"/>
    <numFmt numFmtId="191" formatCode="d\-mmm\-yy"/>
  </numFmts>
  <fonts count="6" x14ac:knownFonts="1">
    <font>
      <sz val="10"/>
      <name val="Arial"/>
    </font>
    <font>
      <b/>
      <sz val="10"/>
      <name val="Arial"/>
      <family val="2"/>
    </font>
    <font>
      <sz val="10"/>
      <name val="Arial"/>
      <family val="2"/>
    </font>
    <font>
      <sz val="10"/>
      <name val="Arial"/>
      <family val="2"/>
    </font>
    <font>
      <b/>
      <i/>
      <sz val="10"/>
      <name val="Arial"/>
      <family val="2"/>
    </font>
    <font>
      <i/>
      <sz val="10"/>
      <name val="Arial"/>
      <family val="2"/>
    </font>
  </fonts>
  <fills count="10">
    <fill>
      <patternFill patternType="none"/>
    </fill>
    <fill>
      <patternFill patternType="gray125"/>
    </fill>
    <fill>
      <patternFill patternType="solid">
        <fgColor indexed="46"/>
        <bgColor indexed="64"/>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s>
  <borders count="38">
    <border>
      <left/>
      <right/>
      <top/>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12">
    <xf numFmtId="0" fontId="0" fillId="0" borderId="0" xfId="0"/>
    <xf numFmtId="3" fontId="1" fillId="0" borderId="1" xfId="0" applyNumberFormat="1" applyFont="1" applyBorder="1" applyAlignment="1">
      <alignment horizontal="justify" vertical="justify"/>
    </xf>
    <xf numFmtId="3" fontId="1" fillId="0" borderId="2" xfId="0" applyNumberFormat="1" applyFont="1" applyBorder="1" applyAlignment="1">
      <alignment horizontal="justify" vertical="justify"/>
    </xf>
    <xf numFmtId="3" fontId="1" fillId="0" borderId="3" xfId="0" applyNumberFormat="1" applyFont="1" applyBorder="1" applyAlignment="1">
      <alignment horizontal="justify" vertical="justify"/>
    </xf>
    <xf numFmtId="0" fontId="1" fillId="0" borderId="0" xfId="0" applyFont="1" applyAlignment="1">
      <alignment horizontal="justify" vertical="justify"/>
    </xf>
    <xf numFmtId="0" fontId="1" fillId="2" borderId="4" xfId="0" applyFont="1" applyFill="1" applyBorder="1" applyAlignment="1">
      <alignment horizontal="center" vertical="justify"/>
    </xf>
    <xf numFmtId="3" fontId="1" fillId="0" borderId="5" xfId="0" applyNumberFormat="1" applyFont="1" applyBorder="1" applyAlignment="1">
      <alignment horizontal="justify" vertical="justify"/>
    </xf>
    <xf numFmtId="3" fontId="1" fillId="0" borderId="0" xfId="0" applyNumberFormat="1" applyFont="1" applyBorder="1" applyAlignment="1">
      <alignment horizontal="justify" vertical="justify"/>
    </xf>
    <xf numFmtId="4" fontId="1" fillId="0" borderId="0" xfId="0" applyNumberFormat="1" applyFont="1" applyAlignment="1">
      <alignment horizontal="justify" vertical="justify"/>
    </xf>
    <xf numFmtId="3" fontId="3" fillId="0" borderId="0" xfId="0" applyNumberFormat="1" applyFont="1" applyAlignment="1">
      <alignment horizontal="justify" vertical="justify"/>
    </xf>
    <xf numFmtId="0" fontId="3" fillId="0" borderId="0" xfId="0" applyFont="1" applyAlignment="1">
      <alignment horizontal="justify" vertical="justify"/>
    </xf>
    <xf numFmtId="3" fontId="3" fillId="0" borderId="8" xfId="0" applyNumberFormat="1" applyFont="1" applyBorder="1" applyAlignment="1">
      <alignment horizontal="right" wrapText="1"/>
    </xf>
    <xf numFmtId="3" fontId="3" fillId="0" borderId="7" xfId="0" applyNumberFormat="1" applyFont="1" applyBorder="1" applyAlignment="1">
      <alignment horizontal="right" wrapText="1"/>
    </xf>
    <xf numFmtId="3" fontId="3" fillId="0" borderId="9" xfId="0" applyNumberFormat="1" applyFont="1" applyBorder="1" applyAlignment="1">
      <alignment horizontal="right" wrapText="1"/>
    </xf>
    <xf numFmtId="3" fontId="3" fillId="0" borderId="0" xfId="0" applyNumberFormat="1" applyFont="1" applyAlignment="1">
      <alignment horizontal="center" vertical="justify"/>
    </xf>
    <xf numFmtId="0" fontId="3" fillId="0" borderId="0" xfId="0" applyFont="1" applyAlignment="1">
      <alignment horizontal="center" vertical="justify"/>
    </xf>
    <xf numFmtId="0" fontId="3" fillId="0" borderId="0" xfId="0" applyFont="1" applyBorder="1"/>
    <xf numFmtId="182" fontId="3" fillId="0" borderId="0" xfId="0" applyNumberFormat="1" applyFont="1" applyAlignment="1">
      <alignment horizontal="justify" vertical="justify"/>
    </xf>
    <xf numFmtId="183" fontId="3" fillId="0" borderId="0" xfId="0" applyNumberFormat="1" applyFont="1" applyAlignment="1">
      <alignment horizontal="justify" vertical="justify"/>
    </xf>
    <xf numFmtId="0" fontId="3" fillId="0" borderId="0" xfId="0" applyFont="1" applyAlignment="1">
      <alignment horizontal="justify" vertical="justify" wrapText="1"/>
    </xf>
    <xf numFmtId="182" fontId="1" fillId="3" borderId="10" xfId="0" applyNumberFormat="1" applyFont="1" applyFill="1" applyBorder="1" applyAlignment="1">
      <alignment horizontal="center" vertical="justify"/>
    </xf>
    <xf numFmtId="0" fontId="1" fillId="3" borderId="11" xfId="0" applyFont="1" applyFill="1" applyBorder="1" applyAlignment="1">
      <alignment horizontal="center" vertical="justify"/>
    </xf>
    <xf numFmtId="0" fontId="1" fillId="3" borderId="12" xfId="0" applyFont="1" applyFill="1" applyBorder="1" applyAlignment="1">
      <alignment horizontal="center" vertical="justify"/>
    </xf>
    <xf numFmtId="0" fontId="1" fillId="4" borderId="10" xfId="0" applyFont="1" applyFill="1" applyBorder="1" applyAlignment="1">
      <alignment horizontal="center" vertical="justify"/>
    </xf>
    <xf numFmtId="0" fontId="1" fillId="4" borderId="11" xfId="0" applyFont="1" applyFill="1" applyBorder="1" applyAlignment="1">
      <alignment horizontal="center" vertical="justify"/>
    </xf>
    <xf numFmtId="183" fontId="1" fillId="4" borderId="11" xfId="0" applyNumberFormat="1" applyFont="1" applyFill="1" applyBorder="1" applyAlignment="1">
      <alignment horizontal="center" vertical="justify"/>
    </xf>
    <xf numFmtId="183" fontId="1" fillId="4" borderId="12" xfId="0" applyNumberFormat="1" applyFont="1" applyFill="1" applyBorder="1" applyAlignment="1">
      <alignment horizontal="center" vertical="justify"/>
    </xf>
    <xf numFmtId="183" fontId="1" fillId="4" borderId="13" xfId="0" applyNumberFormat="1" applyFont="1" applyFill="1" applyBorder="1" applyAlignment="1">
      <alignment horizontal="center" vertical="justify"/>
    </xf>
    <xf numFmtId="0" fontId="1" fillId="5" borderId="10" xfId="0" applyFont="1" applyFill="1" applyBorder="1" applyAlignment="1">
      <alignment horizontal="center" vertical="justify"/>
    </xf>
    <xf numFmtId="0" fontId="1" fillId="5" borderId="11" xfId="0" applyFont="1" applyFill="1" applyBorder="1" applyAlignment="1">
      <alignment horizontal="center" vertical="justify"/>
    </xf>
    <xf numFmtId="0" fontId="1" fillId="5" borderId="12" xfId="0" applyFont="1" applyFill="1" applyBorder="1" applyAlignment="1">
      <alignment horizontal="center" vertical="justify"/>
    </xf>
    <xf numFmtId="0" fontId="1" fillId="5" borderId="13" xfId="0" applyFont="1" applyFill="1" applyBorder="1" applyAlignment="1">
      <alignment horizontal="center" vertical="justify"/>
    </xf>
    <xf numFmtId="188" fontId="4" fillId="5" borderId="14" xfId="0" applyNumberFormat="1" applyFont="1" applyFill="1" applyBorder="1" applyAlignment="1">
      <alignment horizontal="center" vertical="justify"/>
    </xf>
    <xf numFmtId="0" fontId="1" fillId="6" borderId="10" xfId="0" applyFont="1" applyFill="1" applyBorder="1" applyAlignment="1">
      <alignment horizontal="center" vertical="justify"/>
    </xf>
    <xf numFmtId="0" fontId="1" fillId="6" borderId="14" xfId="0" applyFont="1" applyFill="1" applyBorder="1" applyAlignment="1">
      <alignment horizontal="center" vertical="justify"/>
    </xf>
    <xf numFmtId="0" fontId="1" fillId="6" borderId="15" xfId="0" applyFont="1" applyFill="1" applyBorder="1" applyAlignment="1">
      <alignment horizontal="center" vertical="justify"/>
    </xf>
    <xf numFmtId="0" fontId="1" fillId="6" borderId="13" xfId="0" applyFont="1" applyFill="1" applyBorder="1" applyAlignment="1">
      <alignment horizontal="center" vertical="justify"/>
    </xf>
    <xf numFmtId="0" fontId="1" fillId="2" borderId="16" xfId="0" applyFont="1" applyFill="1" applyBorder="1" applyAlignment="1">
      <alignment horizontal="center" vertical="justify"/>
    </xf>
    <xf numFmtId="0" fontId="1" fillId="2" borderId="16" xfId="0" applyFont="1" applyFill="1" applyBorder="1" applyAlignment="1">
      <alignment horizontal="center" vertical="justify" wrapText="1"/>
    </xf>
    <xf numFmtId="0" fontId="1" fillId="2" borderId="17" xfId="0" applyFont="1" applyFill="1" applyBorder="1" applyAlignment="1">
      <alignment horizontal="center" vertical="justify" wrapText="1"/>
    </xf>
    <xf numFmtId="0" fontId="1" fillId="2" borderId="18" xfId="0" applyFont="1" applyFill="1" applyBorder="1" applyAlignment="1">
      <alignment horizontal="center" vertical="justify" wrapText="1"/>
    </xf>
    <xf numFmtId="0" fontId="1" fillId="2" borderId="19" xfId="0" applyFont="1" applyFill="1" applyBorder="1" applyAlignment="1">
      <alignment horizontal="center" vertical="justify" wrapText="1"/>
    </xf>
    <xf numFmtId="0" fontId="1" fillId="2" borderId="20" xfId="0" applyFont="1" applyFill="1" applyBorder="1" applyAlignment="1">
      <alignment horizontal="center" vertical="justify" wrapText="1"/>
    </xf>
    <xf numFmtId="191" fontId="3" fillId="0" borderId="8" xfId="0" applyNumberFormat="1" applyFont="1" applyBorder="1" applyAlignment="1">
      <alignment horizontal="justify" vertical="top"/>
    </xf>
    <xf numFmtId="0" fontId="3" fillId="0" borderId="7" xfId="0" applyFont="1" applyBorder="1" applyAlignment="1">
      <alignment vertical="top" wrapText="1"/>
    </xf>
    <xf numFmtId="0" fontId="3" fillId="0" borderId="9" xfId="0" applyFont="1" applyBorder="1" applyAlignment="1">
      <alignment vertical="top" wrapText="1"/>
    </xf>
    <xf numFmtId="3" fontId="3" fillId="0" borderId="21" xfId="0" applyNumberFormat="1" applyFont="1" applyBorder="1" applyAlignment="1">
      <alignment horizontal="justify" vertical="top"/>
    </xf>
    <xf numFmtId="15" fontId="3" fillId="0" borderId="8" xfId="0" applyNumberFormat="1" applyFont="1" applyBorder="1" applyAlignment="1">
      <alignment horizontal="justify" vertical="top"/>
    </xf>
    <xf numFmtId="184" fontId="3" fillId="0" borderId="7" xfId="0" applyNumberFormat="1" applyFont="1" applyBorder="1" applyAlignment="1">
      <alignment horizontal="right" wrapText="1"/>
    </xf>
    <xf numFmtId="184" fontId="3" fillId="0" borderId="22" xfId="0" applyNumberFormat="1" applyFont="1" applyBorder="1" applyAlignment="1">
      <alignment horizontal="right" wrapText="1"/>
    </xf>
    <xf numFmtId="184" fontId="5" fillId="0" borderId="23" xfId="0" applyNumberFormat="1" applyFont="1" applyBorder="1" applyAlignment="1">
      <alignment horizontal="right" wrapText="1"/>
    </xf>
    <xf numFmtId="15" fontId="3" fillId="0" borderId="23" xfId="0" applyNumberFormat="1" applyFont="1" applyBorder="1" applyAlignment="1">
      <alignment horizontal="justify" vertical="top"/>
    </xf>
    <xf numFmtId="15" fontId="3" fillId="0" borderId="9" xfId="0" applyNumberFormat="1" applyFont="1" applyBorder="1" applyAlignment="1">
      <alignment horizontal="center" vertical="top"/>
    </xf>
    <xf numFmtId="0" fontId="3" fillId="0" borderId="21" xfId="0" applyFont="1" applyBorder="1" applyAlignment="1">
      <alignment horizontal="justify" vertical="top"/>
    </xf>
    <xf numFmtId="0" fontId="1" fillId="0" borderId="21" xfId="0" applyFont="1" applyBorder="1" applyAlignment="1">
      <alignment horizontal="justify" vertical="top"/>
    </xf>
    <xf numFmtId="0" fontId="3" fillId="0" borderId="22" xfId="0" applyFont="1" applyBorder="1" applyAlignment="1">
      <alignment horizontal="justify" vertical="top"/>
    </xf>
    <xf numFmtId="0" fontId="1" fillId="0" borderId="7" xfId="0" applyFont="1" applyBorder="1" applyAlignment="1">
      <alignment horizontal="justify" vertical="top"/>
    </xf>
    <xf numFmtId="14" fontId="3" fillId="0" borderId="7" xfId="0" applyNumberFormat="1" applyFont="1" applyBorder="1" applyAlignment="1">
      <alignment vertical="top" wrapText="1"/>
    </xf>
    <xf numFmtId="0" fontId="3" fillId="0" borderId="21" xfId="0" applyFont="1" applyFill="1" applyBorder="1" applyAlignment="1">
      <alignment horizontal="justify" vertical="top" wrapText="1"/>
    </xf>
    <xf numFmtId="0" fontId="1" fillId="0" borderId="21" xfId="0" applyFont="1" applyBorder="1" applyAlignment="1">
      <alignment horizontal="justify"/>
    </xf>
    <xf numFmtId="191" fontId="3" fillId="0" borderId="24" xfId="0" applyNumberFormat="1" applyFont="1" applyFill="1" applyBorder="1" applyAlignment="1">
      <alignment horizontal="justify" vertical="top" wrapText="1"/>
    </xf>
    <xf numFmtId="0" fontId="3" fillId="0" borderId="7" xfId="0" applyFont="1" applyFill="1" applyBorder="1" applyAlignment="1">
      <alignment vertical="top" wrapText="1"/>
    </xf>
    <xf numFmtId="0" fontId="3" fillId="0" borderId="9" xfId="0" applyFont="1" applyFill="1" applyBorder="1" applyAlignment="1">
      <alignment vertical="top" wrapText="1"/>
    </xf>
    <xf numFmtId="191" fontId="3" fillId="0" borderId="8" xfId="0" applyNumberFormat="1" applyFont="1" applyFill="1" applyBorder="1" applyAlignment="1">
      <alignment horizontal="justify" vertical="top"/>
    </xf>
    <xf numFmtId="0" fontId="3" fillId="0" borderId="6" xfId="0" applyFont="1" applyBorder="1" applyAlignment="1">
      <alignment vertical="top" wrapText="1"/>
    </xf>
    <xf numFmtId="191" fontId="3" fillId="0" borderId="8" xfId="0" applyNumberFormat="1" applyFont="1" applyFill="1" applyBorder="1" applyAlignment="1">
      <alignment horizontal="center" vertical="top"/>
    </xf>
    <xf numFmtId="191" fontId="3" fillId="0" borderId="6" xfId="0" applyNumberFormat="1" applyFont="1" applyBorder="1" applyAlignment="1">
      <alignment horizontal="justify" vertical="top"/>
    </xf>
    <xf numFmtId="0" fontId="3" fillId="0" borderId="7" xfId="0" applyFont="1" applyBorder="1" applyAlignment="1">
      <alignment horizontal="justify" vertical="top"/>
    </xf>
    <xf numFmtId="0" fontId="3" fillId="0" borderId="9" xfId="0" applyFont="1" applyBorder="1" applyAlignment="1">
      <alignment horizontal="justify" vertical="top"/>
    </xf>
    <xf numFmtId="3" fontId="3" fillId="0" borderId="2" xfId="0" applyNumberFormat="1" applyFont="1" applyBorder="1" applyAlignment="1">
      <alignment horizontal="right" wrapText="1"/>
    </xf>
    <xf numFmtId="3" fontId="3" fillId="0" borderId="25" xfId="0" applyNumberFormat="1" applyFont="1" applyBorder="1" applyAlignment="1">
      <alignment horizontal="right" wrapText="1"/>
    </xf>
    <xf numFmtId="3" fontId="3" fillId="0" borderId="3" xfId="0" applyNumberFormat="1" applyFont="1" applyBorder="1" applyAlignment="1">
      <alignment horizontal="right" wrapText="1"/>
    </xf>
    <xf numFmtId="3" fontId="1" fillId="0" borderId="26" xfId="0" applyNumberFormat="1" applyFont="1" applyBorder="1" applyAlignment="1">
      <alignment horizontal="center" vertical="justify"/>
    </xf>
    <xf numFmtId="0" fontId="3" fillId="0" borderId="3" xfId="0" applyFont="1" applyBorder="1" applyAlignment="1">
      <alignment horizontal="justify" vertical="justify"/>
    </xf>
    <xf numFmtId="182" fontId="1" fillId="0" borderId="0" xfId="0" applyNumberFormat="1" applyFont="1" applyBorder="1" applyAlignment="1">
      <alignment horizontal="justify" vertical="justify"/>
    </xf>
    <xf numFmtId="3" fontId="1" fillId="0" borderId="0" xfId="0" applyNumberFormat="1" applyFont="1" applyBorder="1" applyAlignment="1">
      <alignment horizontal="center" vertical="justify"/>
    </xf>
    <xf numFmtId="0" fontId="3" fillId="0" borderId="0" xfId="0" applyFont="1" applyBorder="1" applyAlignment="1">
      <alignment horizontal="justify" vertical="justify"/>
    </xf>
    <xf numFmtId="4" fontId="1" fillId="0" borderId="0" xfId="0" applyNumberFormat="1" applyFont="1" applyBorder="1" applyAlignment="1">
      <alignment horizontal="justify" vertical="justify"/>
    </xf>
    <xf numFmtId="188" fontId="4" fillId="0" borderId="0" xfId="0" applyNumberFormat="1" applyFont="1" applyAlignment="1">
      <alignment horizontal="justify" vertical="justify"/>
    </xf>
    <xf numFmtId="3" fontId="3" fillId="0" borderId="27" xfId="0" applyNumberFormat="1" applyFont="1" applyBorder="1" applyAlignment="1">
      <alignment horizontal="right" wrapText="1"/>
    </xf>
    <xf numFmtId="3" fontId="3" fillId="0" borderId="28"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7" xfId="0" applyFont="1" applyBorder="1" applyAlignment="1">
      <alignment horizontal="right" wrapText="1"/>
    </xf>
    <xf numFmtId="185" fontId="3" fillId="0" borderId="29" xfId="0" applyNumberFormat="1" applyFont="1" applyBorder="1" applyAlignment="1">
      <alignment horizontal="right" wrapText="1"/>
    </xf>
    <xf numFmtId="0" fontId="3" fillId="0" borderId="24" xfId="0" applyFont="1" applyBorder="1" applyAlignment="1">
      <alignment horizontal="right" wrapText="1"/>
    </xf>
    <xf numFmtId="0" fontId="3" fillId="0" borderId="8" xfId="0" applyFont="1" applyBorder="1" applyAlignment="1">
      <alignment horizontal="right" wrapText="1"/>
    </xf>
    <xf numFmtId="3" fontId="3" fillId="0" borderId="21" xfId="0" applyNumberFormat="1" applyFont="1" applyBorder="1" applyAlignment="1">
      <alignment horizontal="right" wrapText="1"/>
    </xf>
    <xf numFmtId="3" fontId="3" fillId="0" borderId="30" xfId="0" applyNumberFormat="1" applyFont="1" applyBorder="1" applyAlignment="1">
      <alignment horizontal="right" wrapText="1"/>
    </xf>
    <xf numFmtId="3" fontId="3" fillId="0" borderId="31" xfId="0" applyNumberFormat="1" applyFont="1" applyBorder="1" applyAlignment="1">
      <alignment horizontal="right" wrapText="1"/>
    </xf>
    <xf numFmtId="3" fontId="3" fillId="0" borderId="1" xfId="0" applyNumberFormat="1" applyFont="1" applyBorder="1" applyAlignment="1">
      <alignment horizontal="right" wrapText="1"/>
    </xf>
    <xf numFmtId="3" fontId="3" fillId="0" borderId="5" xfId="0" applyNumberFormat="1" applyFont="1" applyBorder="1" applyAlignment="1">
      <alignment horizontal="right" wrapText="1"/>
    </xf>
    <xf numFmtId="0" fontId="2" fillId="0" borderId="9" xfId="0" applyFont="1" applyBorder="1" applyAlignment="1">
      <alignment vertical="top" wrapText="1"/>
    </xf>
    <xf numFmtId="0" fontId="1" fillId="2" borderId="32" xfId="0" applyFont="1" applyFill="1" applyBorder="1" applyAlignment="1">
      <alignment horizontal="center" vertical="justify"/>
    </xf>
    <xf numFmtId="0" fontId="1" fillId="2" borderId="34" xfId="0" applyFont="1" applyFill="1" applyBorder="1" applyAlignment="1">
      <alignment horizontal="center" vertical="justify"/>
    </xf>
    <xf numFmtId="0" fontId="3" fillId="0" borderId="34" xfId="0" applyFont="1" applyBorder="1" applyAlignment="1">
      <alignment horizontal="center"/>
    </xf>
    <xf numFmtId="0" fontId="1" fillId="2" borderId="33" xfId="0" applyFont="1" applyFill="1" applyBorder="1" applyAlignment="1">
      <alignment horizontal="center" vertical="justify"/>
    </xf>
    <xf numFmtId="0" fontId="3" fillId="2" borderId="34" xfId="0" applyFont="1" applyFill="1" applyBorder="1" applyAlignment="1">
      <alignment horizontal="center"/>
    </xf>
    <xf numFmtId="0" fontId="1" fillId="2" borderId="36" xfId="0" applyFont="1" applyFill="1" applyBorder="1" applyAlignment="1">
      <alignment horizontal="center" vertical="justify"/>
    </xf>
    <xf numFmtId="0" fontId="1" fillId="2" borderId="37" xfId="0" applyFont="1" applyFill="1" applyBorder="1" applyAlignment="1">
      <alignment horizontal="center" vertical="justify"/>
    </xf>
    <xf numFmtId="182" fontId="1" fillId="0" borderId="0" xfId="0" applyNumberFormat="1" applyFont="1" applyBorder="1" applyAlignment="1">
      <alignment horizontal="left" vertical="justify"/>
    </xf>
    <xf numFmtId="0" fontId="1" fillId="6" borderId="32" xfId="0" applyFont="1" applyFill="1" applyBorder="1" applyAlignment="1">
      <alignment horizontal="center" vertical="justify"/>
    </xf>
    <xf numFmtId="0" fontId="1" fillId="6" borderId="33" xfId="0" applyFont="1" applyFill="1" applyBorder="1" applyAlignment="1">
      <alignment horizontal="center" vertical="justify"/>
    </xf>
    <xf numFmtId="0" fontId="1" fillId="0" borderId="34" xfId="0" applyFont="1" applyBorder="1" applyAlignment="1">
      <alignment horizontal="center"/>
    </xf>
    <xf numFmtId="182" fontId="1" fillId="0" borderId="31" xfId="0" applyNumberFormat="1" applyFont="1" applyBorder="1" applyAlignment="1">
      <alignment horizontal="justify" vertical="justify"/>
    </xf>
    <xf numFmtId="0" fontId="3" fillId="0" borderId="1" xfId="0" applyFont="1" applyBorder="1"/>
    <xf numFmtId="0" fontId="3" fillId="0" borderId="35" xfId="0" applyFont="1" applyBorder="1"/>
    <xf numFmtId="0" fontId="1" fillId="7" borderId="32" xfId="0" applyFont="1" applyFill="1" applyBorder="1" applyAlignment="1">
      <alignment horizontal="center" vertical="justify"/>
    </xf>
    <xf numFmtId="0" fontId="3" fillId="0" borderId="33" xfId="0" applyFont="1" applyBorder="1" applyAlignment="1">
      <alignment horizontal="center"/>
    </xf>
    <xf numFmtId="0" fontId="1" fillId="8" borderId="32" xfId="0" applyFont="1" applyFill="1" applyBorder="1" applyAlignment="1">
      <alignment horizontal="center" vertical="justify"/>
    </xf>
    <xf numFmtId="183" fontId="1" fillId="9" borderId="32" xfId="0" applyNumberFormat="1" applyFont="1" applyFill="1" applyBorder="1" applyAlignment="1">
      <alignment horizontal="center" vertical="justify"/>
    </xf>
    <xf numFmtId="183" fontId="1" fillId="9" borderId="33" xfId="0" applyNumberFormat="1" applyFont="1" applyFill="1" applyBorder="1" applyAlignment="1">
      <alignment horizontal="center" vertical="justify"/>
    </xf>
    <xf numFmtId="188" fontId="4" fillId="9" borderId="34" xfId="0" applyNumberFormat="1" applyFont="1" applyFill="1" applyBorder="1" applyAlignment="1">
      <alignment horizontal="center" vertical="justify"/>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8335"/>
  <sheetViews>
    <sheetView tabSelected="1" zoomScaleNormal="120" zoomScaleSheetLayoutView="100" workbookViewId="0">
      <pane xSplit="4" ySplit="2" topLeftCell="E64" activePane="bottomRight" state="frozen"/>
      <selection pane="topRight" activeCell="E1" sqref="E1"/>
      <selection pane="bottomLeft" activeCell="A3" sqref="A3"/>
      <selection pane="bottomRight" activeCell="D1074" sqref="D1074"/>
    </sheetView>
  </sheetViews>
  <sheetFormatPr baseColWidth="10" defaultRowHeight="24.95" customHeight="1" x14ac:dyDescent="0.2"/>
  <cols>
    <col min="1" max="1" width="8.5703125" style="17" customWidth="1"/>
    <col min="2" max="2" width="14.5703125" style="4" customWidth="1"/>
    <col min="3" max="3" width="13" style="10" customWidth="1"/>
    <col min="4" max="4" width="13.7109375" style="10" customWidth="1"/>
    <col min="5" max="5" width="10.85546875" style="10" customWidth="1"/>
    <col min="6" max="6" width="10.5703125" style="10" customWidth="1"/>
    <col min="7" max="7" width="10" style="10" customWidth="1"/>
    <col min="8" max="8" width="10.7109375" style="10" customWidth="1"/>
    <col min="9" max="9" width="9.85546875" style="10" customWidth="1"/>
    <col min="10" max="10" width="13" style="10" customWidth="1"/>
    <col min="11" max="11" width="10.28515625" style="10" customWidth="1"/>
    <col min="12" max="12" width="6.5703125" style="10" customWidth="1"/>
    <col min="13" max="13" width="12" style="18" customWidth="1"/>
    <col min="14" max="14" width="11.85546875" style="18" customWidth="1"/>
    <col min="15" max="15" width="7.85546875" style="18" customWidth="1"/>
    <col min="16" max="16" width="12.28515625" style="18" customWidth="1"/>
    <col min="17" max="17" width="9.7109375" style="18" customWidth="1"/>
    <col min="18" max="18" width="10.85546875" style="18" customWidth="1"/>
    <col min="19" max="19" width="12.140625" style="18" customWidth="1"/>
    <col min="20" max="20" width="12.28515625" style="18" customWidth="1"/>
    <col min="21" max="21" width="14" style="18" customWidth="1"/>
    <col min="22" max="22" width="14.42578125" style="10" customWidth="1"/>
    <col min="23" max="23" width="13.85546875" style="10" customWidth="1"/>
    <col min="24" max="24" width="13.42578125" style="10" customWidth="1"/>
    <col min="25" max="25" width="14.7109375" style="10" customWidth="1"/>
    <col min="26" max="26" width="12.140625" style="10" customWidth="1"/>
    <col min="27" max="27" width="15.7109375" style="10" customWidth="1"/>
    <col min="28" max="28" width="13" style="10" customWidth="1"/>
    <col min="29" max="29" width="15.140625" style="4" customWidth="1"/>
    <col min="30" max="30" width="14.140625" style="78" customWidth="1"/>
    <col min="31" max="32" width="12.140625" style="10" customWidth="1"/>
    <col min="33" max="33" width="11.5703125" style="15" customWidth="1"/>
    <col min="34" max="34" width="40" style="10" customWidth="1"/>
    <col min="35" max="35" width="11.85546875" style="10" customWidth="1"/>
    <col min="36" max="36" width="12.28515625" style="10" customWidth="1"/>
    <col min="37" max="37" width="10.5703125" style="10" customWidth="1"/>
    <col min="38" max="38" width="12.28515625" style="10" customWidth="1"/>
    <col min="39" max="39" width="10.7109375" style="10" customWidth="1"/>
    <col min="40" max="40" width="12.28515625" style="10" customWidth="1"/>
    <col min="41" max="41" width="10.5703125" style="10" customWidth="1"/>
    <col min="42" max="42" width="12.28515625" style="10" customWidth="1"/>
    <col min="43" max="43" width="11.7109375" style="10" customWidth="1"/>
    <col min="44" max="46" width="12.28515625" style="10" customWidth="1"/>
    <col min="47" max="47" width="11.5703125" style="10" customWidth="1"/>
    <col min="48" max="48" width="12.7109375" style="10" customWidth="1"/>
    <col min="49" max="49" width="11.85546875" style="10" customWidth="1"/>
    <col min="50" max="50" width="12.28515625" style="10" customWidth="1"/>
    <col min="51" max="51" width="11.5703125" style="10" customWidth="1"/>
    <col min="52" max="56" width="12.28515625" style="10" customWidth="1"/>
    <col min="57" max="57" width="11.42578125" style="10"/>
    <col min="58" max="58" width="12.28515625" style="10" customWidth="1"/>
    <col min="59" max="59" width="12.140625" style="10" customWidth="1"/>
    <col min="60" max="60" width="13.85546875" style="10" customWidth="1"/>
    <col min="61" max="61" width="11.140625" style="10" customWidth="1"/>
    <col min="62" max="64" width="12.28515625" style="10" customWidth="1"/>
    <col min="65" max="65" width="11.42578125" style="10"/>
    <col min="66" max="66" width="12.28515625" style="10" customWidth="1"/>
    <col min="67" max="67" width="11.140625" style="10" customWidth="1"/>
    <col min="68" max="68" width="12.28515625" style="10" customWidth="1"/>
    <col min="69" max="69" width="11.7109375" style="10" customWidth="1"/>
    <col min="70" max="70" width="12.28515625" style="10" customWidth="1"/>
    <col min="71" max="71" width="11.5703125" style="10" customWidth="1"/>
    <col min="72" max="72" width="12.28515625" style="10" customWidth="1"/>
    <col min="73" max="73" width="11.7109375" style="10" customWidth="1"/>
    <col min="74" max="74" width="12.28515625" style="10" customWidth="1"/>
    <col min="75" max="75" width="11.140625" style="10" customWidth="1"/>
    <col min="76" max="76" width="12.28515625" style="10" customWidth="1"/>
    <col min="77" max="77" width="11.7109375" style="10" customWidth="1"/>
    <col min="78" max="78" width="12.28515625" style="10" customWidth="1"/>
    <col min="79" max="79" width="11" style="10" customWidth="1"/>
    <col min="80" max="80" width="12.28515625" style="10" customWidth="1"/>
    <col min="81" max="81" width="11.42578125" style="10"/>
    <col min="82" max="82" width="12.28515625" style="10" customWidth="1"/>
    <col min="83" max="83" width="11.42578125" style="10"/>
    <col min="84" max="84" width="13.85546875" style="10" customWidth="1"/>
    <col min="85" max="85" width="11.42578125" style="10"/>
    <col min="86" max="87" width="12.28515625" style="10" customWidth="1"/>
    <col min="88" max="88" width="13.140625" style="10" customWidth="1"/>
    <col min="89" max="89" width="12.28515625" style="10" customWidth="1"/>
    <col min="90" max="90" width="13.42578125" style="10" customWidth="1"/>
    <col min="91" max="91" width="12.28515625" style="10" customWidth="1"/>
    <col min="92" max="92" width="14.5703125" style="10" customWidth="1"/>
    <col min="93" max="93" width="11.42578125" style="10"/>
    <col min="94" max="94" width="12.28515625" style="10" customWidth="1"/>
    <col min="95" max="95" width="15" style="10" customWidth="1"/>
    <col min="96" max="96" width="11.42578125" style="10"/>
    <col min="97" max="97" width="12.7109375" style="10" customWidth="1"/>
    <col min="98" max="98" width="11.42578125" style="10"/>
    <col min="99" max="100" width="12.5703125" style="10" customWidth="1"/>
    <col min="101" max="101" width="14.42578125" style="10" customWidth="1"/>
    <col min="102" max="102" width="15.5703125" style="10" customWidth="1"/>
    <col min="103" max="103" width="14.85546875" style="10" customWidth="1"/>
    <col min="104" max="104" width="26.28515625" style="9" customWidth="1"/>
    <col min="105" max="16384" width="11.42578125" style="10"/>
  </cols>
  <sheetData>
    <row r="1" spans="1:104" s="15" customFormat="1" ht="25.5" customHeight="1" x14ac:dyDescent="0.2">
      <c r="A1" s="106" t="s">
        <v>1065</v>
      </c>
      <c r="B1" s="107"/>
      <c r="C1" s="107"/>
      <c r="D1" s="94"/>
      <c r="E1" s="108" t="s">
        <v>1232</v>
      </c>
      <c r="F1" s="107"/>
      <c r="G1" s="107"/>
      <c r="H1" s="107"/>
      <c r="I1" s="107"/>
      <c r="J1" s="107"/>
      <c r="K1" s="107"/>
      <c r="L1" s="107"/>
      <c r="M1" s="107"/>
      <c r="N1" s="107"/>
      <c r="O1" s="107"/>
      <c r="P1" s="107"/>
      <c r="Q1" s="107"/>
      <c r="R1" s="107"/>
      <c r="S1" s="107"/>
      <c r="T1" s="107"/>
      <c r="U1" s="94"/>
      <c r="V1" s="109" t="s">
        <v>1218</v>
      </c>
      <c r="W1" s="110"/>
      <c r="X1" s="110"/>
      <c r="Y1" s="110"/>
      <c r="Z1" s="110"/>
      <c r="AA1" s="110"/>
      <c r="AB1" s="110"/>
      <c r="AC1" s="110"/>
      <c r="AD1" s="111"/>
      <c r="AE1" s="100" t="s">
        <v>1119</v>
      </c>
      <c r="AF1" s="101"/>
      <c r="AG1" s="101"/>
      <c r="AH1" s="102"/>
      <c r="AI1" s="92" t="s">
        <v>631</v>
      </c>
      <c r="AJ1" s="94"/>
      <c r="AK1" s="92" t="s">
        <v>1129</v>
      </c>
      <c r="AL1" s="93"/>
      <c r="AM1" s="92" t="s">
        <v>1109</v>
      </c>
      <c r="AN1" s="93"/>
      <c r="AO1" s="92" t="s">
        <v>1130</v>
      </c>
      <c r="AP1" s="93"/>
      <c r="AQ1" s="92" t="s">
        <v>1131</v>
      </c>
      <c r="AR1" s="93"/>
      <c r="AS1" s="92" t="s">
        <v>1110</v>
      </c>
      <c r="AT1" s="94"/>
      <c r="AU1" s="92" t="s">
        <v>1132</v>
      </c>
      <c r="AV1" s="93"/>
      <c r="AW1" s="92" t="s">
        <v>346</v>
      </c>
      <c r="AX1" s="93"/>
      <c r="AY1" s="92" t="s">
        <v>1133</v>
      </c>
      <c r="AZ1" s="93"/>
      <c r="BA1" s="92" t="s">
        <v>1098</v>
      </c>
      <c r="BB1" s="94"/>
      <c r="BC1" s="92" t="s">
        <v>1099</v>
      </c>
      <c r="BD1" s="94"/>
      <c r="BE1" s="92" t="s">
        <v>1123</v>
      </c>
      <c r="BF1" s="93"/>
      <c r="BG1" s="92" t="s">
        <v>1128</v>
      </c>
      <c r="BH1" s="93"/>
      <c r="BI1" s="92" t="s">
        <v>626</v>
      </c>
      <c r="BJ1" s="93"/>
      <c r="BK1" s="92" t="s">
        <v>1064</v>
      </c>
      <c r="BL1" s="94"/>
      <c r="BM1" s="92" t="s">
        <v>1115</v>
      </c>
      <c r="BN1" s="93"/>
      <c r="BO1" s="92" t="s">
        <v>1069</v>
      </c>
      <c r="BP1" s="93"/>
      <c r="BQ1" s="92" t="s">
        <v>1112</v>
      </c>
      <c r="BR1" s="93"/>
      <c r="BS1" s="92" t="s">
        <v>1120</v>
      </c>
      <c r="BT1" s="93"/>
      <c r="BU1" s="92" t="s">
        <v>1113</v>
      </c>
      <c r="BV1" s="94"/>
      <c r="BW1" s="92" t="s">
        <v>1121</v>
      </c>
      <c r="BX1" s="93"/>
      <c r="BY1" s="92" t="s">
        <v>1122</v>
      </c>
      <c r="BZ1" s="93"/>
      <c r="CA1" s="92" t="s">
        <v>1089</v>
      </c>
      <c r="CB1" s="93"/>
      <c r="CC1" s="92" t="s">
        <v>1090</v>
      </c>
      <c r="CD1" s="93"/>
      <c r="CE1" s="92" t="s">
        <v>1111</v>
      </c>
      <c r="CF1" s="94"/>
      <c r="CG1" s="92" t="s">
        <v>1108</v>
      </c>
      <c r="CH1" s="93"/>
      <c r="CI1" s="92" t="s">
        <v>1107</v>
      </c>
      <c r="CJ1" s="93"/>
      <c r="CK1" s="92" t="s">
        <v>633</v>
      </c>
      <c r="CL1" s="93"/>
      <c r="CM1" s="92" t="s">
        <v>1062</v>
      </c>
      <c r="CN1" s="93"/>
      <c r="CO1" s="92" t="s">
        <v>1063</v>
      </c>
      <c r="CP1" s="93"/>
      <c r="CQ1" s="5" t="s">
        <v>1071</v>
      </c>
      <c r="CR1" s="92" t="s">
        <v>1106</v>
      </c>
      <c r="CS1" s="96"/>
      <c r="CT1" s="92" t="s">
        <v>1125</v>
      </c>
      <c r="CU1" s="93"/>
      <c r="CV1" s="97" t="s">
        <v>1073</v>
      </c>
      <c r="CW1" s="98"/>
      <c r="CX1" s="95" t="s">
        <v>1140</v>
      </c>
      <c r="CY1" s="96"/>
      <c r="CZ1" s="14"/>
    </row>
    <row r="2" spans="1:104" s="15" customFormat="1" ht="24.95" customHeight="1" thickBot="1" x14ac:dyDescent="0.25">
      <c r="A2" s="20" t="s">
        <v>1138</v>
      </c>
      <c r="B2" s="21" t="s">
        <v>1139</v>
      </c>
      <c r="C2" s="21" t="s">
        <v>1102</v>
      </c>
      <c r="D2" s="22" t="s">
        <v>1103</v>
      </c>
      <c r="E2" s="23" t="s">
        <v>1137</v>
      </c>
      <c r="F2" s="24" t="s">
        <v>1236</v>
      </c>
      <c r="G2" s="24" t="s">
        <v>1237</v>
      </c>
      <c r="H2" s="24" t="s">
        <v>1104</v>
      </c>
      <c r="I2" s="24" t="s">
        <v>1105</v>
      </c>
      <c r="J2" s="24" t="s">
        <v>1233</v>
      </c>
      <c r="K2" s="24" t="s">
        <v>1234</v>
      </c>
      <c r="L2" s="24" t="s">
        <v>1124</v>
      </c>
      <c r="M2" s="25" t="s">
        <v>1238</v>
      </c>
      <c r="N2" s="25" t="s">
        <v>1239</v>
      </c>
      <c r="O2" s="25" t="s">
        <v>129</v>
      </c>
      <c r="P2" s="25" t="s">
        <v>132</v>
      </c>
      <c r="Q2" s="25" t="s">
        <v>130</v>
      </c>
      <c r="R2" s="25" t="s">
        <v>131</v>
      </c>
      <c r="S2" s="25" t="s">
        <v>611</v>
      </c>
      <c r="T2" s="26" t="s">
        <v>1222</v>
      </c>
      <c r="U2" s="27" t="s">
        <v>628</v>
      </c>
      <c r="V2" s="28" t="s">
        <v>1096</v>
      </c>
      <c r="W2" s="29" t="s">
        <v>612</v>
      </c>
      <c r="X2" s="29" t="s">
        <v>627</v>
      </c>
      <c r="Y2" s="29" t="s">
        <v>1230</v>
      </c>
      <c r="Z2" s="29" t="s">
        <v>1106</v>
      </c>
      <c r="AA2" s="29" t="s">
        <v>628</v>
      </c>
      <c r="AB2" s="30" t="s">
        <v>1227</v>
      </c>
      <c r="AC2" s="31" t="s">
        <v>1072</v>
      </c>
      <c r="AD2" s="32" t="s">
        <v>1228</v>
      </c>
      <c r="AE2" s="33" t="s">
        <v>1220</v>
      </c>
      <c r="AF2" s="34" t="s">
        <v>1101</v>
      </c>
      <c r="AG2" s="35" t="s">
        <v>634</v>
      </c>
      <c r="AH2" s="36" t="s">
        <v>1100</v>
      </c>
      <c r="AI2" s="37" t="s">
        <v>629</v>
      </c>
      <c r="AJ2" s="37" t="s">
        <v>630</v>
      </c>
      <c r="AK2" s="37"/>
      <c r="AL2" s="37" t="s">
        <v>630</v>
      </c>
      <c r="AM2" s="37" t="s">
        <v>629</v>
      </c>
      <c r="AN2" s="37" t="s">
        <v>630</v>
      </c>
      <c r="AO2" s="37" t="s">
        <v>629</v>
      </c>
      <c r="AP2" s="37" t="s">
        <v>630</v>
      </c>
      <c r="AQ2" s="38" t="s">
        <v>629</v>
      </c>
      <c r="AR2" s="38" t="s">
        <v>630</v>
      </c>
      <c r="AS2" s="38" t="s">
        <v>629</v>
      </c>
      <c r="AT2" s="38" t="s">
        <v>630</v>
      </c>
      <c r="AU2" s="38" t="s">
        <v>629</v>
      </c>
      <c r="AV2" s="38" t="s">
        <v>630</v>
      </c>
      <c r="AW2" s="38" t="s">
        <v>629</v>
      </c>
      <c r="AX2" s="38" t="s">
        <v>630</v>
      </c>
      <c r="AY2" s="38" t="s">
        <v>629</v>
      </c>
      <c r="AZ2" s="38" t="s">
        <v>630</v>
      </c>
      <c r="BA2" s="38" t="s">
        <v>629</v>
      </c>
      <c r="BB2" s="38" t="s">
        <v>630</v>
      </c>
      <c r="BC2" s="38" t="s">
        <v>629</v>
      </c>
      <c r="BD2" s="38" t="s">
        <v>630</v>
      </c>
      <c r="BE2" s="38" t="s">
        <v>629</v>
      </c>
      <c r="BF2" s="38" t="s">
        <v>630</v>
      </c>
      <c r="BG2" s="38" t="s">
        <v>629</v>
      </c>
      <c r="BH2" s="38" t="s">
        <v>630</v>
      </c>
      <c r="BI2" s="38" t="s">
        <v>629</v>
      </c>
      <c r="BJ2" s="38" t="s">
        <v>630</v>
      </c>
      <c r="BK2" s="38" t="s">
        <v>629</v>
      </c>
      <c r="BL2" s="38" t="s">
        <v>630</v>
      </c>
      <c r="BM2" s="38" t="s">
        <v>629</v>
      </c>
      <c r="BN2" s="38" t="s">
        <v>630</v>
      </c>
      <c r="BO2" s="38" t="s">
        <v>629</v>
      </c>
      <c r="BP2" s="38" t="s">
        <v>630</v>
      </c>
      <c r="BQ2" s="38" t="s">
        <v>629</v>
      </c>
      <c r="BR2" s="38" t="s">
        <v>630</v>
      </c>
      <c r="BS2" s="38" t="s">
        <v>629</v>
      </c>
      <c r="BT2" s="38" t="s">
        <v>630</v>
      </c>
      <c r="BU2" s="38" t="s">
        <v>629</v>
      </c>
      <c r="BV2" s="38" t="s">
        <v>630</v>
      </c>
      <c r="BW2" s="38" t="s">
        <v>629</v>
      </c>
      <c r="BX2" s="38" t="s">
        <v>630</v>
      </c>
      <c r="BY2" s="38" t="s">
        <v>629</v>
      </c>
      <c r="BZ2" s="38" t="s">
        <v>630</v>
      </c>
      <c r="CA2" s="38" t="s">
        <v>629</v>
      </c>
      <c r="CB2" s="38" t="s">
        <v>630</v>
      </c>
      <c r="CC2" s="38" t="s">
        <v>629</v>
      </c>
      <c r="CD2" s="38" t="s">
        <v>630</v>
      </c>
      <c r="CE2" s="38" t="s">
        <v>629</v>
      </c>
      <c r="CF2" s="38" t="s">
        <v>630</v>
      </c>
      <c r="CG2" s="38" t="s">
        <v>629</v>
      </c>
      <c r="CH2" s="38" t="s">
        <v>630</v>
      </c>
      <c r="CI2" s="38" t="s">
        <v>629</v>
      </c>
      <c r="CJ2" s="38" t="s">
        <v>630</v>
      </c>
      <c r="CK2" s="38" t="s">
        <v>629</v>
      </c>
      <c r="CL2" s="38" t="s">
        <v>630</v>
      </c>
      <c r="CM2" s="38" t="s">
        <v>629</v>
      </c>
      <c r="CN2" s="38" t="s">
        <v>630</v>
      </c>
      <c r="CO2" s="38" t="s">
        <v>629</v>
      </c>
      <c r="CP2" s="38" t="s">
        <v>630</v>
      </c>
      <c r="CQ2" s="38" t="s">
        <v>1072</v>
      </c>
      <c r="CR2" s="39" t="s">
        <v>629</v>
      </c>
      <c r="CS2" s="40" t="s">
        <v>630</v>
      </c>
      <c r="CT2" s="38" t="s">
        <v>629</v>
      </c>
      <c r="CU2" s="38" t="s">
        <v>630</v>
      </c>
      <c r="CV2" s="41" t="s">
        <v>629</v>
      </c>
      <c r="CW2" s="42" t="s">
        <v>630</v>
      </c>
      <c r="CX2" s="39" t="s">
        <v>629</v>
      </c>
      <c r="CY2" s="38" t="s">
        <v>630</v>
      </c>
      <c r="CZ2" s="14"/>
    </row>
    <row r="3" spans="1:104" ht="76.5" x14ac:dyDescent="0.2">
      <c r="A3" s="43">
        <v>39814</v>
      </c>
      <c r="B3" s="44" t="s">
        <v>1224</v>
      </c>
      <c r="C3" s="44" t="s">
        <v>325</v>
      </c>
      <c r="D3" s="45" t="s">
        <v>1118</v>
      </c>
      <c r="E3" s="11"/>
      <c r="F3" s="12"/>
      <c r="G3" s="12"/>
      <c r="H3" s="12">
        <f>160*5</f>
        <v>800</v>
      </c>
      <c r="I3" s="12">
        <v>160</v>
      </c>
      <c r="J3" s="12"/>
      <c r="K3" s="12">
        <v>160</v>
      </c>
      <c r="L3" s="12"/>
      <c r="M3" s="12"/>
      <c r="N3" s="12"/>
      <c r="O3" s="12"/>
      <c r="P3" s="12"/>
      <c r="Q3" s="12"/>
      <c r="R3" s="12"/>
      <c r="S3" s="12"/>
      <c r="T3" s="13"/>
      <c r="U3" s="46" t="s">
        <v>327</v>
      </c>
      <c r="V3" s="47">
        <v>39923</v>
      </c>
      <c r="W3" s="48">
        <f t="shared" ref="W3:W34" si="0">CQ3</f>
        <v>14720000</v>
      </c>
      <c r="X3" s="48">
        <f t="shared" ref="X3:X34" si="1">CU3</f>
        <v>13600000</v>
      </c>
      <c r="Y3" s="48">
        <f t="shared" ref="Y3:Y34" si="2">CW3+CY3</f>
        <v>0</v>
      </c>
      <c r="Z3" s="48">
        <f t="shared" ref="Z3:Z34" si="3">CS3</f>
        <v>0</v>
      </c>
      <c r="AA3" s="48"/>
      <c r="AB3" s="48"/>
      <c r="AC3" s="49">
        <f t="shared" ref="AC3:AC34" si="4">W3+X3+Y3+Z3+AA3+AB3</f>
        <v>28320000</v>
      </c>
      <c r="AD3" s="50">
        <v>0</v>
      </c>
      <c r="AE3" s="47">
        <v>39841</v>
      </c>
      <c r="AF3" s="51" t="s">
        <v>1016</v>
      </c>
      <c r="AG3" s="52" t="s">
        <v>565</v>
      </c>
      <c r="AH3" s="53" t="s">
        <v>912</v>
      </c>
      <c r="AI3" s="79"/>
      <c r="AJ3" s="80"/>
      <c r="AK3" s="81"/>
      <c r="AL3" s="80"/>
      <c r="AM3" s="80"/>
      <c r="AN3" s="80"/>
      <c r="AO3" s="80"/>
      <c r="AP3" s="80"/>
      <c r="AQ3" s="80"/>
      <c r="AR3" s="80"/>
      <c r="AS3" s="80"/>
      <c r="AT3" s="80"/>
      <c r="AU3" s="80">
        <v>50</v>
      </c>
      <c r="AV3" s="80">
        <f>50*56000</f>
        <v>2800000</v>
      </c>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2">
        <v>160</v>
      </c>
      <c r="CL3" s="12">
        <f>160*38500</f>
        <v>6160000</v>
      </c>
      <c r="CM3" s="82">
        <v>160</v>
      </c>
      <c r="CN3" s="12">
        <f>160*36000</f>
        <v>5760000</v>
      </c>
      <c r="CO3" s="82"/>
      <c r="CP3" s="12"/>
      <c r="CQ3" s="83">
        <f t="shared" ref="CQ3:CQ34" si="5">AJ3+AL3+AN3+AP3+AR3+AT3+AV3+AX3+AZ3+BB3+BD3+BF3+BH3+BJ3+BL3+BN3+BP3+BR3+BT3+BV3+BX3+BZ3+CB3+CD3+CF3+CH3+CJ3+CL3+CN3+CP3</f>
        <v>14720000</v>
      </c>
      <c r="CR3" s="84"/>
      <c r="CS3" s="13"/>
      <c r="CT3" s="85">
        <v>160</v>
      </c>
      <c r="CU3" s="86">
        <f>160*85000</f>
        <v>13600000</v>
      </c>
      <c r="CV3" s="11"/>
      <c r="CW3" s="86"/>
      <c r="CX3" s="84"/>
      <c r="CY3" s="86"/>
    </row>
    <row r="4" spans="1:104" ht="76.5" x14ac:dyDescent="0.2">
      <c r="A4" s="43">
        <v>39814</v>
      </c>
      <c r="B4" s="44" t="s">
        <v>1224</v>
      </c>
      <c r="C4" s="44" t="s">
        <v>326</v>
      </c>
      <c r="D4" s="45" t="s">
        <v>1118</v>
      </c>
      <c r="E4" s="11"/>
      <c r="F4" s="12"/>
      <c r="G4" s="12"/>
      <c r="H4" s="12">
        <f>400*5</f>
        <v>2000</v>
      </c>
      <c r="I4" s="12">
        <v>400</v>
      </c>
      <c r="J4" s="12"/>
      <c r="K4" s="12">
        <v>400</v>
      </c>
      <c r="L4" s="12"/>
      <c r="M4" s="12"/>
      <c r="N4" s="12"/>
      <c r="O4" s="12"/>
      <c r="P4" s="12"/>
      <c r="Q4" s="12"/>
      <c r="R4" s="12"/>
      <c r="S4" s="12"/>
      <c r="T4" s="13"/>
      <c r="U4" s="46"/>
      <c r="V4" s="47">
        <v>39923</v>
      </c>
      <c r="W4" s="48">
        <f t="shared" si="0"/>
        <v>29800000</v>
      </c>
      <c r="X4" s="48">
        <f t="shared" si="1"/>
        <v>34000000</v>
      </c>
      <c r="Y4" s="48">
        <f t="shared" si="2"/>
        <v>0</v>
      </c>
      <c r="Z4" s="48">
        <f t="shared" si="3"/>
        <v>0</v>
      </c>
      <c r="AA4" s="48"/>
      <c r="AB4" s="48"/>
      <c r="AC4" s="49">
        <f t="shared" si="4"/>
        <v>63800000</v>
      </c>
      <c r="AD4" s="50">
        <v>0</v>
      </c>
      <c r="AE4" s="47">
        <v>39822</v>
      </c>
      <c r="AF4" s="51" t="s">
        <v>1016</v>
      </c>
      <c r="AG4" s="52" t="s">
        <v>565</v>
      </c>
      <c r="AH4" s="53" t="s">
        <v>912</v>
      </c>
      <c r="AI4" s="79"/>
      <c r="AJ4" s="80"/>
      <c r="AK4" s="81"/>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2">
        <v>400</v>
      </c>
      <c r="CL4" s="12">
        <f>400*38500</f>
        <v>15400000</v>
      </c>
      <c r="CM4" s="82">
        <v>400</v>
      </c>
      <c r="CN4" s="12">
        <f>400*36000</f>
        <v>14400000</v>
      </c>
      <c r="CO4" s="82"/>
      <c r="CP4" s="12"/>
      <c r="CQ4" s="83">
        <f t="shared" si="5"/>
        <v>29800000</v>
      </c>
      <c r="CR4" s="84"/>
      <c r="CS4" s="13"/>
      <c r="CT4" s="85">
        <v>400</v>
      </c>
      <c r="CU4" s="86">
        <f>400*85000</f>
        <v>34000000</v>
      </c>
      <c r="CV4" s="11"/>
      <c r="CW4" s="86"/>
      <c r="CX4" s="84"/>
      <c r="CY4" s="86"/>
    </row>
    <row r="5" spans="1:104" ht="25.5" x14ac:dyDescent="0.2">
      <c r="A5" s="43">
        <v>39814</v>
      </c>
      <c r="B5" s="44" t="s">
        <v>1224</v>
      </c>
      <c r="C5" s="44" t="s">
        <v>925</v>
      </c>
      <c r="D5" s="45" t="s">
        <v>1092</v>
      </c>
      <c r="E5" s="11"/>
      <c r="F5" s="12"/>
      <c r="G5" s="12"/>
      <c r="H5" s="12">
        <f>990*5</f>
        <v>4950</v>
      </c>
      <c r="I5" s="12">
        <v>990</v>
      </c>
      <c r="J5" s="12"/>
      <c r="K5" s="12">
        <v>990</v>
      </c>
      <c r="L5" s="12"/>
      <c r="M5" s="12"/>
      <c r="N5" s="12"/>
      <c r="O5" s="12"/>
      <c r="P5" s="12"/>
      <c r="Q5" s="12"/>
      <c r="R5" s="12"/>
      <c r="S5" s="12"/>
      <c r="T5" s="13"/>
      <c r="U5" s="46"/>
      <c r="V5" s="47"/>
      <c r="W5" s="48">
        <f t="shared" si="0"/>
        <v>73755000</v>
      </c>
      <c r="X5" s="48">
        <f t="shared" si="1"/>
        <v>84150000</v>
      </c>
      <c r="Y5" s="48">
        <f t="shared" si="2"/>
        <v>0</v>
      </c>
      <c r="Z5" s="48">
        <f t="shared" si="3"/>
        <v>0</v>
      </c>
      <c r="AA5" s="48"/>
      <c r="AB5" s="48"/>
      <c r="AC5" s="49">
        <f t="shared" si="4"/>
        <v>157905000</v>
      </c>
      <c r="AD5" s="50">
        <v>0</v>
      </c>
      <c r="AE5" s="47">
        <v>39838</v>
      </c>
      <c r="AF5" s="51" t="s">
        <v>1016</v>
      </c>
      <c r="AG5" s="52" t="s">
        <v>565</v>
      </c>
      <c r="AH5" s="53" t="s">
        <v>317</v>
      </c>
      <c r="AI5" s="79"/>
      <c r="AJ5" s="80"/>
      <c r="AK5" s="81"/>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2">
        <v>990</v>
      </c>
      <c r="CL5" s="12">
        <f>990*38500</f>
        <v>38115000</v>
      </c>
      <c r="CM5" s="82">
        <v>990</v>
      </c>
      <c r="CN5" s="12">
        <f>990*36000</f>
        <v>35640000</v>
      </c>
      <c r="CO5" s="82"/>
      <c r="CP5" s="12"/>
      <c r="CQ5" s="83">
        <f t="shared" si="5"/>
        <v>73755000</v>
      </c>
      <c r="CR5" s="84"/>
      <c r="CS5" s="13"/>
      <c r="CT5" s="85">
        <f>960+30</f>
        <v>990</v>
      </c>
      <c r="CU5" s="86">
        <f>960*85000+30*85000</f>
        <v>84150000</v>
      </c>
      <c r="CV5" s="11"/>
      <c r="CW5" s="86"/>
      <c r="CX5" s="84"/>
      <c r="CY5" s="86"/>
    </row>
    <row r="6" spans="1:104" ht="38.25" x14ac:dyDescent="0.2">
      <c r="A6" s="43">
        <v>39814</v>
      </c>
      <c r="B6" s="44" t="s">
        <v>1224</v>
      </c>
      <c r="C6" s="44" t="s">
        <v>1274</v>
      </c>
      <c r="D6" s="45" t="s">
        <v>1092</v>
      </c>
      <c r="E6" s="11"/>
      <c r="F6" s="12"/>
      <c r="G6" s="12"/>
      <c r="H6" s="12">
        <f>103*5</f>
        <v>515</v>
      </c>
      <c r="I6" s="12">
        <v>103</v>
      </c>
      <c r="J6" s="12"/>
      <c r="K6" s="12">
        <v>103</v>
      </c>
      <c r="L6" s="12"/>
      <c r="M6" s="12"/>
      <c r="N6" s="12"/>
      <c r="O6" s="12"/>
      <c r="P6" s="12"/>
      <c r="Q6" s="12"/>
      <c r="R6" s="12"/>
      <c r="S6" s="12"/>
      <c r="T6" s="13"/>
      <c r="U6" s="46"/>
      <c r="V6" s="47">
        <v>39923</v>
      </c>
      <c r="W6" s="48">
        <f t="shared" si="0"/>
        <v>114749990</v>
      </c>
      <c r="X6" s="48">
        <f t="shared" si="1"/>
        <v>59500000</v>
      </c>
      <c r="Y6" s="48">
        <f t="shared" si="2"/>
        <v>0</v>
      </c>
      <c r="Z6" s="48">
        <f t="shared" si="3"/>
        <v>0</v>
      </c>
      <c r="AA6" s="48"/>
      <c r="AB6" s="48"/>
      <c r="AC6" s="49">
        <f t="shared" si="4"/>
        <v>174249990</v>
      </c>
      <c r="AD6" s="50">
        <v>0</v>
      </c>
      <c r="AE6" s="47">
        <v>39897</v>
      </c>
      <c r="AF6" s="51" t="s">
        <v>1016</v>
      </c>
      <c r="AG6" s="52" t="s">
        <v>565</v>
      </c>
      <c r="AH6" s="53" t="s">
        <v>927</v>
      </c>
      <c r="AI6" s="79"/>
      <c r="AJ6" s="80"/>
      <c r="AK6" s="81"/>
      <c r="AL6" s="80"/>
      <c r="AM6" s="80"/>
      <c r="AN6" s="80"/>
      <c r="AO6" s="80"/>
      <c r="AP6" s="80"/>
      <c r="AQ6" s="80"/>
      <c r="AR6" s="80"/>
      <c r="AS6" s="80"/>
      <c r="AT6" s="80"/>
      <c r="AU6" s="80">
        <v>1000</v>
      </c>
      <c r="AV6" s="80">
        <f>1000*56000</f>
        <v>56000000</v>
      </c>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v>1000</v>
      </c>
      <c r="CF6" s="80">
        <f>1000*20999.99</f>
        <v>20999990</v>
      </c>
      <c r="CG6" s="80"/>
      <c r="CH6" s="80"/>
      <c r="CI6" s="80"/>
      <c r="CJ6" s="80"/>
      <c r="CK6" s="82">
        <v>700</v>
      </c>
      <c r="CL6" s="12">
        <f>700*38500</f>
        <v>26950000</v>
      </c>
      <c r="CM6" s="82">
        <v>300</v>
      </c>
      <c r="CN6" s="12">
        <f>300*36000</f>
        <v>10800000</v>
      </c>
      <c r="CO6" s="82"/>
      <c r="CP6" s="12"/>
      <c r="CQ6" s="83">
        <f t="shared" si="5"/>
        <v>114749990</v>
      </c>
      <c r="CR6" s="84"/>
      <c r="CS6" s="13"/>
      <c r="CT6" s="85">
        <v>700</v>
      </c>
      <c r="CU6" s="86">
        <f>700*85000</f>
        <v>59500000</v>
      </c>
      <c r="CV6" s="11"/>
      <c r="CW6" s="86"/>
      <c r="CX6" s="84"/>
      <c r="CY6" s="86"/>
    </row>
    <row r="7" spans="1:104" ht="140.25" x14ac:dyDescent="0.2">
      <c r="A7" s="43">
        <v>39814</v>
      </c>
      <c r="B7" s="44" t="s">
        <v>1224</v>
      </c>
      <c r="C7" s="44" t="s">
        <v>1045</v>
      </c>
      <c r="D7" s="45" t="s">
        <v>134</v>
      </c>
      <c r="E7" s="11"/>
      <c r="F7" s="12"/>
      <c r="G7" s="12"/>
      <c r="H7" s="12"/>
      <c r="I7" s="12"/>
      <c r="J7" s="12"/>
      <c r="K7" s="12"/>
      <c r="L7" s="12"/>
      <c r="M7" s="12"/>
      <c r="N7" s="12"/>
      <c r="O7" s="12"/>
      <c r="P7" s="12"/>
      <c r="Q7" s="12"/>
      <c r="R7" s="12"/>
      <c r="S7" s="12"/>
      <c r="T7" s="13"/>
      <c r="U7" s="46"/>
      <c r="V7" s="47">
        <v>39924</v>
      </c>
      <c r="W7" s="48">
        <f t="shared" si="0"/>
        <v>0</v>
      </c>
      <c r="X7" s="48">
        <f t="shared" si="1"/>
        <v>0</v>
      </c>
      <c r="Y7" s="48">
        <f t="shared" si="2"/>
        <v>5600000</v>
      </c>
      <c r="Z7" s="48">
        <f t="shared" si="3"/>
        <v>0</v>
      </c>
      <c r="AA7" s="48">
        <f>4700000+125380374</f>
        <v>130080374</v>
      </c>
      <c r="AB7" s="48"/>
      <c r="AC7" s="49">
        <f t="shared" si="4"/>
        <v>135680374</v>
      </c>
      <c r="AD7" s="50">
        <v>0</v>
      </c>
      <c r="AE7" s="47">
        <v>39875</v>
      </c>
      <c r="AF7" s="51" t="s">
        <v>1016</v>
      </c>
      <c r="AG7" s="52" t="s">
        <v>565</v>
      </c>
      <c r="AH7" s="53" t="s">
        <v>820</v>
      </c>
      <c r="AI7" s="79"/>
      <c r="AJ7" s="80"/>
      <c r="AK7" s="81"/>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2"/>
      <c r="CL7" s="12"/>
      <c r="CM7" s="82"/>
      <c r="CN7" s="12"/>
      <c r="CO7" s="82"/>
      <c r="CP7" s="12"/>
      <c r="CQ7" s="83">
        <f t="shared" si="5"/>
        <v>0</v>
      </c>
      <c r="CR7" s="84"/>
      <c r="CS7" s="13"/>
      <c r="CT7" s="85"/>
      <c r="CU7" s="86"/>
      <c r="CV7" s="11">
        <v>200</v>
      </c>
      <c r="CW7" s="86">
        <f>200*28000</f>
        <v>5600000</v>
      </c>
      <c r="CX7" s="84"/>
      <c r="CY7" s="86"/>
    </row>
    <row r="8" spans="1:104" ht="76.5" x14ac:dyDescent="0.2">
      <c r="A8" s="43">
        <v>39814</v>
      </c>
      <c r="B8" s="44" t="s">
        <v>1224</v>
      </c>
      <c r="C8" s="44" t="s">
        <v>378</v>
      </c>
      <c r="D8" s="45" t="s">
        <v>1118</v>
      </c>
      <c r="E8" s="11"/>
      <c r="F8" s="12"/>
      <c r="G8" s="12"/>
      <c r="H8" s="12"/>
      <c r="I8" s="12"/>
      <c r="J8" s="12"/>
      <c r="K8" s="12"/>
      <c r="L8" s="12">
        <v>2</v>
      </c>
      <c r="M8" s="12"/>
      <c r="N8" s="12"/>
      <c r="O8" s="12"/>
      <c r="P8" s="12"/>
      <c r="Q8" s="12"/>
      <c r="R8" s="12"/>
      <c r="S8" s="12"/>
      <c r="T8" s="13"/>
      <c r="U8" s="46"/>
      <c r="V8" s="47">
        <v>39931</v>
      </c>
      <c r="W8" s="48">
        <f t="shared" si="0"/>
        <v>0</v>
      </c>
      <c r="X8" s="48">
        <f t="shared" si="1"/>
        <v>0</v>
      </c>
      <c r="Y8" s="48">
        <f t="shared" si="2"/>
        <v>0</v>
      </c>
      <c r="Z8" s="48">
        <f t="shared" si="3"/>
        <v>0</v>
      </c>
      <c r="AA8" s="48"/>
      <c r="AB8" s="48">
        <v>67257350</v>
      </c>
      <c r="AC8" s="49">
        <f t="shared" si="4"/>
        <v>67257350</v>
      </c>
      <c r="AD8" s="50">
        <v>0</v>
      </c>
      <c r="AE8" s="47">
        <v>39814</v>
      </c>
      <c r="AF8" s="51" t="s">
        <v>1016</v>
      </c>
      <c r="AG8" s="52" t="s">
        <v>565</v>
      </c>
      <c r="AH8" s="54" t="s">
        <v>894</v>
      </c>
      <c r="AI8" s="79"/>
      <c r="AJ8" s="80"/>
      <c r="AK8" s="81"/>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2"/>
      <c r="CL8" s="12"/>
      <c r="CM8" s="82"/>
      <c r="CN8" s="12"/>
      <c r="CO8" s="82"/>
      <c r="CP8" s="12"/>
      <c r="CQ8" s="83">
        <f t="shared" si="5"/>
        <v>0</v>
      </c>
      <c r="CR8" s="84"/>
      <c r="CS8" s="13"/>
      <c r="CT8" s="85"/>
      <c r="CU8" s="86"/>
      <c r="CV8" s="11"/>
      <c r="CW8" s="86"/>
      <c r="CX8" s="84"/>
      <c r="CY8" s="86"/>
    </row>
    <row r="9" spans="1:104" ht="63.75" x14ac:dyDescent="0.2">
      <c r="A9" s="43">
        <v>39814</v>
      </c>
      <c r="B9" s="44" t="s">
        <v>1350</v>
      </c>
      <c r="C9" s="44" t="s">
        <v>238</v>
      </c>
      <c r="D9" s="45" t="s">
        <v>1118</v>
      </c>
      <c r="E9" s="11"/>
      <c r="F9" s="12"/>
      <c r="G9" s="12"/>
      <c r="H9" s="12"/>
      <c r="I9" s="12"/>
      <c r="J9" s="12"/>
      <c r="K9" s="12"/>
      <c r="L9" s="12"/>
      <c r="M9" s="12"/>
      <c r="N9" s="12"/>
      <c r="O9" s="12"/>
      <c r="P9" s="12"/>
      <c r="Q9" s="12"/>
      <c r="R9" s="12"/>
      <c r="S9" s="12"/>
      <c r="T9" s="13"/>
      <c r="U9" s="46"/>
      <c r="V9" s="47"/>
      <c r="W9" s="48">
        <f t="shared" si="0"/>
        <v>0</v>
      </c>
      <c r="X9" s="48">
        <f t="shared" si="1"/>
        <v>0</v>
      </c>
      <c r="Y9" s="48">
        <f t="shared" si="2"/>
        <v>0</v>
      </c>
      <c r="Z9" s="48">
        <f t="shared" si="3"/>
        <v>0</v>
      </c>
      <c r="AA9" s="48">
        <f>8932000+881600+522000+8004000+574200+334080+156600+174000+92800+376420</f>
        <v>20047700</v>
      </c>
      <c r="AB9" s="48"/>
      <c r="AC9" s="49">
        <f t="shared" si="4"/>
        <v>20047700</v>
      </c>
      <c r="AD9" s="50">
        <v>0</v>
      </c>
      <c r="AE9" s="47">
        <v>39845</v>
      </c>
      <c r="AF9" s="51" t="s">
        <v>1016</v>
      </c>
      <c r="AG9" s="52" t="s">
        <v>565</v>
      </c>
      <c r="AH9" s="54" t="s">
        <v>1244</v>
      </c>
      <c r="AI9" s="79"/>
      <c r="AJ9" s="80"/>
      <c r="AK9" s="81"/>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2"/>
      <c r="CL9" s="12"/>
      <c r="CM9" s="82"/>
      <c r="CN9" s="12"/>
      <c r="CO9" s="82"/>
      <c r="CP9" s="12"/>
      <c r="CQ9" s="83">
        <f t="shared" si="5"/>
        <v>0</v>
      </c>
      <c r="CR9" s="84"/>
      <c r="CS9" s="13"/>
      <c r="CT9" s="85"/>
      <c r="CU9" s="86"/>
      <c r="CV9" s="11"/>
      <c r="CW9" s="86"/>
      <c r="CX9" s="84"/>
      <c r="CY9" s="86"/>
    </row>
    <row r="10" spans="1:104" ht="25.5" x14ac:dyDescent="0.2">
      <c r="A10" s="43">
        <v>39816</v>
      </c>
      <c r="B10" s="44" t="s">
        <v>1127</v>
      </c>
      <c r="C10" s="44" t="s">
        <v>515</v>
      </c>
      <c r="D10" s="45" t="s">
        <v>1092</v>
      </c>
      <c r="E10" s="11"/>
      <c r="F10" s="12"/>
      <c r="G10" s="12"/>
      <c r="H10" s="12">
        <v>35</v>
      </c>
      <c r="I10" s="12">
        <v>7</v>
      </c>
      <c r="J10" s="12"/>
      <c r="K10" s="12">
        <v>7</v>
      </c>
      <c r="L10" s="12"/>
      <c r="M10" s="12"/>
      <c r="N10" s="12"/>
      <c r="O10" s="12"/>
      <c r="P10" s="12"/>
      <c r="Q10" s="12"/>
      <c r="R10" s="12"/>
      <c r="S10" s="12"/>
      <c r="T10" s="13"/>
      <c r="U10" s="46"/>
      <c r="V10" s="47"/>
      <c r="W10" s="48">
        <f t="shared" si="0"/>
        <v>0</v>
      </c>
      <c r="X10" s="48">
        <f t="shared" si="1"/>
        <v>0</v>
      </c>
      <c r="Y10" s="48">
        <f t="shared" si="2"/>
        <v>0</v>
      </c>
      <c r="Z10" s="48">
        <f t="shared" si="3"/>
        <v>0</v>
      </c>
      <c r="AA10" s="48"/>
      <c r="AB10" s="48"/>
      <c r="AC10" s="49">
        <f t="shared" si="4"/>
        <v>0</v>
      </c>
      <c r="AD10" s="50">
        <v>0</v>
      </c>
      <c r="AE10" s="47">
        <v>39816</v>
      </c>
      <c r="AF10" s="51" t="s">
        <v>516</v>
      </c>
      <c r="AG10" s="52" t="s">
        <v>517</v>
      </c>
      <c r="AH10" s="53" t="s">
        <v>518</v>
      </c>
      <c r="AI10" s="79"/>
      <c r="AJ10" s="80"/>
      <c r="AK10" s="81"/>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2"/>
      <c r="CL10" s="12"/>
      <c r="CM10" s="82"/>
      <c r="CN10" s="12"/>
      <c r="CO10" s="82"/>
      <c r="CP10" s="12"/>
      <c r="CQ10" s="83">
        <f t="shared" si="5"/>
        <v>0</v>
      </c>
      <c r="CR10" s="84"/>
      <c r="CS10" s="13"/>
      <c r="CT10" s="85"/>
      <c r="CU10" s="86"/>
      <c r="CV10" s="11"/>
      <c r="CW10" s="86"/>
      <c r="CX10" s="84"/>
      <c r="CY10" s="86"/>
    </row>
    <row r="11" spans="1:104" ht="63.75" x14ac:dyDescent="0.2">
      <c r="A11" s="43">
        <v>39818</v>
      </c>
      <c r="B11" s="44" t="s">
        <v>1127</v>
      </c>
      <c r="C11" s="44" t="s">
        <v>144</v>
      </c>
      <c r="D11" s="45" t="s">
        <v>1118</v>
      </c>
      <c r="E11" s="11"/>
      <c r="F11" s="12"/>
      <c r="G11" s="12"/>
      <c r="H11" s="12"/>
      <c r="I11" s="12"/>
      <c r="J11" s="12"/>
      <c r="K11" s="12"/>
      <c r="L11" s="12"/>
      <c r="M11" s="12"/>
      <c r="N11" s="12"/>
      <c r="O11" s="12"/>
      <c r="P11" s="12"/>
      <c r="Q11" s="12"/>
      <c r="R11" s="12"/>
      <c r="S11" s="12"/>
      <c r="T11" s="13"/>
      <c r="U11" s="46"/>
      <c r="V11" s="47">
        <v>39925</v>
      </c>
      <c r="W11" s="48">
        <f t="shared" si="0"/>
        <v>0</v>
      </c>
      <c r="X11" s="48">
        <f t="shared" si="1"/>
        <v>0</v>
      </c>
      <c r="Y11" s="48">
        <f t="shared" si="2"/>
        <v>0</v>
      </c>
      <c r="Z11" s="48">
        <f t="shared" si="3"/>
        <v>0</v>
      </c>
      <c r="AA11" s="48">
        <f>74202620+128754089+76819353</f>
        <v>279776062</v>
      </c>
      <c r="AB11" s="48"/>
      <c r="AC11" s="49">
        <f t="shared" si="4"/>
        <v>279776062</v>
      </c>
      <c r="AD11" s="50">
        <v>0</v>
      </c>
      <c r="AE11" s="47">
        <v>39818</v>
      </c>
      <c r="AF11" s="51" t="s">
        <v>1016</v>
      </c>
      <c r="AG11" s="52" t="s">
        <v>565</v>
      </c>
      <c r="AH11" s="53" t="s">
        <v>1193</v>
      </c>
      <c r="AI11" s="79"/>
      <c r="AJ11" s="80"/>
      <c r="AK11" s="81"/>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2"/>
      <c r="CL11" s="12"/>
      <c r="CM11" s="82"/>
      <c r="CN11" s="12"/>
      <c r="CO11" s="82"/>
      <c r="CP11" s="12"/>
      <c r="CQ11" s="83">
        <f t="shared" si="5"/>
        <v>0</v>
      </c>
      <c r="CR11" s="84"/>
      <c r="CS11" s="13"/>
      <c r="CT11" s="85"/>
      <c r="CU11" s="86"/>
      <c r="CV11" s="11"/>
      <c r="CW11" s="86"/>
      <c r="CX11" s="84"/>
      <c r="CY11" s="86"/>
    </row>
    <row r="12" spans="1:104" ht="102" x14ac:dyDescent="0.2">
      <c r="A12" s="43">
        <v>39823</v>
      </c>
      <c r="B12" s="44" t="s">
        <v>625</v>
      </c>
      <c r="C12" s="44" t="s">
        <v>738</v>
      </c>
      <c r="D12" s="45" t="s">
        <v>1092</v>
      </c>
      <c r="E12" s="11"/>
      <c r="F12" s="12"/>
      <c r="G12" s="12"/>
      <c r="H12" s="12"/>
      <c r="I12" s="12"/>
      <c r="J12" s="12"/>
      <c r="K12" s="12"/>
      <c r="L12" s="12"/>
      <c r="M12" s="12"/>
      <c r="N12" s="12"/>
      <c r="O12" s="12">
        <v>1</v>
      </c>
      <c r="P12" s="12"/>
      <c r="Q12" s="12"/>
      <c r="R12" s="12"/>
      <c r="S12" s="12"/>
      <c r="T12" s="13"/>
      <c r="U12" s="46"/>
      <c r="V12" s="47">
        <v>39876</v>
      </c>
      <c r="W12" s="48">
        <f t="shared" si="0"/>
        <v>0</v>
      </c>
      <c r="X12" s="48">
        <f t="shared" si="1"/>
        <v>0</v>
      </c>
      <c r="Y12" s="48">
        <f t="shared" si="2"/>
        <v>0</v>
      </c>
      <c r="Z12" s="48">
        <f t="shared" si="3"/>
        <v>0</v>
      </c>
      <c r="AA12" s="48"/>
      <c r="AB12" s="48">
        <v>53783420</v>
      </c>
      <c r="AC12" s="49">
        <f t="shared" si="4"/>
        <v>53783420</v>
      </c>
      <c r="AD12" s="50">
        <v>0</v>
      </c>
      <c r="AE12" s="47">
        <v>39840</v>
      </c>
      <c r="AF12" s="51" t="s">
        <v>1016</v>
      </c>
      <c r="AG12" s="52" t="s">
        <v>565</v>
      </c>
      <c r="AH12" s="54" t="s">
        <v>943</v>
      </c>
      <c r="AI12" s="79"/>
      <c r="AJ12" s="80"/>
      <c r="AK12" s="81"/>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2"/>
      <c r="CL12" s="12"/>
      <c r="CM12" s="82"/>
      <c r="CN12" s="12"/>
      <c r="CO12" s="82"/>
      <c r="CP12" s="12"/>
      <c r="CQ12" s="83">
        <f t="shared" si="5"/>
        <v>0</v>
      </c>
      <c r="CR12" s="84"/>
      <c r="CS12" s="13"/>
      <c r="CT12" s="85"/>
      <c r="CU12" s="86"/>
      <c r="CV12" s="11"/>
      <c r="CW12" s="86"/>
      <c r="CX12" s="84"/>
      <c r="CY12" s="86"/>
    </row>
    <row r="13" spans="1:104" ht="38.25" x14ac:dyDescent="0.2">
      <c r="A13" s="43">
        <v>39825</v>
      </c>
      <c r="B13" s="44" t="s">
        <v>1066</v>
      </c>
      <c r="C13" s="44" t="s">
        <v>485</v>
      </c>
      <c r="D13" s="45" t="s">
        <v>1092</v>
      </c>
      <c r="E13" s="11"/>
      <c r="F13" s="12"/>
      <c r="G13" s="12"/>
      <c r="H13" s="12"/>
      <c r="I13" s="12"/>
      <c r="J13" s="12"/>
      <c r="K13" s="12"/>
      <c r="L13" s="12">
        <v>1</v>
      </c>
      <c r="M13" s="12"/>
      <c r="N13" s="12"/>
      <c r="O13" s="12"/>
      <c r="P13" s="12"/>
      <c r="Q13" s="12"/>
      <c r="R13" s="12"/>
      <c r="S13" s="12"/>
      <c r="T13" s="13"/>
      <c r="U13" s="46"/>
      <c r="V13" s="47"/>
      <c r="W13" s="48">
        <f t="shared" si="0"/>
        <v>0</v>
      </c>
      <c r="X13" s="48">
        <f t="shared" si="1"/>
        <v>0</v>
      </c>
      <c r="Y13" s="48">
        <f t="shared" si="2"/>
        <v>0</v>
      </c>
      <c r="Z13" s="48">
        <f t="shared" si="3"/>
        <v>0</v>
      </c>
      <c r="AA13" s="48"/>
      <c r="AB13" s="48"/>
      <c r="AC13" s="49">
        <f t="shared" si="4"/>
        <v>0</v>
      </c>
      <c r="AD13" s="50">
        <v>0</v>
      </c>
      <c r="AE13" s="47">
        <v>39856</v>
      </c>
      <c r="AF13" s="51" t="s">
        <v>1016</v>
      </c>
      <c r="AG13" s="52" t="s">
        <v>565</v>
      </c>
      <c r="AH13" s="53" t="s">
        <v>1455</v>
      </c>
      <c r="AI13" s="79"/>
      <c r="AJ13" s="80"/>
      <c r="AK13" s="81"/>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2"/>
      <c r="CL13" s="12"/>
      <c r="CM13" s="82"/>
      <c r="CN13" s="12"/>
      <c r="CO13" s="82"/>
      <c r="CP13" s="12"/>
      <c r="CQ13" s="83">
        <f t="shared" si="5"/>
        <v>0</v>
      </c>
      <c r="CR13" s="84"/>
      <c r="CS13" s="13"/>
      <c r="CT13" s="85"/>
      <c r="CU13" s="86"/>
      <c r="CV13" s="11"/>
      <c r="CW13" s="86"/>
      <c r="CX13" s="84"/>
      <c r="CY13" s="86"/>
    </row>
    <row r="14" spans="1:104" ht="38.25" x14ac:dyDescent="0.2">
      <c r="A14" s="43">
        <v>39826</v>
      </c>
      <c r="B14" s="44" t="s">
        <v>625</v>
      </c>
      <c r="C14" s="44" t="s">
        <v>519</v>
      </c>
      <c r="D14" s="45" t="s">
        <v>133</v>
      </c>
      <c r="E14" s="11"/>
      <c r="F14" s="12"/>
      <c r="G14" s="12"/>
      <c r="H14" s="12"/>
      <c r="I14" s="12"/>
      <c r="J14" s="12"/>
      <c r="K14" s="12"/>
      <c r="L14" s="12"/>
      <c r="M14" s="12"/>
      <c r="N14" s="12"/>
      <c r="O14" s="12"/>
      <c r="P14" s="12">
        <v>1</v>
      </c>
      <c r="Q14" s="12"/>
      <c r="R14" s="12"/>
      <c r="S14" s="12"/>
      <c r="T14" s="13"/>
      <c r="U14" s="46"/>
      <c r="V14" s="47"/>
      <c r="W14" s="48">
        <f t="shared" si="0"/>
        <v>0</v>
      </c>
      <c r="X14" s="48">
        <f t="shared" si="1"/>
        <v>0</v>
      </c>
      <c r="Y14" s="48">
        <f t="shared" si="2"/>
        <v>0</v>
      </c>
      <c r="Z14" s="48">
        <f t="shared" si="3"/>
        <v>0</v>
      </c>
      <c r="AA14" s="48"/>
      <c r="AB14" s="48"/>
      <c r="AC14" s="49">
        <f t="shared" si="4"/>
        <v>0</v>
      </c>
      <c r="AD14" s="50">
        <v>0</v>
      </c>
      <c r="AE14" s="47">
        <v>39826</v>
      </c>
      <c r="AF14" s="51" t="s">
        <v>516</v>
      </c>
      <c r="AG14" s="52" t="s">
        <v>517</v>
      </c>
      <c r="AH14" s="53" t="s">
        <v>520</v>
      </c>
      <c r="AI14" s="79"/>
      <c r="AJ14" s="80"/>
      <c r="AK14" s="81"/>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2"/>
      <c r="CL14" s="12"/>
      <c r="CM14" s="82"/>
      <c r="CN14" s="12"/>
      <c r="CO14" s="82"/>
      <c r="CP14" s="12"/>
      <c r="CQ14" s="83">
        <f t="shared" si="5"/>
        <v>0</v>
      </c>
      <c r="CR14" s="84"/>
      <c r="CS14" s="13"/>
      <c r="CT14" s="85"/>
      <c r="CU14" s="86"/>
      <c r="CV14" s="11"/>
      <c r="CW14" s="86"/>
      <c r="CX14" s="84"/>
      <c r="CY14" s="86"/>
    </row>
    <row r="15" spans="1:104" ht="51" x14ac:dyDescent="0.2">
      <c r="A15" s="43">
        <v>39827</v>
      </c>
      <c r="B15" s="44" t="s">
        <v>1093</v>
      </c>
      <c r="C15" s="44" t="s">
        <v>523</v>
      </c>
      <c r="D15" s="45" t="s">
        <v>1118</v>
      </c>
      <c r="E15" s="11"/>
      <c r="F15" s="12"/>
      <c r="G15" s="12"/>
      <c r="H15" s="12">
        <v>25</v>
      </c>
      <c r="I15" s="12">
        <v>3</v>
      </c>
      <c r="J15" s="12"/>
      <c r="K15" s="12">
        <v>3</v>
      </c>
      <c r="L15" s="12"/>
      <c r="M15" s="12"/>
      <c r="N15" s="12"/>
      <c r="O15" s="12"/>
      <c r="P15" s="12"/>
      <c r="Q15" s="12"/>
      <c r="R15" s="12"/>
      <c r="S15" s="12"/>
      <c r="T15" s="13"/>
      <c r="U15" s="46"/>
      <c r="V15" s="47"/>
      <c r="W15" s="48">
        <f t="shared" si="0"/>
        <v>0</v>
      </c>
      <c r="X15" s="48">
        <f t="shared" si="1"/>
        <v>0</v>
      </c>
      <c r="Y15" s="48">
        <f t="shared" si="2"/>
        <v>0</v>
      </c>
      <c r="Z15" s="48">
        <f t="shared" si="3"/>
        <v>0</v>
      </c>
      <c r="AA15" s="48"/>
      <c r="AB15" s="48"/>
      <c r="AC15" s="49">
        <f t="shared" si="4"/>
        <v>0</v>
      </c>
      <c r="AD15" s="50">
        <v>0</v>
      </c>
      <c r="AE15" s="47">
        <v>39827</v>
      </c>
      <c r="AF15" s="51" t="s">
        <v>516</v>
      </c>
      <c r="AG15" s="52" t="s">
        <v>517</v>
      </c>
      <c r="AH15" s="53" t="s">
        <v>1048</v>
      </c>
      <c r="AI15" s="79"/>
      <c r="AJ15" s="80"/>
      <c r="AK15" s="81"/>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2"/>
      <c r="CL15" s="12"/>
      <c r="CM15" s="82"/>
      <c r="CN15" s="12"/>
      <c r="CO15" s="82"/>
      <c r="CP15" s="12"/>
      <c r="CQ15" s="83">
        <f t="shared" si="5"/>
        <v>0</v>
      </c>
      <c r="CR15" s="84"/>
      <c r="CS15" s="13"/>
      <c r="CT15" s="85"/>
      <c r="CU15" s="86"/>
      <c r="CV15" s="11"/>
      <c r="CW15" s="86"/>
      <c r="CX15" s="84"/>
      <c r="CY15" s="86"/>
    </row>
    <row r="16" spans="1:104" ht="38.25" x14ac:dyDescent="0.2">
      <c r="A16" s="43">
        <v>39827</v>
      </c>
      <c r="B16" s="44" t="s">
        <v>1093</v>
      </c>
      <c r="C16" s="44" t="s">
        <v>1049</v>
      </c>
      <c r="D16" s="45" t="s">
        <v>1118</v>
      </c>
      <c r="E16" s="11"/>
      <c r="F16" s="12"/>
      <c r="G16" s="12"/>
      <c r="H16" s="12">
        <v>20</v>
      </c>
      <c r="I16" s="12">
        <v>5</v>
      </c>
      <c r="J16" s="12"/>
      <c r="K16" s="12">
        <v>3</v>
      </c>
      <c r="L16" s="12"/>
      <c r="M16" s="12"/>
      <c r="N16" s="12"/>
      <c r="O16" s="12"/>
      <c r="P16" s="12"/>
      <c r="Q16" s="12"/>
      <c r="R16" s="12"/>
      <c r="S16" s="12"/>
      <c r="T16" s="13"/>
      <c r="U16" s="46"/>
      <c r="V16" s="47"/>
      <c r="W16" s="48">
        <f t="shared" si="0"/>
        <v>0</v>
      </c>
      <c r="X16" s="48">
        <f t="shared" si="1"/>
        <v>0</v>
      </c>
      <c r="Y16" s="48">
        <f t="shared" si="2"/>
        <v>0</v>
      </c>
      <c r="Z16" s="48">
        <f t="shared" si="3"/>
        <v>0</v>
      </c>
      <c r="AA16" s="48"/>
      <c r="AB16" s="48"/>
      <c r="AC16" s="49">
        <f t="shared" si="4"/>
        <v>0</v>
      </c>
      <c r="AD16" s="50">
        <v>0</v>
      </c>
      <c r="AE16" s="47">
        <v>39827</v>
      </c>
      <c r="AF16" s="51" t="s">
        <v>516</v>
      </c>
      <c r="AG16" s="52" t="s">
        <v>517</v>
      </c>
      <c r="AH16" s="53" t="s">
        <v>1050</v>
      </c>
      <c r="AI16" s="79"/>
      <c r="AJ16" s="80"/>
      <c r="AK16" s="81"/>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2"/>
      <c r="CL16" s="12"/>
      <c r="CM16" s="82"/>
      <c r="CN16" s="12"/>
      <c r="CO16" s="82"/>
      <c r="CP16" s="12"/>
      <c r="CQ16" s="83">
        <f t="shared" si="5"/>
        <v>0</v>
      </c>
      <c r="CR16" s="84"/>
      <c r="CS16" s="13"/>
      <c r="CT16" s="85"/>
      <c r="CU16" s="86"/>
      <c r="CV16" s="11"/>
      <c r="CW16" s="86"/>
      <c r="CX16" s="84"/>
      <c r="CY16" s="86"/>
    </row>
    <row r="17" spans="1:103" ht="25.5" x14ac:dyDescent="0.2">
      <c r="A17" s="43">
        <v>39827</v>
      </c>
      <c r="B17" s="44" t="s">
        <v>625</v>
      </c>
      <c r="C17" s="44" t="s">
        <v>521</v>
      </c>
      <c r="D17" s="45" t="s">
        <v>1118</v>
      </c>
      <c r="E17" s="11"/>
      <c r="F17" s="12"/>
      <c r="G17" s="12"/>
      <c r="H17" s="12">
        <v>5000</v>
      </c>
      <c r="I17" s="12">
        <v>1050</v>
      </c>
      <c r="J17" s="12"/>
      <c r="K17" s="12">
        <v>1050</v>
      </c>
      <c r="L17" s="12"/>
      <c r="M17" s="12"/>
      <c r="N17" s="12"/>
      <c r="O17" s="12"/>
      <c r="P17" s="12"/>
      <c r="Q17" s="12"/>
      <c r="R17" s="12"/>
      <c r="S17" s="12"/>
      <c r="T17" s="13"/>
      <c r="U17" s="46"/>
      <c r="V17" s="47"/>
      <c r="W17" s="48">
        <f t="shared" si="0"/>
        <v>0</v>
      </c>
      <c r="X17" s="48">
        <f t="shared" si="1"/>
        <v>0</v>
      </c>
      <c r="Y17" s="48">
        <f t="shared" si="2"/>
        <v>0</v>
      </c>
      <c r="Z17" s="48">
        <f t="shared" si="3"/>
        <v>0</v>
      </c>
      <c r="AA17" s="48"/>
      <c r="AB17" s="48"/>
      <c r="AC17" s="49">
        <f t="shared" si="4"/>
        <v>0</v>
      </c>
      <c r="AD17" s="50">
        <v>0</v>
      </c>
      <c r="AE17" s="47">
        <v>39827</v>
      </c>
      <c r="AF17" s="51" t="s">
        <v>516</v>
      </c>
      <c r="AG17" s="52" t="s">
        <v>517</v>
      </c>
      <c r="AH17" s="53" t="s">
        <v>522</v>
      </c>
      <c r="AI17" s="79"/>
      <c r="AJ17" s="80"/>
      <c r="AK17" s="81"/>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2"/>
      <c r="CL17" s="12"/>
      <c r="CM17" s="82"/>
      <c r="CN17" s="12"/>
      <c r="CO17" s="82"/>
      <c r="CP17" s="12"/>
      <c r="CQ17" s="83">
        <f t="shared" si="5"/>
        <v>0</v>
      </c>
      <c r="CR17" s="84"/>
      <c r="CS17" s="13"/>
      <c r="CT17" s="85"/>
      <c r="CU17" s="86"/>
      <c r="CV17" s="11"/>
      <c r="CW17" s="86"/>
      <c r="CX17" s="84"/>
      <c r="CY17" s="86"/>
    </row>
    <row r="18" spans="1:103" ht="76.5" x14ac:dyDescent="0.2">
      <c r="A18" s="43">
        <v>39827</v>
      </c>
      <c r="B18" s="44" t="s">
        <v>1453</v>
      </c>
      <c r="C18" s="44" t="s">
        <v>1453</v>
      </c>
      <c r="D18" s="45" t="s">
        <v>1118</v>
      </c>
      <c r="E18" s="11"/>
      <c r="F18" s="12"/>
      <c r="G18" s="12"/>
      <c r="H18" s="12"/>
      <c r="I18" s="12"/>
      <c r="J18" s="12"/>
      <c r="K18" s="12"/>
      <c r="L18" s="12"/>
      <c r="M18" s="12"/>
      <c r="N18" s="12"/>
      <c r="O18" s="12"/>
      <c r="P18" s="12"/>
      <c r="Q18" s="12"/>
      <c r="R18" s="12"/>
      <c r="S18" s="12"/>
      <c r="T18" s="13"/>
      <c r="U18" s="46"/>
      <c r="V18" s="47">
        <v>39827</v>
      </c>
      <c r="W18" s="48">
        <f t="shared" si="0"/>
        <v>0</v>
      </c>
      <c r="X18" s="48">
        <f t="shared" si="1"/>
        <v>0</v>
      </c>
      <c r="Y18" s="48">
        <f t="shared" si="2"/>
        <v>0</v>
      </c>
      <c r="Z18" s="48">
        <f t="shared" si="3"/>
        <v>45820000</v>
      </c>
      <c r="AA18" s="48">
        <v>38976000</v>
      </c>
      <c r="AB18" s="48">
        <v>60000000</v>
      </c>
      <c r="AC18" s="49">
        <f t="shared" si="4"/>
        <v>144796000</v>
      </c>
      <c r="AD18" s="50">
        <v>0</v>
      </c>
      <c r="AE18" s="47">
        <v>39827</v>
      </c>
      <c r="AF18" s="51" t="s">
        <v>1016</v>
      </c>
      <c r="AG18" s="52" t="s">
        <v>565</v>
      </c>
      <c r="AH18" s="54" t="s">
        <v>1001</v>
      </c>
      <c r="AI18" s="79"/>
      <c r="AJ18" s="80"/>
      <c r="AK18" s="81"/>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2"/>
      <c r="CL18" s="12"/>
      <c r="CM18" s="82"/>
      <c r="CN18" s="12"/>
      <c r="CO18" s="82"/>
      <c r="CP18" s="12"/>
      <c r="CQ18" s="83">
        <f t="shared" si="5"/>
        <v>0</v>
      </c>
      <c r="CR18" s="84">
        <v>50000</v>
      </c>
      <c r="CS18" s="13">
        <f>50000*916.4</f>
        <v>45820000</v>
      </c>
      <c r="CT18" s="85"/>
      <c r="CU18" s="86"/>
      <c r="CV18" s="11"/>
      <c r="CW18" s="86"/>
      <c r="CX18" s="84"/>
      <c r="CY18" s="86"/>
    </row>
    <row r="19" spans="1:103" ht="38.25" x14ac:dyDescent="0.2">
      <c r="A19" s="43">
        <v>39828</v>
      </c>
      <c r="B19" s="44" t="s">
        <v>625</v>
      </c>
      <c r="C19" s="44" t="s">
        <v>1051</v>
      </c>
      <c r="D19" s="45" t="s">
        <v>1116</v>
      </c>
      <c r="E19" s="11"/>
      <c r="F19" s="12"/>
      <c r="G19" s="12"/>
      <c r="H19" s="12">
        <v>13</v>
      </c>
      <c r="I19" s="12">
        <v>4</v>
      </c>
      <c r="J19" s="12"/>
      <c r="K19" s="12">
        <v>4</v>
      </c>
      <c r="L19" s="12"/>
      <c r="M19" s="12"/>
      <c r="N19" s="12"/>
      <c r="O19" s="12"/>
      <c r="P19" s="12"/>
      <c r="Q19" s="12"/>
      <c r="R19" s="12"/>
      <c r="S19" s="12"/>
      <c r="T19" s="13"/>
      <c r="U19" s="46"/>
      <c r="V19" s="47"/>
      <c r="W19" s="48">
        <f t="shared" si="0"/>
        <v>0</v>
      </c>
      <c r="X19" s="48">
        <f t="shared" si="1"/>
        <v>0</v>
      </c>
      <c r="Y19" s="48">
        <f t="shared" si="2"/>
        <v>0</v>
      </c>
      <c r="Z19" s="48">
        <f t="shared" si="3"/>
        <v>0</v>
      </c>
      <c r="AA19" s="48"/>
      <c r="AB19" s="48"/>
      <c r="AC19" s="49">
        <f t="shared" si="4"/>
        <v>0</v>
      </c>
      <c r="AD19" s="50">
        <v>0</v>
      </c>
      <c r="AE19" s="47">
        <v>39828</v>
      </c>
      <c r="AF19" s="51" t="s">
        <v>516</v>
      </c>
      <c r="AG19" s="52" t="s">
        <v>517</v>
      </c>
      <c r="AH19" s="53" t="s">
        <v>1052</v>
      </c>
      <c r="AI19" s="79"/>
      <c r="AJ19" s="80"/>
      <c r="AK19" s="81"/>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2"/>
      <c r="CL19" s="12"/>
      <c r="CM19" s="82"/>
      <c r="CN19" s="12"/>
      <c r="CO19" s="82"/>
      <c r="CP19" s="12"/>
      <c r="CQ19" s="83">
        <f t="shared" si="5"/>
        <v>0</v>
      </c>
      <c r="CR19" s="84"/>
      <c r="CS19" s="13"/>
      <c r="CT19" s="85"/>
      <c r="CU19" s="86"/>
      <c r="CV19" s="11"/>
      <c r="CW19" s="86"/>
      <c r="CX19" s="84"/>
      <c r="CY19" s="86"/>
    </row>
    <row r="20" spans="1:103" ht="63.75" x14ac:dyDescent="0.2">
      <c r="A20" s="43">
        <v>39828</v>
      </c>
      <c r="B20" s="44" t="s">
        <v>1097</v>
      </c>
      <c r="C20" s="44" t="s">
        <v>1053</v>
      </c>
      <c r="D20" s="45" t="s">
        <v>1118</v>
      </c>
      <c r="E20" s="11"/>
      <c r="F20" s="12"/>
      <c r="G20" s="12"/>
      <c r="H20" s="12">
        <v>735</v>
      </c>
      <c r="I20" s="12">
        <v>123</v>
      </c>
      <c r="J20" s="12">
        <v>123</v>
      </c>
      <c r="K20" s="12"/>
      <c r="L20" s="12"/>
      <c r="M20" s="12"/>
      <c r="N20" s="12"/>
      <c r="O20" s="12">
        <v>1</v>
      </c>
      <c r="P20" s="12"/>
      <c r="Q20" s="12"/>
      <c r="R20" s="12">
        <v>1</v>
      </c>
      <c r="S20" s="12">
        <v>2</v>
      </c>
      <c r="T20" s="13"/>
      <c r="U20" s="46"/>
      <c r="V20" s="47"/>
      <c r="W20" s="48">
        <f t="shared" si="0"/>
        <v>0</v>
      </c>
      <c r="X20" s="48">
        <f t="shared" si="1"/>
        <v>0</v>
      </c>
      <c r="Y20" s="48">
        <f t="shared" si="2"/>
        <v>0</v>
      </c>
      <c r="Z20" s="48">
        <f t="shared" si="3"/>
        <v>0</v>
      </c>
      <c r="AA20" s="48"/>
      <c r="AB20" s="48"/>
      <c r="AC20" s="49">
        <f t="shared" si="4"/>
        <v>0</v>
      </c>
      <c r="AD20" s="50">
        <v>0</v>
      </c>
      <c r="AE20" s="47">
        <v>39828</v>
      </c>
      <c r="AF20" s="51" t="s">
        <v>516</v>
      </c>
      <c r="AG20" s="52" t="s">
        <v>517</v>
      </c>
      <c r="AH20" s="53" t="s">
        <v>739</v>
      </c>
      <c r="AI20" s="79"/>
      <c r="AJ20" s="80"/>
      <c r="AK20" s="81"/>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2"/>
      <c r="CL20" s="12"/>
      <c r="CM20" s="82"/>
      <c r="CN20" s="12"/>
      <c r="CO20" s="82"/>
      <c r="CP20" s="12"/>
      <c r="CQ20" s="83">
        <f t="shared" si="5"/>
        <v>0</v>
      </c>
      <c r="CR20" s="84"/>
      <c r="CS20" s="13"/>
      <c r="CT20" s="85"/>
      <c r="CU20" s="86"/>
      <c r="CV20" s="11"/>
      <c r="CW20" s="86"/>
      <c r="CX20" s="84"/>
      <c r="CY20" s="86"/>
    </row>
    <row r="21" spans="1:103" ht="25.5" x14ac:dyDescent="0.2">
      <c r="A21" s="43">
        <v>39829</v>
      </c>
      <c r="B21" s="44" t="s">
        <v>625</v>
      </c>
      <c r="C21" s="44" t="s">
        <v>1054</v>
      </c>
      <c r="D21" s="45" t="s">
        <v>1118</v>
      </c>
      <c r="E21" s="11"/>
      <c r="F21" s="12"/>
      <c r="G21" s="12"/>
      <c r="H21" s="12">
        <v>150</v>
      </c>
      <c r="I21" s="12">
        <v>30</v>
      </c>
      <c r="J21" s="12"/>
      <c r="K21" s="12">
        <v>30</v>
      </c>
      <c r="L21" s="12"/>
      <c r="M21" s="12"/>
      <c r="N21" s="12"/>
      <c r="O21" s="12"/>
      <c r="P21" s="12"/>
      <c r="Q21" s="12"/>
      <c r="R21" s="12"/>
      <c r="S21" s="12"/>
      <c r="T21" s="13"/>
      <c r="U21" s="46"/>
      <c r="V21" s="47"/>
      <c r="W21" s="48">
        <f t="shared" si="0"/>
        <v>0</v>
      </c>
      <c r="X21" s="48">
        <f t="shared" si="1"/>
        <v>0</v>
      </c>
      <c r="Y21" s="48">
        <f t="shared" si="2"/>
        <v>0</v>
      </c>
      <c r="Z21" s="48">
        <f t="shared" si="3"/>
        <v>0</v>
      </c>
      <c r="AA21" s="48"/>
      <c r="AB21" s="48"/>
      <c r="AC21" s="49">
        <f t="shared" si="4"/>
        <v>0</v>
      </c>
      <c r="AD21" s="50">
        <v>0</v>
      </c>
      <c r="AE21" s="47">
        <v>39829</v>
      </c>
      <c r="AF21" s="51" t="s">
        <v>516</v>
      </c>
      <c r="AG21" s="52" t="s">
        <v>517</v>
      </c>
      <c r="AH21" s="53" t="s">
        <v>641</v>
      </c>
      <c r="AI21" s="79"/>
      <c r="AJ21" s="80"/>
      <c r="AK21" s="81"/>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2"/>
      <c r="CL21" s="12"/>
      <c r="CM21" s="82"/>
      <c r="CN21" s="12"/>
      <c r="CO21" s="82"/>
      <c r="CP21" s="12"/>
      <c r="CQ21" s="83">
        <f t="shared" si="5"/>
        <v>0</v>
      </c>
      <c r="CR21" s="84"/>
      <c r="CS21" s="13"/>
      <c r="CT21" s="85"/>
      <c r="CU21" s="86"/>
      <c r="CV21" s="11"/>
      <c r="CW21" s="86"/>
      <c r="CX21" s="84"/>
      <c r="CY21" s="86"/>
    </row>
    <row r="22" spans="1:103" ht="51" x14ac:dyDescent="0.2">
      <c r="A22" s="43">
        <v>39829</v>
      </c>
      <c r="B22" s="44" t="s">
        <v>625</v>
      </c>
      <c r="C22" s="44" t="s">
        <v>1051</v>
      </c>
      <c r="D22" s="45" t="s">
        <v>1092</v>
      </c>
      <c r="E22" s="11"/>
      <c r="F22" s="12"/>
      <c r="G22" s="12"/>
      <c r="H22" s="12">
        <v>173</v>
      </c>
      <c r="I22" s="12">
        <v>35</v>
      </c>
      <c r="J22" s="12"/>
      <c r="K22" s="12"/>
      <c r="L22" s="12"/>
      <c r="M22" s="12"/>
      <c r="N22" s="12"/>
      <c r="O22" s="12"/>
      <c r="P22" s="12"/>
      <c r="Q22" s="12"/>
      <c r="R22" s="12"/>
      <c r="S22" s="12"/>
      <c r="T22" s="13"/>
      <c r="U22" s="46"/>
      <c r="V22" s="47">
        <v>39939</v>
      </c>
      <c r="W22" s="48">
        <f t="shared" si="0"/>
        <v>9688000</v>
      </c>
      <c r="X22" s="48">
        <f t="shared" si="1"/>
        <v>0</v>
      </c>
      <c r="Y22" s="48">
        <f t="shared" si="2"/>
        <v>0</v>
      </c>
      <c r="Z22" s="48">
        <f t="shared" si="3"/>
        <v>0</v>
      </c>
      <c r="AA22" s="48"/>
      <c r="AB22" s="48"/>
      <c r="AC22" s="49">
        <f t="shared" si="4"/>
        <v>9688000</v>
      </c>
      <c r="AD22" s="50">
        <v>0</v>
      </c>
      <c r="AE22" s="47">
        <v>39829</v>
      </c>
      <c r="AF22" s="51" t="s">
        <v>1016</v>
      </c>
      <c r="AG22" s="52" t="s">
        <v>565</v>
      </c>
      <c r="AH22" s="53" t="s">
        <v>1015</v>
      </c>
      <c r="AI22" s="79"/>
      <c r="AJ22" s="80"/>
      <c r="AK22" s="81"/>
      <c r="AL22" s="80"/>
      <c r="AM22" s="80"/>
      <c r="AN22" s="80"/>
      <c r="AO22" s="80"/>
      <c r="AP22" s="80"/>
      <c r="AQ22" s="80"/>
      <c r="AR22" s="80"/>
      <c r="AS22" s="80"/>
      <c r="AT22" s="80"/>
      <c r="AU22" s="80">
        <v>173</v>
      </c>
      <c r="AV22" s="80">
        <f>173*56000</f>
        <v>9688000</v>
      </c>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2"/>
      <c r="CL22" s="12"/>
      <c r="CM22" s="82"/>
      <c r="CN22" s="12"/>
      <c r="CO22" s="82"/>
      <c r="CP22" s="12"/>
      <c r="CQ22" s="83">
        <f t="shared" si="5"/>
        <v>9688000</v>
      </c>
      <c r="CR22" s="84"/>
      <c r="CS22" s="13"/>
      <c r="CT22" s="85"/>
      <c r="CU22" s="86"/>
      <c r="CV22" s="11"/>
      <c r="CW22" s="86"/>
      <c r="CX22" s="84"/>
      <c r="CY22" s="86"/>
    </row>
    <row r="23" spans="1:103" ht="38.25" x14ac:dyDescent="0.2">
      <c r="A23" s="43">
        <v>39831</v>
      </c>
      <c r="B23" s="44" t="s">
        <v>1226</v>
      </c>
      <c r="C23" s="44" t="s">
        <v>642</v>
      </c>
      <c r="D23" s="45" t="s">
        <v>1092</v>
      </c>
      <c r="E23" s="11"/>
      <c r="F23" s="12">
        <v>2</v>
      </c>
      <c r="G23" s="12"/>
      <c r="H23" s="12">
        <v>15</v>
      </c>
      <c r="I23" s="12">
        <v>2</v>
      </c>
      <c r="J23" s="12">
        <v>2</v>
      </c>
      <c r="K23" s="12"/>
      <c r="L23" s="12"/>
      <c r="M23" s="12"/>
      <c r="N23" s="12"/>
      <c r="O23" s="12"/>
      <c r="P23" s="12"/>
      <c r="Q23" s="12"/>
      <c r="R23" s="12"/>
      <c r="S23" s="12"/>
      <c r="T23" s="13"/>
      <c r="U23" s="46"/>
      <c r="V23" s="47"/>
      <c r="W23" s="48">
        <f t="shared" si="0"/>
        <v>0</v>
      </c>
      <c r="X23" s="48">
        <f t="shared" si="1"/>
        <v>0</v>
      </c>
      <c r="Y23" s="48">
        <f t="shared" si="2"/>
        <v>0</v>
      </c>
      <c r="Z23" s="48">
        <f t="shared" si="3"/>
        <v>0</v>
      </c>
      <c r="AA23" s="48"/>
      <c r="AB23" s="48"/>
      <c r="AC23" s="49">
        <f t="shared" si="4"/>
        <v>0</v>
      </c>
      <c r="AD23" s="50">
        <v>0</v>
      </c>
      <c r="AE23" s="47">
        <v>39831</v>
      </c>
      <c r="AF23" s="51" t="s">
        <v>516</v>
      </c>
      <c r="AG23" s="52" t="s">
        <v>517</v>
      </c>
      <c r="AH23" s="53" t="s">
        <v>643</v>
      </c>
      <c r="AI23" s="79"/>
      <c r="AJ23" s="80"/>
      <c r="AK23" s="81"/>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2"/>
      <c r="CL23" s="12"/>
      <c r="CM23" s="82"/>
      <c r="CN23" s="12"/>
      <c r="CO23" s="82"/>
      <c r="CP23" s="12"/>
      <c r="CQ23" s="83">
        <f t="shared" si="5"/>
        <v>0</v>
      </c>
      <c r="CR23" s="84"/>
      <c r="CS23" s="13"/>
      <c r="CT23" s="85"/>
      <c r="CU23" s="86"/>
      <c r="CV23" s="11"/>
      <c r="CW23" s="86"/>
      <c r="CX23" s="84"/>
      <c r="CY23" s="86"/>
    </row>
    <row r="24" spans="1:103" ht="25.5" x14ac:dyDescent="0.2">
      <c r="A24" s="43">
        <v>39831</v>
      </c>
      <c r="B24" s="44" t="s">
        <v>1066</v>
      </c>
      <c r="C24" s="44" t="s">
        <v>377</v>
      </c>
      <c r="D24" s="45" t="s">
        <v>1092</v>
      </c>
      <c r="E24" s="11"/>
      <c r="F24" s="12"/>
      <c r="G24" s="12"/>
      <c r="H24" s="12">
        <v>115</v>
      </c>
      <c r="I24" s="12">
        <v>40</v>
      </c>
      <c r="J24" s="12"/>
      <c r="K24" s="12">
        <v>40</v>
      </c>
      <c r="L24" s="12"/>
      <c r="M24" s="12"/>
      <c r="N24" s="12"/>
      <c r="O24" s="12"/>
      <c r="P24" s="12"/>
      <c r="Q24" s="12"/>
      <c r="R24" s="12"/>
      <c r="S24" s="12"/>
      <c r="T24" s="13"/>
      <c r="U24" s="46"/>
      <c r="V24" s="47"/>
      <c r="W24" s="48">
        <f t="shared" si="0"/>
        <v>0</v>
      </c>
      <c r="X24" s="48">
        <f t="shared" si="1"/>
        <v>0</v>
      </c>
      <c r="Y24" s="48">
        <f t="shared" si="2"/>
        <v>0</v>
      </c>
      <c r="Z24" s="48">
        <f t="shared" si="3"/>
        <v>0</v>
      </c>
      <c r="AA24" s="48"/>
      <c r="AB24" s="48"/>
      <c r="AC24" s="49">
        <f t="shared" si="4"/>
        <v>0</v>
      </c>
      <c r="AD24" s="50">
        <v>0</v>
      </c>
      <c r="AE24" s="47">
        <v>39926</v>
      </c>
      <c r="AF24" s="51" t="s">
        <v>516</v>
      </c>
      <c r="AG24" s="52" t="s">
        <v>517</v>
      </c>
      <c r="AH24" s="53" t="s">
        <v>593</v>
      </c>
      <c r="AI24" s="79"/>
      <c r="AJ24" s="80"/>
      <c r="AK24" s="81"/>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2"/>
      <c r="CL24" s="12"/>
      <c r="CM24" s="82"/>
      <c r="CN24" s="12"/>
      <c r="CO24" s="82"/>
      <c r="CP24" s="12"/>
      <c r="CQ24" s="83">
        <f t="shared" si="5"/>
        <v>0</v>
      </c>
      <c r="CR24" s="84"/>
      <c r="CS24" s="13"/>
      <c r="CT24" s="85"/>
      <c r="CU24" s="86"/>
      <c r="CV24" s="11"/>
      <c r="CW24" s="86"/>
      <c r="CX24" s="84"/>
      <c r="CY24" s="86"/>
    </row>
    <row r="25" spans="1:103" ht="25.5" x14ac:dyDescent="0.2">
      <c r="A25" s="43">
        <v>39832</v>
      </c>
      <c r="B25" s="44" t="s">
        <v>625</v>
      </c>
      <c r="C25" s="44" t="s">
        <v>644</v>
      </c>
      <c r="D25" s="45" t="s">
        <v>1092</v>
      </c>
      <c r="E25" s="11"/>
      <c r="F25" s="12"/>
      <c r="G25" s="12"/>
      <c r="H25" s="12"/>
      <c r="I25" s="12"/>
      <c r="J25" s="12"/>
      <c r="K25" s="12"/>
      <c r="L25" s="12"/>
      <c r="M25" s="12"/>
      <c r="N25" s="12"/>
      <c r="O25" s="12"/>
      <c r="P25" s="12"/>
      <c r="Q25" s="12"/>
      <c r="R25" s="12"/>
      <c r="S25" s="12"/>
      <c r="T25" s="13"/>
      <c r="U25" s="46"/>
      <c r="V25" s="47"/>
      <c r="W25" s="48">
        <f t="shared" si="0"/>
        <v>0</v>
      </c>
      <c r="X25" s="48">
        <f t="shared" si="1"/>
        <v>0</v>
      </c>
      <c r="Y25" s="48">
        <f t="shared" si="2"/>
        <v>0</v>
      </c>
      <c r="Z25" s="48">
        <f t="shared" si="3"/>
        <v>0</v>
      </c>
      <c r="AA25" s="48"/>
      <c r="AB25" s="48"/>
      <c r="AC25" s="49">
        <f t="shared" si="4"/>
        <v>0</v>
      </c>
      <c r="AD25" s="50">
        <v>0</v>
      </c>
      <c r="AE25" s="47">
        <v>39832</v>
      </c>
      <c r="AF25" s="51" t="s">
        <v>516</v>
      </c>
      <c r="AG25" s="52" t="s">
        <v>517</v>
      </c>
      <c r="AH25" s="53" t="s">
        <v>645</v>
      </c>
      <c r="AI25" s="79"/>
      <c r="AJ25" s="80"/>
      <c r="AK25" s="81"/>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2"/>
      <c r="CL25" s="12"/>
      <c r="CM25" s="82"/>
      <c r="CN25" s="12"/>
      <c r="CO25" s="82"/>
      <c r="CP25" s="12"/>
      <c r="CQ25" s="83">
        <f t="shared" si="5"/>
        <v>0</v>
      </c>
      <c r="CR25" s="84"/>
      <c r="CS25" s="13"/>
      <c r="CT25" s="85"/>
      <c r="CU25" s="86"/>
      <c r="CV25" s="11"/>
      <c r="CW25" s="86"/>
      <c r="CX25" s="84"/>
      <c r="CY25" s="86"/>
    </row>
    <row r="26" spans="1:103" ht="25.5" x14ac:dyDescent="0.2">
      <c r="A26" s="43">
        <v>39832</v>
      </c>
      <c r="B26" s="44" t="s">
        <v>1097</v>
      </c>
      <c r="C26" s="44" t="s">
        <v>650</v>
      </c>
      <c r="D26" s="45" t="s">
        <v>134</v>
      </c>
      <c r="E26" s="11"/>
      <c r="F26" s="12"/>
      <c r="G26" s="12"/>
      <c r="H26" s="12"/>
      <c r="I26" s="12"/>
      <c r="J26" s="12"/>
      <c r="K26" s="12"/>
      <c r="L26" s="12"/>
      <c r="M26" s="12"/>
      <c r="N26" s="12"/>
      <c r="O26" s="12"/>
      <c r="P26" s="12"/>
      <c r="Q26" s="12"/>
      <c r="R26" s="12"/>
      <c r="S26" s="12"/>
      <c r="T26" s="13"/>
      <c r="U26" s="46"/>
      <c r="V26" s="47"/>
      <c r="W26" s="48">
        <f t="shared" si="0"/>
        <v>0</v>
      </c>
      <c r="X26" s="48">
        <f t="shared" si="1"/>
        <v>0</v>
      </c>
      <c r="Y26" s="48">
        <f t="shared" si="2"/>
        <v>0</v>
      </c>
      <c r="Z26" s="48">
        <f t="shared" si="3"/>
        <v>0</v>
      </c>
      <c r="AA26" s="48"/>
      <c r="AB26" s="48"/>
      <c r="AC26" s="49">
        <f t="shared" si="4"/>
        <v>0</v>
      </c>
      <c r="AD26" s="50">
        <v>0</v>
      </c>
      <c r="AE26" s="47">
        <v>39832</v>
      </c>
      <c r="AF26" s="51" t="s">
        <v>516</v>
      </c>
      <c r="AG26" s="52" t="s">
        <v>517</v>
      </c>
      <c r="AH26" s="53" t="s">
        <v>651</v>
      </c>
      <c r="AI26" s="79"/>
      <c r="AJ26" s="80"/>
      <c r="AK26" s="81"/>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2"/>
      <c r="CL26" s="12"/>
      <c r="CM26" s="82"/>
      <c r="CN26" s="12"/>
      <c r="CO26" s="82"/>
      <c r="CP26" s="12"/>
      <c r="CQ26" s="83">
        <f t="shared" si="5"/>
        <v>0</v>
      </c>
      <c r="CR26" s="84"/>
      <c r="CS26" s="13"/>
      <c r="CT26" s="85"/>
      <c r="CU26" s="86"/>
      <c r="CV26" s="11"/>
      <c r="CW26" s="86"/>
      <c r="CX26" s="84"/>
      <c r="CY26" s="86"/>
    </row>
    <row r="27" spans="1:103" ht="25.5" x14ac:dyDescent="0.2">
      <c r="A27" s="43">
        <v>39832</v>
      </c>
      <c r="B27" s="44" t="s">
        <v>1114</v>
      </c>
      <c r="C27" s="44" t="s">
        <v>646</v>
      </c>
      <c r="D27" s="45" t="s">
        <v>1092</v>
      </c>
      <c r="E27" s="11"/>
      <c r="F27" s="12"/>
      <c r="G27" s="12"/>
      <c r="H27" s="12"/>
      <c r="I27" s="12"/>
      <c r="J27" s="12"/>
      <c r="K27" s="12"/>
      <c r="L27" s="12"/>
      <c r="M27" s="12"/>
      <c r="N27" s="12"/>
      <c r="O27" s="12"/>
      <c r="P27" s="12"/>
      <c r="Q27" s="12"/>
      <c r="R27" s="12"/>
      <c r="S27" s="12"/>
      <c r="T27" s="13"/>
      <c r="U27" s="46"/>
      <c r="V27" s="47"/>
      <c r="W27" s="48">
        <f t="shared" si="0"/>
        <v>0</v>
      </c>
      <c r="X27" s="48">
        <f t="shared" si="1"/>
        <v>0</v>
      </c>
      <c r="Y27" s="48">
        <f t="shared" si="2"/>
        <v>0</v>
      </c>
      <c r="Z27" s="48">
        <f t="shared" si="3"/>
        <v>0</v>
      </c>
      <c r="AA27" s="48"/>
      <c r="AB27" s="48"/>
      <c r="AC27" s="49">
        <f t="shared" si="4"/>
        <v>0</v>
      </c>
      <c r="AD27" s="50">
        <v>0</v>
      </c>
      <c r="AE27" s="47">
        <v>39832</v>
      </c>
      <c r="AF27" s="51" t="s">
        <v>516</v>
      </c>
      <c r="AG27" s="52" t="s">
        <v>517</v>
      </c>
      <c r="AH27" s="53" t="s">
        <v>647</v>
      </c>
      <c r="AI27" s="79"/>
      <c r="AJ27" s="80"/>
      <c r="AK27" s="81"/>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2"/>
      <c r="CL27" s="12"/>
      <c r="CM27" s="82"/>
      <c r="CN27" s="12"/>
      <c r="CO27" s="82"/>
      <c r="CP27" s="12"/>
      <c r="CQ27" s="83">
        <f t="shared" si="5"/>
        <v>0</v>
      </c>
      <c r="CR27" s="84"/>
      <c r="CS27" s="13"/>
      <c r="CT27" s="85"/>
      <c r="CU27" s="86"/>
      <c r="CV27" s="11"/>
      <c r="CW27" s="86"/>
      <c r="CX27" s="84"/>
      <c r="CY27" s="86"/>
    </row>
    <row r="28" spans="1:103" ht="38.25" x14ac:dyDescent="0.2">
      <c r="A28" s="43">
        <v>39833</v>
      </c>
      <c r="B28" s="44" t="s">
        <v>625</v>
      </c>
      <c r="C28" s="44" t="s">
        <v>648</v>
      </c>
      <c r="D28" s="45" t="s">
        <v>1092</v>
      </c>
      <c r="E28" s="11">
        <v>2</v>
      </c>
      <c r="F28" s="12">
        <v>4</v>
      </c>
      <c r="G28" s="12"/>
      <c r="H28" s="12">
        <v>6</v>
      </c>
      <c r="I28" s="12">
        <v>1</v>
      </c>
      <c r="J28" s="12"/>
      <c r="K28" s="12">
        <v>1</v>
      </c>
      <c r="L28" s="12"/>
      <c r="M28" s="12"/>
      <c r="N28" s="12"/>
      <c r="O28" s="12"/>
      <c r="P28" s="12"/>
      <c r="Q28" s="12"/>
      <c r="R28" s="12"/>
      <c r="S28" s="12"/>
      <c r="T28" s="13"/>
      <c r="U28" s="46"/>
      <c r="V28" s="47"/>
      <c r="W28" s="48">
        <f t="shared" si="0"/>
        <v>0</v>
      </c>
      <c r="X28" s="48">
        <f t="shared" si="1"/>
        <v>0</v>
      </c>
      <c r="Y28" s="48">
        <f t="shared" si="2"/>
        <v>0</v>
      </c>
      <c r="Z28" s="48">
        <f t="shared" si="3"/>
        <v>0</v>
      </c>
      <c r="AA28" s="48"/>
      <c r="AB28" s="48"/>
      <c r="AC28" s="49">
        <f t="shared" si="4"/>
        <v>0</v>
      </c>
      <c r="AD28" s="50">
        <v>0</v>
      </c>
      <c r="AE28" s="47">
        <v>39832</v>
      </c>
      <c r="AF28" s="51" t="s">
        <v>516</v>
      </c>
      <c r="AG28" s="52" t="s">
        <v>517</v>
      </c>
      <c r="AH28" s="53" t="s">
        <v>649</v>
      </c>
      <c r="AI28" s="79"/>
      <c r="AJ28" s="80"/>
      <c r="AK28" s="81"/>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2"/>
      <c r="CL28" s="12"/>
      <c r="CM28" s="82"/>
      <c r="CN28" s="12"/>
      <c r="CO28" s="82"/>
      <c r="CP28" s="12"/>
      <c r="CQ28" s="83">
        <f t="shared" si="5"/>
        <v>0</v>
      </c>
      <c r="CR28" s="84"/>
      <c r="CS28" s="13"/>
      <c r="CT28" s="85"/>
      <c r="CU28" s="86"/>
      <c r="CV28" s="11"/>
      <c r="CW28" s="86"/>
      <c r="CX28" s="84"/>
      <c r="CY28" s="86"/>
    </row>
    <row r="29" spans="1:103" ht="25.5" x14ac:dyDescent="0.2">
      <c r="A29" s="43">
        <v>39833</v>
      </c>
      <c r="B29" s="44" t="s">
        <v>625</v>
      </c>
      <c r="C29" s="44" t="s">
        <v>521</v>
      </c>
      <c r="D29" s="45" t="s">
        <v>1118</v>
      </c>
      <c r="E29" s="11"/>
      <c r="F29" s="12"/>
      <c r="G29" s="12"/>
      <c r="H29" s="12">
        <v>9000</v>
      </c>
      <c r="I29" s="12">
        <v>1800</v>
      </c>
      <c r="J29" s="12"/>
      <c r="K29" s="12"/>
      <c r="L29" s="12"/>
      <c r="M29" s="12"/>
      <c r="N29" s="12"/>
      <c r="O29" s="12"/>
      <c r="P29" s="12"/>
      <c r="Q29" s="12"/>
      <c r="R29" s="12"/>
      <c r="S29" s="12"/>
      <c r="T29" s="13"/>
      <c r="U29" s="46"/>
      <c r="V29" s="47">
        <v>39920</v>
      </c>
      <c r="W29" s="48">
        <f t="shared" si="0"/>
        <v>48000000</v>
      </c>
      <c r="X29" s="48">
        <f t="shared" si="1"/>
        <v>42500000</v>
      </c>
      <c r="Y29" s="48">
        <f t="shared" si="2"/>
        <v>0</v>
      </c>
      <c r="Z29" s="48">
        <f t="shared" si="3"/>
        <v>0</v>
      </c>
      <c r="AA29" s="48"/>
      <c r="AB29" s="48"/>
      <c r="AC29" s="49">
        <f t="shared" si="4"/>
        <v>90500000</v>
      </c>
      <c r="AD29" s="50">
        <v>0</v>
      </c>
      <c r="AE29" s="47">
        <v>39833</v>
      </c>
      <c r="AF29" s="51" t="s">
        <v>1016</v>
      </c>
      <c r="AG29" s="52" t="s">
        <v>565</v>
      </c>
      <c r="AH29" s="53" t="s">
        <v>115</v>
      </c>
      <c r="AI29" s="79"/>
      <c r="AJ29" s="80"/>
      <c r="AK29" s="81"/>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v>500</v>
      </c>
      <c r="CF29" s="80">
        <f>500*21500</f>
        <v>10750000</v>
      </c>
      <c r="CG29" s="80"/>
      <c r="CH29" s="80"/>
      <c r="CI29" s="80"/>
      <c r="CJ29" s="80"/>
      <c r="CK29" s="82">
        <v>500</v>
      </c>
      <c r="CL29" s="12">
        <f>500*38500</f>
        <v>19250000</v>
      </c>
      <c r="CM29" s="82">
        <v>500</v>
      </c>
      <c r="CN29" s="12">
        <f>500*36000</f>
        <v>18000000</v>
      </c>
      <c r="CO29" s="82"/>
      <c r="CP29" s="12"/>
      <c r="CQ29" s="83">
        <f t="shared" si="5"/>
        <v>48000000</v>
      </c>
      <c r="CR29" s="84"/>
      <c r="CS29" s="13"/>
      <c r="CT29" s="85">
        <v>500</v>
      </c>
      <c r="CU29" s="86">
        <f>500*85000</f>
        <v>42500000</v>
      </c>
      <c r="CV29" s="11"/>
      <c r="CW29" s="86"/>
      <c r="CX29" s="84"/>
      <c r="CY29" s="86"/>
    </row>
    <row r="30" spans="1:103" ht="25.5" x14ac:dyDescent="0.2">
      <c r="A30" s="43">
        <v>39833</v>
      </c>
      <c r="B30" s="44" t="s">
        <v>1127</v>
      </c>
      <c r="C30" s="44" t="s">
        <v>116</v>
      </c>
      <c r="D30" s="45" t="s">
        <v>1095</v>
      </c>
      <c r="E30" s="11">
        <v>1</v>
      </c>
      <c r="F30" s="12">
        <v>7</v>
      </c>
      <c r="G30" s="12"/>
      <c r="H30" s="12"/>
      <c r="I30" s="12"/>
      <c r="J30" s="12"/>
      <c r="K30" s="12"/>
      <c r="L30" s="12"/>
      <c r="M30" s="12"/>
      <c r="N30" s="12"/>
      <c r="O30" s="12"/>
      <c r="P30" s="12"/>
      <c r="Q30" s="12"/>
      <c r="R30" s="12"/>
      <c r="S30" s="12"/>
      <c r="T30" s="13"/>
      <c r="U30" s="46"/>
      <c r="V30" s="47"/>
      <c r="W30" s="48">
        <f t="shared" si="0"/>
        <v>0</v>
      </c>
      <c r="X30" s="48">
        <f t="shared" si="1"/>
        <v>0</v>
      </c>
      <c r="Y30" s="48">
        <f t="shared" si="2"/>
        <v>0</v>
      </c>
      <c r="Z30" s="48">
        <f t="shared" si="3"/>
        <v>0</v>
      </c>
      <c r="AA30" s="48"/>
      <c r="AB30" s="48"/>
      <c r="AC30" s="49">
        <f t="shared" si="4"/>
        <v>0</v>
      </c>
      <c r="AD30" s="50">
        <v>0</v>
      </c>
      <c r="AE30" s="47">
        <v>39833</v>
      </c>
      <c r="AF30" s="51" t="s">
        <v>516</v>
      </c>
      <c r="AG30" s="52" t="s">
        <v>517</v>
      </c>
      <c r="AH30" s="53" t="s">
        <v>1003</v>
      </c>
      <c r="AI30" s="79"/>
      <c r="AJ30" s="80"/>
      <c r="AK30" s="81"/>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2"/>
      <c r="CL30" s="12"/>
      <c r="CM30" s="82"/>
      <c r="CN30" s="12"/>
      <c r="CO30" s="82"/>
      <c r="CP30" s="12"/>
      <c r="CQ30" s="83">
        <f t="shared" si="5"/>
        <v>0</v>
      </c>
      <c r="CR30" s="84"/>
      <c r="CS30" s="13"/>
      <c r="CT30" s="85"/>
      <c r="CU30" s="86"/>
      <c r="CV30" s="11"/>
      <c r="CW30" s="86"/>
      <c r="CX30" s="84"/>
      <c r="CY30" s="86"/>
    </row>
    <row r="31" spans="1:103" ht="25.5" x14ac:dyDescent="0.2">
      <c r="A31" s="43">
        <v>39833</v>
      </c>
      <c r="B31" s="44" t="s">
        <v>1066</v>
      </c>
      <c r="C31" s="44" t="s">
        <v>476</v>
      </c>
      <c r="D31" s="45" t="s">
        <v>1092</v>
      </c>
      <c r="E31" s="11"/>
      <c r="F31" s="12"/>
      <c r="G31" s="12"/>
      <c r="H31" s="12">
        <f>47*5</f>
        <v>235</v>
      </c>
      <c r="I31" s="12">
        <v>47</v>
      </c>
      <c r="J31" s="12"/>
      <c r="K31" s="12">
        <v>47</v>
      </c>
      <c r="L31" s="12">
        <v>1</v>
      </c>
      <c r="M31" s="12"/>
      <c r="N31" s="12"/>
      <c r="O31" s="12"/>
      <c r="P31" s="12"/>
      <c r="Q31" s="12"/>
      <c r="R31" s="12"/>
      <c r="S31" s="12"/>
      <c r="T31" s="13"/>
      <c r="U31" s="46"/>
      <c r="V31" s="47"/>
      <c r="W31" s="48">
        <f t="shared" si="0"/>
        <v>0</v>
      </c>
      <c r="X31" s="48">
        <f t="shared" si="1"/>
        <v>0</v>
      </c>
      <c r="Y31" s="48">
        <f t="shared" si="2"/>
        <v>0</v>
      </c>
      <c r="Z31" s="48">
        <f t="shared" si="3"/>
        <v>0</v>
      </c>
      <c r="AA31" s="48"/>
      <c r="AB31" s="48"/>
      <c r="AC31" s="49">
        <f t="shared" si="4"/>
        <v>0</v>
      </c>
      <c r="AD31" s="50">
        <v>0</v>
      </c>
      <c r="AE31" s="47">
        <v>39856</v>
      </c>
      <c r="AF31" s="51" t="s">
        <v>1016</v>
      </c>
      <c r="AG31" s="52" t="s">
        <v>565</v>
      </c>
      <c r="AH31" s="53" t="s">
        <v>1456</v>
      </c>
      <c r="AI31" s="79"/>
      <c r="AJ31" s="80"/>
      <c r="AK31" s="81"/>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2"/>
      <c r="CL31" s="12"/>
      <c r="CM31" s="82"/>
      <c r="CN31" s="12"/>
      <c r="CO31" s="82"/>
      <c r="CP31" s="12"/>
      <c r="CQ31" s="83">
        <f t="shared" si="5"/>
        <v>0</v>
      </c>
      <c r="CR31" s="84"/>
      <c r="CS31" s="13"/>
      <c r="CT31" s="85"/>
      <c r="CU31" s="86"/>
      <c r="CV31" s="11"/>
      <c r="CW31" s="86"/>
      <c r="CX31" s="84"/>
      <c r="CY31" s="86"/>
    </row>
    <row r="32" spans="1:103" ht="38.25" x14ac:dyDescent="0.2">
      <c r="A32" s="43">
        <v>39834</v>
      </c>
      <c r="B32" s="44" t="s">
        <v>1066</v>
      </c>
      <c r="C32" s="44" t="s">
        <v>486</v>
      </c>
      <c r="D32" s="45" t="s">
        <v>1092</v>
      </c>
      <c r="E32" s="11"/>
      <c r="F32" s="12"/>
      <c r="G32" s="12"/>
      <c r="H32" s="12">
        <v>131</v>
      </c>
      <c r="I32" s="12">
        <v>26</v>
      </c>
      <c r="J32" s="12">
        <v>1</v>
      </c>
      <c r="K32" s="12">
        <v>25</v>
      </c>
      <c r="L32" s="12">
        <v>1</v>
      </c>
      <c r="M32" s="12">
        <v>1</v>
      </c>
      <c r="N32" s="12"/>
      <c r="O32" s="12"/>
      <c r="P32" s="12"/>
      <c r="Q32" s="12"/>
      <c r="R32" s="12"/>
      <c r="S32" s="12"/>
      <c r="T32" s="13"/>
      <c r="U32" s="46"/>
      <c r="V32" s="47"/>
      <c r="W32" s="48">
        <f t="shared" si="0"/>
        <v>0</v>
      </c>
      <c r="X32" s="48">
        <f t="shared" si="1"/>
        <v>0</v>
      </c>
      <c r="Y32" s="48">
        <f t="shared" si="2"/>
        <v>0</v>
      </c>
      <c r="Z32" s="48">
        <f t="shared" si="3"/>
        <v>0</v>
      </c>
      <c r="AA32" s="48"/>
      <c r="AB32" s="48"/>
      <c r="AC32" s="49">
        <f t="shared" si="4"/>
        <v>0</v>
      </c>
      <c r="AD32" s="50">
        <v>0</v>
      </c>
      <c r="AE32" s="47">
        <v>39856</v>
      </c>
      <c r="AF32" s="51" t="s">
        <v>1016</v>
      </c>
      <c r="AG32" s="52" t="s">
        <v>565</v>
      </c>
      <c r="AH32" s="53" t="s">
        <v>1201</v>
      </c>
      <c r="AI32" s="79"/>
      <c r="AJ32" s="80"/>
      <c r="AK32" s="81"/>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2"/>
      <c r="CL32" s="12"/>
      <c r="CM32" s="82"/>
      <c r="CN32" s="12"/>
      <c r="CO32" s="82"/>
      <c r="CP32" s="12"/>
      <c r="CQ32" s="83">
        <f t="shared" si="5"/>
        <v>0</v>
      </c>
      <c r="CR32" s="84"/>
      <c r="CS32" s="13"/>
      <c r="CT32" s="85"/>
      <c r="CU32" s="86"/>
      <c r="CV32" s="11"/>
      <c r="CW32" s="86"/>
      <c r="CX32" s="84"/>
      <c r="CY32" s="86"/>
    </row>
    <row r="33" spans="1:103" ht="76.5" x14ac:dyDescent="0.2">
      <c r="A33" s="43">
        <v>39834</v>
      </c>
      <c r="B33" s="44" t="s">
        <v>1066</v>
      </c>
      <c r="C33" s="44" t="s">
        <v>487</v>
      </c>
      <c r="D33" s="45" t="s">
        <v>1092</v>
      </c>
      <c r="E33" s="11"/>
      <c r="F33" s="12"/>
      <c r="G33" s="12"/>
      <c r="H33" s="12"/>
      <c r="I33" s="12"/>
      <c r="J33" s="12"/>
      <c r="K33" s="12"/>
      <c r="L33" s="12">
        <v>7</v>
      </c>
      <c r="M33" s="12"/>
      <c r="N33" s="12"/>
      <c r="O33" s="12"/>
      <c r="P33" s="12"/>
      <c r="Q33" s="12"/>
      <c r="R33" s="12"/>
      <c r="S33" s="12"/>
      <c r="T33" s="13"/>
      <c r="U33" s="46"/>
      <c r="V33" s="47"/>
      <c r="W33" s="48">
        <f t="shared" si="0"/>
        <v>0</v>
      </c>
      <c r="X33" s="48">
        <f t="shared" si="1"/>
        <v>0</v>
      </c>
      <c r="Y33" s="48">
        <f t="shared" si="2"/>
        <v>0</v>
      </c>
      <c r="Z33" s="48">
        <f t="shared" si="3"/>
        <v>0</v>
      </c>
      <c r="AA33" s="48"/>
      <c r="AB33" s="48"/>
      <c r="AC33" s="49">
        <f t="shared" si="4"/>
        <v>0</v>
      </c>
      <c r="AD33" s="50">
        <v>0</v>
      </c>
      <c r="AE33" s="47">
        <v>39856</v>
      </c>
      <c r="AF33" s="51" t="s">
        <v>1016</v>
      </c>
      <c r="AG33" s="52" t="s">
        <v>565</v>
      </c>
      <c r="AH33" s="53" t="s">
        <v>1299</v>
      </c>
      <c r="AI33" s="79"/>
      <c r="AJ33" s="80"/>
      <c r="AK33" s="81"/>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2"/>
      <c r="CL33" s="12"/>
      <c r="CM33" s="82"/>
      <c r="CN33" s="12"/>
      <c r="CO33" s="82"/>
      <c r="CP33" s="12"/>
      <c r="CQ33" s="83">
        <f t="shared" si="5"/>
        <v>0</v>
      </c>
      <c r="CR33" s="84"/>
      <c r="CS33" s="13"/>
      <c r="CT33" s="85"/>
      <c r="CU33" s="86"/>
      <c r="CV33" s="11"/>
      <c r="CW33" s="86"/>
      <c r="CX33" s="84"/>
      <c r="CY33" s="86"/>
    </row>
    <row r="34" spans="1:103" ht="102" x14ac:dyDescent="0.2">
      <c r="A34" s="43">
        <v>39834</v>
      </c>
      <c r="B34" s="44" t="s">
        <v>1066</v>
      </c>
      <c r="C34" s="44" t="s">
        <v>594</v>
      </c>
      <c r="D34" s="45" t="s">
        <v>1092</v>
      </c>
      <c r="E34" s="11"/>
      <c r="F34" s="12"/>
      <c r="G34" s="12"/>
      <c r="H34" s="12">
        <v>35</v>
      </c>
      <c r="I34" s="12">
        <v>7</v>
      </c>
      <c r="J34" s="12"/>
      <c r="K34" s="12">
        <v>7</v>
      </c>
      <c r="L34" s="12">
        <v>4</v>
      </c>
      <c r="M34" s="12"/>
      <c r="N34" s="12"/>
      <c r="O34" s="12">
        <v>1</v>
      </c>
      <c r="P34" s="12"/>
      <c r="Q34" s="12"/>
      <c r="R34" s="12">
        <v>3</v>
      </c>
      <c r="S34" s="12"/>
      <c r="T34" s="13"/>
      <c r="U34" s="46"/>
      <c r="V34" s="47"/>
      <c r="W34" s="48">
        <f t="shared" si="0"/>
        <v>0</v>
      </c>
      <c r="X34" s="48">
        <f t="shared" si="1"/>
        <v>0</v>
      </c>
      <c r="Y34" s="48">
        <f t="shared" si="2"/>
        <v>0</v>
      </c>
      <c r="Z34" s="48">
        <f t="shared" si="3"/>
        <v>0</v>
      </c>
      <c r="AA34" s="48"/>
      <c r="AB34" s="48"/>
      <c r="AC34" s="49">
        <f t="shared" si="4"/>
        <v>0</v>
      </c>
      <c r="AD34" s="50">
        <v>0</v>
      </c>
      <c r="AE34" s="47">
        <v>39856</v>
      </c>
      <c r="AF34" s="51" t="s">
        <v>1016</v>
      </c>
      <c r="AG34" s="52" t="s">
        <v>565</v>
      </c>
      <c r="AH34" s="53" t="s">
        <v>1077</v>
      </c>
      <c r="AI34" s="79"/>
      <c r="AJ34" s="80"/>
      <c r="AK34" s="81"/>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2"/>
      <c r="CL34" s="12"/>
      <c r="CM34" s="82"/>
      <c r="CN34" s="12"/>
      <c r="CO34" s="82"/>
      <c r="CP34" s="12"/>
      <c r="CQ34" s="83">
        <f t="shared" si="5"/>
        <v>0</v>
      </c>
      <c r="CR34" s="84"/>
      <c r="CS34" s="13"/>
      <c r="CT34" s="85"/>
      <c r="CU34" s="86"/>
      <c r="CV34" s="11"/>
      <c r="CW34" s="86"/>
      <c r="CX34" s="84"/>
      <c r="CY34" s="86"/>
    </row>
    <row r="35" spans="1:103" ht="38.25" x14ac:dyDescent="0.2">
      <c r="A35" s="43">
        <v>39834</v>
      </c>
      <c r="B35" s="44" t="s">
        <v>1066</v>
      </c>
      <c r="C35" s="44" t="s">
        <v>595</v>
      </c>
      <c r="D35" s="45" t="s">
        <v>1092</v>
      </c>
      <c r="E35" s="11"/>
      <c r="F35" s="12"/>
      <c r="G35" s="12"/>
      <c r="H35" s="12">
        <v>534</v>
      </c>
      <c r="I35" s="12">
        <v>166</v>
      </c>
      <c r="J35" s="12">
        <v>14</v>
      </c>
      <c r="K35" s="12">
        <v>152</v>
      </c>
      <c r="L35" s="12">
        <v>2</v>
      </c>
      <c r="M35" s="12"/>
      <c r="N35" s="12"/>
      <c r="O35" s="12">
        <v>1</v>
      </c>
      <c r="P35" s="12"/>
      <c r="Q35" s="12"/>
      <c r="R35" s="12"/>
      <c r="S35" s="12"/>
      <c r="T35" s="13"/>
      <c r="U35" s="46"/>
      <c r="V35" s="47"/>
      <c r="W35" s="48">
        <f t="shared" ref="W35:W66" si="6">CQ35</f>
        <v>0</v>
      </c>
      <c r="X35" s="48">
        <f t="shared" ref="X35:X66" si="7">CU35</f>
        <v>0</v>
      </c>
      <c r="Y35" s="48">
        <f t="shared" ref="Y35:Y66" si="8">CW35+CY35</f>
        <v>0</v>
      </c>
      <c r="Z35" s="48">
        <f t="shared" ref="Z35:Z66" si="9">CS35</f>
        <v>0</v>
      </c>
      <c r="AA35" s="48"/>
      <c r="AB35" s="48"/>
      <c r="AC35" s="49">
        <f t="shared" ref="AC35:AC66" si="10">W35+X35+Y35+Z35+AA35+AB35</f>
        <v>0</v>
      </c>
      <c r="AD35" s="50">
        <v>0</v>
      </c>
      <c r="AE35" s="47">
        <v>39856</v>
      </c>
      <c r="AF35" s="51" t="s">
        <v>1016</v>
      </c>
      <c r="AG35" s="52" t="s">
        <v>565</v>
      </c>
      <c r="AH35" s="53" t="s">
        <v>710</v>
      </c>
      <c r="AI35" s="79"/>
      <c r="AJ35" s="80"/>
      <c r="AK35" s="81"/>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2"/>
      <c r="CL35" s="12"/>
      <c r="CM35" s="82"/>
      <c r="CN35" s="12"/>
      <c r="CO35" s="82"/>
      <c r="CP35" s="12"/>
      <c r="CQ35" s="83">
        <f t="shared" ref="CQ35:CQ66" si="11">AJ35+AL35+AN35+AP35+AR35+AT35+AV35+AX35+AZ35+BB35+BD35+BF35+BH35+BJ35+BL35+BN35+BP35+BR35+BT35+BV35+BX35+BZ35+CB35+CD35+CF35+CH35+CJ35+CL35+CN35+CP35</f>
        <v>0</v>
      </c>
      <c r="CR35" s="84"/>
      <c r="CS35" s="13"/>
      <c r="CT35" s="85"/>
      <c r="CU35" s="86"/>
      <c r="CV35" s="11"/>
      <c r="CW35" s="86"/>
      <c r="CX35" s="84"/>
      <c r="CY35" s="86"/>
    </row>
    <row r="36" spans="1:103" ht="12.75" x14ac:dyDescent="0.2">
      <c r="A36" s="43">
        <v>39835</v>
      </c>
      <c r="B36" s="44" t="s">
        <v>1224</v>
      </c>
      <c r="C36" s="44" t="s">
        <v>913</v>
      </c>
      <c r="D36" s="45" t="s">
        <v>1118</v>
      </c>
      <c r="E36" s="11"/>
      <c r="F36" s="12"/>
      <c r="G36" s="12"/>
      <c r="H36" s="12">
        <f>70*5</f>
        <v>350</v>
      </c>
      <c r="I36" s="12">
        <v>70</v>
      </c>
      <c r="J36" s="12"/>
      <c r="K36" s="12">
        <v>70</v>
      </c>
      <c r="L36" s="12"/>
      <c r="M36" s="12"/>
      <c r="N36" s="12"/>
      <c r="O36" s="12"/>
      <c r="P36" s="12"/>
      <c r="Q36" s="12"/>
      <c r="R36" s="12"/>
      <c r="S36" s="12"/>
      <c r="T36" s="13"/>
      <c r="U36" s="46"/>
      <c r="V36" s="47">
        <v>39923</v>
      </c>
      <c r="W36" s="48">
        <f t="shared" si="6"/>
        <v>11514997</v>
      </c>
      <c r="X36" s="48">
        <f t="shared" si="7"/>
        <v>11050000</v>
      </c>
      <c r="Y36" s="48">
        <f t="shared" si="8"/>
        <v>0</v>
      </c>
      <c r="Z36" s="48">
        <f t="shared" si="9"/>
        <v>0</v>
      </c>
      <c r="AA36" s="48"/>
      <c r="AB36" s="48"/>
      <c r="AC36" s="49">
        <f t="shared" si="10"/>
        <v>22564997</v>
      </c>
      <c r="AD36" s="50">
        <v>0</v>
      </c>
      <c r="AE36" s="47">
        <v>39860</v>
      </c>
      <c r="AF36" s="51" t="s">
        <v>1016</v>
      </c>
      <c r="AG36" s="52" t="s">
        <v>565</v>
      </c>
      <c r="AH36" s="53" t="s">
        <v>1281</v>
      </c>
      <c r="AI36" s="79"/>
      <c r="AJ36" s="80"/>
      <c r="AK36" s="81"/>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v>300</v>
      </c>
      <c r="CF36" s="80">
        <f>300*20999.99</f>
        <v>6299997.0000000009</v>
      </c>
      <c r="CG36" s="80"/>
      <c r="CH36" s="80"/>
      <c r="CI36" s="80"/>
      <c r="CJ36" s="80"/>
      <c r="CK36" s="82">
        <v>70</v>
      </c>
      <c r="CL36" s="12">
        <f>70*38500</f>
        <v>2695000</v>
      </c>
      <c r="CM36" s="82">
        <v>70</v>
      </c>
      <c r="CN36" s="12">
        <f>70*36000</f>
        <v>2520000</v>
      </c>
      <c r="CO36" s="82"/>
      <c r="CP36" s="12"/>
      <c r="CQ36" s="83">
        <f t="shared" si="11"/>
        <v>11514997</v>
      </c>
      <c r="CR36" s="84"/>
      <c r="CS36" s="13"/>
      <c r="CT36" s="85">
        <v>130</v>
      </c>
      <c r="CU36" s="86">
        <f>130*85000</f>
        <v>11050000</v>
      </c>
      <c r="CV36" s="11"/>
      <c r="CW36" s="86"/>
      <c r="CX36" s="84"/>
      <c r="CY36" s="86"/>
    </row>
    <row r="37" spans="1:103" ht="76.5" x14ac:dyDescent="0.2">
      <c r="A37" s="43">
        <v>39835</v>
      </c>
      <c r="B37" s="44" t="s">
        <v>1097</v>
      </c>
      <c r="C37" s="44" t="s">
        <v>119</v>
      </c>
      <c r="D37" s="45" t="s">
        <v>1118</v>
      </c>
      <c r="E37" s="11"/>
      <c r="F37" s="12"/>
      <c r="G37" s="12"/>
      <c r="H37" s="12">
        <v>6700</v>
      </c>
      <c r="I37" s="12">
        <v>1340</v>
      </c>
      <c r="J37" s="12">
        <v>8</v>
      </c>
      <c r="K37" s="12"/>
      <c r="L37" s="12"/>
      <c r="M37" s="12"/>
      <c r="N37" s="12"/>
      <c r="O37" s="12"/>
      <c r="P37" s="12"/>
      <c r="Q37" s="12"/>
      <c r="R37" s="12"/>
      <c r="S37" s="12"/>
      <c r="T37" s="13"/>
      <c r="U37" s="46"/>
      <c r="V37" s="47">
        <v>39920</v>
      </c>
      <c r="W37" s="48">
        <f t="shared" si="6"/>
        <v>81070000</v>
      </c>
      <c r="X37" s="48">
        <f t="shared" si="7"/>
        <v>116580000</v>
      </c>
      <c r="Y37" s="48">
        <f t="shared" si="8"/>
        <v>0</v>
      </c>
      <c r="Z37" s="48">
        <f t="shared" si="9"/>
        <v>0</v>
      </c>
      <c r="AA37" s="48"/>
      <c r="AB37" s="48"/>
      <c r="AC37" s="49">
        <f t="shared" si="10"/>
        <v>197650000</v>
      </c>
      <c r="AD37" s="50">
        <v>0</v>
      </c>
      <c r="AE37" s="47">
        <v>39835</v>
      </c>
      <c r="AF37" s="51" t="s">
        <v>1016</v>
      </c>
      <c r="AG37" s="52" t="s">
        <v>565</v>
      </c>
      <c r="AH37" s="53" t="s">
        <v>120</v>
      </c>
      <c r="AI37" s="79"/>
      <c r="AJ37" s="80"/>
      <c r="AK37" s="81"/>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v>1340</v>
      </c>
      <c r="CJ37" s="80">
        <f>1340*20000</f>
        <v>26800000</v>
      </c>
      <c r="CK37" s="82">
        <v>1340</v>
      </c>
      <c r="CL37" s="12">
        <f>1340*40500</f>
        <v>54270000</v>
      </c>
      <c r="CM37" s="82"/>
      <c r="CN37" s="12"/>
      <c r="CO37" s="82"/>
      <c r="CP37" s="12"/>
      <c r="CQ37" s="83">
        <f t="shared" si="11"/>
        <v>81070000</v>
      </c>
      <c r="CR37" s="84"/>
      <c r="CS37" s="13"/>
      <c r="CT37" s="85">
        <v>1340</v>
      </c>
      <c r="CU37" s="86">
        <f>1340*87000</f>
        <v>116580000</v>
      </c>
      <c r="CV37" s="11"/>
      <c r="CW37" s="86"/>
      <c r="CX37" s="84"/>
      <c r="CY37" s="86"/>
    </row>
    <row r="38" spans="1:103" ht="38.25" x14ac:dyDescent="0.2">
      <c r="A38" s="43">
        <v>39835</v>
      </c>
      <c r="B38" s="44" t="s">
        <v>632</v>
      </c>
      <c r="C38" s="44" t="s">
        <v>117</v>
      </c>
      <c r="D38" s="45" t="s">
        <v>1118</v>
      </c>
      <c r="E38" s="11"/>
      <c r="F38" s="12"/>
      <c r="G38" s="12"/>
      <c r="H38" s="12"/>
      <c r="I38" s="12"/>
      <c r="J38" s="12"/>
      <c r="K38" s="12"/>
      <c r="L38" s="12"/>
      <c r="M38" s="12"/>
      <c r="N38" s="12"/>
      <c r="O38" s="12"/>
      <c r="P38" s="12"/>
      <c r="Q38" s="12"/>
      <c r="R38" s="12"/>
      <c r="S38" s="12"/>
      <c r="T38" s="13"/>
      <c r="U38" s="46"/>
      <c r="V38" s="47"/>
      <c r="W38" s="48">
        <f t="shared" si="6"/>
        <v>0</v>
      </c>
      <c r="X38" s="48">
        <f t="shared" si="7"/>
        <v>0</v>
      </c>
      <c r="Y38" s="48">
        <f t="shared" si="8"/>
        <v>0</v>
      </c>
      <c r="Z38" s="48">
        <f t="shared" si="9"/>
        <v>0</v>
      </c>
      <c r="AA38" s="48"/>
      <c r="AB38" s="48"/>
      <c r="AC38" s="49">
        <f t="shared" si="10"/>
        <v>0</v>
      </c>
      <c r="AD38" s="50">
        <v>0</v>
      </c>
      <c r="AE38" s="47">
        <v>39835</v>
      </c>
      <c r="AF38" s="51" t="s">
        <v>516</v>
      </c>
      <c r="AG38" s="52" t="s">
        <v>517</v>
      </c>
      <c r="AH38" s="53" t="s">
        <v>118</v>
      </c>
      <c r="AI38" s="79"/>
      <c r="AJ38" s="80"/>
      <c r="AK38" s="81"/>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2"/>
      <c r="CL38" s="12"/>
      <c r="CM38" s="82"/>
      <c r="CN38" s="12"/>
      <c r="CO38" s="82"/>
      <c r="CP38" s="12"/>
      <c r="CQ38" s="83">
        <f t="shared" si="11"/>
        <v>0</v>
      </c>
      <c r="CR38" s="84"/>
      <c r="CS38" s="13"/>
      <c r="CT38" s="85"/>
      <c r="CU38" s="86"/>
      <c r="CV38" s="11"/>
      <c r="CW38" s="86"/>
      <c r="CX38" s="84"/>
      <c r="CY38" s="86"/>
    </row>
    <row r="39" spans="1:103" ht="25.5" x14ac:dyDescent="0.2">
      <c r="A39" s="43">
        <v>39835</v>
      </c>
      <c r="B39" s="44" t="s">
        <v>1066</v>
      </c>
      <c r="C39" s="44" t="s">
        <v>596</v>
      </c>
      <c r="D39" s="45" t="s">
        <v>1092</v>
      </c>
      <c r="E39" s="11"/>
      <c r="F39" s="12"/>
      <c r="G39" s="12"/>
      <c r="H39" s="12">
        <v>261</v>
      </c>
      <c r="I39" s="12">
        <v>53</v>
      </c>
      <c r="J39" s="12"/>
      <c r="K39" s="12">
        <v>37</v>
      </c>
      <c r="L39" s="12">
        <v>1</v>
      </c>
      <c r="M39" s="12"/>
      <c r="N39" s="12"/>
      <c r="O39" s="12">
        <v>1</v>
      </c>
      <c r="P39" s="12">
        <v>1</v>
      </c>
      <c r="Q39" s="12"/>
      <c r="R39" s="12"/>
      <c r="S39" s="12"/>
      <c r="T39" s="13"/>
      <c r="U39" s="46" t="s">
        <v>597</v>
      </c>
      <c r="V39" s="47"/>
      <c r="W39" s="48">
        <f t="shared" si="6"/>
        <v>0</v>
      </c>
      <c r="X39" s="48">
        <f t="shared" si="7"/>
        <v>0</v>
      </c>
      <c r="Y39" s="48">
        <f t="shared" si="8"/>
        <v>0</v>
      </c>
      <c r="Z39" s="48">
        <f t="shared" si="9"/>
        <v>0</v>
      </c>
      <c r="AA39" s="48"/>
      <c r="AB39" s="48"/>
      <c r="AC39" s="49">
        <f t="shared" si="10"/>
        <v>0</v>
      </c>
      <c r="AD39" s="50">
        <v>0</v>
      </c>
      <c r="AE39" s="47">
        <v>39856</v>
      </c>
      <c r="AF39" s="51" t="s">
        <v>1016</v>
      </c>
      <c r="AG39" s="52" t="s">
        <v>565</v>
      </c>
      <c r="AH39" s="53" t="s">
        <v>711</v>
      </c>
      <c r="AI39" s="79"/>
      <c r="AJ39" s="80"/>
      <c r="AK39" s="81"/>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2"/>
      <c r="CL39" s="12"/>
      <c r="CM39" s="82"/>
      <c r="CN39" s="12"/>
      <c r="CO39" s="82"/>
      <c r="CP39" s="12"/>
      <c r="CQ39" s="83">
        <f t="shared" si="11"/>
        <v>0</v>
      </c>
      <c r="CR39" s="84"/>
      <c r="CS39" s="13"/>
      <c r="CT39" s="85"/>
      <c r="CU39" s="86"/>
      <c r="CV39" s="11"/>
      <c r="CW39" s="86"/>
      <c r="CX39" s="84"/>
      <c r="CY39" s="86"/>
    </row>
    <row r="40" spans="1:103" ht="51" x14ac:dyDescent="0.2">
      <c r="A40" s="43">
        <v>39837</v>
      </c>
      <c r="B40" s="44" t="s">
        <v>1097</v>
      </c>
      <c r="C40" s="44" t="s">
        <v>124</v>
      </c>
      <c r="D40" s="45" t="s">
        <v>1118</v>
      </c>
      <c r="E40" s="11"/>
      <c r="F40" s="12"/>
      <c r="G40" s="12"/>
      <c r="H40" s="12">
        <f>560*5</f>
        <v>2800</v>
      </c>
      <c r="I40" s="12">
        <f>30+30+90+160+250</f>
        <v>560</v>
      </c>
      <c r="J40" s="12">
        <v>12</v>
      </c>
      <c r="K40" s="12"/>
      <c r="L40" s="12"/>
      <c r="M40" s="12"/>
      <c r="N40" s="12"/>
      <c r="O40" s="12"/>
      <c r="P40" s="12"/>
      <c r="Q40" s="12"/>
      <c r="R40" s="12"/>
      <c r="S40" s="12"/>
      <c r="T40" s="13"/>
      <c r="U40" s="46"/>
      <c r="V40" s="47"/>
      <c r="W40" s="48">
        <f t="shared" si="6"/>
        <v>0</v>
      </c>
      <c r="X40" s="48">
        <f t="shared" si="7"/>
        <v>0</v>
      </c>
      <c r="Y40" s="48">
        <f t="shared" si="8"/>
        <v>0</v>
      </c>
      <c r="Z40" s="48">
        <f t="shared" si="9"/>
        <v>0</v>
      </c>
      <c r="AA40" s="48"/>
      <c r="AB40" s="48"/>
      <c r="AC40" s="49">
        <f t="shared" si="10"/>
        <v>0</v>
      </c>
      <c r="AD40" s="50">
        <v>0</v>
      </c>
      <c r="AE40" s="47">
        <v>39837</v>
      </c>
      <c r="AF40" s="51" t="s">
        <v>516</v>
      </c>
      <c r="AG40" s="52" t="s">
        <v>517</v>
      </c>
      <c r="AH40" s="53" t="s">
        <v>1342</v>
      </c>
      <c r="AI40" s="79"/>
      <c r="AJ40" s="80"/>
      <c r="AK40" s="81"/>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2"/>
      <c r="CL40" s="12"/>
      <c r="CM40" s="82"/>
      <c r="CN40" s="12"/>
      <c r="CO40" s="82"/>
      <c r="CP40" s="12"/>
      <c r="CQ40" s="83">
        <f t="shared" si="11"/>
        <v>0</v>
      </c>
      <c r="CR40" s="84"/>
      <c r="CS40" s="13"/>
      <c r="CT40" s="85"/>
      <c r="CU40" s="86"/>
      <c r="CV40" s="11"/>
      <c r="CW40" s="86"/>
      <c r="CX40" s="84"/>
      <c r="CY40" s="86"/>
    </row>
    <row r="41" spans="1:103" ht="38.25" x14ac:dyDescent="0.2">
      <c r="A41" s="43">
        <v>39837</v>
      </c>
      <c r="B41" s="44" t="s">
        <v>1097</v>
      </c>
      <c r="C41" s="44" t="s">
        <v>125</v>
      </c>
      <c r="D41" s="45" t="s">
        <v>1092</v>
      </c>
      <c r="E41" s="11"/>
      <c r="F41" s="12"/>
      <c r="G41" s="12"/>
      <c r="H41" s="12">
        <v>18</v>
      </c>
      <c r="I41" s="12">
        <v>3</v>
      </c>
      <c r="J41" s="12"/>
      <c r="K41" s="12">
        <v>3</v>
      </c>
      <c r="L41" s="12"/>
      <c r="M41" s="12"/>
      <c r="N41" s="12"/>
      <c r="O41" s="12"/>
      <c r="P41" s="12"/>
      <c r="Q41" s="12"/>
      <c r="R41" s="12"/>
      <c r="S41" s="12"/>
      <c r="T41" s="13"/>
      <c r="U41" s="46"/>
      <c r="V41" s="47"/>
      <c r="W41" s="48">
        <f t="shared" si="6"/>
        <v>0</v>
      </c>
      <c r="X41" s="48">
        <f t="shared" si="7"/>
        <v>0</v>
      </c>
      <c r="Y41" s="48">
        <f t="shared" si="8"/>
        <v>0</v>
      </c>
      <c r="Z41" s="48">
        <f t="shared" si="9"/>
        <v>0</v>
      </c>
      <c r="AA41" s="48"/>
      <c r="AB41" s="48"/>
      <c r="AC41" s="49">
        <f t="shared" si="10"/>
        <v>0</v>
      </c>
      <c r="AD41" s="50">
        <v>0</v>
      </c>
      <c r="AE41" s="47">
        <v>39837</v>
      </c>
      <c r="AF41" s="51" t="s">
        <v>516</v>
      </c>
      <c r="AG41" s="52" t="s">
        <v>517</v>
      </c>
      <c r="AH41" s="53" t="s">
        <v>127</v>
      </c>
      <c r="AI41" s="79"/>
      <c r="AJ41" s="80"/>
      <c r="AK41" s="81"/>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2"/>
      <c r="CL41" s="12"/>
      <c r="CM41" s="82"/>
      <c r="CN41" s="12"/>
      <c r="CO41" s="82"/>
      <c r="CP41" s="12"/>
      <c r="CQ41" s="83">
        <f t="shared" si="11"/>
        <v>0</v>
      </c>
      <c r="CR41" s="84"/>
      <c r="CS41" s="13"/>
      <c r="CT41" s="85"/>
      <c r="CU41" s="86"/>
      <c r="CV41" s="11"/>
      <c r="CW41" s="86"/>
      <c r="CX41" s="84"/>
      <c r="CY41" s="86"/>
    </row>
    <row r="42" spans="1:103" ht="63.75" x14ac:dyDescent="0.2">
      <c r="A42" s="43">
        <v>39837</v>
      </c>
      <c r="B42" s="44" t="s">
        <v>1066</v>
      </c>
      <c r="C42" s="44" t="s">
        <v>476</v>
      </c>
      <c r="D42" s="45" t="s">
        <v>1092</v>
      </c>
      <c r="E42" s="11">
        <v>3</v>
      </c>
      <c r="F42" s="12"/>
      <c r="G42" s="12"/>
      <c r="H42" s="12">
        <f>116*5</f>
        <v>580</v>
      </c>
      <c r="I42" s="12">
        <v>116</v>
      </c>
      <c r="J42" s="12"/>
      <c r="K42" s="12">
        <v>22</v>
      </c>
      <c r="L42" s="12">
        <v>2</v>
      </c>
      <c r="M42" s="12">
        <v>1</v>
      </c>
      <c r="N42" s="12"/>
      <c r="O42" s="12"/>
      <c r="P42" s="12"/>
      <c r="Q42" s="12"/>
      <c r="R42" s="12">
        <v>1</v>
      </c>
      <c r="S42" s="12"/>
      <c r="T42" s="13"/>
      <c r="U42" s="46" t="s">
        <v>597</v>
      </c>
      <c r="V42" s="47"/>
      <c r="W42" s="48">
        <f t="shared" si="6"/>
        <v>0</v>
      </c>
      <c r="X42" s="48">
        <f t="shared" si="7"/>
        <v>0</v>
      </c>
      <c r="Y42" s="48">
        <f t="shared" si="8"/>
        <v>0</v>
      </c>
      <c r="Z42" s="48">
        <f t="shared" si="9"/>
        <v>0</v>
      </c>
      <c r="AA42" s="48"/>
      <c r="AB42" s="48"/>
      <c r="AC42" s="49">
        <f t="shared" si="10"/>
        <v>0</v>
      </c>
      <c r="AD42" s="50">
        <v>0</v>
      </c>
      <c r="AE42" s="47">
        <v>39856</v>
      </c>
      <c r="AF42" s="51" t="s">
        <v>1016</v>
      </c>
      <c r="AG42" s="52" t="s">
        <v>565</v>
      </c>
      <c r="AH42" s="53" t="s">
        <v>1407</v>
      </c>
      <c r="AI42" s="79"/>
      <c r="AJ42" s="80"/>
      <c r="AK42" s="81"/>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2"/>
      <c r="CL42" s="12"/>
      <c r="CM42" s="82"/>
      <c r="CN42" s="12"/>
      <c r="CO42" s="82"/>
      <c r="CP42" s="12"/>
      <c r="CQ42" s="83">
        <f t="shared" si="11"/>
        <v>0</v>
      </c>
      <c r="CR42" s="84"/>
      <c r="CS42" s="13"/>
      <c r="CT42" s="85"/>
      <c r="CU42" s="86"/>
      <c r="CV42" s="11"/>
      <c r="CW42" s="86"/>
      <c r="CX42" s="84"/>
      <c r="CY42" s="86"/>
    </row>
    <row r="43" spans="1:103" ht="63.75" x14ac:dyDescent="0.2">
      <c r="A43" s="43">
        <v>39837</v>
      </c>
      <c r="B43" s="44" t="s">
        <v>1136</v>
      </c>
      <c r="C43" s="44" t="s">
        <v>425</v>
      </c>
      <c r="D43" s="45" t="s">
        <v>1118</v>
      </c>
      <c r="E43" s="11"/>
      <c r="F43" s="12"/>
      <c r="G43" s="12"/>
      <c r="H43" s="12">
        <v>92</v>
      </c>
      <c r="I43" s="12">
        <v>19</v>
      </c>
      <c r="J43" s="12"/>
      <c r="K43" s="12">
        <v>19</v>
      </c>
      <c r="L43" s="12"/>
      <c r="M43" s="12"/>
      <c r="N43" s="12"/>
      <c r="O43" s="12"/>
      <c r="P43" s="12"/>
      <c r="Q43" s="12"/>
      <c r="R43" s="12"/>
      <c r="S43" s="12"/>
      <c r="T43" s="13"/>
      <c r="U43" s="46" t="s">
        <v>597</v>
      </c>
      <c r="V43" s="47"/>
      <c r="W43" s="48">
        <f t="shared" si="6"/>
        <v>0</v>
      </c>
      <c r="X43" s="48">
        <f t="shared" si="7"/>
        <v>0</v>
      </c>
      <c r="Y43" s="48">
        <f t="shared" si="8"/>
        <v>0</v>
      </c>
      <c r="Z43" s="48">
        <f t="shared" si="9"/>
        <v>0</v>
      </c>
      <c r="AA43" s="48"/>
      <c r="AB43" s="48"/>
      <c r="AC43" s="49">
        <f t="shared" si="10"/>
        <v>0</v>
      </c>
      <c r="AD43" s="50">
        <v>0</v>
      </c>
      <c r="AE43" s="47">
        <v>39837</v>
      </c>
      <c r="AF43" s="51" t="s">
        <v>516</v>
      </c>
      <c r="AG43" s="52" t="s">
        <v>517</v>
      </c>
      <c r="AH43" s="53" t="s">
        <v>1452</v>
      </c>
      <c r="AI43" s="79"/>
      <c r="AJ43" s="80"/>
      <c r="AK43" s="81"/>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2"/>
      <c r="CL43" s="12"/>
      <c r="CM43" s="82"/>
      <c r="CN43" s="12"/>
      <c r="CO43" s="82"/>
      <c r="CP43" s="12"/>
      <c r="CQ43" s="83">
        <f t="shared" si="11"/>
        <v>0</v>
      </c>
      <c r="CR43" s="84"/>
      <c r="CS43" s="13"/>
      <c r="CT43" s="85"/>
      <c r="CU43" s="86"/>
      <c r="CV43" s="11"/>
      <c r="CW43" s="86"/>
      <c r="CX43" s="84"/>
      <c r="CY43" s="86"/>
    </row>
    <row r="44" spans="1:103" ht="51" x14ac:dyDescent="0.2">
      <c r="A44" s="43">
        <v>39837</v>
      </c>
      <c r="B44" s="44" t="s">
        <v>1136</v>
      </c>
      <c r="C44" s="44" t="s">
        <v>121</v>
      </c>
      <c r="D44" s="45" t="s">
        <v>1118</v>
      </c>
      <c r="E44" s="11">
        <v>1</v>
      </c>
      <c r="F44" s="12"/>
      <c r="G44" s="12"/>
      <c r="H44" s="12">
        <v>5</v>
      </c>
      <c r="I44" s="12">
        <v>1</v>
      </c>
      <c r="J44" s="12"/>
      <c r="K44" s="12"/>
      <c r="L44" s="12"/>
      <c r="M44" s="12"/>
      <c r="N44" s="12"/>
      <c r="O44" s="12"/>
      <c r="P44" s="12"/>
      <c r="Q44" s="12"/>
      <c r="R44" s="12"/>
      <c r="S44" s="12"/>
      <c r="T44" s="13"/>
      <c r="U44" s="46"/>
      <c r="V44" s="47"/>
      <c r="W44" s="48">
        <f t="shared" si="6"/>
        <v>0</v>
      </c>
      <c r="X44" s="48">
        <f t="shared" si="7"/>
        <v>0</v>
      </c>
      <c r="Y44" s="48">
        <f t="shared" si="8"/>
        <v>0</v>
      </c>
      <c r="Z44" s="48">
        <f t="shared" si="9"/>
        <v>0</v>
      </c>
      <c r="AA44" s="48"/>
      <c r="AB44" s="48"/>
      <c r="AC44" s="49">
        <f t="shared" si="10"/>
        <v>0</v>
      </c>
      <c r="AD44" s="50">
        <v>0</v>
      </c>
      <c r="AE44" s="47">
        <v>39837</v>
      </c>
      <c r="AF44" s="51" t="s">
        <v>516</v>
      </c>
      <c r="AG44" s="52" t="s">
        <v>517</v>
      </c>
      <c r="AH44" s="53" t="s">
        <v>1284</v>
      </c>
      <c r="AI44" s="79"/>
      <c r="AJ44" s="80"/>
      <c r="AK44" s="81"/>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2"/>
      <c r="CL44" s="12"/>
      <c r="CM44" s="82"/>
      <c r="CN44" s="12"/>
      <c r="CO44" s="82"/>
      <c r="CP44" s="12"/>
      <c r="CQ44" s="83">
        <f t="shared" si="11"/>
        <v>0</v>
      </c>
      <c r="CR44" s="84"/>
      <c r="CS44" s="13"/>
      <c r="CT44" s="85"/>
      <c r="CU44" s="86"/>
      <c r="CV44" s="11"/>
      <c r="CW44" s="86"/>
      <c r="CX44" s="84"/>
      <c r="CY44" s="86"/>
    </row>
    <row r="45" spans="1:103" ht="38.25" x14ac:dyDescent="0.2">
      <c r="A45" s="43">
        <v>39837</v>
      </c>
      <c r="B45" s="44" t="s">
        <v>1136</v>
      </c>
      <c r="C45" s="44" t="s">
        <v>122</v>
      </c>
      <c r="D45" s="45" t="s">
        <v>1118</v>
      </c>
      <c r="E45" s="11"/>
      <c r="F45" s="12"/>
      <c r="G45" s="12"/>
      <c r="H45" s="12"/>
      <c r="I45" s="12"/>
      <c r="J45" s="12"/>
      <c r="K45" s="12"/>
      <c r="L45" s="12"/>
      <c r="M45" s="12"/>
      <c r="N45" s="12"/>
      <c r="O45" s="12">
        <v>1</v>
      </c>
      <c r="P45" s="12"/>
      <c r="Q45" s="12"/>
      <c r="R45" s="12"/>
      <c r="S45" s="12"/>
      <c r="T45" s="13"/>
      <c r="U45" s="46"/>
      <c r="V45" s="47"/>
      <c r="W45" s="48">
        <f t="shared" si="6"/>
        <v>0</v>
      </c>
      <c r="X45" s="48">
        <f t="shared" si="7"/>
        <v>0</v>
      </c>
      <c r="Y45" s="48">
        <f t="shared" si="8"/>
        <v>0</v>
      </c>
      <c r="Z45" s="48">
        <f t="shared" si="9"/>
        <v>0</v>
      </c>
      <c r="AA45" s="48"/>
      <c r="AB45" s="48"/>
      <c r="AC45" s="49">
        <f t="shared" si="10"/>
        <v>0</v>
      </c>
      <c r="AD45" s="50">
        <v>0</v>
      </c>
      <c r="AE45" s="47">
        <v>39837</v>
      </c>
      <c r="AF45" s="51" t="s">
        <v>516</v>
      </c>
      <c r="AG45" s="52" t="s">
        <v>517</v>
      </c>
      <c r="AH45" s="53" t="s">
        <v>123</v>
      </c>
      <c r="AI45" s="79"/>
      <c r="AJ45" s="80"/>
      <c r="AK45" s="81"/>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2"/>
      <c r="CL45" s="12"/>
      <c r="CM45" s="82"/>
      <c r="CN45" s="12"/>
      <c r="CO45" s="82"/>
      <c r="CP45" s="12"/>
      <c r="CQ45" s="83">
        <f t="shared" si="11"/>
        <v>0</v>
      </c>
      <c r="CR45" s="84"/>
      <c r="CS45" s="13"/>
      <c r="CT45" s="85"/>
      <c r="CU45" s="86"/>
      <c r="CV45" s="11"/>
      <c r="CW45" s="86"/>
      <c r="CX45" s="84"/>
      <c r="CY45" s="86"/>
    </row>
    <row r="46" spans="1:103" ht="38.25" x14ac:dyDescent="0.2">
      <c r="A46" s="43">
        <v>39838</v>
      </c>
      <c r="B46" s="44" t="s">
        <v>1091</v>
      </c>
      <c r="C46" s="44" t="s">
        <v>288</v>
      </c>
      <c r="D46" s="45" t="s">
        <v>1117</v>
      </c>
      <c r="E46" s="11"/>
      <c r="F46" s="12"/>
      <c r="G46" s="12"/>
      <c r="H46" s="12">
        <v>39</v>
      </c>
      <c r="I46" s="12">
        <v>7</v>
      </c>
      <c r="J46" s="12">
        <v>1</v>
      </c>
      <c r="K46" s="12">
        <v>5</v>
      </c>
      <c r="L46" s="12"/>
      <c r="M46" s="12"/>
      <c r="N46" s="12"/>
      <c r="O46" s="12"/>
      <c r="P46" s="12"/>
      <c r="Q46" s="12"/>
      <c r="R46" s="12"/>
      <c r="S46" s="12"/>
      <c r="T46" s="13"/>
      <c r="U46" s="46"/>
      <c r="V46" s="47"/>
      <c r="W46" s="48">
        <f t="shared" si="6"/>
        <v>0</v>
      </c>
      <c r="X46" s="48">
        <f t="shared" si="7"/>
        <v>0</v>
      </c>
      <c r="Y46" s="48">
        <f t="shared" si="8"/>
        <v>0</v>
      </c>
      <c r="Z46" s="48">
        <f t="shared" si="9"/>
        <v>0</v>
      </c>
      <c r="AA46" s="48"/>
      <c r="AB46" s="48"/>
      <c r="AC46" s="49">
        <f t="shared" si="10"/>
        <v>0</v>
      </c>
      <c r="AD46" s="50">
        <v>0</v>
      </c>
      <c r="AE46" s="47">
        <v>39838</v>
      </c>
      <c r="AF46" s="51" t="s">
        <v>516</v>
      </c>
      <c r="AG46" s="52" t="s">
        <v>517</v>
      </c>
      <c r="AH46" s="53" t="s">
        <v>1473</v>
      </c>
      <c r="AI46" s="79"/>
      <c r="AJ46" s="80"/>
      <c r="AK46" s="81"/>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2"/>
      <c r="CL46" s="12"/>
      <c r="CM46" s="82"/>
      <c r="CN46" s="12"/>
      <c r="CO46" s="82"/>
      <c r="CP46" s="12"/>
      <c r="CQ46" s="83">
        <f t="shared" si="11"/>
        <v>0</v>
      </c>
      <c r="CR46" s="84"/>
      <c r="CS46" s="13"/>
      <c r="CT46" s="85"/>
      <c r="CU46" s="86"/>
      <c r="CV46" s="11"/>
      <c r="CW46" s="86"/>
      <c r="CX46" s="84"/>
      <c r="CY46" s="86"/>
    </row>
    <row r="47" spans="1:103" ht="38.25" x14ac:dyDescent="0.2">
      <c r="A47" s="43">
        <v>39839</v>
      </c>
      <c r="B47" s="44" t="s">
        <v>1066</v>
      </c>
      <c r="C47" s="44" t="s">
        <v>484</v>
      </c>
      <c r="D47" s="45" t="s">
        <v>1092</v>
      </c>
      <c r="E47" s="11"/>
      <c r="F47" s="12"/>
      <c r="G47" s="12"/>
      <c r="H47" s="12">
        <v>45</v>
      </c>
      <c r="I47" s="12">
        <v>9</v>
      </c>
      <c r="J47" s="12"/>
      <c r="K47" s="12">
        <v>9</v>
      </c>
      <c r="L47" s="12">
        <v>2</v>
      </c>
      <c r="M47" s="12"/>
      <c r="N47" s="12"/>
      <c r="O47" s="12"/>
      <c r="P47" s="12"/>
      <c r="Q47" s="12"/>
      <c r="R47" s="12"/>
      <c r="S47" s="12"/>
      <c r="T47" s="13"/>
      <c r="U47" s="46"/>
      <c r="V47" s="47"/>
      <c r="W47" s="48">
        <f t="shared" si="6"/>
        <v>0</v>
      </c>
      <c r="X47" s="48">
        <f t="shared" si="7"/>
        <v>0</v>
      </c>
      <c r="Y47" s="48">
        <f t="shared" si="8"/>
        <v>0</v>
      </c>
      <c r="Z47" s="48">
        <f t="shared" si="9"/>
        <v>0</v>
      </c>
      <c r="AA47" s="48"/>
      <c r="AB47" s="48"/>
      <c r="AC47" s="49">
        <f t="shared" si="10"/>
        <v>0</v>
      </c>
      <c r="AD47" s="50">
        <v>0</v>
      </c>
      <c r="AE47" s="47">
        <v>39856</v>
      </c>
      <c r="AF47" s="51" t="s">
        <v>1016</v>
      </c>
      <c r="AG47" s="52" t="s">
        <v>565</v>
      </c>
      <c r="AH47" s="53" t="s">
        <v>888</v>
      </c>
      <c r="AI47" s="79"/>
      <c r="AJ47" s="80"/>
      <c r="AK47" s="81"/>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2"/>
      <c r="CL47" s="12"/>
      <c r="CM47" s="82"/>
      <c r="CN47" s="12"/>
      <c r="CO47" s="82"/>
      <c r="CP47" s="12"/>
      <c r="CQ47" s="83">
        <f t="shared" si="11"/>
        <v>0</v>
      </c>
      <c r="CR47" s="84"/>
      <c r="CS47" s="13"/>
      <c r="CT47" s="85"/>
      <c r="CU47" s="86"/>
      <c r="CV47" s="11"/>
      <c r="CW47" s="86"/>
      <c r="CX47" s="84"/>
      <c r="CY47" s="86"/>
    </row>
    <row r="48" spans="1:103" ht="25.5" x14ac:dyDescent="0.2">
      <c r="A48" s="43">
        <v>39840</v>
      </c>
      <c r="B48" s="44" t="s">
        <v>1127</v>
      </c>
      <c r="C48" s="44" t="s">
        <v>116</v>
      </c>
      <c r="D48" s="45" t="s">
        <v>1070</v>
      </c>
      <c r="E48" s="11">
        <v>2</v>
      </c>
      <c r="F48" s="12">
        <v>1</v>
      </c>
      <c r="G48" s="12"/>
      <c r="H48" s="12"/>
      <c r="I48" s="12"/>
      <c r="J48" s="12"/>
      <c r="K48" s="12">
        <v>16</v>
      </c>
      <c r="L48" s="12"/>
      <c r="M48" s="12"/>
      <c r="N48" s="12"/>
      <c r="O48" s="12"/>
      <c r="P48" s="12"/>
      <c r="Q48" s="12"/>
      <c r="R48" s="12"/>
      <c r="S48" s="12"/>
      <c r="T48" s="13"/>
      <c r="U48" s="46"/>
      <c r="V48" s="47"/>
      <c r="W48" s="48">
        <f t="shared" si="6"/>
        <v>0</v>
      </c>
      <c r="X48" s="48">
        <f t="shared" si="7"/>
        <v>0</v>
      </c>
      <c r="Y48" s="48">
        <f t="shared" si="8"/>
        <v>0</v>
      </c>
      <c r="Z48" s="48">
        <f t="shared" si="9"/>
        <v>0</v>
      </c>
      <c r="AA48" s="48"/>
      <c r="AB48" s="48"/>
      <c r="AC48" s="49">
        <f t="shared" si="10"/>
        <v>0</v>
      </c>
      <c r="AD48" s="50">
        <v>0</v>
      </c>
      <c r="AE48" s="47">
        <v>39837</v>
      </c>
      <c r="AF48" s="51" t="s">
        <v>516</v>
      </c>
      <c r="AG48" s="52" t="s">
        <v>517</v>
      </c>
      <c r="AH48" s="53" t="s">
        <v>272</v>
      </c>
      <c r="AI48" s="79"/>
      <c r="AJ48" s="80"/>
      <c r="AK48" s="81"/>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2"/>
      <c r="CL48" s="12"/>
      <c r="CM48" s="82"/>
      <c r="CN48" s="12"/>
      <c r="CO48" s="82"/>
      <c r="CP48" s="12"/>
      <c r="CQ48" s="83">
        <f t="shared" si="11"/>
        <v>0</v>
      </c>
      <c r="CR48" s="84"/>
      <c r="CS48" s="13"/>
      <c r="CT48" s="85"/>
      <c r="CU48" s="86"/>
      <c r="CV48" s="11"/>
      <c r="CW48" s="86"/>
      <c r="CX48" s="84"/>
      <c r="CY48" s="86"/>
    </row>
    <row r="49" spans="1:103" ht="76.5" x14ac:dyDescent="0.2">
      <c r="A49" s="43">
        <v>39840</v>
      </c>
      <c r="B49" s="44" t="s">
        <v>1091</v>
      </c>
      <c r="C49" s="44" t="s">
        <v>126</v>
      </c>
      <c r="D49" s="45" t="s">
        <v>1118</v>
      </c>
      <c r="E49" s="11"/>
      <c r="F49" s="12"/>
      <c r="G49" s="12"/>
      <c r="H49" s="12">
        <v>600</v>
      </c>
      <c r="I49" s="12">
        <v>200</v>
      </c>
      <c r="J49" s="12">
        <v>1</v>
      </c>
      <c r="K49" s="12">
        <v>20</v>
      </c>
      <c r="L49" s="12"/>
      <c r="M49" s="12">
        <v>1</v>
      </c>
      <c r="N49" s="12"/>
      <c r="O49" s="12"/>
      <c r="P49" s="12"/>
      <c r="Q49" s="12"/>
      <c r="R49" s="12"/>
      <c r="S49" s="12"/>
      <c r="T49" s="13"/>
      <c r="U49" s="46"/>
      <c r="V49" s="47"/>
      <c r="W49" s="48">
        <f t="shared" si="6"/>
        <v>0</v>
      </c>
      <c r="X49" s="48">
        <f t="shared" si="7"/>
        <v>0</v>
      </c>
      <c r="Y49" s="48">
        <f t="shared" si="8"/>
        <v>0</v>
      </c>
      <c r="Z49" s="48">
        <f t="shared" si="9"/>
        <v>0</v>
      </c>
      <c r="AA49" s="48"/>
      <c r="AB49" s="48"/>
      <c r="AC49" s="49">
        <f t="shared" si="10"/>
        <v>0</v>
      </c>
      <c r="AD49" s="50">
        <v>0</v>
      </c>
      <c r="AE49" s="47">
        <v>39837</v>
      </c>
      <c r="AF49" s="51" t="s">
        <v>516</v>
      </c>
      <c r="AG49" s="52" t="s">
        <v>517</v>
      </c>
      <c r="AH49" s="53" t="s">
        <v>128</v>
      </c>
      <c r="AI49" s="79"/>
      <c r="AJ49" s="80"/>
      <c r="AK49" s="81"/>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2"/>
      <c r="CL49" s="12"/>
      <c r="CM49" s="82"/>
      <c r="CN49" s="12"/>
      <c r="CO49" s="82"/>
      <c r="CP49" s="12"/>
      <c r="CQ49" s="83">
        <f t="shared" si="11"/>
        <v>0</v>
      </c>
      <c r="CR49" s="84"/>
      <c r="CS49" s="13"/>
      <c r="CT49" s="85"/>
      <c r="CU49" s="86"/>
      <c r="CV49" s="11"/>
      <c r="CW49" s="86"/>
      <c r="CX49" s="84"/>
      <c r="CY49" s="86"/>
    </row>
    <row r="50" spans="1:103" ht="51" x14ac:dyDescent="0.2">
      <c r="A50" s="43">
        <v>39841</v>
      </c>
      <c r="B50" s="44" t="s">
        <v>1067</v>
      </c>
      <c r="C50" s="44" t="s">
        <v>1346</v>
      </c>
      <c r="D50" s="45" t="s">
        <v>1117</v>
      </c>
      <c r="E50" s="11"/>
      <c r="F50" s="12"/>
      <c r="G50" s="12"/>
      <c r="H50" s="12">
        <v>85</v>
      </c>
      <c r="I50" s="12">
        <v>17</v>
      </c>
      <c r="J50" s="12">
        <v>15</v>
      </c>
      <c r="K50" s="12"/>
      <c r="L50" s="12"/>
      <c r="M50" s="12"/>
      <c r="N50" s="12"/>
      <c r="O50" s="12"/>
      <c r="P50" s="12"/>
      <c r="Q50" s="12"/>
      <c r="R50" s="12"/>
      <c r="S50" s="12"/>
      <c r="T50" s="13"/>
      <c r="U50" s="46"/>
      <c r="V50" s="47"/>
      <c r="W50" s="48">
        <f t="shared" si="6"/>
        <v>0</v>
      </c>
      <c r="X50" s="48">
        <f t="shared" si="7"/>
        <v>0</v>
      </c>
      <c r="Y50" s="48">
        <f t="shared" si="8"/>
        <v>0</v>
      </c>
      <c r="Z50" s="48">
        <f t="shared" si="9"/>
        <v>0</v>
      </c>
      <c r="AA50" s="48"/>
      <c r="AB50" s="48"/>
      <c r="AC50" s="49">
        <f t="shared" si="10"/>
        <v>0</v>
      </c>
      <c r="AD50" s="50">
        <v>0</v>
      </c>
      <c r="AE50" s="47">
        <v>39841</v>
      </c>
      <c r="AF50" s="51" t="s">
        <v>516</v>
      </c>
      <c r="AG50" s="52" t="s">
        <v>517</v>
      </c>
      <c r="AH50" s="53" t="s">
        <v>1347</v>
      </c>
      <c r="AI50" s="79"/>
      <c r="AJ50" s="80"/>
      <c r="AK50" s="81"/>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2"/>
      <c r="CL50" s="12"/>
      <c r="CM50" s="82"/>
      <c r="CN50" s="12"/>
      <c r="CO50" s="82"/>
      <c r="CP50" s="12"/>
      <c r="CQ50" s="83">
        <f t="shared" si="11"/>
        <v>0</v>
      </c>
      <c r="CR50" s="84"/>
      <c r="CS50" s="13"/>
      <c r="CT50" s="85"/>
      <c r="CU50" s="86"/>
      <c r="CV50" s="11"/>
      <c r="CW50" s="86"/>
      <c r="CX50" s="84"/>
      <c r="CY50" s="86"/>
    </row>
    <row r="51" spans="1:103" ht="38.25" x14ac:dyDescent="0.2">
      <c r="A51" s="43">
        <v>39841</v>
      </c>
      <c r="B51" s="44" t="s">
        <v>1224</v>
      </c>
      <c r="C51" s="44" t="s">
        <v>914</v>
      </c>
      <c r="D51" s="45" t="s">
        <v>1118</v>
      </c>
      <c r="E51" s="11"/>
      <c r="F51" s="12"/>
      <c r="G51" s="12"/>
      <c r="H51" s="12">
        <f>350*5</f>
        <v>1750</v>
      </c>
      <c r="I51" s="12">
        <v>350</v>
      </c>
      <c r="J51" s="12"/>
      <c r="K51" s="12">
        <v>350</v>
      </c>
      <c r="L51" s="12"/>
      <c r="M51" s="12"/>
      <c r="N51" s="12"/>
      <c r="O51" s="12"/>
      <c r="P51" s="12"/>
      <c r="Q51" s="12"/>
      <c r="R51" s="12"/>
      <c r="S51" s="12"/>
      <c r="T51" s="13"/>
      <c r="U51" s="46"/>
      <c r="V51" s="47">
        <v>39923</v>
      </c>
      <c r="W51" s="48">
        <f t="shared" si="6"/>
        <v>68075000</v>
      </c>
      <c r="X51" s="48">
        <f t="shared" si="7"/>
        <v>29750000</v>
      </c>
      <c r="Y51" s="48">
        <f t="shared" si="8"/>
        <v>0</v>
      </c>
      <c r="Z51" s="48">
        <f t="shared" si="9"/>
        <v>0</v>
      </c>
      <c r="AA51" s="48"/>
      <c r="AB51" s="48"/>
      <c r="AC51" s="49">
        <f t="shared" si="10"/>
        <v>97825000</v>
      </c>
      <c r="AD51" s="50">
        <v>0</v>
      </c>
      <c r="AE51" s="47">
        <v>39841</v>
      </c>
      <c r="AF51" s="51" t="s">
        <v>1016</v>
      </c>
      <c r="AG51" s="52" t="s">
        <v>565</v>
      </c>
      <c r="AH51" s="53" t="s">
        <v>924</v>
      </c>
      <c r="AI51" s="79"/>
      <c r="AJ51" s="80"/>
      <c r="AK51" s="81"/>
      <c r="AL51" s="80"/>
      <c r="AM51" s="80"/>
      <c r="AN51" s="80"/>
      <c r="AO51" s="80"/>
      <c r="AP51" s="80"/>
      <c r="AQ51" s="80"/>
      <c r="AR51" s="80"/>
      <c r="AS51" s="80"/>
      <c r="AT51" s="80"/>
      <c r="AU51" s="80">
        <v>750</v>
      </c>
      <c r="AV51" s="80">
        <f>750*56000</f>
        <v>42000000</v>
      </c>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2">
        <v>350</v>
      </c>
      <c r="CL51" s="12">
        <f>350*38500</f>
        <v>13475000</v>
      </c>
      <c r="CM51" s="82">
        <v>350</v>
      </c>
      <c r="CN51" s="12">
        <f>350*36000</f>
        <v>12600000</v>
      </c>
      <c r="CO51" s="82"/>
      <c r="CP51" s="12"/>
      <c r="CQ51" s="83">
        <f t="shared" si="11"/>
        <v>68075000</v>
      </c>
      <c r="CR51" s="84"/>
      <c r="CS51" s="13"/>
      <c r="CT51" s="85">
        <f>310+40</f>
        <v>350</v>
      </c>
      <c r="CU51" s="86">
        <f>310*85000+40*85000</f>
        <v>29750000</v>
      </c>
      <c r="CV51" s="11"/>
      <c r="CW51" s="86"/>
      <c r="CX51" s="84"/>
      <c r="CY51" s="86"/>
    </row>
    <row r="52" spans="1:103" ht="51" x14ac:dyDescent="0.2">
      <c r="A52" s="43">
        <v>39841</v>
      </c>
      <c r="B52" s="44" t="s">
        <v>1097</v>
      </c>
      <c r="C52" s="44" t="s">
        <v>125</v>
      </c>
      <c r="D52" s="45" t="s">
        <v>1092</v>
      </c>
      <c r="E52" s="11"/>
      <c r="F52" s="12"/>
      <c r="G52" s="12"/>
      <c r="H52" s="12">
        <v>79</v>
      </c>
      <c r="I52" s="12">
        <v>10</v>
      </c>
      <c r="J52" s="12">
        <v>4</v>
      </c>
      <c r="K52" s="12">
        <v>6</v>
      </c>
      <c r="L52" s="12"/>
      <c r="M52" s="12"/>
      <c r="N52" s="12"/>
      <c r="O52" s="12"/>
      <c r="P52" s="12"/>
      <c r="Q52" s="12"/>
      <c r="R52" s="12"/>
      <c r="S52" s="12"/>
      <c r="T52" s="13"/>
      <c r="U52" s="46"/>
      <c r="V52" s="47"/>
      <c r="W52" s="48">
        <f t="shared" si="6"/>
        <v>0</v>
      </c>
      <c r="X52" s="48">
        <f t="shared" si="7"/>
        <v>0</v>
      </c>
      <c r="Y52" s="48">
        <f t="shared" si="8"/>
        <v>0</v>
      </c>
      <c r="Z52" s="48">
        <f t="shared" si="9"/>
        <v>0</v>
      </c>
      <c r="AA52" s="48"/>
      <c r="AB52" s="48"/>
      <c r="AC52" s="49">
        <f t="shared" si="10"/>
        <v>0</v>
      </c>
      <c r="AD52" s="50">
        <v>0</v>
      </c>
      <c r="AE52" s="47">
        <v>39841</v>
      </c>
      <c r="AF52" s="51" t="s">
        <v>516</v>
      </c>
      <c r="AG52" s="52" t="s">
        <v>517</v>
      </c>
      <c r="AH52" s="53" t="s">
        <v>1345</v>
      </c>
      <c r="AI52" s="79"/>
      <c r="AJ52" s="80"/>
      <c r="AK52" s="81"/>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2"/>
      <c r="CL52" s="12"/>
      <c r="CM52" s="82"/>
      <c r="CN52" s="12"/>
      <c r="CO52" s="82"/>
      <c r="CP52" s="12"/>
      <c r="CQ52" s="83">
        <f t="shared" si="11"/>
        <v>0</v>
      </c>
      <c r="CR52" s="84"/>
      <c r="CS52" s="13"/>
      <c r="CT52" s="85"/>
      <c r="CU52" s="86"/>
      <c r="CV52" s="11"/>
      <c r="CW52" s="86"/>
      <c r="CX52" s="84"/>
      <c r="CY52" s="86"/>
    </row>
    <row r="53" spans="1:103" ht="102" x14ac:dyDescent="0.2">
      <c r="A53" s="43">
        <v>39841</v>
      </c>
      <c r="B53" s="44" t="s">
        <v>1066</v>
      </c>
      <c r="C53" s="44" t="s">
        <v>273</v>
      </c>
      <c r="D53" s="45" t="s">
        <v>1092</v>
      </c>
      <c r="E53" s="11"/>
      <c r="F53" s="12"/>
      <c r="G53" s="12"/>
      <c r="H53" s="12"/>
      <c r="I53" s="12"/>
      <c r="J53" s="12"/>
      <c r="K53" s="12"/>
      <c r="L53" s="12"/>
      <c r="M53" s="12"/>
      <c r="N53" s="12"/>
      <c r="O53" s="12"/>
      <c r="P53" s="12"/>
      <c r="Q53" s="12"/>
      <c r="R53" s="12"/>
      <c r="S53" s="12"/>
      <c r="T53" s="13"/>
      <c r="U53" s="46"/>
      <c r="V53" s="47"/>
      <c r="W53" s="48">
        <f t="shared" si="6"/>
        <v>0</v>
      </c>
      <c r="X53" s="48">
        <f t="shared" si="7"/>
        <v>0</v>
      </c>
      <c r="Y53" s="48">
        <f t="shared" si="8"/>
        <v>0</v>
      </c>
      <c r="Z53" s="48">
        <f t="shared" si="9"/>
        <v>0</v>
      </c>
      <c r="AA53" s="48"/>
      <c r="AB53" s="48"/>
      <c r="AC53" s="49">
        <f t="shared" si="10"/>
        <v>0</v>
      </c>
      <c r="AD53" s="50">
        <v>0</v>
      </c>
      <c r="AE53" s="47">
        <v>39841</v>
      </c>
      <c r="AF53" s="51" t="s">
        <v>516</v>
      </c>
      <c r="AG53" s="52" t="s">
        <v>517</v>
      </c>
      <c r="AH53" s="53" t="s">
        <v>1344</v>
      </c>
      <c r="AI53" s="79"/>
      <c r="AJ53" s="80"/>
      <c r="AK53" s="81"/>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2"/>
      <c r="CL53" s="12"/>
      <c r="CM53" s="82"/>
      <c r="CN53" s="12"/>
      <c r="CO53" s="82"/>
      <c r="CP53" s="12"/>
      <c r="CQ53" s="83">
        <f t="shared" si="11"/>
        <v>0</v>
      </c>
      <c r="CR53" s="84"/>
      <c r="CS53" s="13"/>
      <c r="CT53" s="85"/>
      <c r="CU53" s="86"/>
      <c r="CV53" s="11"/>
      <c r="CW53" s="86"/>
      <c r="CX53" s="84"/>
      <c r="CY53" s="86"/>
    </row>
    <row r="54" spans="1:103" ht="12.75" x14ac:dyDescent="0.2">
      <c r="A54" s="43">
        <v>39842</v>
      </c>
      <c r="B54" s="44" t="s">
        <v>315</v>
      </c>
      <c r="C54" s="44" t="s">
        <v>316</v>
      </c>
      <c r="D54" s="45" t="s">
        <v>1117</v>
      </c>
      <c r="E54" s="11"/>
      <c r="F54" s="12"/>
      <c r="G54" s="12"/>
      <c r="H54" s="12">
        <f>37*5</f>
        <v>185</v>
      </c>
      <c r="I54" s="12">
        <v>37</v>
      </c>
      <c r="J54" s="12"/>
      <c r="K54" s="12">
        <v>37</v>
      </c>
      <c r="L54" s="12"/>
      <c r="M54" s="12"/>
      <c r="N54" s="12"/>
      <c r="O54" s="12"/>
      <c r="P54" s="12"/>
      <c r="Q54" s="12"/>
      <c r="R54" s="12"/>
      <c r="S54" s="12"/>
      <c r="T54" s="13"/>
      <c r="U54" s="46"/>
      <c r="V54" s="47">
        <v>39931</v>
      </c>
      <c r="W54" s="48">
        <f t="shared" si="6"/>
        <v>0</v>
      </c>
      <c r="X54" s="48">
        <f t="shared" si="7"/>
        <v>0</v>
      </c>
      <c r="Y54" s="48">
        <f t="shared" si="8"/>
        <v>10045600</v>
      </c>
      <c r="Z54" s="48">
        <f t="shared" si="9"/>
        <v>0</v>
      </c>
      <c r="AA54" s="48"/>
      <c r="AB54" s="48"/>
      <c r="AC54" s="49">
        <f t="shared" si="10"/>
        <v>10045600</v>
      </c>
      <c r="AD54" s="50">
        <v>0</v>
      </c>
      <c r="AE54" s="47">
        <v>39853</v>
      </c>
      <c r="AF54" s="51" t="s">
        <v>1016</v>
      </c>
      <c r="AG54" s="52" t="s">
        <v>565</v>
      </c>
      <c r="AH54" s="53" t="s">
        <v>317</v>
      </c>
      <c r="AI54" s="79"/>
      <c r="AJ54" s="80"/>
      <c r="AK54" s="81"/>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2"/>
      <c r="CL54" s="12"/>
      <c r="CM54" s="82"/>
      <c r="CN54" s="12"/>
      <c r="CO54" s="82"/>
      <c r="CP54" s="12"/>
      <c r="CQ54" s="83">
        <f t="shared" si="11"/>
        <v>0</v>
      </c>
      <c r="CR54" s="84"/>
      <c r="CS54" s="13"/>
      <c r="CT54" s="85"/>
      <c r="CU54" s="86"/>
      <c r="CV54" s="11">
        <v>30</v>
      </c>
      <c r="CW54" s="86">
        <f>30*25520</f>
        <v>765600</v>
      </c>
      <c r="CX54" s="84">
        <v>500</v>
      </c>
      <c r="CY54" s="86">
        <f>500*18560</f>
        <v>9280000</v>
      </c>
    </row>
    <row r="55" spans="1:103" ht="38.25" x14ac:dyDescent="0.2">
      <c r="A55" s="43">
        <v>39842</v>
      </c>
      <c r="B55" s="44" t="s">
        <v>1224</v>
      </c>
      <c r="C55" s="44" t="s">
        <v>282</v>
      </c>
      <c r="D55" s="45" t="s">
        <v>1092</v>
      </c>
      <c r="E55" s="11">
        <v>1</v>
      </c>
      <c r="F55" s="12"/>
      <c r="G55" s="12"/>
      <c r="H55" s="12"/>
      <c r="I55" s="12"/>
      <c r="J55" s="12"/>
      <c r="K55" s="12"/>
      <c r="L55" s="12"/>
      <c r="M55" s="12"/>
      <c r="N55" s="12"/>
      <c r="O55" s="12"/>
      <c r="P55" s="12"/>
      <c r="Q55" s="12"/>
      <c r="R55" s="12"/>
      <c r="S55" s="12"/>
      <c r="T55" s="13"/>
      <c r="U55" s="46"/>
      <c r="V55" s="47"/>
      <c r="W55" s="48">
        <f t="shared" si="6"/>
        <v>0</v>
      </c>
      <c r="X55" s="48">
        <f t="shared" si="7"/>
        <v>0</v>
      </c>
      <c r="Y55" s="48">
        <f t="shared" si="8"/>
        <v>0</v>
      </c>
      <c r="Z55" s="48">
        <f t="shared" si="9"/>
        <v>0</v>
      </c>
      <c r="AA55" s="48"/>
      <c r="AB55" s="48"/>
      <c r="AC55" s="49">
        <f t="shared" si="10"/>
        <v>0</v>
      </c>
      <c r="AD55" s="50">
        <v>0</v>
      </c>
      <c r="AE55" s="47">
        <v>39842</v>
      </c>
      <c r="AF55" s="51" t="s">
        <v>516</v>
      </c>
      <c r="AG55" s="52" t="s">
        <v>517</v>
      </c>
      <c r="AH55" s="53" t="s">
        <v>283</v>
      </c>
      <c r="AI55" s="79"/>
      <c r="AJ55" s="80"/>
      <c r="AK55" s="81"/>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2"/>
      <c r="CL55" s="12"/>
      <c r="CM55" s="82"/>
      <c r="CN55" s="12"/>
      <c r="CO55" s="82"/>
      <c r="CP55" s="12"/>
      <c r="CQ55" s="83">
        <f t="shared" si="11"/>
        <v>0</v>
      </c>
      <c r="CR55" s="84"/>
      <c r="CS55" s="13"/>
      <c r="CT55" s="85"/>
      <c r="CU55" s="86"/>
      <c r="CV55" s="11"/>
      <c r="CW55" s="86"/>
      <c r="CX55" s="84"/>
      <c r="CY55" s="86"/>
    </row>
    <row r="56" spans="1:103" ht="51" x14ac:dyDescent="0.2">
      <c r="A56" s="43">
        <v>39842</v>
      </c>
      <c r="B56" s="44" t="s">
        <v>1066</v>
      </c>
      <c r="C56" s="44" t="s">
        <v>1348</v>
      </c>
      <c r="D56" s="45" t="s">
        <v>1118</v>
      </c>
      <c r="E56" s="11"/>
      <c r="F56" s="12"/>
      <c r="G56" s="12"/>
      <c r="H56" s="12"/>
      <c r="I56" s="12"/>
      <c r="J56" s="12"/>
      <c r="K56" s="12"/>
      <c r="L56" s="12"/>
      <c r="M56" s="12"/>
      <c r="N56" s="12"/>
      <c r="O56" s="12"/>
      <c r="P56" s="12"/>
      <c r="Q56" s="12"/>
      <c r="R56" s="12"/>
      <c r="S56" s="12"/>
      <c r="T56" s="13"/>
      <c r="U56" s="46"/>
      <c r="V56" s="47"/>
      <c r="W56" s="48">
        <f t="shared" si="6"/>
        <v>0</v>
      </c>
      <c r="X56" s="48">
        <f t="shared" si="7"/>
        <v>0</v>
      </c>
      <c r="Y56" s="48">
        <f t="shared" si="8"/>
        <v>0</v>
      </c>
      <c r="Z56" s="48">
        <f t="shared" si="9"/>
        <v>0</v>
      </c>
      <c r="AA56" s="48"/>
      <c r="AB56" s="48"/>
      <c r="AC56" s="49">
        <f t="shared" si="10"/>
        <v>0</v>
      </c>
      <c r="AD56" s="50">
        <v>0</v>
      </c>
      <c r="AE56" s="47">
        <v>39842</v>
      </c>
      <c r="AF56" s="51" t="s">
        <v>516</v>
      </c>
      <c r="AG56" s="52" t="s">
        <v>517</v>
      </c>
      <c r="AH56" s="53" t="s">
        <v>1349</v>
      </c>
      <c r="AI56" s="79"/>
      <c r="AJ56" s="80"/>
      <c r="AK56" s="81"/>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2"/>
      <c r="CL56" s="12"/>
      <c r="CM56" s="82"/>
      <c r="CN56" s="12"/>
      <c r="CO56" s="82"/>
      <c r="CP56" s="12"/>
      <c r="CQ56" s="83">
        <f t="shared" si="11"/>
        <v>0</v>
      </c>
      <c r="CR56" s="84"/>
      <c r="CS56" s="13"/>
      <c r="CT56" s="85"/>
      <c r="CU56" s="86"/>
      <c r="CV56" s="11"/>
      <c r="CW56" s="86"/>
      <c r="CX56" s="84"/>
      <c r="CY56" s="86"/>
    </row>
    <row r="57" spans="1:103" ht="25.5" x14ac:dyDescent="0.2">
      <c r="A57" s="43">
        <v>39842</v>
      </c>
      <c r="B57" s="44" t="s">
        <v>1066</v>
      </c>
      <c r="C57" s="44" t="s">
        <v>598</v>
      </c>
      <c r="D57" s="45" t="s">
        <v>1092</v>
      </c>
      <c r="E57" s="11"/>
      <c r="F57" s="12"/>
      <c r="G57" s="12"/>
      <c r="H57" s="12">
        <v>402</v>
      </c>
      <c r="I57" s="12">
        <v>110</v>
      </c>
      <c r="J57" s="12"/>
      <c r="K57" s="12">
        <v>35</v>
      </c>
      <c r="L57" s="12">
        <v>1</v>
      </c>
      <c r="M57" s="12"/>
      <c r="N57" s="12"/>
      <c r="O57" s="12"/>
      <c r="P57" s="12"/>
      <c r="Q57" s="12"/>
      <c r="R57" s="12"/>
      <c r="S57" s="12"/>
      <c r="T57" s="13"/>
      <c r="U57" s="46"/>
      <c r="V57" s="47"/>
      <c r="W57" s="48">
        <f t="shared" si="6"/>
        <v>0</v>
      </c>
      <c r="X57" s="48">
        <f t="shared" si="7"/>
        <v>0</v>
      </c>
      <c r="Y57" s="48">
        <f t="shared" si="8"/>
        <v>0</v>
      </c>
      <c r="Z57" s="48">
        <f t="shared" si="9"/>
        <v>0</v>
      </c>
      <c r="AA57" s="48"/>
      <c r="AB57" s="48"/>
      <c r="AC57" s="49">
        <f t="shared" si="10"/>
        <v>0</v>
      </c>
      <c r="AD57" s="50">
        <v>0</v>
      </c>
      <c r="AE57" s="47">
        <v>39856</v>
      </c>
      <c r="AF57" s="51" t="s">
        <v>1016</v>
      </c>
      <c r="AG57" s="52" t="s">
        <v>565</v>
      </c>
      <c r="AH57" s="53" t="s">
        <v>56</v>
      </c>
      <c r="AI57" s="79"/>
      <c r="AJ57" s="80"/>
      <c r="AK57" s="81"/>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2"/>
      <c r="CL57" s="12"/>
      <c r="CM57" s="82"/>
      <c r="CN57" s="12"/>
      <c r="CO57" s="82"/>
      <c r="CP57" s="12"/>
      <c r="CQ57" s="83">
        <f t="shared" si="11"/>
        <v>0</v>
      </c>
      <c r="CR57" s="84"/>
      <c r="CS57" s="13"/>
      <c r="CT57" s="85"/>
      <c r="CU57" s="86"/>
      <c r="CV57" s="11"/>
      <c r="CW57" s="86"/>
      <c r="CX57" s="84"/>
      <c r="CY57" s="86"/>
    </row>
    <row r="58" spans="1:103" ht="153" x14ac:dyDescent="0.2">
      <c r="A58" s="43">
        <v>39842</v>
      </c>
      <c r="B58" s="44" t="s">
        <v>1066</v>
      </c>
      <c r="C58" s="44" t="s">
        <v>284</v>
      </c>
      <c r="D58" s="45" t="s">
        <v>1116</v>
      </c>
      <c r="E58" s="11"/>
      <c r="F58" s="12">
        <v>1</v>
      </c>
      <c r="G58" s="12"/>
      <c r="H58" s="12">
        <v>157</v>
      </c>
      <c r="I58" s="12">
        <v>37</v>
      </c>
      <c r="J58" s="12">
        <v>12</v>
      </c>
      <c r="K58" s="12">
        <v>10</v>
      </c>
      <c r="L58" s="12"/>
      <c r="M58" s="12"/>
      <c r="N58" s="12"/>
      <c r="O58" s="12"/>
      <c r="P58" s="12"/>
      <c r="Q58" s="12"/>
      <c r="R58" s="12"/>
      <c r="S58" s="12">
        <v>1</v>
      </c>
      <c r="T58" s="13"/>
      <c r="U58" s="46"/>
      <c r="V58" s="47">
        <v>39923</v>
      </c>
      <c r="W58" s="48">
        <f t="shared" si="6"/>
        <v>0</v>
      </c>
      <c r="X58" s="48">
        <f t="shared" si="7"/>
        <v>0</v>
      </c>
      <c r="Y58" s="48">
        <f t="shared" si="8"/>
        <v>36563200</v>
      </c>
      <c r="Z58" s="48">
        <f t="shared" si="9"/>
        <v>0</v>
      </c>
      <c r="AA58" s="48">
        <f>8400000+20278200</f>
        <v>28678200</v>
      </c>
      <c r="AB58" s="48"/>
      <c r="AC58" s="49">
        <f t="shared" si="10"/>
        <v>65241400</v>
      </c>
      <c r="AD58" s="50">
        <v>0</v>
      </c>
      <c r="AE58" s="47">
        <v>39843</v>
      </c>
      <c r="AF58" s="51" t="s">
        <v>1016</v>
      </c>
      <c r="AG58" s="52" t="s">
        <v>565</v>
      </c>
      <c r="AH58" s="53" t="s">
        <v>821</v>
      </c>
      <c r="AI58" s="79"/>
      <c r="AJ58" s="80"/>
      <c r="AK58" s="81"/>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2"/>
      <c r="CL58" s="12"/>
      <c r="CM58" s="82"/>
      <c r="CN58" s="12"/>
      <c r="CO58" s="82"/>
      <c r="CP58" s="12"/>
      <c r="CQ58" s="83">
        <f t="shared" si="11"/>
        <v>0</v>
      </c>
      <c r="CR58" s="84"/>
      <c r="CS58" s="13"/>
      <c r="CT58" s="85"/>
      <c r="CU58" s="86"/>
      <c r="CV58" s="11"/>
      <c r="CW58" s="86"/>
      <c r="CX58" s="84">
        <v>1600</v>
      </c>
      <c r="CY58" s="86">
        <f>1600*22852</f>
        <v>36563200</v>
      </c>
    </row>
    <row r="59" spans="1:103" ht="89.25" x14ac:dyDescent="0.2">
      <c r="A59" s="43">
        <v>39842</v>
      </c>
      <c r="B59" s="44" t="s">
        <v>1350</v>
      </c>
      <c r="C59" s="44" t="s">
        <v>1351</v>
      </c>
      <c r="D59" s="45" t="s">
        <v>1117</v>
      </c>
      <c r="E59" s="11"/>
      <c r="F59" s="12"/>
      <c r="G59" s="12"/>
      <c r="H59" s="12"/>
      <c r="I59" s="12"/>
      <c r="J59" s="12"/>
      <c r="K59" s="12"/>
      <c r="L59" s="12"/>
      <c r="M59" s="12"/>
      <c r="N59" s="12"/>
      <c r="O59" s="12"/>
      <c r="P59" s="12"/>
      <c r="Q59" s="12"/>
      <c r="R59" s="12"/>
      <c r="S59" s="12"/>
      <c r="T59" s="13"/>
      <c r="U59" s="46"/>
      <c r="V59" s="47"/>
      <c r="W59" s="48">
        <f t="shared" si="6"/>
        <v>0</v>
      </c>
      <c r="X59" s="48">
        <f t="shared" si="7"/>
        <v>0</v>
      </c>
      <c r="Y59" s="48">
        <f t="shared" si="8"/>
        <v>0</v>
      </c>
      <c r="Z59" s="48">
        <f t="shared" si="9"/>
        <v>0</v>
      </c>
      <c r="AA59" s="48"/>
      <c r="AB59" s="48"/>
      <c r="AC59" s="49">
        <f t="shared" si="10"/>
        <v>0</v>
      </c>
      <c r="AD59" s="50">
        <v>0</v>
      </c>
      <c r="AE59" s="47">
        <v>39842</v>
      </c>
      <c r="AF59" s="51" t="s">
        <v>516</v>
      </c>
      <c r="AG59" s="52" t="s">
        <v>517</v>
      </c>
      <c r="AH59" s="53" t="s">
        <v>281</v>
      </c>
      <c r="AI59" s="79"/>
      <c r="AJ59" s="80"/>
      <c r="AK59" s="81"/>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2"/>
      <c r="CL59" s="12"/>
      <c r="CM59" s="82"/>
      <c r="CN59" s="12"/>
      <c r="CO59" s="82"/>
      <c r="CP59" s="12"/>
      <c r="CQ59" s="83">
        <f t="shared" si="11"/>
        <v>0</v>
      </c>
      <c r="CR59" s="84"/>
      <c r="CS59" s="13"/>
      <c r="CT59" s="85"/>
      <c r="CU59" s="86"/>
      <c r="CV59" s="11"/>
      <c r="CW59" s="86"/>
      <c r="CX59" s="84"/>
      <c r="CY59" s="86"/>
    </row>
    <row r="60" spans="1:103" ht="204" x14ac:dyDescent="0.2">
      <c r="A60" s="43">
        <v>39842</v>
      </c>
      <c r="B60" s="44" t="s">
        <v>1350</v>
      </c>
      <c r="C60" s="44" t="s">
        <v>285</v>
      </c>
      <c r="D60" s="45" t="s">
        <v>1118</v>
      </c>
      <c r="E60" s="11"/>
      <c r="F60" s="12"/>
      <c r="G60" s="12"/>
      <c r="H60" s="12"/>
      <c r="I60" s="12"/>
      <c r="J60" s="12"/>
      <c r="K60" s="12"/>
      <c r="L60" s="12">
        <v>5</v>
      </c>
      <c r="M60" s="12">
        <v>1</v>
      </c>
      <c r="N60" s="12"/>
      <c r="O60" s="12"/>
      <c r="P60" s="12"/>
      <c r="Q60" s="12"/>
      <c r="R60" s="12"/>
      <c r="S60" s="12"/>
      <c r="T60" s="13"/>
      <c r="U60" s="46"/>
      <c r="V60" s="47"/>
      <c r="W60" s="48">
        <f t="shared" si="6"/>
        <v>0</v>
      </c>
      <c r="X60" s="48">
        <f t="shared" si="7"/>
        <v>0</v>
      </c>
      <c r="Y60" s="48">
        <f t="shared" si="8"/>
        <v>0</v>
      </c>
      <c r="Z60" s="48">
        <f t="shared" si="9"/>
        <v>0</v>
      </c>
      <c r="AA60" s="48"/>
      <c r="AB60" s="48"/>
      <c r="AC60" s="49">
        <f t="shared" si="10"/>
        <v>0</v>
      </c>
      <c r="AD60" s="50">
        <v>0</v>
      </c>
      <c r="AE60" s="47">
        <v>39843</v>
      </c>
      <c r="AF60" s="51" t="s">
        <v>1016</v>
      </c>
      <c r="AG60" s="52" t="s">
        <v>517</v>
      </c>
      <c r="AH60" s="53" t="s">
        <v>822</v>
      </c>
      <c r="AI60" s="79"/>
      <c r="AJ60" s="80"/>
      <c r="AK60" s="81"/>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2"/>
      <c r="CL60" s="12"/>
      <c r="CM60" s="82"/>
      <c r="CN60" s="12"/>
      <c r="CO60" s="82"/>
      <c r="CP60" s="12"/>
      <c r="CQ60" s="83">
        <f t="shared" si="11"/>
        <v>0</v>
      </c>
      <c r="CR60" s="84"/>
      <c r="CS60" s="13"/>
      <c r="CT60" s="85"/>
      <c r="CU60" s="86"/>
      <c r="CV60" s="11"/>
      <c r="CW60" s="86"/>
      <c r="CX60" s="84"/>
      <c r="CY60" s="86"/>
    </row>
    <row r="61" spans="1:103" ht="63.75" x14ac:dyDescent="0.2">
      <c r="A61" s="43">
        <v>39843</v>
      </c>
      <c r="B61" s="44" t="s">
        <v>1350</v>
      </c>
      <c r="C61" s="44" t="s">
        <v>286</v>
      </c>
      <c r="D61" s="45" t="s">
        <v>1118</v>
      </c>
      <c r="E61" s="11"/>
      <c r="F61" s="12"/>
      <c r="G61" s="12"/>
      <c r="H61" s="12"/>
      <c r="I61" s="12"/>
      <c r="J61" s="12"/>
      <c r="K61" s="12"/>
      <c r="L61" s="12"/>
      <c r="M61" s="12"/>
      <c r="N61" s="12"/>
      <c r="O61" s="12"/>
      <c r="P61" s="12"/>
      <c r="Q61" s="12"/>
      <c r="R61" s="12"/>
      <c r="S61" s="12"/>
      <c r="T61" s="13"/>
      <c r="U61" s="46"/>
      <c r="V61" s="47"/>
      <c r="W61" s="48">
        <f t="shared" si="6"/>
        <v>0</v>
      </c>
      <c r="X61" s="48">
        <f t="shared" si="7"/>
        <v>0</v>
      </c>
      <c r="Y61" s="48">
        <f t="shared" si="8"/>
        <v>0</v>
      </c>
      <c r="Z61" s="48">
        <f t="shared" si="9"/>
        <v>0</v>
      </c>
      <c r="AA61" s="48"/>
      <c r="AB61" s="48"/>
      <c r="AC61" s="49">
        <f t="shared" si="10"/>
        <v>0</v>
      </c>
      <c r="AD61" s="50">
        <v>0</v>
      </c>
      <c r="AE61" s="47">
        <v>39843</v>
      </c>
      <c r="AF61" s="51" t="s">
        <v>516</v>
      </c>
      <c r="AG61" s="52" t="s">
        <v>517</v>
      </c>
      <c r="AH61" s="53" t="s">
        <v>287</v>
      </c>
      <c r="AI61" s="79"/>
      <c r="AJ61" s="80"/>
      <c r="AK61" s="81"/>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2"/>
      <c r="CL61" s="12"/>
      <c r="CM61" s="82"/>
      <c r="CN61" s="12"/>
      <c r="CO61" s="82"/>
      <c r="CP61" s="12"/>
      <c r="CQ61" s="83">
        <f t="shared" si="11"/>
        <v>0</v>
      </c>
      <c r="CR61" s="84"/>
      <c r="CS61" s="13"/>
      <c r="CT61" s="85"/>
      <c r="CU61" s="86"/>
      <c r="CV61" s="11"/>
      <c r="CW61" s="86"/>
      <c r="CX61" s="84"/>
      <c r="CY61" s="86"/>
    </row>
    <row r="62" spans="1:103" ht="38.25" x14ac:dyDescent="0.2">
      <c r="A62" s="43">
        <v>39844</v>
      </c>
      <c r="B62" s="44" t="s">
        <v>1066</v>
      </c>
      <c r="C62" s="44" t="s">
        <v>599</v>
      </c>
      <c r="D62" s="45" t="s">
        <v>1092</v>
      </c>
      <c r="E62" s="11"/>
      <c r="F62" s="12"/>
      <c r="G62" s="12"/>
      <c r="H62" s="12">
        <v>378</v>
      </c>
      <c r="I62" s="12">
        <v>99</v>
      </c>
      <c r="J62" s="12"/>
      <c r="K62" s="12"/>
      <c r="L62" s="12">
        <v>3</v>
      </c>
      <c r="M62" s="12"/>
      <c r="N62" s="12"/>
      <c r="O62" s="12">
        <v>2</v>
      </c>
      <c r="P62" s="12"/>
      <c r="Q62" s="12"/>
      <c r="R62" s="12"/>
      <c r="S62" s="12"/>
      <c r="T62" s="13"/>
      <c r="U62" s="46"/>
      <c r="V62" s="47"/>
      <c r="W62" s="48">
        <f t="shared" si="6"/>
        <v>0</v>
      </c>
      <c r="X62" s="48">
        <f t="shared" si="7"/>
        <v>0</v>
      </c>
      <c r="Y62" s="48">
        <f t="shared" si="8"/>
        <v>0</v>
      </c>
      <c r="Z62" s="48">
        <f t="shared" si="9"/>
        <v>0</v>
      </c>
      <c r="AA62" s="48"/>
      <c r="AB62" s="48"/>
      <c r="AC62" s="49">
        <f t="shared" si="10"/>
        <v>0</v>
      </c>
      <c r="AD62" s="50">
        <v>0</v>
      </c>
      <c r="AE62" s="47">
        <v>39856</v>
      </c>
      <c r="AF62" s="51" t="s">
        <v>1016</v>
      </c>
      <c r="AG62" s="52" t="s">
        <v>565</v>
      </c>
      <c r="AH62" s="53" t="s">
        <v>57</v>
      </c>
      <c r="AI62" s="79"/>
      <c r="AJ62" s="80"/>
      <c r="AK62" s="81"/>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2"/>
      <c r="CL62" s="12"/>
      <c r="CM62" s="82"/>
      <c r="CN62" s="12"/>
      <c r="CO62" s="82"/>
      <c r="CP62" s="12"/>
      <c r="CQ62" s="83">
        <f t="shared" si="11"/>
        <v>0</v>
      </c>
      <c r="CR62" s="84"/>
      <c r="CS62" s="13"/>
      <c r="CT62" s="85"/>
      <c r="CU62" s="86"/>
      <c r="CV62" s="11"/>
      <c r="CW62" s="86"/>
      <c r="CX62" s="84"/>
      <c r="CY62" s="86"/>
    </row>
    <row r="63" spans="1:103" ht="25.5" x14ac:dyDescent="0.2">
      <c r="A63" s="43">
        <v>39844</v>
      </c>
      <c r="B63" s="44" t="s">
        <v>1066</v>
      </c>
      <c r="C63" s="44" t="s">
        <v>485</v>
      </c>
      <c r="D63" s="45" t="s">
        <v>1092</v>
      </c>
      <c r="E63" s="11"/>
      <c r="F63" s="12"/>
      <c r="G63" s="12"/>
      <c r="H63" s="12">
        <v>1163</v>
      </c>
      <c r="I63" s="12">
        <v>273</v>
      </c>
      <c r="J63" s="12"/>
      <c r="K63" s="12">
        <v>273</v>
      </c>
      <c r="L63" s="12"/>
      <c r="M63" s="12"/>
      <c r="N63" s="12"/>
      <c r="O63" s="12"/>
      <c r="P63" s="12"/>
      <c r="Q63" s="12"/>
      <c r="R63" s="12"/>
      <c r="S63" s="12"/>
      <c r="T63" s="13"/>
      <c r="U63" s="46"/>
      <c r="V63" s="47"/>
      <c r="W63" s="48">
        <f t="shared" si="6"/>
        <v>0</v>
      </c>
      <c r="X63" s="48">
        <f t="shared" si="7"/>
        <v>0</v>
      </c>
      <c r="Y63" s="48">
        <f t="shared" si="8"/>
        <v>0</v>
      </c>
      <c r="Z63" s="48">
        <f t="shared" si="9"/>
        <v>0</v>
      </c>
      <c r="AA63" s="48"/>
      <c r="AB63" s="48"/>
      <c r="AC63" s="49">
        <f t="shared" si="10"/>
        <v>0</v>
      </c>
      <c r="AD63" s="50">
        <v>0</v>
      </c>
      <c r="AE63" s="47">
        <v>39856</v>
      </c>
      <c r="AF63" s="51" t="s">
        <v>1016</v>
      </c>
      <c r="AG63" s="52" t="s">
        <v>565</v>
      </c>
      <c r="AH63" s="53" t="s">
        <v>980</v>
      </c>
      <c r="AI63" s="79"/>
      <c r="AJ63" s="80"/>
      <c r="AK63" s="81"/>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2"/>
      <c r="CL63" s="12"/>
      <c r="CM63" s="82"/>
      <c r="CN63" s="12"/>
      <c r="CO63" s="82"/>
      <c r="CP63" s="12"/>
      <c r="CQ63" s="83">
        <f t="shared" si="11"/>
        <v>0</v>
      </c>
      <c r="CR63" s="84"/>
      <c r="CS63" s="13"/>
      <c r="CT63" s="85"/>
      <c r="CU63" s="86"/>
      <c r="CV63" s="11"/>
      <c r="CW63" s="86"/>
      <c r="CX63" s="84"/>
      <c r="CY63" s="86"/>
    </row>
    <row r="64" spans="1:103" ht="229.5" x14ac:dyDescent="0.2">
      <c r="A64" s="43">
        <v>39846</v>
      </c>
      <c r="B64" s="44" t="s">
        <v>625</v>
      </c>
      <c r="C64" s="44" t="s">
        <v>944</v>
      </c>
      <c r="D64" s="45" t="s">
        <v>1118</v>
      </c>
      <c r="E64" s="11"/>
      <c r="F64" s="12"/>
      <c r="G64" s="12"/>
      <c r="H64" s="12"/>
      <c r="I64" s="12"/>
      <c r="J64" s="12"/>
      <c r="K64" s="12"/>
      <c r="L64" s="12"/>
      <c r="M64" s="12"/>
      <c r="N64" s="12"/>
      <c r="O64" s="12"/>
      <c r="P64" s="12"/>
      <c r="Q64" s="12"/>
      <c r="R64" s="12"/>
      <c r="S64" s="12"/>
      <c r="T64" s="13"/>
      <c r="U64" s="46"/>
      <c r="V64" s="47">
        <v>39876</v>
      </c>
      <c r="W64" s="48">
        <f t="shared" si="6"/>
        <v>0</v>
      </c>
      <c r="X64" s="48">
        <f t="shared" si="7"/>
        <v>0</v>
      </c>
      <c r="Y64" s="48">
        <f t="shared" si="8"/>
        <v>0</v>
      </c>
      <c r="Z64" s="48">
        <f t="shared" si="9"/>
        <v>0</v>
      </c>
      <c r="AA64" s="48">
        <f>14534800+107026400</f>
        <v>121561200</v>
      </c>
      <c r="AB64" s="48">
        <v>64000000</v>
      </c>
      <c r="AC64" s="49">
        <f t="shared" si="10"/>
        <v>185561200</v>
      </c>
      <c r="AD64" s="50">
        <v>0</v>
      </c>
      <c r="AE64" s="47">
        <v>39846</v>
      </c>
      <c r="AF64" s="51" t="s">
        <v>1016</v>
      </c>
      <c r="AG64" s="52" t="s">
        <v>565</v>
      </c>
      <c r="AH64" s="54" t="s">
        <v>177</v>
      </c>
      <c r="AI64" s="79"/>
      <c r="AJ64" s="80"/>
      <c r="AK64" s="81"/>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2"/>
      <c r="CL64" s="12"/>
      <c r="CM64" s="82"/>
      <c r="CN64" s="12"/>
      <c r="CO64" s="82"/>
      <c r="CP64" s="12"/>
      <c r="CQ64" s="83">
        <f t="shared" si="11"/>
        <v>0</v>
      </c>
      <c r="CR64" s="84"/>
      <c r="CS64" s="13"/>
      <c r="CT64" s="85"/>
      <c r="CU64" s="86"/>
      <c r="CV64" s="11"/>
      <c r="CW64" s="86"/>
      <c r="CX64" s="84"/>
      <c r="CY64" s="86"/>
    </row>
    <row r="65" spans="1:103" ht="51" x14ac:dyDescent="0.2">
      <c r="A65" s="43">
        <v>39846</v>
      </c>
      <c r="B65" s="44" t="s">
        <v>1224</v>
      </c>
      <c r="C65" s="44" t="s">
        <v>59</v>
      </c>
      <c r="D65" s="45" t="s">
        <v>1092</v>
      </c>
      <c r="E65" s="11"/>
      <c r="F65" s="12"/>
      <c r="G65" s="12"/>
      <c r="H65" s="12"/>
      <c r="I65" s="12"/>
      <c r="J65" s="12"/>
      <c r="K65" s="12"/>
      <c r="L65" s="12"/>
      <c r="M65" s="12"/>
      <c r="N65" s="12"/>
      <c r="O65" s="12"/>
      <c r="P65" s="12"/>
      <c r="Q65" s="12"/>
      <c r="R65" s="12"/>
      <c r="S65" s="12"/>
      <c r="T65" s="13"/>
      <c r="U65" s="46"/>
      <c r="V65" s="47"/>
      <c r="W65" s="48">
        <f t="shared" si="6"/>
        <v>0</v>
      </c>
      <c r="X65" s="48">
        <f t="shared" si="7"/>
        <v>0</v>
      </c>
      <c r="Y65" s="48">
        <f t="shared" si="8"/>
        <v>0</v>
      </c>
      <c r="Z65" s="48">
        <f t="shared" si="9"/>
        <v>0</v>
      </c>
      <c r="AA65" s="48"/>
      <c r="AB65" s="48"/>
      <c r="AC65" s="49">
        <f t="shared" si="10"/>
        <v>0</v>
      </c>
      <c r="AD65" s="50">
        <v>0</v>
      </c>
      <c r="AE65" s="47">
        <v>39846</v>
      </c>
      <c r="AF65" s="51" t="s">
        <v>516</v>
      </c>
      <c r="AG65" s="52" t="s">
        <v>517</v>
      </c>
      <c r="AH65" s="53" t="s">
        <v>900</v>
      </c>
      <c r="AI65" s="79"/>
      <c r="AJ65" s="80"/>
      <c r="AK65" s="81"/>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2"/>
      <c r="CL65" s="12"/>
      <c r="CM65" s="82"/>
      <c r="CN65" s="12"/>
      <c r="CO65" s="82"/>
      <c r="CP65" s="12"/>
      <c r="CQ65" s="83">
        <f t="shared" si="11"/>
        <v>0</v>
      </c>
      <c r="CR65" s="84"/>
      <c r="CS65" s="13"/>
      <c r="CT65" s="85"/>
      <c r="CU65" s="86"/>
      <c r="CV65" s="11"/>
      <c r="CW65" s="86"/>
      <c r="CX65" s="84"/>
      <c r="CY65" s="86"/>
    </row>
    <row r="66" spans="1:103" ht="38.25" x14ac:dyDescent="0.2">
      <c r="A66" s="43">
        <v>39846</v>
      </c>
      <c r="B66" s="44" t="s">
        <v>1127</v>
      </c>
      <c r="C66" s="44" t="s">
        <v>1474</v>
      </c>
      <c r="D66" s="45" t="s">
        <v>1116</v>
      </c>
      <c r="E66" s="11"/>
      <c r="F66" s="12"/>
      <c r="G66" s="12"/>
      <c r="H66" s="12">
        <v>30</v>
      </c>
      <c r="I66" s="12">
        <v>6</v>
      </c>
      <c r="J66" s="12">
        <v>3</v>
      </c>
      <c r="K66" s="12">
        <v>3</v>
      </c>
      <c r="L66" s="12"/>
      <c r="M66" s="12"/>
      <c r="N66" s="12"/>
      <c r="O66" s="12"/>
      <c r="P66" s="12"/>
      <c r="Q66" s="12"/>
      <c r="R66" s="12"/>
      <c r="S66" s="12"/>
      <c r="T66" s="13"/>
      <c r="U66" s="46"/>
      <c r="V66" s="47"/>
      <c r="W66" s="48">
        <f t="shared" si="6"/>
        <v>0</v>
      </c>
      <c r="X66" s="48">
        <f t="shared" si="7"/>
        <v>0</v>
      </c>
      <c r="Y66" s="48">
        <f t="shared" si="8"/>
        <v>0</v>
      </c>
      <c r="Z66" s="48">
        <f t="shared" si="9"/>
        <v>0</v>
      </c>
      <c r="AA66" s="48"/>
      <c r="AB66" s="48"/>
      <c r="AC66" s="49">
        <f t="shared" si="10"/>
        <v>0</v>
      </c>
      <c r="AD66" s="50">
        <v>0</v>
      </c>
      <c r="AE66" s="47">
        <v>39846</v>
      </c>
      <c r="AF66" s="51" t="s">
        <v>516</v>
      </c>
      <c r="AG66" s="52" t="s">
        <v>517</v>
      </c>
      <c r="AH66" s="53" t="s">
        <v>1475</v>
      </c>
      <c r="AI66" s="79"/>
      <c r="AJ66" s="80"/>
      <c r="AK66" s="81"/>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2"/>
      <c r="CL66" s="12"/>
      <c r="CM66" s="82"/>
      <c r="CN66" s="12"/>
      <c r="CO66" s="82"/>
      <c r="CP66" s="12"/>
      <c r="CQ66" s="83">
        <f t="shared" si="11"/>
        <v>0</v>
      </c>
      <c r="CR66" s="84"/>
      <c r="CS66" s="13"/>
      <c r="CT66" s="85"/>
      <c r="CU66" s="86"/>
      <c r="CV66" s="11"/>
      <c r="CW66" s="86"/>
      <c r="CX66" s="84"/>
      <c r="CY66" s="86"/>
    </row>
    <row r="67" spans="1:103" ht="38.25" x14ac:dyDescent="0.2">
      <c r="A67" s="43">
        <v>39847</v>
      </c>
      <c r="B67" s="44" t="s">
        <v>904</v>
      </c>
      <c r="C67" s="44" t="s">
        <v>905</v>
      </c>
      <c r="D67" s="45" t="s">
        <v>1092</v>
      </c>
      <c r="E67" s="11">
        <v>1</v>
      </c>
      <c r="F67" s="12"/>
      <c r="G67" s="12"/>
      <c r="H67" s="12"/>
      <c r="I67" s="12"/>
      <c r="J67" s="12"/>
      <c r="K67" s="12"/>
      <c r="L67" s="12"/>
      <c r="M67" s="12"/>
      <c r="N67" s="12"/>
      <c r="O67" s="12"/>
      <c r="P67" s="12"/>
      <c r="Q67" s="12"/>
      <c r="R67" s="12"/>
      <c r="S67" s="12"/>
      <c r="T67" s="13"/>
      <c r="U67" s="46"/>
      <c r="V67" s="47"/>
      <c r="W67" s="48">
        <f t="shared" ref="W67:W130" si="12">CQ67</f>
        <v>0</v>
      </c>
      <c r="X67" s="48">
        <f t="shared" ref="X67:X130" si="13">CU67</f>
        <v>0</v>
      </c>
      <c r="Y67" s="48">
        <f t="shared" ref="Y67:Y130" si="14">CW67+CY67</f>
        <v>0</v>
      </c>
      <c r="Z67" s="48">
        <f t="shared" ref="Z67:Z130" si="15">CS67</f>
        <v>0</v>
      </c>
      <c r="AA67" s="48"/>
      <c r="AB67" s="48"/>
      <c r="AC67" s="49">
        <f t="shared" ref="AC67:AC130" si="16">W67+X67+Y67+Z67+AA67+AB67</f>
        <v>0</v>
      </c>
      <c r="AD67" s="50">
        <v>0</v>
      </c>
      <c r="AE67" s="47">
        <v>39847</v>
      </c>
      <c r="AF67" s="51" t="s">
        <v>516</v>
      </c>
      <c r="AG67" s="52" t="s">
        <v>517</v>
      </c>
      <c r="AH67" s="53" t="s">
        <v>669</v>
      </c>
      <c r="AI67" s="79"/>
      <c r="AJ67" s="80"/>
      <c r="AK67" s="81"/>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2"/>
      <c r="CL67" s="12"/>
      <c r="CM67" s="82"/>
      <c r="CN67" s="12"/>
      <c r="CO67" s="82"/>
      <c r="CP67" s="12"/>
      <c r="CQ67" s="83">
        <f t="shared" ref="CQ67:CQ98" si="17">AJ67+AL67+AN67+AP67+AR67+AT67+AV67+AX67+AZ67+BB67+BD67+BF67+BH67+BJ67+BL67+BN67+BP67+BR67+BT67+BV67+BX67+BZ67+CB67+CD67+CF67+CH67+CJ67+CL67+CN67+CP67</f>
        <v>0</v>
      </c>
      <c r="CR67" s="84"/>
      <c r="CS67" s="13"/>
      <c r="CT67" s="85"/>
      <c r="CU67" s="86"/>
      <c r="CV67" s="11"/>
      <c r="CW67" s="86"/>
      <c r="CX67" s="84"/>
      <c r="CY67" s="86"/>
    </row>
    <row r="68" spans="1:103" ht="51" x14ac:dyDescent="0.2">
      <c r="A68" s="43">
        <v>39847</v>
      </c>
      <c r="B68" s="44" t="s">
        <v>1224</v>
      </c>
      <c r="C68" s="44" t="s">
        <v>902</v>
      </c>
      <c r="D68" s="45" t="s">
        <v>1117</v>
      </c>
      <c r="E68" s="11"/>
      <c r="F68" s="12"/>
      <c r="G68" s="12"/>
      <c r="H68" s="12">
        <v>5</v>
      </c>
      <c r="I68" s="12">
        <v>1</v>
      </c>
      <c r="J68" s="12"/>
      <c r="K68" s="12">
        <v>1</v>
      </c>
      <c r="L68" s="12"/>
      <c r="M68" s="12"/>
      <c r="N68" s="12"/>
      <c r="O68" s="12"/>
      <c r="P68" s="12"/>
      <c r="Q68" s="12"/>
      <c r="R68" s="12"/>
      <c r="S68" s="12"/>
      <c r="T68" s="13"/>
      <c r="U68" s="46"/>
      <c r="V68" s="47"/>
      <c r="W68" s="48">
        <f t="shared" si="12"/>
        <v>0</v>
      </c>
      <c r="X68" s="48">
        <f t="shared" si="13"/>
        <v>0</v>
      </c>
      <c r="Y68" s="48">
        <f t="shared" si="14"/>
        <v>0</v>
      </c>
      <c r="Z68" s="48">
        <f t="shared" si="15"/>
        <v>0</v>
      </c>
      <c r="AA68" s="48"/>
      <c r="AB68" s="48"/>
      <c r="AC68" s="49">
        <f t="shared" si="16"/>
        <v>0</v>
      </c>
      <c r="AD68" s="50">
        <v>0</v>
      </c>
      <c r="AE68" s="47">
        <v>39847</v>
      </c>
      <c r="AF68" s="51" t="s">
        <v>516</v>
      </c>
      <c r="AG68" s="52" t="s">
        <v>517</v>
      </c>
      <c r="AH68" s="53" t="s">
        <v>903</v>
      </c>
      <c r="AI68" s="79"/>
      <c r="AJ68" s="80"/>
      <c r="AK68" s="81"/>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2"/>
      <c r="CL68" s="12"/>
      <c r="CM68" s="82"/>
      <c r="CN68" s="12"/>
      <c r="CO68" s="82"/>
      <c r="CP68" s="12"/>
      <c r="CQ68" s="83">
        <f t="shared" si="17"/>
        <v>0</v>
      </c>
      <c r="CR68" s="84"/>
      <c r="CS68" s="13"/>
      <c r="CT68" s="85"/>
      <c r="CU68" s="86"/>
      <c r="CV68" s="11"/>
      <c r="CW68" s="86"/>
      <c r="CX68" s="84"/>
      <c r="CY68" s="86"/>
    </row>
    <row r="69" spans="1:103" ht="191.25" x14ac:dyDescent="0.2">
      <c r="A69" s="43">
        <v>39847</v>
      </c>
      <c r="B69" s="44" t="s">
        <v>1097</v>
      </c>
      <c r="C69" s="44" t="s">
        <v>901</v>
      </c>
      <c r="D69" s="45" t="s">
        <v>564</v>
      </c>
      <c r="E69" s="11">
        <v>35</v>
      </c>
      <c r="F69" s="12">
        <v>10</v>
      </c>
      <c r="G69" s="12">
        <v>8</v>
      </c>
      <c r="H69" s="12"/>
      <c r="I69" s="12"/>
      <c r="J69" s="12"/>
      <c r="K69" s="12"/>
      <c r="L69" s="12"/>
      <c r="M69" s="12"/>
      <c r="N69" s="12"/>
      <c r="O69" s="12"/>
      <c r="P69" s="12"/>
      <c r="Q69" s="12"/>
      <c r="R69" s="12"/>
      <c r="S69" s="12"/>
      <c r="T69" s="13"/>
      <c r="U69" s="46"/>
      <c r="V69" s="47">
        <v>39891</v>
      </c>
      <c r="W69" s="48">
        <f t="shared" si="12"/>
        <v>0</v>
      </c>
      <c r="X69" s="48">
        <f t="shared" si="13"/>
        <v>0</v>
      </c>
      <c r="Y69" s="48">
        <f t="shared" si="14"/>
        <v>0</v>
      </c>
      <c r="Z69" s="48">
        <f t="shared" si="15"/>
        <v>0</v>
      </c>
      <c r="AA69" s="48"/>
      <c r="AB69" s="48">
        <v>33000000</v>
      </c>
      <c r="AC69" s="49">
        <f t="shared" si="16"/>
        <v>33000000</v>
      </c>
      <c r="AD69" s="50">
        <v>0</v>
      </c>
      <c r="AE69" s="47">
        <v>39847</v>
      </c>
      <c r="AF69" s="51" t="s">
        <v>1016</v>
      </c>
      <c r="AG69" s="52" t="s">
        <v>565</v>
      </c>
      <c r="AH69" s="53" t="s">
        <v>823</v>
      </c>
      <c r="AI69" s="79"/>
      <c r="AJ69" s="80"/>
      <c r="AK69" s="81"/>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2"/>
      <c r="CL69" s="12"/>
      <c r="CM69" s="82"/>
      <c r="CN69" s="12"/>
      <c r="CO69" s="82"/>
      <c r="CP69" s="12"/>
      <c r="CQ69" s="83">
        <f t="shared" si="17"/>
        <v>0</v>
      </c>
      <c r="CR69" s="84"/>
      <c r="CS69" s="13"/>
      <c r="CT69" s="85"/>
      <c r="CU69" s="86"/>
      <c r="CV69" s="11"/>
      <c r="CW69" s="86"/>
      <c r="CX69" s="84"/>
      <c r="CY69" s="86"/>
    </row>
    <row r="70" spans="1:103" ht="89.25" x14ac:dyDescent="0.2">
      <c r="A70" s="43">
        <v>39847</v>
      </c>
      <c r="B70" s="44" t="s">
        <v>1097</v>
      </c>
      <c r="C70" s="44" t="s">
        <v>124</v>
      </c>
      <c r="D70" s="45" t="s">
        <v>1117</v>
      </c>
      <c r="E70" s="11"/>
      <c r="F70" s="12"/>
      <c r="G70" s="12"/>
      <c r="H70" s="12">
        <v>8926</v>
      </c>
      <c r="I70" s="12">
        <v>1857</v>
      </c>
      <c r="J70" s="12">
        <v>44</v>
      </c>
      <c r="K70" s="12"/>
      <c r="L70" s="12"/>
      <c r="M70" s="12"/>
      <c r="N70" s="12"/>
      <c r="O70" s="12"/>
      <c r="P70" s="12"/>
      <c r="Q70" s="12"/>
      <c r="R70" s="12"/>
      <c r="S70" s="12"/>
      <c r="T70" s="13"/>
      <c r="U70" s="46"/>
      <c r="V70" s="47">
        <v>39959</v>
      </c>
      <c r="W70" s="48">
        <f t="shared" si="12"/>
        <v>0</v>
      </c>
      <c r="X70" s="48">
        <f t="shared" si="13"/>
        <v>0</v>
      </c>
      <c r="Y70" s="48">
        <f t="shared" si="14"/>
        <v>0</v>
      </c>
      <c r="Z70" s="48">
        <f t="shared" si="15"/>
        <v>0</v>
      </c>
      <c r="AA70" s="48"/>
      <c r="AB70" s="48">
        <v>52144000</v>
      </c>
      <c r="AC70" s="49">
        <f t="shared" si="16"/>
        <v>52144000</v>
      </c>
      <c r="AD70" s="50">
        <v>0</v>
      </c>
      <c r="AE70" s="47">
        <v>39849</v>
      </c>
      <c r="AF70" s="51" t="s">
        <v>1016</v>
      </c>
      <c r="AG70" s="52" t="s">
        <v>565</v>
      </c>
      <c r="AH70" s="53" t="s">
        <v>824</v>
      </c>
      <c r="AI70" s="79"/>
      <c r="AJ70" s="80"/>
      <c r="AK70" s="81"/>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2"/>
      <c r="CL70" s="12"/>
      <c r="CM70" s="82"/>
      <c r="CN70" s="12"/>
      <c r="CO70" s="82"/>
      <c r="CP70" s="12"/>
      <c r="CQ70" s="83">
        <f t="shared" si="17"/>
        <v>0</v>
      </c>
      <c r="CR70" s="84"/>
      <c r="CS70" s="13"/>
      <c r="CT70" s="85"/>
      <c r="CU70" s="86"/>
      <c r="CV70" s="11"/>
      <c r="CW70" s="86"/>
      <c r="CX70" s="84"/>
      <c r="CY70" s="86"/>
    </row>
    <row r="71" spans="1:103" ht="51" x14ac:dyDescent="0.2">
      <c r="A71" s="43">
        <v>39847</v>
      </c>
      <c r="B71" s="44" t="s">
        <v>1127</v>
      </c>
      <c r="C71" s="44" t="s">
        <v>116</v>
      </c>
      <c r="D71" s="45" t="s">
        <v>1116</v>
      </c>
      <c r="E71" s="11"/>
      <c r="F71" s="12"/>
      <c r="G71" s="12"/>
      <c r="H71" s="12">
        <v>5</v>
      </c>
      <c r="I71" s="12">
        <v>1</v>
      </c>
      <c r="J71" s="12"/>
      <c r="K71" s="12">
        <v>1</v>
      </c>
      <c r="L71" s="12"/>
      <c r="M71" s="12"/>
      <c r="N71" s="12"/>
      <c r="O71" s="12"/>
      <c r="P71" s="12"/>
      <c r="Q71" s="12"/>
      <c r="R71" s="12"/>
      <c r="S71" s="12"/>
      <c r="T71" s="13"/>
      <c r="U71" s="46"/>
      <c r="V71" s="47"/>
      <c r="W71" s="48">
        <f t="shared" si="12"/>
        <v>0</v>
      </c>
      <c r="X71" s="48">
        <f t="shared" si="13"/>
        <v>0</v>
      </c>
      <c r="Y71" s="48">
        <f t="shared" si="14"/>
        <v>0</v>
      </c>
      <c r="Z71" s="48">
        <f t="shared" si="15"/>
        <v>0</v>
      </c>
      <c r="AA71" s="48"/>
      <c r="AB71" s="48"/>
      <c r="AC71" s="49">
        <f t="shared" si="16"/>
        <v>0</v>
      </c>
      <c r="AD71" s="50">
        <v>0</v>
      </c>
      <c r="AE71" s="47">
        <v>39847</v>
      </c>
      <c r="AF71" s="51" t="s">
        <v>516</v>
      </c>
      <c r="AG71" s="52" t="s">
        <v>517</v>
      </c>
      <c r="AH71" s="53" t="s">
        <v>559</v>
      </c>
      <c r="AI71" s="79"/>
      <c r="AJ71" s="80"/>
      <c r="AK71" s="81"/>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2"/>
      <c r="CL71" s="12"/>
      <c r="CM71" s="82"/>
      <c r="CN71" s="12"/>
      <c r="CO71" s="82"/>
      <c r="CP71" s="12"/>
      <c r="CQ71" s="83">
        <f t="shared" si="17"/>
        <v>0</v>
      </c>
      <c r="CR71" s="84"/>
      <c r="CS71" s="13"/>
      <c r="CT71" s="85"/>
      <c r="CU71" s="86"/>
      <c r="CV71" s="11"/>
      <c r="CW71" s="86"/>
      <c r="CX71" s="84"/>
      <c r="CY71" s="86"/>
    </row>
    <row r="72" spans="1:103" ht="229.5" x14ac:dyDescent="0.2">
      <c r="A72" s="43">
        <v>39849</v>
      </c>
      <c r="B72" s="44" t="s">
        <v>1067</v>
      </c>
      <c r="C72" s="44" t="s">
        <v>1017</v>
      </c>
      <c r="D72" s="45" t="s">
        <v>1117</v>
      </c>
      <c r="E72" s="11"/>
      <c r="F72" s="12"/>
      <c r="G72" s="12"/>
      <c r="H72" s="12">
        <f>26*5</f>
        <v>130</v>
      </c>
      <c r="I72" s="12">
        <v>26</v>
      </c>
      <c r="J72" s="12"/>
      <c r="K72" s="12">
        <v>26</v>
      </c>
      <c r="L72" s="12"/>
      <c r="M72" s="12"/>
      <c r="N72" s="12"/>
      <c r="O72" s="12"/>
      <c r="P72" s="12"/>
      <c r="Q72" s="12"/>
      <c r="R72" s="12">
        <v>6</v>
      </c>
      <c r="S72" s="12"/>
      <c r="T72" s="13"/>
      <c r="U72" s="46"/>
      <c r="V72" s="47"/>
      <c r="W72" s="48">
        <f t="shared" si="12"/>
        <v>0</v>
      </c>
      <c r="X72" s="48">
        <f t="shared" si="13"/>
        <v>0</v>
      </c>
      <c r="Y72" s="48">
        <f t="shared" si="14"/>
        <v>0</v>
      </c>
      <c r="Z72" s="48">
        <f t="shared" si="15"/>
        <v>0</v>
      </c>
      <c r="AA72" s="48"/>
      <c r="AB72" s="48"/>
      <c r="AC72" s="49">
        <f t="shared" si="16"/>
        <v>0</v>
      </c>
      <c r="AD72" s="50">
        <v>0</v>
      </c>
      <c r="AE72" s="47">
        <v>39849</v>
      </c>
      <c r="AF72" s="51" t="s">
        <v>1016</v>
      </c>
      <c r="AG72" s="52" t="s">
        <v>565</v>
      </c>
      <c r="AH72" s="53" t="s">
        <v>825</v>
      </c>
      <c r="AI72" s="79"/>
      <c r="AJ72" s="80"/>
      <c r="AK72" s="81"/>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2"/>
      <c r="CL72" s="12"/>
      <c r="CM72" s="82"/>
      <c r="CN72" s="12"/>
      <c r="CO72" s="82"/>
      <c r="CP72" s="12"/>
      <c r="CQ72" s="83">
        <f t="shared" si="17"/>
        <v>0</v>
      </c>
      <c r="CR72" s="84"/>
      <c r="CS72" s="13"/>
      <c r="CT72" s="85"/>
      <c r="CU72" s="86"/>
      <c r="CV72" s="11"/>
      <c r="CW72" s="86"/>
      <c r="CX72" s="84"/>
      <c r="CY72" s="86"/>
    </row>
    <row r="73" spans="1:103" ht="25.5" x14ac:dyDescent="0.2">
      <c r="A73" s="43">
        <v>39849</v>
      </c>
      <c r="B73" s="44" t="s">
        <v>1067</v>
      </c>
      <c r="C73" s="44" t="s">
        <v>1018</v>
      </c>
      <c r="D73" s="45" t="s">
        <v>1117</v>
      </c>
      <c r="E73" s="11"/>
      <c r="F73" s="12"/>
      <c r="G73" s="12"/>
      <c r="H73" s="12"/>
      <c r="I73" s="12"/>
      <c r="J73" s="12"/>
      <c r="K73" s="12"/>
      <c r="L73" s="12"/>
      <c r="M73" s="12"/>
      <c r="N73" s="12"/>
      <c r="O73" s="12"/>
      <c r="P73" s="12"/>
      <c r="Q73" s="12"/>
      <c r="R73" s="12"/>
      <c r="S73" s="12"/>
      <c r="T73" s="13"/>
      <c r="U73" s="46"/>
      <c r="V73" s="47"/>
      <c r="W73" s="48">
        <f t="shared" si="12"/>
        <v>0</v>
      </c>
      <c r="X73" s="48">
        <f t="shared" si="13"/>
        <v>0</v>
      </c>
      <c r="Y73" s="48">
        <f t="shared" si="14"/>
        <v>0</v>
      </c>
      <c r="Z73" s="48">
        <f t="shared" si="15"/>
        <v>0</v>
      </c>
      <c r="AA73" s="48"/>
      <c r="AB73" s="48"/>
      <c r="AC73" s="49">
        <f t="shared" si="16"/>
        <v>0</v>
      </c>
      <c r="AD73" s="50">
        <v>0</v>
      </c>
      <c r="AE73" s="47">
        <v>39849</v>
      </c>
      <c r="AF73" s="51" t="s">
        <v>516</v>
      </c>
      <c r="AG73" s="52" t="s">
        <v>517</v>
      </c>
      <c r="AH73" s="53" t="s">
        <v>715</v>
      </c>
      <c r="AI73" s="79"/>
      <c r="AJ73" s="80"/>
      <c r="AK73" s="81"/>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2"/>
      <c r="CL73" s="12"/>
      <c r="CM73" s="82"/>
      <c r="CN73" s="12"/>
      <c r="CO73" s="82"/>
      <c r="CP73" s="12"/>
      <c r="CQ73" s="83">
        <f t="shared" si="17"/>
        <v>0</v>
      </c>
      <c r="CR73" s="84"/>
      <c r="CS73" s="13"/>
      <c r="CT73" s="85"/>
      <c r="CU73" s="86"/>
      <c r="CV73" s="11"/>
      <c r="CW73" s="86"/>
      <c r="CX73" s="84"/>
      <c r="CY73" s="86"/>
    </row>
    <row r="74" spans="1:103" ht="25.5" x14ac:dyDescent="0.2">
      <c r="A74" s="43">
        <v>39849</v>
      </c>
      <c r="B74" s="44" t="s">
        <v>1097</v>
      </c>
      <c r="C74" s="44" t="s">
        <v>650</v>
      </c>
      <c r="D74" s="45" t="s">
        <v>1118</v>
      </c>
      <c r="E74" s="11"/>
      <c r="F74" s="12"/>
      <c r="G74" s="12"/>
      <c r="H74" s="12">
        <v>6732</v>
      </c>
      <c r="I74" s="12">
        <v>1392</v>
      </c>
      <c r="J74" s="12"/>
      <c r="K74" s="12"/>
      <c r="L74" s="12"/>
      <c r="M74" s="12"/>
      <c r="N74" s="12"/>
      <c r="O74" s="12"/>
      <c r="P74" s="12"/>
      <c r="Q74" s="12"/>
      <c r="R74" s="12"/>
      <c r="S74" s="12"/>
      <c r="T74" s="13"/>
      <c r="U74" s="46"/>
      <c r="V74" s="47"/>
      <c r="W74" s="48">
        <f t="shared" si="12"/>
        <v>0</v>
      </c>
      <c r="X74" s="48">
        <f t="shared" si="13"/>
        <v>0</v>
      </c>
      <c r="Y74" s="48">
        <f t="shared" si="14"/>
        <v>0</v>
      </c>
      <c r="Z74" s="48">
        <f t="shared" si="15"/>
        <v>0</v>
      </c>
      <c r="AA74" s="48"/>
      <c r="AB74" s="48"/>
      <c r="AC74" s="49">
        <f t="shared" si="16"/>
        <v>0</v>
      </c>
      <c r="AD74" s="50">
        <v>0</v>
      </c>
      <c r="AE74" s="47">
        <v>39849</v>
      </c>
      <c r="AF74" s="51" t="s">
        <v>516</v>
      </c>
      <c r="AG74" s="52" t="s">
        <v>517</v>
      </c>
      <c r="AH74" s="53" t="s">
        <v>1277</v>
      </c>
      <c r="AI74" s="79"/>
      <c r="AJ74" s="80"/>
      <c r="AK74" s="81"/>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2"/>
      <c r="CL74" s="12"/>
      <c r="CM74" s="82"/>
      <c r="CN74" s="12"/>
      <c r="CO74" s="82"/>
      <c r="CP74" s="12"/>
      <c r="CQ74" s="83">
        <f t="shared" si="17"/>
        <v>0</v>
      </c>
      <c r="CR74" s="84"/>
      <c r="CS74" s="13"/>
      <c r="CT74" s="85"/>
      <c r="CU74" s="86"/>
      <c r="CV74" s="11"/>
      <c r="CW74" s="86"/>
      <c r="CX74" s="84"/>
      <c r="CY74" s="86"/>
    </row>
    <row r="75" spans="1:103" ht="51" x14ac:dyDescent="0.2">
      <c r="A75" s="43">
        <v>39849</v>
      </c>
      <c r="B75" s="44" t="s">
        <v>1094</v>
      </c>
      <c r="C75" s="44" t="s">
        <v>562</v>
      </c>
      <c r="D75" s="45" t="s">
        <v>1117</v>
      </c>
      <c r="E75" s="11"/>
      <c r="F75" s="12"/>
      <c r="G75" s="12"/>
      <c r="H75" s="12">
        <v>185</v>
      </c>
      <c r="I75" s="12">
        <v>37</v>
      </c>
      <c r="J75" s="12"/>
      <c r="K75" s="12">
        <v>37</v>
      </c>
      <c r="L75" s="12"/>
      <c r="M75" s="12"/>
      <c r="N75" s="12"/>
      <c r="O75" s="12"/>
      <c r="P75" s="12"/>
      <c r="Q75" s="12"/>
      <c r="R75" s="12"/>
      <c r="S75" s="12"/>
      <c r="T75" s="13"/>
      <c r="U75" s="46"/>
      <c r="V75" s="47"/>
      <c r="W75" s="48">
        <f t="shared" si="12"/>
        <v>0</v>
      </c>
      <c r="X75" s="48">
        <f t="shared" si="13"/>
        <v>0</v>
      </c>
      <c r="Y75" s="48">
        <f t="shared" si="14"/>
        <v>0</v>
      </c>
      <c r="Z75" s="48">
        <f t="shared" si="15"/>
        <v>0</v>
      </c>
      <c r="AA75" s="48"/>
      <c r="AB75" s="48"/>
      <c r="AC75" s="49">
        <f t="shared" si="16"/>
        <v>0</v>
      </c>
      <c r="AD75" s="50">
        <v>0</v>
      </c>
      <c r="AE75" s="47">
        <v>39849</v>
      </c>
      <c r="AF75" s="51" t="s">
        <v>516</v>
      </c>
      <c r="AG75" s="52" t="s">
        <v>517</v>
      </c>
      <c r="AH75" s="53" t="s">
        <v>563</v>
      </c>
      <c r="AI75" s="79"/>
      <c r="AJ75" s="80"/>
      <c r="AK75" s="81"/>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2"/>
      <c r="CL75" s="12"/>
      <c r="CM75" s="82"/>
      <c r="CN75" s="12"/>
      <c r="CO75" s="82"/>
      <c r="CP75" s="12"/>
      <c r="CQ75" s="83">
        <f t="shared" si="17"/>
        <v>0</v>
      </c>
      <c r="CR75" s="84"/>
      <c r="CS75" s="13"/>
      <c r="CT75" s="85"/>
      <c r="CU75" s="86"/>
      <c r="CV75" s="11"/>
      <c r="CW75" s="86"/>
      <c r="CX75" s="84"/>
      <c r="CY75" s="86"/>
    </row>
    <row r="76" spans="1:103" ht="51" x14ac:dyDescent="0.2">
      <c r="A76" s="43">
        <v>39849</v>
      </c>
      <c r="B76" s="44" t="s">
        <v>1114</v>
      </c>
      <c r="C76" s="44" t="s">
        <v>560</v>
      </c>
      <c r="D76" s="45" t="s">
        <v>1116</v>
      </c>
      <c r="E76" s="11"/>
      <c r="F76" s="12">
        <v>1</v>
      </c>
      <c r="G76" s="12"/>
      <c r="H76" s="12"/>
      <c r="I76" s="12"/>
      <c r="J76" s="12"/>
      <c r="K76" s="12"/>
      <c r="L76" s="12"/>
      <c r="M76" s="12"/>
      <c r="N76" s="12"/>
      <c r="O76" s="12"/>
      <c r="P76" s="12"/>
      <c r="Q76" s="12"/>
      <c r="R76" s="12"/>
      <c r="S76" s="12"/>
      <c r="T76" s="13"/>
      <c r="U76" s="46"/>
      <c r="V76" s="47"/>
      <c r="W76" s="48">
        <f t="shared" si="12"/>
        <v>0</v>
      </c>
      <c r="X76" s="48">
        <f t="shared" si="13"/>
        <v>0</v>
      </c>
      <c r="Y76" s="48">
        <f t="shared" si="14"/>
        <v>0</v>
      </c>
      <c r="Z76" s="48">
        <f t="shared" si="15"/>
        <v>0</v>
      </c>
      <c r="AA76" s="48"/>
      <c r="AB76" s="48"/>
      <c r="AC76" s="49">
        <f t="shared" si="16"/>
        <v>0</v>
      </c>
      <c r="AD76" s="50">
        <v>0</v>
      </c>
      <c r="AE76" s="47">
        <v>39849</v>
      </c>
      <c r="AF76" s="51" t="s">
        <v>516</v>
      </c>
      <c r="AG76" s="52" t="s">
        <v>517</v>
      </c>
      <c r="AH76" s="53" t="s">
        <v>561</v>
      </c>
      <c r="AI76" s="79"/>
      <c r="AJ76" s="80"/>
      <c r="AK76" s="81"/>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2"/>
      <c r="CL76" s="12"/>
      <c r="CM76" s="82"/>
      <c r="CN76" s="12"/>
      <c r="CO76" s="82"/>
      <c r="CP76" s="12"/>
      <c r="CQ76" s="83">
        <f t="shared" si="17"/>
        <v>0</v>
      </c>
      <c r="CR76" s="84"/>
      <c r="CS76" s="13"/>
      <c r="CT76" s="85"/>
      <c r="CU76" s="86"/>
      <c r="CV76" s="11"/>
      <c r="CW76" s="86"/>
      <c r="CX76" s="84"/>
      <c r="CY76" s="86"/>
    </row>
    <row r="77" spans="1:103" ht="38.25" x14ac:dyDescent="0.2">
      <c r="A77" s="43">
        <v>39850</v>
      </c>
      <c r="B77" s="44" t="s">
        <v>300</v>
      </c>
      <c r="C77" s="44" t="s">
        <v>301</v>
      </c>
      <c r="D77" s="45" t="s">
        <v>1095</v>
      </c>
      <c r="E77" s="11">
        <v>1</v>
      </c>
      <c r="F77" s="12">
        <v>4</v>
      </c>
      <c r="G77" s="12"/>
      <c r="H77" s="12"/>
      <c r="I77" s="12"/>
      <c r="J77" s="12"/>
      <c r="K77" s="12"/>
      <c r="L77" s="12"/>
      <c r="M77" s="12"/>
      <c r="N77" s="12"/>
      <c r="O77" s="12"/>
      <c r="P77" s="12"/>
      <c r="Q77" s="12"/>
      <c r="R77" s="12"/>
      <c r="S77" s="12"/>
      <c r="T77" s="13"/>
      <c r="U77" s="46"/>
      <c r="V77" s="47"/>
      <c r="W77" s="48">
        <f t="shared" si="12"/>
        <v>0</v>
      </c>
      <c r="X77" s="48">
        <f t="shared" si="13"/>
        <v>0</v>
      </c>
      <c r="Y77" s="48">
        <f t="shared" si="14"/>
        <v>0</v>
      </c>
      <c r="Z77" s="48">
        <f t="shared" si="15"/>
        <v>0</v>
      </c>
      <c r="AA77" s="48"/>
      <c r="AB77" s="48"/>
      <c r="AC77" s="49">
        <f t="shared" si="16"/>
        <v>0</v>
      </c>
      <c r="AD77" s="50">
        <v>0</v>
      </c>
      <c r="AE77" s="47">
        <v>39850</v>
      </c>
      <c r="AF77" s="51" t="s">
        <v>516</v>
      </c>
      <c r="AG77" s="52" t="s">
        <v>517</v>
      </c>
      <c r="AH77" s="53" t="s">
        <v>302</v>
      </c>
      <c r="AI77" s="79"/>
      <c r="AJ77" s="80"/>
      <c r="AK77" s="81"/>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2"/>
      <c r="CL77" s="12"/>
      <c r="CM77" s="82"/>
      <c r="CN77" s="12"/>
      <c r="CO77" s="82"/>
      <c r="CP77" s="12"/>
      <c r="CQ77" s="83">
        <f t="shared" si="17"/>
        <v>0</v>
      </c>
      <c r="CR77" s="84"/>
      <c r="CS77" s="13"/>
      <c r="CT77" s="85"/>
      <c r="CU77" s="86"/>
      <c r="CV77" s="11"/>
      <c r="CW77" s="86"/>
      <c r="CX77" s="84"/>
      <c r="CY77" s="86"/>
    </row>
    <row r="78" spans="1:103" ht="51" x14ac:dyDescent="0.2">
      <c r="A78" s="43">
        <v>39850</v>
      </c>
      <c r="B78" s="44" t="s">
        <v>1066</v>
      </c>
      <c r="C78" s="44" t="s">
        <v>716</v>
      </c>
      <c r="D78" s="45" t="s">
        <v>1126</v>
      </c>
      <c r="E78" s="11"/>
      <c r="F78" s="12"/>
      <c r="G78" s="12"/>
      <c r="H78" s="12">
        <v>46</v>
      </c>
      <c r="I78" s="12">
        <v>10</v>
      </c>
      <c r="J78" s="12">
        <v>1</v>
      </c>
      <c r="K78" s="12"/>
      <c r="L78" s="12"/>
      <c r="M78" s="12"/>
      <c r="N78" s="12"/>
      <c r="O78" s="12">
        <v>1</v>
      </c>
      <c r="P78" s="12"/>
      <c r="Q78" s="12"/>
      <c r="R78" s="12"/>
      <c r="S78" s="12"/>
      <c r="T78" s="13"/>
      <c r="U78" s="46"/>
      <c r="V78" s="47"/>
      <c r="W78" s="48">
        <f t="shared" si="12"/>
        <v>0</v>
      </c>
      <c r="X78" s="48">
        <f t="shared" si="13"/>
        <v>0</v>
      </c>
      <c r="Y78" s="48">
        <f t="shared" si="14"/>
        <v>0</v>
      </c>
      <c r="Z78" s="48">
        <f t="shared" si="15"/>
        <v>0</v>
      </c>
      <c r="AA78" s="48"/>
      <c r="AB78" s="48"/>
      <c r="AC78" s="49">
        <f t="shared" si="16"/>
        <v>0</v>
      </c>
      <c r="AD78" s="50">
        <v>0</v>
      </c>
      <c r="AE78" s="47">
        <v>39850</v>
      </c>
      <c r="AF78" s="51" t="s">
        <v>516</v>
      </c>
      <c r="AG78" s="52" t="s">
        <v>517</v>
      </c>
      <c r="AH78" s="53" t="s">
        <v>299</v>
      </c>
      <c r="AI78" s="79"/>
      <c r="AJ78" s="80"/>
      <c r="AK78" s="81"/>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2"/>
      <c r="CL78" s="12"/>
      <c r="CM78" s="82"/>
      <c r="CN78" s="12"/>
      <c r="CO78" s="82"/>
      <c r="CP78" s="12"/>
      <c r="CQ78" s="83">
        <f t="shared" si="17"/>
        <v>0</v>
      </c>
      <c r="CR78" s="84"/>
      <c r="CS78" s="13"/>
      <c r="CT78" s="85"/>
      <c r="CU78" s="86"/>
      <c r="CV78" s="11"/>
      <c r="CW78" s="86"/>
      <c r="CX78" s="84"/>
      <c r="CY78" s="86"/>
    </row>
    <row r="79" spans="1:103" ht="25.5" x14ac:dyDescent="0.2">
      <c r="A79" s="43">
        <v>39850</v>
      </c>
      <c r="B79" s="44" t="s">
        <v>1136</v>
      </c>
      <c r="C79" s="44" t="s">
        <v>306</v>
      </c>
      <c r="D79" s="45" t="s">
        <v>1092</v>
      </c>
      <c r="E79" s="11"/>
      <c r="F79" s="12"/>
      <c r="G79" s="12"/>
      <c r="H79" s="12"/>
      <c r="I79" s="12"/>
      <c r="J79" s="12"/>
      <c r="K79" s="12"/>
      <c r="L79" s="12">
        <v>1</v>
      </c>
      <c r="M79" s="12"/>
      <c r="N79" s="12"/>
      <c r="O79" s="12"/>
      <c r="P79" s="12"/>
      <c r="Q79" s="12"/>
      <c r="R79" s="12"/>
      <c r="S79" s="12"/>
      <c r="T79" s="13"/>
      <c r="U79" s="46"/>
      <c r="V79" s="47"/>
      <c r="W79" s="48">
        <f t="shared" si="12"/>
        <v>0</v>
      </c>
      <c r="X79" s="48">
        <f t="shared" si="13"/>
        <v>0</v>
      </c>
      <c r="Y79" s="48">
        <f t="shared" si="14"/>
        <v>0</v>
      </c>
      <c r="Z79" s="48">
        <f t="shared" si="15"/>
        <v>0</v>
      </c>
      <c r="AA79" s="48"/>
      <c r="AB79" s="48"/>
      <c r="AC79" s="49">
        <f t="shared" si="16"/>
        <v>0</v>
      </c>
      <c r="AD79" s="50">
        <v>0</v>
      </c>
      <c r="AE79" s="47">
        <v>39850</v>
      </c>
      <c r="AF79" s="51" t="s">
        <v>516</v>
      </c>
      <c r="AG79" s="52" t="s">
        <v>517</v>
      </c>
      <c r="AH79" s="53" t="s">
        <v>309</v>
      </c>
      <c r="AI79" s="79"/>
      <c r="AJ79" s="80"/>
      <c r="AK79" s="81"/>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2"/>
      <c r="CL79" s="12"/>
      <c r="CM79" s="82"/>
      <c r="CN79" s="12"/>
      <c r="CO79" s="82"/>
      <c r="CP79" s="12"/>
      <c r="CQ79" s="83">
        <f t="shared" si="17"/>
        <v>0</v>
      </c>
      <c r="CR79" s="84"/>
      <c r="CS79" s="13"/>
      <c r="CT79" s="85"/>
      <c r="CU79" s="86"/>
      <c r="CV79" s="11"/>
      <c r="CW79" s="86"/>
      <c r="CX79" s="84"/>
      <c r="CY79" s="86"/>
    </row>
    <row r="80" spans="1:103" ht="25.5" x14ac:dyDescent="0.2">
      <c r="A80" s="43">
        <v>39850</v>
      </c>
      <c r="B80" s="44" t="s">
        <v>1136</v>
      </c>
      <c r="C80" s="44" t="s">
        <v>307</v>
      </c>
      <c r="D80" s="45" t="s">
        <v>1092</v>
      </c>
      <c r="E80" s="11"/>
      <c r="F80" s="12"/>
      <c r="G80" s="12"/>
      <c r="H80" s="12"/>
      <c r="I80" s="12"/>
      <c r="J80" s="12"/>
      <c r="K80" s="12"/>
      <c r="L80" s="12">
        <v>2</v>
      </c>
      <c r="M80" s="12"/>
      <c r="N80" s="12"/>
      <c r="O80" s="12"/>
      <c r="P80" s="12"/>
      <c r="Q80" s="12"/>
      <c r="R80" s="12"/>
      <c r="S80" s="12"/>
      <c r="T80" s="13"/>
      <c r="U80" s="46"/>
      <c r="V80" s="47"/>
      <c r="W80" s="48">
        <f t="shared" si="12"/>
        <v>0</v>
      </c>
      <c r="X80" s="48">
        <f t="shared" si="13"/>
        <v>0</v>
      </c>
      <c r="Y80" s="48">
        <f t="shared" si="14"/>
        <v>0</v>
      </c>
      <c r="Z80" s="48">
        <f t="shared" si="15"/>
        <v>0</v>
      </c>
      <c r="AA80" s="48"/>
      <c r="AB80" s="48"/>
      <c r="AC80" s="49">
        <f t="shared" si="16"/>
        <v>0</v>
      </c>
      <c r="AD80" s="50">
        <v>0</v>
      </c>
      <c r="AE80" s="47">
        <v>39850</v>
      </c>
      <c r="AF80" s="51" t="s">
        <v>516</v>
      </c>
      <c r="AG80" s="52" t="s">
        <v>517</v>
      </c>
      <c r="AH80" s="53" t="s">
        <v>310</v>
      </c>
      <c r="AI80" s="79"/>
      <c r="AJ80" s="80"/>
      <c r="AK80" s="81"/>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2"/>
      <c r="CL80" s="12"/>
      <c r="CM80" s="82"/>
      <c r="CN80" s="12"/>
      <c r="CO80" s="82"/>
      <c r="CP80" s="12"/>
      <c r="CQ80" s="83">
        <f t="shared" si="17"/>
        <v>0</v>
      </c>
      <c r="CR80" s="84"/>
      <c r="CS80" s="13"/>
      <c r="CT80" s="85"/>
      <c r="CU80" s="86"/>
      <c r="CV80" s="11"/>
      <c r="CW80" s="86"/>
      <c r="CX80" s="84"/>
      <c r="CY80" s="86"/>
    </row>
    <row r="81" spans="1:103" ht="63.75" x14ac:dyDescent="0.2">
      <c r="A81" s="43">
        <v>39850</v>
      </c>
      <c r="B81" s="44" t="s">
        <v>1136</v>
      </c>
      <c r="C81" s="44" t="s">
        <v>121</v>
      </c>
      <c r="D81" s="45" t="s">
        <v>1092</v>
      </c>
      <c r="E81" s="11"/>
      <c r="F81" s="12"/>
      <c r="G81" s="12"/>
      <c r="H81" s="12">
        <f>14*5</f>
        <v>70</v>
      </c>
      <c r="I81" s="12">
        <v>14</v>
      </c>
      <c r="J81" s="12">
        <v>8</v>
      </c>
      <c r="K81" s="12">
        <v>6</v>
      </c>
      <c r="L81" s="12"/>
      <c r="M81" s="12"/>
      <c r="N81" s="12"/>
      <c r="O81" s="12"/>
      <c r="P81" s="12"/>
      <c r="Q81" s="12"/>
      <c r="R81" s="12"/>
      <c r="S81" s="12"/>
      <c r="T81" s="13"/>
      <c r="U81" s="46"/>
      <c r="V81" s="47"/>
      <c r="W81" s="48">
        <f t="shared" si="12"/>
        <v>0</v>
      </c>
      <c r="X81" s="48">
        <f t="shared" si="13"/>
        <v>0</v>
      </c>
      <c r="Y81" s="48">
        <f t="shared" si="14"/>
        <v>0</v>
      </c>
      <c r="Z81" s="48">
        <f t="shared" si="15"/>
        <v>0</v>
      </c>
      <c r="AA81" s="48"/>
      <c r="AB81" s="48"/>
      <c r="AC81" s="49">
        <f t="shared" si="16"/>
        <v>0</v>
      </c>
      <c r="AD81" s="50">
        <v>0</v>
      </c>
      <c r="AE81" s="47">
        <v>39850</v>
      </c>
      <c r="AF81" s="51" t="s">
        <v>516</v>
      </c>
      <c r="AG81" s="52" t="s">
        <v>517</v>
      </c>
      <c r="AH81" s="53" t="s">
        <v>692</v>
      </c>
      <c r="AI81" s="79"/>
      <c r="AJ81" s="80"/>
      <c r="AK81" s="81"/>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2"/>
      <c r="CL81" s="12"/>
      <c r="CM81" s="82"/>
      <c r="CN81" s="12"/>
      <c r="CO81" s="82"/>
      <c r="CP81" s="12"/>
      <c r="CQ81" s="83">
        <f t="shared" si="17"/>
        <v>0</v>
      </c>
      <c r="CR81" s="84"/>
      <c r="CS81" s="13"/>
      <c r="CT81" s="85"/>
      <c r="CU81" s="86"/>
      <c r="CV81" s="11"/>
      <c r="CW81" s="86"/>
      <c r="CX81" s="84"/>
      <c r="CY81" s="86"/>
    </row>
    <row r="82" spans="1:103" ht="76.5" x14ac:dyDescent="0.2">
      <c r="A82" s="43">
        <v>39850</v>
      </c>
      <c r="B82" s="44" t="s">
        <v>1136</v>
      </c>
      <c r="C82" s="44" t="s">
        <v>308</v>
      </c>
      <c r="D82" s="45" t="s">
        <v>1092</v>
      </c>
      <c r="E82" s="11"/>
      <c r="F82" s="12"/>
      <c r="G82" s="12"/>
      <c r="H82" s="12">
        <f>44*5</f>
        <v>220</v>
      </c>
      <c r="I82" s="12">
        <v>44</v>
      </c>
      <c r="J82" s="12"/>
      <c r="K82" s="12">
        <v>19</v>
      </c>
      <c r="L82" s="12">
        <v>1</v>
      </c>
      <c r="M82" s="12"/>
      <c r="N82" s="12"/>
      <c r="O82" s="12"/>
      <c r="P82" s="12"/>
      <c r="Q82" s="12"/>
      <c r="R82" s="12"/>
      <c r="S82" s="12"/>
      <c r="T82" s="13"/>
      <c r="U82" s="46"/>
      <c r="V82" s="47"/>
      <c r="W82" s="48">
        <f t="shared" si="12"/>
        <v>0</v>
      </c>
      <c r="X82" s="48">
        <f t="shared" si="13"/>
        <v>0</v>
      </c>
      <c r="Y82" s="48">
        <f t="shared" si="14"/>
        <v>0</v>
      </c>
      <c r="Z82" s="48">
        <f t="shared" si="15"/>
        <v>0</v>
      </c>
      <c r="AA82" s="48"/>
      <c r="AB82" s="48"/>
      <c r="AC82" s="49">
        <f t="shared" si="16"/>
        <v>0</v>
      </c>
      <c r="AD82" s="50">
        <v>0</v>
      </c>
      <c r="AE82" s="47">
        <v>39850</v>
      </c>
      <c r="AF82" s="51" t="s">
        <v>1016</v>
      </c>
      <c r="AG82" s="52" t="s">
        <v>517</v>
      </c>
      <c r="AH82" s="53" t="s">
        <v>826</v>
      </c>
      <c r="AI82" s="79"/>
      <c r="AJ82" s="80"/>
      <c r="AK82" s="81"/>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2"/>
      <c r="CL82" s="12"/>
      <c r="CM82" s="82"/>
      <c r="CN82" s="12"/>
      <c r="CO82" s="82"/>
      <c r="CP82" s="12"/>
      <c r="CQ82" s="83">
        <f t="shared" si="17"/>
        <v>0</v>
      </c>
      <c r="CR82" s="84"/>
      <c r="CS82" s="13"/>
      <c r="CT82" s="85"/>
      <c r="CU82" s="86"/>
      <c r="CV82" s="11"/>
      <c r="CW82" s="86"/>
      <c r="CX82" s="84"/>
      <c r="CY82" s="86"/>
    </row>
    <row r="83" spans="1:103" ht="12.75" x14ac:dyDescent="0.2">
      <c r="A83" s="43">
        <v>39850</v>
      </c>
      <c r="B83" s="44" t="s">
        <v>1453</v>
      </c>
      <c r="C83" s="44" t="s">
        <v>1310</v>
      </c>
      <c r="D83" s="45" t="s">
        <v>1117</v>
      </c>
      <c r="E83" s="11"/>
      <c r="F83" s="12"/>
      <c r="G83" s="12"/>
      <c r="H83" s="12">
        <f>19*5</f>
        <v>95</v>
      </c>
      <c r="I83" s="12">
        <v>19</v>
      </c>
      <c r="J83" s="12"/>
      <c r="K83" s="12">
        <v>19</v>
      </c>
      <c r="L83" s="12"/>
      <c r="M83" s="12"/>
      <c r="N83" s="12"/>
      <c r="O83" s="12"/>
      <c r="P83" s="12"/>
      <c r="Q83" s="12"/>
      <c r="R83" s="12"/>
      <c r="S83" s="12"/>
      <c r="T83" s="13"/>
      <c r="U83" s="46"/>
      <c r="V83" s="47">
        <v>40193</v>
      </c>
      <c r="W83" s="48">
        <f t="shared" si="12"/>
        <v>0</v>
      </c>
      <c r="X83" s="48">
        <f t="shared" si="13"/>
        <v>0</v>
      </c>
      <c r="Y83" s="48">
        <f t="shared" si="14"/>
        <v>3300000</v>
      </c>
      <c r="Z83" s="48">
        <f t="shared" si="15"/>
        <v>0</v>
      </c>
      <c r="AA83" s="48"/>
      <c r="AB83" s="48"/>
      <c r="AC83" s="49">
        <f t="shared" si="16"/>
        <v>3300000</v>
      </c>
      <c r="AD83" s="50">
        <v>0</v>
      </c>
      <c r="AE83" s="47">
        <v>40156</v>
      </c>
      <c r="AF83" s="51" t="s">
        <v>1016</v>
      </c>
      <c r="AG83" s="52" t="s">
        <v>565</v>
      </c>
      <c r="AH83" s="54" t="s">
        <v>317</v>
      </c>
      <c r="AI83" s="79"/>
      <c r="AJ83" s="80"/>
      <c r="AK83" s="81"/>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2"/>
      <c r="CL83" s="12"/>
      <c r="CM83" s="82"/>
      <c r="CN83" s="12"/>
      <c r="CO83" s="82"/>
      <c r="CP83" s="12"/>
      <c r="CQ83" s="83">
        <f t="shared" si="17"/>
        <v>0</v>
      </c>
      <c r="CR83" s="84"/>
      <c r="CS83" s="13"/>
      <c r="CT83" s="85"/>
      <c r="CU83" s="86"/>
      <c r="CV83" s="11"/>
      <c r="CW83" s="86"/>
      <c r="CX83" s="84">
        <v>150</v>
      </c>
      <c r="CY83" s="86">
        <f>150*22000</f>
        <v>3300000</v>
      </c>
    </row>
    <row r="84" spans="1:103" ht="38.25" x14ac:dyDescent="0.2">
      <c r="A84" s="43">
        <v>39851</v>
      </c>
      <c r="B84" s="44" t="s">
        <v>1127</v>
      </c>
      <c r="C84" s="44" t="s">
        <v>116</v>
      </c>
      <c r="D84" s="45" t="s">
        <v>1092</v>
      </c>
      <c r="E84" s="11"/>
      <c r="F84" s="12"/>
      <c r="G84" s="12"/>
      <c r="H84" s="12">
        <f>56*5</f>
        <v>280</v>
      </c>
      <c r="I84" s="12">
        <v>56</v>
      </c>
      <c r="J84" s="12"/>
      <c r="K84" s="12">
        <v>56</v>
      </c>
      <c r="L84" s="12"/>
      <c r="M84" s="12"/>
      <c r="N84" s="12"/>
      <c r="O84" s="12"/>
      <c r="P84" s="12"/>
      <c r="Q84" s="12"/>
      <c r="R84" s="12"/>
      <c r="S84" s="12"/>
      <c r="T84" s="13"/>
      <c r="U84" s="46"/>
      <c r="V84" s="47"/>
      <c r="W84" s="48">
        <f t="shared" si="12"/>
        <v>0</v>
      </c>
      <c r="X84" s="48">
        <f t="shared" si="13"/>
        <v>0</v>
      </c>
      <c r="Y84" s="48">
        <f t="shared" si="14"/>
        <v>0</v>
      </c>
      <c r="Z84" s="48">
        <f t="shared" si="15"/>
        <v>0</v>
      </c>
      <c r="AA84" s="48"/>
      <c r="AB84" s="48"/>
      <c r="AC84" s="49">
        <f t="shared" si="16"/>
        <v>0</v>
      </c>
      <c r="AD84" s="50">
        <v>0</v>
      </c>
      <c r="AE84" s="47">
        <v>39851</v>
      </c>
      <c r="AF84" s="51" t="s">
        <v>516</v>
      </c>
      <c r="AG84" s="52" t="s">
        <v>517</v>
      </c>
      <c r="AH84" s="53" t="s">
        <v>305</v>
      </c>
      <c r="AI84" s="79"/>
      <c r="AJ84" s="80"/>
      <c r="AK84" s="81"/>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2"/>
      <c r="CL84" s="12"/>
      <c r="CM84" s="82"/>
      <c r="CN84" s="12"/>
      <c r="CO84" s="82"/>
      <c r="CP84" s="12"/>
      <c r="CQ84" s="83">
        <f t="shared" si="17"/>
        <v>0</v>
      </c>
      <c r="CR84" s="84"/>
      <c r="CS84" s="13"/>
      <c r="CT84" s="85"/>
      <c r="CU84" s="86"/>
      <c r="CV84" s="11"/>
      <c r="CW84" s="86"/>
      <c r="CX84" s="84"/>
      <c r="CY84" s="86"/>
    </row>
    <row r="85" spans="1:103" ht="25.5" x14ac:dyDescent="0.2">
      <c r="A85" s="43">
        <v>39854</v>
      </c>
      <c r="B85" s="44" t="s">
        <v>1127</v>
      </c>
      <c r="C85" s="44" t="s">
        <v>311</v>
      </c>
      <c r="D85" s="45" t="s">
        <v>1092</v>
      </c>
      <c r="E85" s="11"/>
      <c r="F85" s="12"/>
      <c r="G85" s="12"/>
      <c r="H85" s="12">
        <v>35</v>
      </c>
      <c r="I85" s="12">
        <v>7</v>
      </c>
      <c r="J85" s="12">
        <v>1</v>
      </c>
      <c r="K85" s="12">
        <v>6</v>
      </c>
      <c r="L85" s="12"/>
      <c r="M85" s="12"/>
      <c r="N85" s="12"/>
      <c r="O85" s="12"/>
      <c r="P85" s="12"/>
      <c r="Q85" s="12"/>
      <c r="R85" s="12"/>
      <c r="S85" s="12"/>
      <c r="T85" s="13"/>
      <c r="U85" s="46"/>
      <c r="V85" s="47"/>
      <c r="W85" s="48">
        <f t="shared" si="12"/>
        <v>0</v>
      </c>
      <c r="X85" s="48">
        <f t="shared" si="13"/>
        <v>0</v>
      </c>
      <c r="Y85" s="48">
        <f t="shared" si="14"/>
        <v>0</v>
      </c>
      <c r="Z85" s="48">
        <f t="shared" si="15"/>
        <v>0</v>
      </c>
      <c r="AA85" s="48"/>
      <c r="AB85" s="48"/>
      <c r="AC85" s="49">
        <f t="shared" si="16"/>
        <v>0</v>
      </c>
      <c r="AD85" s="50">
        <v>0</v>
      </c>
      <c r="AE85" s="47">
        <v>39854</v>
      </c>
      <c r="AF85" s="51" t="s">
        <v>516</v>
      </c>
      <c r="AG85" s="52" t="s">
        <v>517</v>
      </c>
      <c r="AH85" s="53" t="s">
        <v>313</v>
      </c>
      <c r="AI85" s="79"/>
      <c r="AJ85" s="80"/>
      <c r="AK85" s="81"/>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2"/>
      <c r="CL85" s="12"/>
      <c r="CM85" s="82"/>
      <c r="CN85" s="12"/>
      <c r="CO85" s="82"/>
      <c r="CP85" s="12"/>
      <c r="CQ85" s="83">
        <f t="shared" si="17"/>
        <v>0</v>
      </c>
      <c r="CR85" s="84"/>
      <c r="CS85" s="13"/>
      <c r="CT85" s="85"/>
      <c r="CU85" s="86"/>
      <c r="CV85" s="11"/>
      <c r="CW85" s="86"/>
      <c r="CX85" s="84"/>
      <c r="CY85" s="86"/>
    </row>
    <row r="86" spans="1:103" ht="51" x14ac:dyDescent="0.2">
      <c r="A86" s="43">
        <v>39854</v>
      </c>
      <c r="B86" s="44" t="s">
        <v>1127</v>
      </c>
      <c r="C86" s="44" t="s">
        <v>312</v>
      </c>
      <c r="D86" s="45" t="s">
        <v>1118</v>
      </c>
      <c r="E86" s="11"/>
      <c r="F86" s="12"/>
      <c r="G86" s="12"/>
      <c r="H86" s="12">
        <v>50</v>
      </c>
      <c r="I86" s="12">
        <v>10</v>
      </c>
      <c r="J86" s="12"/>
      <c r="K86" s="12">
        <v>10</v>
      </c>
      <c r="L86" s="12"/>
      <c r="M86" s="12"/>
      <c r="N86" s="12"/>
      <c r="O86" s="12"/>
      <c r="P86" s="12"/>
      <c r="Q86" s="12"/>
      <c r="R86" s="12"/>
      <c r="S86" s="12">
        <v>1</v>
      </c>
      <c r="T86" s="13"/>
      <c r="U86" s="46"/>
      <c r="V86" s="47"/>
      <c r="W86" s="48">
        <f t="shared" si="12"/>
        <v>0</v>
      </c>
      <c r="X86" s="48">
        <f t="shared" si="13"/>
        <v>0</v>
      </c>
      <c r="Y86" s="48">
        <f t="shared" si="14"/>
        <v>0</v>
      </c>
      <c r="Z86" s="48">
        <f t="shared" si="15"/>
        <v>0</v>
      </c>
      <c r="AA86" s="48"/>
      <c r="AB86" s="48"/>
      <c r="AC86" s="49">
        <f t="shared" si="16"/>
        <v>0</v>
      </c>
      <c r="AD86" s="50">
        <v>0</v>
      </c>
      <c r="AE86" s="47">
        <v>39854</v>
      </c>
      <c r="AF86" s="51" t="s">
        <v>516</v>
      </c>
      <c r="AG86" s="52" t="s">
        <v>517</v>
      </c>
      <c r="AH86" s="53" t="s">
        <v>314</v>
      </c>
      <c r="AI86" s="79"/>
      <c r="AJ86" s="80"/>
      <c r="AK86" s="81"/>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2"/>
      <c r="CL86" s="12"/>
      <c r="CM86" s="82"/>
      <c r="CN86" s="12"/>
      <c r="CO86" s="82"/>
      <c r="CP86" s="12"/>
      <c r="CQ86" s="83">
        <f t="shared" si="17"/>
        <v>0</v>
      </c>
      <c r="CR86" s="84"/>
      <c r="CS86" s="13"/>
      <c r="CT86" s="85"/>
      <c r="CU86" s="86"/>
      <c r="CV86" s="11"/>
      <c r="CW86" s="86"/>
      <c r="CX86" s="84"/>
      <c r="CY86" s="86"/>
    </row>
    <row r="87" spans="1:103" ht="25.5" x14ac:dyDescent="0.2">
      <c r="A87" s="43">
        <v>39854</v>
      </c>
      <c r="B87" s="44" t="s">
        <v>1127</v>
      </c>
      <c r="C87" s="44" t="s">
        <v>479</v>
      </c>
      <c r="D87" s="45" t="s">
        <v>1095</v>
      </c>
      <c r="E87" s="11">
        <v>1</v>
      </c>
      <c r="F87" s="12"/>
      <c r="G87" s="12"/>
      <c r="H87" s="12"/>
      <c r="I87" s="12"/>
      <c r="J87" s="12"/>
      <c r="K87" s="12"/>
      <c r="L87" s="12"/>
      <c r="M87" s="12"/>
      <c r="N87" s="12"/>
      <c r="O87" s="12"/>
      <c r="P87" s="12"/>
      <c r="Q87" s="12"/>
      <c r="R87" s="12"/>
      <c r="S87" s="12"/>
      <c r="T87" s="13"/>
      <c r="U87" s="46"/>
      <c r="V87" s="47"/>
      <c r="W87" s="48">
        <f t="shared" si="12"/>
        <v>0</v>
      </c>
      <c r="X87" s="48">
        <f t="shared" si="13"/>
        <v>0</v>
      </c>
      <c r="Y87" s="48">
        <f t="shared" si="14"/>
        <v>0</v>
      </c>
      <c r="Z87" s="48">
        <f t="shared" si="15"/>
        <v>0</v>
      </c>
      <c r="AA87" s="48"/>
      <c r="AB87" s="48"/>
      <c r="AC87" s="49">
        <f t="shared" si="16"/>
        <v>0</v>
      </c>
      <c r="AD87" s="50">
        <v>0</v>
      </c>
      <c r="AE87" s="47">
        <v>39855</v>
      </c>
      <c r="AF87" s="51" t="s">
        <v>516</v>
      </c>
      <c r="AG87" s="52" t="s">
        <v>517</v>
      </c>
      <c r="AH87" s="53" t="s">
        <v>480</v>
      </c>
      <c r="AI87" s="79"/>
      <c r="AJ87" s="80"/>
      <c r="AK87" s="81"/>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2"/>
      <c r="CL87" s="12"/>
      <c r="CM87" s="82"/>
      <c r="CN87" s="12"/>
      <c r="CO87" s="82"/>
      <c r="CP87" s="12"/>
      <c r="CQ87" s="83">
        <f t="shared" si="17"/>
        <v>0</v>
      </c>
      <c r="CR87" s="84"/>
      <c r="CS87" s="13"/>
      <c r="CT87" s="85"/>
      <c r="CU87" s="86"/>
      <c r="CV87" s="11"/>
      <c r="CW87" s="86"/>
      <c r="CX87" s="84"/>
      <c r="CY87" s="86"/>
    </row>
    <row r="88" spans="1:103" ht="38.25" x14ac:dyDescent="0.2">
      <c r="A88" s="43">
        <v>39855</v>
      </c>
      <c r="B88" s="44" t="s">
        <v>625</v>
      </c>
      <c r="C88" s="44" t="s">
        <v>1051</v>
      </c>
      <c r="D88" s="45" t="s">
        <v>1116</v>
      </c>
      <c r="E88" s="11">
        <v>1</v>
      </c>
      <c r="F88" s="12"/>
      <c r="G88" s="12"/>
      <c r="H88" s="12">
        <v>10</v>
      </c>
      <c r="I88" s="12">
        <v>3</v>
      </c>
      <c r="J88" s="12">
        <v>3</v>
      </c>
      <c r="K88" s="12"/>
      <c r="L88" s="12"/>
      <c r="M88" s="12"/>
      <c r="N88" s="12"/>
      <c r="O88" s="12"/>
      <c r="P88" s="12"/>
      <c r="Q88" s="12"/>
      <c r="R88" s="12"/>
      <c r="S88" s="12"/>
      <c r="T88" s="13"/>
      <c r="U88" s="46"/>
      <c r="V88" s="47"/>
      <c r="W88" s="48">
        <f t="shared" si="12"/>
        <v>0</v>
      </c>
      <c r="X88" s="48">
        <f t="shared" si="13"/>
        <v>0</v>
      </c>
      <c r="Y88" s="48">
        <f t="shared" si="14"/>
        <v>0</v>
      </c>
      <c r="Z88" s="48">
        <f t="shared" si="15"/>
        <v>0</v>
      </c>
      <c r="AA88" s="48"/>
      <c r="AB88" s="48"/>
      <c r="AC88" s="49">
        <f t="shared" si="16"/>
        <v>0</v>
      </c>
      <c r="AD88" s="50">
        <v>0</v>
      </c>
      <c r="AE88" s="47">
        <v>39855</v>
      </c>
      <c r="AF88" s="51" t="s">
        <v>516</v>
      </c>
      <c r="AG88" s="52" t="s">
        <v>517</v>
      </c>
      <c r="AH88" s="53" t="s">
        <v>475</v>
      </c>
      <c r="AI88" s="79"/>
      <c r="AJ88" s="80"/>
      <c r="AK88" s="81"/>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2"/>
      <c r="CL88" s="12"/>
      <c r="CM88" s="82"/>
      <c r="CN88" s="12"/>
      <c r="CO88" s="82"/>
      <c r="CP88" s="12"/>
      <c r="CQ88" s="83">
        <f t="shared" si="17"/>
        <v>0</v>
      </c>
      <c r="CR88" s="84"/>
      <c r="CS88" s="13"/>
      <c r="CT88" s="85"/>
      <c r="CU88" s="86"/>
      <c r="CV88" s="11"/>
      <c r="CW88" s="86"/>
      <c r="CX88" s="84"/>
      <c r="CY88" s="86"/>
    </row>
    <row r="89" spans="1:103" ht="25.5" x14ac:dyDescent="0.2">
      <c r="A89" s="43">
        <v>39855</v>
      </c>
      <c r="B89" s="44" t="s">
        <v>625</v>
      </c>
      <c r="C89" s="44" t="s">
        <v>476</v>
      </c>
      <c r="D89" s="45" t="s">
        <v>1118</v>
      </c>
      <c r="E89" s="11"/>
      <c r="F89" s="12"/>
      <c r="G89" s="12"/>
      <c r="H89" s="12">
        <v>50</v>
      </c>
      <c r="I89" s="12">
        <v>10</v>
      </c>
      <c r="J89" s="12"/>
      <c r="K89" s="12">
        <v>10</v>
      </c>
      <c r="L89" s="12"/>
      <c r="M89" s="12"/>
      <c r="N89" s="12"/>
      <c r="O89" s="12"/>
      <c r="P89" s="12"/>
      <c r="Q89" s="12"/>
      <c r="R89" s="12"/>
      <c r="S89" s="12"/>
      <c r="T89" s="13"/>
      <c r="U89" s="46"/>
      <c r="V89" s="47"/>
      <c r="W89" s="48">
        <f t="shared" si="12"/>
        <v>0</v>
      </c>
      <c r="X89" s="48">
        <f t="shared" si="13"/>
        <v>0</v>
      </c>
      <c r="Y89" s="48">
        <f t="shared" si="14"/>
        <v>0</v>
      </c>
      <c r="Z89" s="48">
        <f t="shared" si="15"/>
        <v>0</v>
      </c>
      <c r="AA89" s="48"/>
      <c r="AB89" s="48"/>
      <c r="AC89" s="49">
        <f t="shared" si="16"/>
        <v>0</v>
      </c>
      <c r="AD89" s="50">
        <v>0</v>
      </c>
      <c r="AE89" s="47">
        <v>39855</v>
      </c>
      <c r="AF89" s="51" t="s">
        <v>516</v>
      </c>
      <c r="AG89" s="52" t="s">
        <v>517</v>
      </c>
      <c r="AH89" s="53" t="s">
        <v>313</v>
      </c>
      <c r="AI89" s="79"/>
      <c r="AJ89" s="80"/>
      <c r="AK89" s="81"/>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2"/>
      <c r="CL89" s="12"/>
      <c r="CM89" s="82"/>
      <c r="CN89" s="12"/>
      <c r="CO89" s="82"/>
      <c r="CP89" s="12"/>
      <c r="CQ89" s="83">
        <f t="shared" si="17"/>
        <v>0</v>
      </c>
      <c r="CR89" s="84"/>
      <c r="CS89" s="13"/>
      <c r="CT89" s="85"/>
      <c r="CU89" s="86"/>
      <c r="CV89" s="11"/>
      <c r="CW89" s="86"/>
      <c r="CX89" s="84"/>
      <c r="CY89" s="86"/>
    </row>
    <row r="90" spans="1:103" ht="25.5" x14ac:dyDescent="0.2">
      <c r="A90" s="43">
        <v>39856</v>
      </c>
      <c r="B90" s="44" t="s">
        <v>478</v>
      </c>
      <c r="C90" s="44" t="s">
        <v>477</v>
      </c>
      <c r="D90" s="45" t="s">
        <v>1118</v>
      </c>
      <c r="E90" s="11"/>
      <c r="F90" s="12"/>
      <c r="G90" s="12"/>
      <c r="H90" s="12">
        <v>29</v>
      </c>
      <c r="I90" s="12">
        <v>8</v>
      </c>
      <c r="J90" s="12">
        <v>4</v>
      </c>
      <c r="K90" s="12">
        <v>4</v>
      </c>
      <c r="L90" s="12">
        <v>1</v>
      </c>
      <c r="M90" s="12"/>
      <c r="N90" s="12"/>
      <c r="O90" s="12"/>
      <c r="P90" s="12"/>
      <c r="Q90" s="12"/>
      <c r="R90" s="12"/>
      <c r="S90" s="12"/>
      <c r="T90" s="13"/>
      <c r="U90" s="46"/>
      <c r="V90" s="47"/>
      <c r="W90" s="48">
        <f t="shared" si="12"/>
        <v>0</v>
      </c>
      <c r="X90" s="48">
        <f t="shared" si="13"/>
        <v>0</v>
      </c>
      <c r="Y90" s="48">
        <f t="shared" si="14"/>
        <v>0</v>
      </c>
      <c r="Z90" s="48">
        <f t="shared" si="15"/>
        <v>0</v>
      </c>
      <c r="AA90" s="48"/>
      <c r="AB90" s="48"/>
      <c r="AC90" s="49">
        <f t="shared" si="16"/>
        <v>0</v>
      </c>
      <c r="AD90" s="50">
        <v>0</v>
      </c>
      <c r="AE90" s="47">
        <v>39855</v>
      </c>
      <c r="AF90" s="51" t="s">
        <v>516</v>
      </c>
      <c r="AG90" s="52" t="s">
        <v>517</v>
      </c>
      <c r="AH90" s="53" t="s">
        <v>1283</v>
      </c>
      <c r="AI90" s="79"/>
      <c r="AJ90" s="80"/>
      <c r="AK90" s="81"/>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2"/>
      <c r="CL90" s="12"/>
      <c r="CM90" s="82"/>
      <c r="CN90" s="12"/>
      <c r="CO90" s="82"/>
      <c r="CP90" s="12"/>
      <c r="CQ90" s="83">
        <f t="shared" si="17"/>
        <v>0</v>
      </c>
      <c r="CR90" s="84"/>
      <c r="CS90" s="13"/>
      <c r="CT90" s="85"/>
      <c r="CU90" s="86"/>
      <c r="CV90" s="11"/>
      <c r="CW90" s="86"/>
      <c r="CX90" s="84"/>
      <c r="CY90" s="86"/>
    </row>
    <row r="91" spans="1:103" ht="25.5" x14ac:dyDescent="0.2">
      <c r="A91" s="43">
        <v>39856</v>
      </c>
      <c r="B91" s="44" t="s">
        <v>1066</v>
      </c>
      <c r="C91" s="44" t="s">
        <v>1454</v>
      </c>
      <c r="D91" s="45" t="s">
        <v>1118</v>
      </c>
      <c r="E91" s="11"/>
      <c r="F91" s="12"/>
      <c r="G91" s="12"/>
      <c r="H91" s="12"/>
      <c r="I91" s="12"/>
      <c r="J91" s="12"/>
      <c r="K91" s="12"/>
      <c r="L91" s="12"/>
      <c r="M91" s="12"/>
      <c r="N91" s="12"/>
      <c r="O91" s="12"/>
      <c r="P91" s="12"/>
      <c r="Q91" s="12"/>
      <c r="R91" s="12"/>
      <c r="S91" s="12"/>
      <c r="T91" s="13"/>
      <c r="U91" s="46"/>
      <c r="V91" s="47">
        <v>39920</v>
      </c>
      <c r="W91" s="48">
        <f t="shared" si="12"/>
        <v>59600000</v>
      </c>
      <c r="X91" s="48">
        <f t="shared" si="13"/>
        <v>68000000</v>
      </c>
      <c r="Y91" s="48">
        <f t="shared" si="14"/>
        <v>0</v>
      </c>
      <c r="Z91" s="48">
        <f t="shared" si="15"/>
        <v>0</v>
      </c>
      <c r="AA91" s="48"/>
      <c r="AB91" s="48"/>
      <c r="AC91" s="49">
        <f t="shared" si="16"/>
        <v>127600000</v>
      </c>
      <c r="AD91" s="50">
        <v>0</v>
      </c>
      <c r="AE91" s="47">
        <v>39856</v>
      </c>
      <c r="AF91" s="51" t="s">
        <v>1016</v>
      </c>
      <c r="AG91" s="52" t="s">
        <v>565</v>
      </c>
      <c r="AH91" s="53" t="s">
        <v>980</v>
      </c>
      <c r="AI91" s="79"/>
      <c r="AJ91" s="80"/>
      <c r="AK91" s="81"/>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2">
        <v>800</v>
      </c>
      <c r="CL91" s="12">
        <f>800*38500</f>
        <v>30800000</v>
      </c>
      <c r="CM91" s="82">
        <v>800</v>
      </c>
      <c r="CN91" s="12">
        <f>800*36000</f>
        <v>28800000</v>
      </c>
      <c r="CO91" s="82"/>
      <c r="CP91" s="12"/>
      <c r="CQ91" s="83">
        <f t="shared" si="17"/>
        <v>59600000</v>
      </c>
      <c r="CR91" s="84"/>
      <c r="CS91" s="13"/>
      <c r="CT91" s="85">
        <v>800</v>
      </c>
      <c r="CU91" s="86">
        <f>800*85000</f>
        <v>68000000</v>
      </c>
      <c r="CV91" s="11"/>
      <c r="CW91" s="86"/>
      <c r="CX91" s="84"/>
      <c r="CY91" s="86"/>
    </row>
    <row r="92" spans="1:103" ht="63.75" x14ac:dyDescent="0.2">
      <c r="A92" s="43">
        <v>39856</v>
      </c>
      <c r="B92" s="44" t="s">
        <v>481</v>
      </c>
      <c r="C92" s="44" t="s">
        <v>482</v>
      </c>
      <c r="D92" s="45" t="s">
        <v>1116</v>
      </c>
      <c r="E92" s="11"/>
      <c r="F92" s="12">
        <v>1</v>
      </c>
      <c r="G92" s="12"/>
      <c r="H92" s="12">
        <v>4</v>
      </c>
      <c r="I92" s="12">
        <v>1</v>
      </c>
      <c r="J92" s="12"/>
      <c r="K92" s="12">
        <v>1</v>
      </c>
      <c r="L92" s="12"/>
      <c r="M92" s="12"/>
      <c r="N92" s="12"/>
      <c r="O92" s="12"/>
      <c r="P92" s="12"/>
      <c r="Q92" s="12"/>
      <c r="R92" s="12"/>
      <c r="S92" s="12">
        <v>1</v>
      </c>
      <c r="T92" s="13"/>
      <c r="U92" s="46"/>
      <c r="V92" s="47"/>
      <c r="W92" s="48">
        <f t="shared" si="12"/>
        <v>0</v>
      </c>
      <c r="X92" s="48">
        <f t="shared" si="13"/>
        <v>0</v>
      </c>
      <c r="Y92" s="48">
        <f t="shared" si="14"/>
        <v>0</v>
      </c>
      <c r="Z92" s="48">
        <f t="shared" si="15"/>
        <v>0</v>
      </c>
      <c r="AA92" s="48"/>
      <c r="AB92" s="48"/>
      <c r="AC92" s="49">
        <f t="shared" si="16"/>
        <v>0</v>
      </c>
      <c r="AD92" s="50">
        <v>0</v>
      </c>
      <c r="AE92" s="47">
        <v>39856</v>
      </c>
      <c r="AF92" s="51" t="s">
        <v>516</v>
      </c>
      <c r="AG92" s="52" t="s">
        <v>517</v>
      </c>
      <c r="AH92" s="53" t="s">
        <v>1481</v>
      </c>
      <c r="AI92" s="79"/>
      <c r="AJ92" s="80"/>
      <c r="AK92" s="81"/>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2"/>
      <c r="CL92" s="12"/>
      <c r="CM92" s="82"/>
      <c r="CN92" s="12"/>
      <c r="CO92" s="82"/>
      <c r="CP92" s="12"/>
      <c r="CQ92" s="83">
        <f t="shared" si="17"/>
        <v>0</v>
      </c>
      <c r="CR92" s="84"/>
      <c r="CS92" s="13"/>
      <c r="CT92" s="85"/>
      <c r="CU92" s="86"/>
      <c r="CV92" s="11"/>
      <c r="CW92" s="86"/>
      <c r="CX92" s="84"/>
      <c r="CY92" s="86"/>
    </row>
    <row r="93" spans="1:103" ht="38.25" x14ac:dyDescent="0.2">
      <c r="A93" s="43">
        <v>39856</v>
      </c>
      <c r="B93" s="44" t="s">
        <v>1350</v>
      </c>
      <c r="C93" s="44" t="s">
        <v>1351</v>
      </c>
      <c r="D93" s="45" t="s">
        <v>1116</v>
      </c>
      <c r="E93" s="11"/>
      <c r="F93" s="12"/>
      <c r="G93" s="12"/>
      <c r="H93" s="12">
        <v>50</v>
      </c>
      <c r="I93" s="12">
        <v>10</v>
      </c>
      <c r="J93" s="12">
        <v>10</v>
      </c>
      <c r="K93" s="12"/>
      <c r="L93" s="12"/>
      <c r="M93" s="12"/>
      <c r="N93" s="12"/>
      <c r="O93" s="12"/>
      <c r="P93" s="12"/>
      <c r="Q93" s="12"/>
      <c r="R93" s="12"/>
      <c r="S93" s="12"/>
      <c r="T93" s="13"/>
      <c r="U93" s="46"/>
      <c r="V93" s="47"/>
      <c r="W93" s="48">
        <f t="shared" si="12"/>
        <v>0</v>
      </c>
      <c r="X93" s="48">
        <f t="shared" si="13"/>
        <v>0</v>
      </c>
      <c r="Y93" s="48">
        <f t="shared" si="14"/>
        <v>0</v>
      </c>
      <c r="Z93" s="48">
        <f t="shared" si="15"/>
        <v>0</v>
      </c>
      <c r="AA93" s="48"/>
      <c r="AB93" s="48"/>
      <c r="AC93" s="49">
        <f t="shared" si="16"/>
        <v>0</v>
      </c>
      <c r="AD93" s="50">
        <v>0</v>
      </c>
      <c r="AE93" s="47">
        <v>39856</v>
      </c>
      <c r="AF93" s="51" t="s">
        <v>516</v>
      </c>
      <c r="AG93" s="52" t="s">
        <v>517</v>
      </c>
      <c r="AH93" s="53" t="s">
        <v>483</v>
      </c>
      <c r="AI93" s="79"/>
      <c r="AJ93" s="80"/>
      <c r="AK93" s="81"/>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2"/>
      <c r="CL93" s="12"/>
      <c r="CM93" s="82"/>
      <c r="CN93" s="12"/>
      <c r="CO93" s="82"/>
      <c r="CP93" s="12"/>
      <c r="CQ93" s="83">
        <f t="shared" si="17"/>
        <v>0</v>
      </c>
      <c r="CR93" s="84"/>
      <c r="CS93" s="13"/>
      <c r="CT93" s="85"/>
      <c r="CU93" s="86"/>
      <c r="CV93" s="11"/>
      <c r="CW93" s="86"/>
      <c r="CX93" s="84"/>
      <c r="CY93" s="86"/>
    </row>
    <row r="94" spans="1:103" ht="25.5" x14ac:dyDescent="0.2">
      <c r="A94" s="43">
        <v>39858</v>
      </c>
      <c r="B94" s="44" t="s">
        <v>1226</v>
      </c>
      <c r="C94" s="44" t="s">
        <v>602</v>
      </c>
      <c r="D94" s="45" t="s">
        <v>1070</v>
      </c>
      <c r="E94" s="11">
        <v>4</v>
      </c>
      <c r="F94" s="12">
        <v>5</v>
      </c>
      <c r="G94" s="12"/>
      <c r="H94" s="12"/>
      <c r="I94" s="12"/>
      <c r="J94" s="12"/>
      <c r="K94" s="12"/>
      <c r="L94" s="12"/>
      <c r="M94" s="12"/>
      <c r="N94" s="12"/>
      <c r="O94" s="12"/>
      <c r="P94" s="12"/>
      <c r="Q94" s="12"/>
      <c r="R94" s="12"/>
      <c r="S94" s="12"/>
      <c r="T94" s="13"/>
      <c r="U94" s="46"/>
      <c r="V94" s="47"/>
      <c r="W94" s="48">
        <f t="shared" si="12"/>
        <v>0</v>
      </c>
      <c r="X94" s="48">
        <f t="shared" si="13"/>
        <v>0</v>
      </c>
      <c r="Y94" s="48">
        <f t="shared" si="14"/>
        <v>0</v>
      </c>
      <c r="Z94" s="48">
        <f t="shared" si="15"/>
        <v>0</v>
      </c>
      <c r="AA94" s="48"/>
      <c r="AB94" s="48"/>
      <c r="AC94" s="49">
        <f t="shared" si="16"/>
        <v>0</v>
      </c>
      <c r="AD94" s="50">
        <v>0</v>
      </c>
      <c r="AE94" s="47">
        <v>39858</v>
      </c>
      <c r="AF94" s="51" t="s">
        <v>516</v>
      </c>
      <c r="AG94" s="52" t="s">
        <v>517</v>
      </c>
      <c r="AH94" s="53" t="s">
        <v>750</v>
      </c>
      <c r="AI94" s="79"/>
      <c r="AJ94" s="80"/>
      <c r="AK94" s="81"/>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2"/>
      <c r="CL94" s="12"/>
      <c r="CM94" s="82"/>
      <c r="CN94" s="12"/>
      <c r="CO94" s="82"/>
      <c r="CP94" s="12"/>
      <c r="CQ94" s="83">
        <f t="shared" si="17"/>
        <v>0</v>
      </c>
      <c r="CR94" s="84"/>
      <c r="CS94" s="13"/>
      <c r="CT94" s="85"/>
      <c r="CU94" s="86"/>
      <c r="CV94" s="11"/>
      <c r="CW94" s="86"/>
      <c r="CX94" s="84"/>
      <c r="CY94" s="86"/>
    </row>
    <row r="95" spans="1:103" ht="51" x14ac:dyDescent="0.2">
      <c r="A95" s="43">
        <v>39858</v>
      </c>
      <c r="B95" s="44" t="s">
        <v>600</v>
      </c>
      <c r="C95" s="44" t="s">
        <v>601</v>
      </c>
      <c r="D95" s="45" t="s">
        <v>1117</v>
      </c>
      <c r="E95" s="11"/>
      <c r="F95" s="12"/>
      <c r="G95" s="12"/>
      <c r="H95" s="12">
        <f>69*5</f>
        <v>345</v>
      </c>
      <c r="I95" s="12">
        <v>69</v>
      </c>
      <c r="J95" s="12"/>
      <c r="K95" s="12">
        <v>69</v>
      </c>
      <c r="L95" s="12"/>
      <c r="M95" s="12"/>
      <c r="N95" s="12"/>
      <c r="O95" s="12"/>
      <c r="P95" s="12"/>
      <c r="Q95" s="12"/>
      <c r="R95" s="12"/>
      <c r="S95" s="12"/>
      <c r="T95" s="13"/>
      <c r="U95" s="46"/>
      <c r="V95" s="47"/>
      <c r="W95" s="48">
        <f t="shared" si="12"/>
        <v>0</v>
      </c>
      <c r="X95" s="48">
        <f t="shared" si="13"/>
        <v>0</v>
      </c>
      <c r="Y95" s="48">
        <f t="shared" si="14"/>
        <v>0</v>
      </c>
      <c r="Z95" s="48">
        <f t="shared" si="15"/>
        <v>0</v>
      </c>
      <c r="AA95" s="48"/>
      <c r="AB95" s="48"/>
      <c r="AC95" s="49">
        <f t="shared" si="16"/>
        <v>0</v>
      </c>
      <c r="AD95" s="50">
        <v>0</v>
      </c>
      <c r="AE95" s="47">
        <v>39858</v>
      </c>
      <c r="AF95" s="51" t="s">
        <v>1016</v>
      </c>
      <c r="AG95" s="52" t="s">
        <v>565</v>
      </c>
      <c r="AH95" s="53" t="s">
        <v>169</v>
      </c>
      <c r="AI95" s="79"/>
      <c r="AJ95" s="80"/>
      <c r="AK95" s="81"/>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2"/>
      <c r="CL95" s="12"/>
      <c r="CM95" s="82"/>
      <c r="CN95" s="12"/>
      <c r="CO95" s="82"/>
      <c r="CP95" s="12"/>
      <c r="CQ95" s="83">
        <f t="shared" si="17"/>
        <v>0</v>
      </c>
      <c r="CR95" s="84"/>
      <c r="CS95" s="13"/>
      <c r="CT95" s="85"/>
      <c r="CU95" s="86"/>
      <c r="CV95" s="11"/>
      <c r="CW95" s="86"/>
      <c r="CX95" s="84"/>
      <c r="CY95" s="86"/>
    </row>
    <row r="96" spans="1:103" ht="38.25" x14ac:dyDescent="0.2">
      <c r="A96" s="43">
        <v>39858</v>
      </c>
      <c r="B96" s="44" t="s">
        <v>1066</v>
      </c>
      <c r="C96" s="44" t="s">
        <v>273</v>
      </c>
      <c r="D96" s="45" t="s">
        <v>751</v>
      </c>
      <c r="E96" s="11"/>
      <c r="F96" s="12"/>
      <c r="G96" s="12"/>
      <c r="H96" s="12"/>
      <c r="I96" s="12"/>
      <c r="J96" s="12"/>
      <c r="K96" s="12"/>
      <c r="L96" s="12"/>
      <c r="M96" s="12"/>
      <c r="N96" s="12"/>
      <c r="O96" s="12"/>
      <c r="P96" s="12"/>
      <c r="Q96" s="12"/>
      <c r="R96" s="12"/>
      <c r="S96" s="12"/>
      <c r="T96" s="13"/>
      <c r="U96" s="46"/>
      <c r="V96" s="47"/>
      <c r="W96" s="48">
        <f t="shared" si="12"/>
        <v>0</v>
      </c>
      <c r="X96" s="48">
        <f t="shared" si="13"/>
        <v>0</v>
      </c>
      <c r="Y96" s="48">
        <f t="shared" si="14"/>
        <v>0</v>
      </c>
      <c r="Z96" s="48">
        <f t="shared" si="15"/>
        <v>0</v>
      </c>
      <c r="AA96" s="48"/>
      <c r="AB96" s="48"/>
      <c r="AC96" s="49">
        <f t="shared" si="16"/>
        <v>0</v>
      </c>
      <c r="AD96" s="50">
        <v>0</v>
      </c>
      <c r="AE96" s="47">
        <v>39858</v>
      </c>
      <c r="AF96" s="51" t="s">
        <v>516</v>
      </c>
      <c r="AG96" s="52" t="s">
        <v>517</v>
      </c>
      <c r="AH96" s="53" t="s">
        <v>752</v>
      </c>
      <c r="AI96" s="79"/>
      <c r="AJ96" s="80"/>
      <c r="AK96" s="81"/>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2"/>
      <c r="CL96" s="12"/>
      <c r="CM96" s="82"/>
      <c r="CN96" s="12"/>
      <c r="CO96" s="82"/>
      <c r="CP96" s="12"/>
      <c r="CQ96" s="83">
        <f t="shared" si="17"/>
        <v>0</v>
      </c>
      <c r="CR96" s="84"/>
      <c r="CS96" s="13"/>
      <c r="CT96" s="85"/>
      <c r="CU96" s="86"/>
      <c r="CV96" s="11"/>
      <c r="CW96" s="86"/>
      <c r="CX96" s="84"/>
      <c r="CY96" s="86"/>
    </row>
    <row r="97" spans="1:103" ht="38.25" x14ac:dyDescent="0.2">
      <c r="A97" s="43">
        <v>39859</v>
      </c>
      <c r="B97" s="44" t="s">
        <v>1224</v>
      </c>
      <c r="C97" s="44" t="s">
        <v>753</v>
      </c>
      <c r="D97" s="45" t="s">
        <v>1118</v>
      </c>
      <c r="E97" s="11"/>
      <c r="F97" s="12"/>
      <c r="G97" s="12"/>
      <c r="H97" s="12">
        <f>517*5</f>
        <v>2585</v>
      </c>
      <c r="I97" s="12">
        <v>517</v>
      </c>
      <c r="J97" s="12"/>
      <c r="K97" s="12">
        <v>517</v>
      </c>
      <c r="L97" s="12"/>
      <c r="M97" s="12"/>
      <c r="N97" s="12"/>
      <c r="O97" s="12"/>
      <c r="P97" s="12"/>
      <c r="Q97" s="12"/>
      <c r="R97" s="12"/>
      <c r="S97" s="12"/>
      <c r="T97" s="13"/>
      <c r="U97" s="46"/>
      <c r="V97" s="47">
        <v>39923</v>
      </c>
      <c r="W97" s="48">
        <f t="shared" si="12"/>
        <v>19794657.600000001</v>
      </c>
      <c r="X97" s="48">
        <f t="shared" si="13"/>
        <v>45475000</v>
      </c>
      <c r="Y97" s="48">
        <f t="shared" si="14"/>
        <v>0</v>
      </c>
      <c r="Z97" s="48">
        <f t="shared" si="15"/>
        <v>0</v>
      </c>
      <c r="AA97" s="48"/>
      <c r="AB97" s="48"/>
      <c r="AC97" s="49">
        <f t="shared" si="16"/>
        <v>65269657.600000001</v>
      </c>
      <c r="AD97" s="50">
        <v>0</v>
      </c>
      <c r="AE97" s="47">
        <v>39859</v>
      </c>
      <c r="AF97" s="51" t="s">
        <v>1016</v>
      </c>
      <c r="AG97" s="52" t="s">
        <v>565</v>
      </c>
      <c r="AH97" s="53" t="s">
        <v>754</v>
      </c>
      <c r="AI97" s="79"/>
      <c r="AJ97" s="80"/>
      <c r="AK97" s="81"/>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2">
        <v>535</v>
      </c>
      <c r="CL97" s="12">
        <f>535*36999.36</f>
        <v>19794657.600000001</v>
      </c>
      <c r="CM97" s="82"/>
      <c r="CN97" s="12"/>
      <c r="CO97" s="82"/>
      <c r="CP97" s="12"/>
      <c r="CQ97" s="83">
        <f t="shared" si="17"/>
        <v>19794657.600000001</v>
      </c>
      <c r="CR97" s="84"/>
      <c r="CS97" s="13"/>
      <c r="CT97" s="85">
        <v>535</v>
      </c>
      <c r="CU97" s="86">
        <f>535*85000</f>
        <v>45475000</v>
      </c>
      <c r="CV97" s="11"/>
      <c r="CW97" s="86"/>
      <c r="CX97" s="84"/>
      <c r="CY97" s="86"/>
    </row>
    <row r="98" spans="1:103" ht="38.25" x14ac:dyDescent="0.2">
      <c r="A98" s="43">
        <v>39859</v>
      </c>
      <c r="B98" s="44" t="s">
        <v>1097</v>
      </c>
      <c r="C98" s="44" t="s">
        <v>125</v>
      </c>
      <c r="D98" s="45" t="s">
        <v>1092</v>
      </c>
      <c r="E98" s="11"/>
      <c r="F98" s="12"/>
      <c r="G98" s="12"/>
      <c r="H98" s="12">
        <v>90</v>
      </c>
      <c r="I98" s="12">
        <v>18</v>
      </c>
      <c r="J98" s="12"/>
      <c r="K98" s="12"/>
      <c r="L98" s="12"/>
      <c r="M98" s="12"/>
      <c r="N98" s="12"/>
      <c r="O98" s="12"/>
      <c r="P98" s="12"/>
      <c r="Q98" s="12"/>
      <c r="R98" s="12"/>
      <c r="S98" s="12"/>
      <c r="T98" s="13"/>
      <c r="U98" s="46"/>
      <c r="V98" s="47"/>
      <c r="W98" s="48">
        <f t="shared" si="12"/>
        <v>0</v>
      </c>
      <c r="X98" s="48">
        <f t="shared" si="13"/>
        <v>0</v>
      </c>
      <c r="Y98" s="48">
        <f t="shared" si="14"/>
        <v>0</v>
      </c>
      <c r="Z98" s="48">
        <f t="shared" si="15"/>
        <v>0</v>
      </c>
      <c r="AA98" s="48"/>
      <c r="AB98" s="48"/>
      <c r="AC98" s="49">
        <f t="shared" si="16"/>
        <v>0</v>
      </c>
      <c r="AD98" s="50">
        <v>0</v>
      </c>
      <c r="AE98" s="47">
        <v>39860</v>
      </c>
      <c r="AF98" s="51" t="s">
        <v>516</v>
      </c>
      <c r="AG98" s="52" t="s">
        <v>517</v>
      </c>
      <c r="AH98" s="53" t="s">
        <v>763</v>
      </c>
      <c r="AI98" s="79"/>
      <c r="AJ98" s="80"/>
      <c r="AK98" s="81"/>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2"/>
      <c r="CL98" s="12"/>
      <c r="CM98" s="82"/>
      <c r="CN98" s="12"/>
      <c r="CO98" s="82"/>
      <c r="CP98" s="12"/>
      <c r="CQ98" s="83">
        <f t="shared" si="17"/>
        <v>0</v>
      </c>
      <c r="CR98" s="84"/>
      <c r="CS98" s="13"/>
      <c r="CT98" s="85"/>
      <c r="CU98" s="86"/>
      <c r="CV98" s="11"/>
      <c r="CW98" s="86"/>
      <c r="CX98" s="84"/>
      <c r="CY98" s="86"/>
    </row>
    <row r="99" spans="1:103" ht="51" x14ac:dyDescent="0.2">
      <c r="A99" s="43">
        <v>39860</v>
      </c>
      <c r="B99" s="44" t="s">
        <v>600</v>
      </c>
      <c r="C99" s="44" t="s">
        <v>770</v>
      </c>
      <c r="D99" s="45" t="s">
        <v>1118</v>
      </c>
      <c r="E99" s="11"/>
      <c r="F99" s="12"/>
      <c r="G99" s="12"/>
      <c r="H99" s="12">
        <v>60</v>
      </c>
      <c r="I99" s="12">
        <v>12</v>
      </c>
      <c r="J99" s="12"/>
      <c r="K99" s="12">
        <v>12</v>
      </c>
      <c r="L99" s="12"/>
      <c r="M99" s="12"/>
      <c r="N99" s="12"/>
      <c r="O99" s="12"/>
      <c r="P99" s="12"/>
      <c r="Q99" s="12"/>
      <c r="R99" s="12"/>
      <c r="S99" s="12"/>
      <c r="T99" s="13"/>
      <c r="U99" s="46"/>
      <c r="V99" s="47"/>
      <c r="W99" s="48">
        <f t="shared" si="12"/>
        <v>0</v>
      </c>
      <c r="X99" s="48">
        <f t="shared" si="13"/>
        <v>0</v>
      </c>
      <c r="Y99" s="48">
        <f t="shared" si="14"/>
        <v>0</v>
      </c>
      <c r="Z99" s="48">
        <f t="shared" si="15"/>
        <v>0</v>
      </c>
      <c r="AA99" s="48"/>
      <c r="AB99" s="48"/>
      <c r="AC99" s="49">
        <f t="shared" si="16"/>
        <v>0</v>
      </c>
      <c r="AD99" s="50">
        <v>0</v>
      </c>
      <c r="AE99" s="47">
        <v>39861</v>
      </c>
      <c r="AF99" s="51" t="s">
        <v>516</v>
      </c>
      <c r="AG99" s="52" t="s">
        <v>517</v>
      </c>
      <c r="AH99" s="53" t="s">
        <v>1339</v>
      </c>
      <c r="AI99" s="79"/>
      <c r="AJ99" s="80"/>
      <c r="AK99" s="81"/>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2"/>
      <c r="CL99" s="12"/>
      <c r="CM99" s="82"/>
      <c r="CN99" s="12"/>
      <c r="CO99" s="82"/>
      <c r="CP99" s="12"/>
      <c r="CQ99" s="83">
        <f t="shared" ref="CQ99:CQ130" si="18">AJ99+AL99+AN99+AP99+AR99+AT99+AV99+AX99+AZ99+BB99+BD99+BF99+BH99+BJ99+BL99+BN99+BP99+BR99+BT99+BV99+BX99+BZ99+CB99+CD99+CF99+CH99+CJ99+CL99+CN99+CP99</f>
        <v>0</v>
      </c>
      <c r="CR99" s="84"/>
      <c r="CS99" s="13"/>
      <c r="CT99" s="85"/>
      <c r="CU99" s="86"/>
      <c r="CV99" s="11"/>
      <c r="CW99" s="86"/>
      <c r="CX99" s="84"/>
      <c r="CY99" s="86"/>
    </row>
    <row r="100" spans="1:103" ht="357" x14ac:dyDescent="0.2">
      <c r="A100" s="43">
        <v>39860</v>
      </c>
      <c r="B100" s="44" t="s">
        <v>1066</v>
      </c>
      <c r="C100" s="44" t="s">
        <v>1348</v>
      </c>
      <c r="D100" s="45" t="s">
        <v>1118</v>
      </c>
      <c r="E100" s="11">
        <v>2</v>
      </c>
      <c r="F100" s="12"/>
      <c r="G100" s="12">
        <v>20</v>
      </c>
      <c r="H100" s="12">
        <v>31250</v>
      </c>
      <c r="I100" s="12">
        <v>6250</v>
      </c>
      <c r="J100" s="12">
        <v>1125</v>
      </c>
      <c r="K100" s="12">
        <v>1400</v>
      </c>
      <c r="L100" s="12"/>
      <c r="M100" s="12"/>
      <c r="N100" s="12"/>
      <c r="O100" s="12">
        <v>1</v>
      </c>
      <c r="P100" s="12"/>
      <c r="Q100" s="12">
        <v>8</v>
      </c>
      <c r="R100" s="12"/>
      <c r="S100" s="12">
        <v>102</v>
      </c>
      <c r="T100" s="13">
        <v>20000</v>
      </c>
      <c r="U100" s="46" t="s">
        <v>764</v>
      </c>
      <c r="V100" s="47">
        <v>39920</v>
      </c>
      <c r="W100" s="48">
        <f t="shared" si="12"/>
        <v>687073030</v>
      </c>
      <c r="X100" s="48">
        <f t="shared" si="13"/>
        <v>1462000000</v>
      </c>
      <c r="Y100" s="48">
        <f t="shared" si="14"/>
        <v>0</v>
      </c>
      <c r="Z100" s="48">
        <f t="shared" si="15"/>
        <v>0</v>
      </c>
      <c r="AA100" s="48">
        <f>36919930+1707200</f>
        <v>38627130</v>
      </c>
      <c r="AB100" s="48"/>
      <c r="AC100" s="49">
        <f t="shared" si="16"/>
        <v>2187700160</v>
      </c>
      <c r="AD100" s="50">
        <v>0</v>
      </c>
      <c r="AE100" s="47">
        <v>39860</v>
      </c>
      <c r="AF100" s="51" t="s">
        <v>1016</v>
      </c>
      <c r="AG100" s="52" t="s">
        <v>565</v>
      </c>
      <c r="AH100" s="53" t="s">
        <v>827</v>
      </c>
      <c r="AI100" s="79"/>
      <c r="AJ100" s="80"/>
      <c r="AK100" s="81"/>
      <c r="AL100" s="80"/>
      <c r="AM100" s="80"/>
      <c r="AN100" s="80"/>
      <c r="AO100" s="80"/>
      <c r="AP100" s="80"/>
      <c r="AQ100" s="80"/>
      <c r="AR100" s="80"/>
      <c r="AS100" s="80"/>
      <c r="AT100" s="80"/>
      <c r="AU100" s="80">
        <v>500</v>
      </c>
      <c r="AV100" s="80">
        <f>500*56000</f>
        <v>28000000</v>
      </c>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v>30</v>
      </c>
      <c r="BV100" s="80">
        <f>30*468000</f>
        <v>14040000</v>
      </c>
      <c r="BW100" s="80"/>
      <c r="BX100" s="80"/>
      <c r="BY100" s="80"/>
      <c r="BZ100" s="80"/>
      <c r="CA100" s="80"/>
      <c r="CB100" s="80"/>
      <c r="CC100" s="80"/>
      <c r="CD100" s="80"/>
      <c r="CE100" s="80">
        <f>3000+1500</f>
        <v>4500</v>
      </c>
      <c r="CF100" s="80">
        <f>3000*21500+1500*21000</f>
        <v>96000000</v>
      </c>
      <c r="CG100" s="80"/>
      <c r="CH100" s="80"/>
      <c r="CI100" s="80">
        <v>3000</v>
      </c>
      <c r="CJ100" s="80">
        <f>3000*18000</f>
        <v>54000000</v>
      </c>
      <c r="CK100" s="82">
        <f>1500+1000+1500+1000+2000+1500</f>
        <v>8500</v>
      </c>
      <c r="CL100" s="12">
        <f>1500*38500+1000*36952+1500*36999.36+14999990+1000*38500+2000*36952+1500*36952</f>
        <v>333033030</v>
      </c>
      <c r="CM100" s="82">
        <f>1500+1000+1000+1000</f>
        <v>4500</v>
      </c>
      <c r="CN100" s="12">
        <f>1500*36000+1000*36000+1000*36000+1000*36000</f>
        <v>162000000</v>
      </c>
      <c r="CO100" s="82"/>
      <c r="CP100" s="12"/>
      <c r="CQ100" s="83">
        <f t="shared" si="18"/>
        <v>687073030</v>
      </c>
      <c r="CR100" s="84"/>
      <c r="CS100" s="13"/>
      <c r="CT100" s="85">
        <f>2000+2000+1000+2000+1000+1000+1000+500+500+1700+1000+2000+1500</f>
        <v>17200</v>
      </c>
      <c r="CU100" s="86">
        <f>2000*85000+2000*85000+1000*85000+2000*85000+1000*85000+1000*85000+1000*85000+500*85000+500*85000+1700*85000+1000*85000+2000*85000+1500*85000</f>
        <v>1462000000</v>
      </c>
      <c r="CV100" s="11"/>
      <c r="CW100" s="86"/>
      <c r="CX100" s="84"/>
      <c r="CY100" s="86"/>
    </row>
    <row r="101" spans="1:103" ht="114.75" x14ac:dyDescent="0.2">
      <c r="A101" s="43">
        <v>39860</v>
      </c>
      <c r="B101" s="44" t="s">
        <v>1066</v>
      </c>
      <c r="C101" s="44" t="s">
        <v>755</v>
      </c>
      <c r="D101" s="45" t="s">
        <v>1092</v>
      </c>
      <c r="E101" s="11"/>
      <c r="F101" s="12"/>
      <c r="G101" s="12"/>
      <c r="H101" s="12">
        <v>9130</v>
      </c>
      <c r="I101" s="12">
        <v>1988</v>
      </c>
      <c r="J101" s="12"/>
      <c r="K101" s="12"/>
      <c r="L101" s="12">
        <v>1</v>
      </c>
      <c r="M101" s="12"/>
      <c r="N101" s="12"/>
      <c r="O101" s="12"/>
      <c r="P101" s="12"/>
      <c r="Q101" s="12"/>
      <c r="R101" s="12"/>
      <c r="S101" s="12"/>
      <c r="T101" s="13"/>
      <c r="U101" s="46"/>
      <c r="V101" s="47">
        <v>39897</v>
      </c>
      <c r="W101" s="48">
        <f t="shared" si="12"/>
        <v>0</v>
      </c>
      <c r="X101" s="48">
        <f t="shared" si="13"/>
        <v>170000000</v>
      </c>
      <c r="Y101" s="48">
        <f t="shared" si="14"/>
        <v>31500000</v>
      </c>
      <c r="Z101" s="48">
        <f t="shared" si="15"/>
        <v>0</v>
      </c>
      <c r="AA101" s="48">
        <v>61123971</v>
      </c>
      <c r="AB101" s="48"/>
      <c r="AC101" s="49">
        <f t="shared" si="16"/>
        <v>262623971</v>
      </c>
      <c r="AD101" s="50">
        <v>0</v>
      </c>
      <c r="AE101" s="47">
        <v>39860</v>
      </c>
      <c r="AF101" s="51" t="s">
        <v>1016</v>
      </c>
      <c r="AG101" s="52" t="s">
        <v>565</v>
      </c>
      <c r="AH101" s="53" t="s">
        <v>828</v>
      </c>
      <c r="AI101" s="79"/>
      <c r="AJ101" s="80"/>
      <c r="AK101" s="81"/>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2"/>
      <c r="CL101" s="12"/>
      <c r="CM101" s="82"/>
      <c r="CN101" s="12"/>
      <c r="CO101" s="82"/>
      <c r="CP101" s="12"/>
      <c r="CQ101" s="83">
        <f t="shared" si="18"/>
        <v>0</v>
      </c>
      <c r="CR101" s="84"/>
      <c r="CS101" s="13"/>
      <c r="CT101" s="85">
        <v>2000</v>
      </c>
      <c r="CU101" s="86">
        <f>2000*85000</f>
        <v>170000000</v>
      </c>
      <c r="CV101" s="11"/>
      <c r="CW101" s="86"/>
      <c r="CX101" s="84">
        <v>1500</v>
      </c>
      <c r="CY101" s="86">
        <f>1500*21000</f>
        <v>31500000</v>
      </c>
    </row>
    <row r="102" spans="1:103" ht="25.5" x14ac:dyDescent="0.2">
      <c r="A102" s="43">
        <v>39860</v>
      </c>
      <c r="B102" s="44" t="s">
        <v>1066</v>
      </c>
      <c r="C102" s="44" t="s">
        <v>1080</v>
      </c>
      <c r="D102" s="45" t="s">
        <v>1092</v>
      </c>
      <c r="E102" s="11"/>
      <c r="F102" s="12"/>
      <c r="G102" s="12"/>
      <c r="H102" s="12">
        <v>235</v>
      </c>
      <c r="I102" s="12">
        <v>47</v>
      </c>
      <c r="J102" s="12"/>
      <c r="K102" s="12">
        <v>47</v>
      </c>
      <c r="L102" s="12"/>
      <c r="M102" s="12"/>
      <c r="N102" s="12"/>
      <c r="O102" s="12"/>
      <c r="P102" s="12"/>
      <c r="Q102" s="12"/>
      <c r="R102" s="12"/>
      <c r="S102" s="12"/>
      <c r="T102" s="13"/>
      <c r="U102" s="46"/>
      <c r="V102" s="47"/>
      <c r="W102" s="48">
        <f t="shared" si="12"/>
        <v>0</v>
      </c>
      <c r="X102" s="48">
        <f t="shared" si="13"/>
        <v>0</v>
      </c>
      <c r="Y102" s="48">
        <f t="shared" si="14"/>
        <v>0</v>
      </c>
      <c r="Z102" s="48">
        <f t="shared" si="15"/>
        <v>0</v>
      </c>
      <c r="AA102" s="48"/>
      <c r="AB102" s="48"/>
      <c r="AC102" s="49">
        <f t="shared" si="16"/>
        <v>0</v>
      </c>
      <c r="AD102" s="50">
        <v>0</v>
      </c>
      <c r="AE102" s="47">
        <v>39891</v>
      </c>
      <c r="AF102" s="51" t="s">
        <v>516</v>
      </c>
      <c r="AG102" s="52" t="s">
        <v>517</v>
      </c>
      <c r="AH102" s="53" t="s">
        <v>1352</v>
      </c>
      <c r="AI102" s="79"/>
      <c r="AJ102" s="80"/>
      <c r="AK102" s="81"/>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2"/>
      <c r="CL102" s="12"/>
      <c r="CM102" s="82"/>
      <c r="CN102" s="12"/>
      <c r="CO102" s="82"/>
      <c r="CP102" s="12"/>
      <c r="CQ102" s="83">
        <f t="shared" si="18"/>
        <v>0</v>
      </c>
      <c r="CR102" s="84"/>
      <c r="CS102" s="13"/>
      <c r="CT102" s="85"/>
      <c r="CU102" s="86"/>
      <c r="CV102" s="11"/>
      <c r="CW102" s="86"/>
      <c r="CX102" s="84"/>
      <c r="CY102" s="86"/>
    </row>
    <row r="103" spans="1:103" ht="25.5" x14ac:dyDescent="0.2">
      <c r="A103" s="43">
        <v>39860</v>
      </c>
      <c r="B103" s="44" t="s">
        <v>1066</v>
      </c>
      <c r="C103" s="44" t="s">
        <v>583</v>
      </c>
      <c r="D103" s="45" t="s">
        <v>1118</v>
      </c>
      <c r="E103" s="11">
        <v>2</v>
      </c>
      <c r="F103" s="12"/>
      <c r="G103" s="12"/>
      <c r="H103" s="12">
        <v>7500</v>
      </c>
      <c r="I103" s="12">
        <v>1500</v>
      </c>
      <c r="J103" s="12">
        <v>3</v>
      </c>
      <c r="K103" s="12">
        <v>30</v>
      </c>
      <c r="L103" s="12"/>
      <c r="M103" s="12"/>
      <c r="N103" s="12"/>
      <c r="O103" s="12"/>
      <c r="P103" s="12"/>
      <c r="Q103" s="12"/>
      <c r="R103" s="12"/>
      <c r="S103" s="12"/>
      <c r="T103" s="13"/>
      <c r="U103" s="46"/>
      <c r="V103" s="47"/>
      <c r="W103" s="48">
        <f t="shared" si="12"/>
        <v>0</v>
      </c>
      <c r="X103" s="48">
        <f t="shared" si="13"/>
        <v>0</v>
      </c>
      <c r="Y103" s="48">
        <f t="shared" si="14"/>
        <v>0</v>
      </c>
      <c r="Z103" s="48">
        <f t="shared" si="15"/>
        <v>0</v>
      </c>
      <c r="AA103" s="48"/>
      <c r="AB103" s="48"/>
      <c r="AC103" s="49">
        <f t="shared" si="16"/>
        <v>0</v>
      </c>
      <c r="AD103" s="50">
        <v>0</v>
      </c>
      <c r="AE103" s="47">
        <v>39926</v>
      </c>
      <c r="AF103" s="51" t="s">
        <v>516</v>
      </c>
      <c r="AG103" s="52" t="s">
        <v>517</v>
      </c>
      <c r="AH103" s="53" t="s">
        <v>593</v>
      </c>
      <c r="AI103" s="79"/>
      <c r="AJ103" s="80"/>
      <c r="AK103" s="81"/>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2"/>
      <c r="CL103" s="12"/>
      <c r="CM103" s="82"/>
      <c r="CN103" s="12"/>
      <c r="CO103" s="82"/>
      <c r="CP103" s="12"/>
      <c r="CQ103" s="83">
        <f t="shared" si="18"/>
        <v>0</v>
      </c>
      <c r="CR103" s="84"/>
      <c r="CS103" s="13"/>
      <c r="CT103" s="85"/>
      <c r="CU103" s="86"/>
      <c r="CV103" s="11"/>
      <c r="CW103" s="86"/>
      <c r="CX103" s="84"/>
      <c r="CY103" s="86"/>
    </row>
    <row r="104" spans="1:103" ht="25.5" x14ac:dyDescent="0.2">
      <c r="A104" s="43">
        <v>39860</v>
      </c>
      <c r="B104" s="44" t="s">
        <v>1066</v>
      </c>
      <c r="C104" s="44" t="s">
        <v>487</v>
      </c>
      <c r="D104" s="45" t="s">
        <v>1092</v>
      </c>
      <c r="E104" s="11"/>
      <c r="F104" s="12"/>
      <c r="G104" s="12"/>
      <c r="H104" s="12">
        <v>256</v>
      </c>
      <c r="I104" s="12">
        <v>64</v>
      </c>
      <c r="J104" s="12"/>
      <c r="K104" s="12">
        <v>100</v>
      </c>
      <c r="L104" s="12"/>
      <c r="M104" s="12"/>
      <c r="N104" s="12"/>
      <c r="O104" s="12"/>
      <c r="P104" s="12"/>
      <c r="Q104" s="12"/>
      <c r="R104" s="12"/>
      <c r="S104" s="12"/>
      <c r="T104" s="13"/>
      <c r="U104" s="46"/>
      <c r="V104" s="47"/>
      <c r="W104" s="48">
        <f t="shared" si="12"/>
        <v>0</v>
      </c>
      <c r="X104" s="48">
        <f t="shared" si="13"/>
        <v>0</v>
      </c>
      <c r="Y104" s="48">
        <f t="shared" si="14"/>
        <v>0</v>
      </c>
      <c r="Z104" s="48">
        <f t="shared" si="15"/>
        <v>0</v>
      </c>
      <c r="AA104" s="48"/>
      <c r="AB104" s="48"/>
      <c r="AC104" s="49">
        <f t="shared" si="16"/>
        <v>0</v>
      </c>
      <c r="AD104" s="50">
        <v>0</v>
      </c>
      <c r="AE104" s="47">
        <v>39926</v>
      </c>
      <c r="AF104" s="51" t="s">
        <v>516</v>
      </c>
      <c r="AG104" s="52" t="s">
        <v>517</v>
      </c>
      <c r="AH104" s="53" t="s">
        <v>593</v>
      </c>
      <c r="AI104" s="79"/>
      <c r="AJ104" s="80"/>
      <c r="AK104" s="81"/>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2"/>
      <c r="CL104" s="12"/>
      <c r="CM104" s="82"/>
      <c r="CN104" s="12"/>
      <c r="CO104" s="82"/>
      <c r="CP104" s="12"/>
      <c r="CQ104" s="83">
        <f t="shared" si="18"/>
        <v>0</v>
      </c>
      <c r="CR104" s="84"/>
      <c r="CS104" s="13"/>
      <c r="CT104" s="85"/>
      <c r="CU104" s="86"/>
      <c r="CV104" s="11"/>
      <c r="CW104" s="86"/>
      <c r="CX104" s="84"/>
      <c r="CY104" s="86"/>
    </row>
    <row r="105" spans="1:103" ht="25.5" x14ac:dyDescent="0.2">
      <c r="A105" s="43">
        <v>39860</v>
      </c>
      <c r="B105" s="44" t="s">
        <v>1066</v>
      </c>
      <c r="C105" s="44" t="s">
        <v>584</v>
      </c>
      <c r="D105" s="45" t="s">
        <v>1092</v>
      </c>
      <c r="E105" s="11"/>
      <c r="F105" s="12"/>
      <c r="G105" s="12"/>
      <c r="H105" s="12">
        <v>1375</v>
      </c>
      <c r="I105" s="12">
        <v>284</v>
      </c>
      <c r="J105" s="12">
        <v>1</v>
      </c>
      <c r="K105" s="12">
        <v>283</v>
      </c>
      <c r="L105" s="12"/>
      <c r="M105" s="12"/>
      <c r="N105" s="12"/>
      <c r="O105" s="12"/>
      <c r="P105" s="12"/>
      <c r="Q105" s="12"/>
      <c r="R105" s="12"/>
      <c r="S105" s="12"/>
      <c r="T105" s="13"/>
      <c r="U105" s="46"/>
      <c r="V105" s="47"/>
      <c r="W105" s="48">
        <f t="shared" si="12"/>
        <v>0</v>
      </c>
      <c r="X105" s="48">
        <f t="shared" si="13"/>
        <v>0</v>
      </c>
      <c r="Y105" s="48">
        <f t="shared" si="14"/>
        <v>0</v>
      </c>
      <c r="Z105" s="48">
        <f t="shared" si="15"/>
        <v>0</v>
      </c>
      <c r="AA105" s="48"/>
      <c r="AB105" s="48"/>
      <c r="AC105" s="49">
        <f t="shared" si="16"/>
        <v>0</v>
      </c>
      <c r="AD105" s="50">
        <v>0</v>
      </c>
      <c r="AE105" s="47">
        <v>39926</v>
      </c>
      <c r="AF105" s="51" t="s">
        <v>516</v>
      </c>
      <c r="AG105" s="52" t="s">
        <v>517</v>
      </c>
      <c r="AH105" s="53" t="s">
        <v>593</v>
      </c>
      <c r="AI105" s="79"/>
      <c r="AJ105" s="80"/>
      <c r="AK105" s="81"/>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2"/>
      <c r="CL105" s="12"/>
      <c r="CM105" s="82"/>
      <c r="CN105" s="12"/>
      <c r="CO105" s="82"/>
      <c r="CP105" s="12"/>
      <c r="CQ105" s="83">
        <f t="shared" si="18"/>
        <v>0</v>
      </c>
      <c r="CR105" s="84"/>
      <c r="CS105" s="13"/>
      <c r="CT105" s="85"/>
      <c r="CU105" s="86"/>
      <c r="CV105" s="11"/>
      <c r="CW105" s="86"/>
      <c r="CX105" s="84"/>
      <c r="CY105" s="86"/>
    </row>
    <row r="106" spans="1:103" ht="25.5" x14ac:dyDescent="0.2">
      <c r="A106" s="43">
        <v>39860</v>
      </c>
      <c r="B106" s="44" t="s">
        <v>1066</v>
      </c>
      <c r="C106" s="44" t="s">
        <v>585</v>
      </c>
      <c r="D106" s="45" t="s">
        <v>1092</v>
      </c>
      <c r="E106" s="11"/>
      <c r="F106" s="12"/>
      <c r="G106" s="12"/>
      <c r="H106" s="12">
        <v>97</v>
      </c>
      <c r="I106" s="12">
        <v>27</v>
      </c>
      <c r="J106" s="12"/>
      <c r="K106" s="12">
        <v>27</v>
      </c>
      <c r="L106" s="12"/>
      <c r="M106" s="12"/>
      <c r="N106" s="12"/>
      <c r="O106" s="12"/>
      <c r="P106" s="12"/>
      <c r="Q106" s="12"/>
      <c r="R106" s="12"/>
      <c r="S106" s="12"/>
      <c r="T106" s="13"/>
      <c r="U106" s="46"/>
      <c r="V106" s="47"/>
      <c r="W106" s="48">
        <f t="shared" si="12"/>
        <v>0</v>
      </c>
      <c r="X106" s="48">
        <f t="shared" si="13"/>
        <v>0</v>
      </c>
      <c r="Y106" s="48">
        <f t="shared" si="14"/>
        <v>0</v>
      </c>
      <c r="Z106" s="48">
        <f t="shared" si="15"/>
        <v>0</v>
      </c>
      <c r="AA106" s="48"/>
      <c r="AB106" s="48"/>
      <c r="AC106" s="49">
        <f t="shared" si="16"/>
        <v>0</v>
      </c>
      <c r="AD106" s="50">
        <v>0</v>
      </c>
      <c r="AE106" s="47">
        <v>39926</v>
      </c>
      <c r="AF106" s="51" t="s">
        <v>516</v>
      </c>
      <c r="AG106" s="52" t="s">
        <v>517</v>
      </c>
      <c r="AH106" s="53" t="s">
        <v>593</v>
      </c>
      <c r="AI106" s="79"/>
      <c r="AJ106" s="80"/>
      <c r="AK106" s="81"/>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2"/>
      <c r="CL106" s="12"/>
      <c r="CM106" s="82"/>
      <c r="CN106" s="12"/>
      <c r="CO106" s="82"/>
      <c r="CP106" s="12"/>
      <c r="CQ106" s="83">
        <f t="shared" si="18"/>
        <v>0</v>
      </c>
      <c r="CR106" s="84"/>
      <c r="CS106" s="13"/>
      <c r="CT106" s="85"/>
      <c r="CU106" s="86"/>
      <c r="CV106" s="11"/>
      <c r="CW106" s="86"/>
      <c r="CX106" s="84"/>
      <c r="CY106" s="86"/>
    </row>
    <row r="107" spans="1:103" ht="25.5" x14ac:dyDescent="0.2">
      <c r="A107" s="43">
        <v>39860</v>
      </c>
      <c r="B107" s="44" t="s">
        <v>1066</v>
      </c>
      <c r="C107" s="44" t="s">
        <v>586</v>
      </c>
      <c r="D107" s="45" t="s">
        <v>1118</v>
      </c>
      <c r="E107" s="11"/>
      <c r="F107" s="12"/>
      <c r="G107" s="12"/>
      <c r="H107" s="12">
        <f>250*5</f>
        <v>1250</v>
      </c>
      <c r="I107" s="12">
        <v>250</v>
      </c>
      <c r="J107" s="12"/>
      <c r="K107" s="12"/>
      <c r="L107" s="12"/>
      <c r="M107" s="12"/>
      <c r="N107" s="12"/>
      <c r="O107" s="12"/>
      <c r="P107" s="12"/>
      <c r="Q107" s="12"/>
      <c r="R107" s="12"/>
      <c r="S107" s="12"/>
      <c r="T107" s="13"/>
      <c r="U107" s="46"/>
      <c r="V107" s="47"/>
      <c r="W107" s="48">
        <f t="shared" si="12"/>
        <v>0</v>
      </c>
      <c r="X107" s="48">
        <f t="shared" si="13"/>
        <v>0</v>
      </c>
      <c r="Y107" s="48">
        <f t="shared" si="14"/>
        <v>0</v>
      </c>
      <c r="Z107" s="48">
        <f t="shared" si="15"/>
        <v>0</v>
      </c>
      <c r="AA107" s="48"/>
      <c r="AB107" s="48"/>
      <c r="AC107" s="49">
        <f t="shared" si="16"/>
        <v>0</v>
      </c>
      <c r="AD107" s="50">
        <v>0</v>
      </c>
      <c r="AE107" s="47">
        <v>39926</v>
      </c>
      <c r="AF107" s="51" t="s">
        <v>516</v>
      </c>
      <c r="AG107" s="52" t="s">
        <v>517</v>
      </c>
      <c r="AH107" s="53" t="s">
        <v>593</v>
      </c>
      <c r="AI107" s="79"/>
      <c r="AJ107" s="80"/>
      <c r="AK107" s="81"/>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2"/>
      <c r="CL107" s="12"/>
      <c r="CM107" s="82"/>
      <c r="CN107" s="12"/>
      <c r="CO107" s="82"/>
      <c r="CP107" s="12"/>
      <c r="CQ107" s="83">
        <f t="shared" si="18"/>
        <v>0</v>
      </c>
      <c r="CR107" s="84"/>
      <c r="CS107" s="13"/>
      <c r="CT107" s="85"/>
      <c r="CU107" s="86"/>
      <c r="CV107" s="11"/>
      <c r="CW107" s="86"/>
      <c r="CX107" s="84"/>
      <c r="CY107" s="86"/>
    </row>
    <row r="108" spans="1:103" ht="25.5" x14ac:dyDescent="0.2">
      <c r="A108" s="43">
        <v>39860</v>
      </c>
      <c r="B108" s="44" t="s">
        <v>1066</v>
      </c>
      <c r="C108" s="44" t="s">
        <v>587</v>
      </c>
      <c r="D108" s="45" t="s">
        <v>1092</v>
      </c>
      <c r="E108" s="11"/>
      <c r="F108" s="12"/>
      <c r="G108" s="12"/>
      <c r="H108" s="12">
        <v>57</v>
      </c>
      <c r="I108" s="12">
        <v>13</v>
      </c>
      <c r="J108" s="12"/>
      <c r="K108" s="12"/>
      <c r="L108" s="12"/>
      <c r="M108" s="12"/>
      <c r="N108" s="12"/>
      <c r="O108" s="12"/>
      <c r="P108" s="12"/>
      <c r="Q108" s="12"/>
      <c r="R108" s="12"/>
      <c r="S108" s="12"/>
      <c r="T108" s="13"/>
      <c r="U108" s="46"/>
      <c r="V108" s="47"/>
      <c r="W108" s="48">
        <f t="shared" si="12"/>
        <v>0</v>
      </c>
      <c r="X108" s="48">
        <f t="shared" si="13"/>
        <v>0</v>
      </c>
      <c r="Y108" s="48">
        <f t="shared" si="14"/>
        <v>0</v>
      </c>
      <c r="Z108" s="48">
        <f t="shared" si="15"/>
        <v>0</v>
      </c>
      <c r="AA108" s="48"/>
      <c r="AB108" s="48"/>
      <c r="AC108" s="49">
        <f t="shared" si="16"/>
        <v>0</v>
      </c>
      <c r="AD108" s="50">
        <v>0</v>
      </c>
      <c r="AE108" s="47">
        <v>39926</v>
      </c>
      <c r="AF108" s="51" t="s">
        <v>516</v>
      </c>
      <c r="AG108" s="52" t="s">
        <v>517</v>
      </c>
      <c r="AH108" s="53" t="s">
        <v>593</v>
      </c>
      <c r="AI108" s="79"/>
      <c r="AJ108" s="80"/>
      <c r="AK108" s="81"/>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2"/>
      <c r="CL108" s="12"/>
      <c r="CM108" s="82"/>
      <c r="CN108" s="12"/>
      <c r="CO108" s="82"/>
      <c r="CP108" s="12"/>
      <c r="CQ108" s="83">
        <f t="shared" si="18"/>
        <v>0</v>
      </c>
      <c r="CR108" s="84"/>
      <c r="CS108" s="13"/>
      <c r="CT108" s="85"/>
      <c r="CU108" s="86"/>
      <c r="CV108" s="11"/>
      <c r="CW108" s="86"/>
      <c r="CX108" s="84"/>
      <c r="CY108" s="86"/>
    </row>
    <row r="109" spans="1:103" ht="38.25" x14ac:dyDescent="0.2">
      <c r="A109" s="43">
        <v>39860</v>
      </c>
      <c r="B109" s="44" t="s">
        <v>1350</v>
      </c>
      <c r="C109" s="44" t="s">
        <v>756</v>
      </c>
      <c r="D109" s="45" t="s">
        <v>1118</v>
      </c>
      <c r="E109" s="11"/>
      <c r="F109" s="12"/>
      <c r="G109" s="12"/>
      <c r="H109" s="12">
        <v>65</v>
      </c>
      <c r="I109" s="12">
        <v>12</v>
      </c>
      <c r="J109" s="12"/>
      <c r="K109" s="12">
        <v>12</v>
      </c>
      <c r="L109" s="12"/>
      <c r="M109" s="12">
        <v>3</v>
      </c>
      <c r="N109" s="12">
        <v>1</v>
      </c>
      <c r="O109" s="12"/>
      <c r="P109" s="12"/>
      <c r="Q109" s="12"/>
      <c r="R109" s="12"/>
      <c r="S109" s="12"/>
      <c r="T109" s="13"/>
      <c r="U109" s="46"/>
      <c r="V109" s="47"/>
      <c r="W109" s="48">
        <f t="shared" si="12"/>
        <v>0</v>
      </c>
      <c r="X109" s="48">
        <f t="shared" si="13"/>
        <v>0</v>
      </c>
      <c r="Y109" s="48">
        <f t="shared" si="14"/>
        <v>0</v>
      </c>
      <c r="Z109" s="48">
        <f t="shared" si="15"/>
        <v>0</v>
      </c>
      <c r="AA109" s="48"/>
      <c r="AB109" s="48"/>
      <c r="AC109" s="49">
        <f t="shared" si="16"/>
        <v>0</v>
      </c>
      <c r="AD109" s="50">
        <v>0</v>
      </c>
      <c r="AE109" s="47">
        <v>39860</v>
      </c>
      <c r="AF109" s="51" t="s">
        <v>516</v>
      </c>
      <c r="AG109" s="52" t="s">
        <v>517</v>
      </c>
      <c r="AH109" s="53" t="s">
        <v>1341</v>
      </c>
      <c r="AI109" s="79"/>
      <c r="AJ109" s="80"/>
      <c r="AK109" s="81"/>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2"/>
      <c r="CL109" s="12"/>
      <c r="CM109" s="82"/>
      <c r="CN109" s="12"/>
      <c r="CO109" s="82"/>
      <c r="CP109" s="12"/>
      <c r="CQ109" s="83">
        <f t="shared" si="18"/>
        <v>0</v>
      </c>
      <c r="CR109" s="84"/>
      <c r="CS109" s="13"/>
      <c r="CT109" s="85"/>
      <c r="CU109" s="86"/>
      <c r="CV109" s="11"/>
      <c r="CW109" s="86"/>
      <c r="CX109" s="84"/>
      <c r="CY109" s="86"/>
    </row>
    <row r="110" spans="1:103" ht="25.5" x14ac:dyDescent="0.2">
      <c r="A110" s="43">
        <v>39860</v>
      </c>
      <c r="B110" s="44" t="s">
        <v>1350</v>
      </c>
      <c r="C110" s="44" t="s">
        <v>757</v>
      </c>
      <c r="D110" s="45" t="s">
        <v>1118</v>
      </c>
      <c r="E110" s="11"/>
      <c r="F110" s="12"/>
      <c r="G110" s="12"/>
      <c r="H110" s="12">
        <v>12</v>
      </c>
      <c r="I110" s="12">
        <v>2</v>
      </c>
      <c r="J110" s="12"/>
      <c r="K110" s="12">
        <v>2</v>
      </c>
      <c r="L110" s="12"/>
      <c r="M110" s="12"/>
      <c r="N110" s="12"/>
      <c r="O110" s="12"/>
      <c r="P110" s="12"/>
      <c r="Q110" s="12"/>
      <c r="R110" s="12"/>
      <c r="S110" s="12"/>
      <c r="T110" s="13"/>
      <c r="U110" s="46"/>
      <c r="V110" s="47"/>
      <c r="W110" s="48">
        <f t="shared" si="12"/>
        <v>0</v>
      </c>
      <c r="X110" s="48">
        <f t="shared" si="13"/>
        <v>0</v>
      </c>
      <c r="Y110" s="48">
        <f t="shared" si="14"/>
        <v>0</v>
      </c>
      <c r="Z110" s="48">
        <f t="shared" si="15"/>
        <v>0</v>
      </c>
      <c r="AA110" s="48"/>
      <c r="AB110" s="48"/>
      <c r="AC110" s="49">
        <f t="shared" si="16"/>
        <v>0</v>
      </c>
      <c r="AD110" s="50">
        <v>0</v>
      </c>
      <c r="AE110" s="47">
        <v>39860</v>
      </c>
      <c r="AF110" s="51" t="s">
        <v>516</v>
      </c>
      <c r="AG110" s="52" t="s">
        <v>517</v>
      </c>
      <c r="AH110" s="53" t="s">
        <v>758</v>
      </c>
      <c r="AI110" s="79"/>
      <c r="AJ110" s="80"/>
      <c r="AK110" s="81"/>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2"/>
      <c r="CL110" s="12"/>
      <c r="CM110" s="82"/>
      <c r="CN110" s="12"/>
      <c r="CO110" s="82"/>
      <c r="CP110" s="12"/>
      <c r="CQ110" s="83">
        <f t="shared" si="18"/>
        <v>0</v>
      </c>
      <c r="CR110" s="84"/>
      <c r="CS110" s="13"/>
      <c r="CT110" s="85"/>
      <c r="CU110" s="86"/>
      <c r="CV110" s="11"/>
      <c r="CW110" s="86"/>
      <c r="CX110" s="84"/>
      <c r="CY110" s="86"/>
    </row>
    <row r="111" spans="1:103" ht="38.25" x14ac:dyDescent="0.2">
      <c r="A111" s="43">
        <v>39861</v>
      </c>
      <c r="B111" s="44" t="s">
        <v>1066</v>
      </c>
      <c r="C111" s="44" t="s">
        <v>767</v>
      </c>
      <c r="D111" s="45" t="s">
        <v>1118</v>
      </c>
      <c r="E111" s="11"/>
      <c r="F111" s="12"/>
      <c r="G111" s="12"/>
      <c r="H111" s="12">
        <v>423</v>
      </c>
      <c r="I111" s="12">
        <v>87</v>
      </c>
      <c r="J111" s="12">
        <v>63</v>
      </c>
      <c r="K111" s="12">
        <v>65</v>
      </c>
      <c r="L111" s="12"/>
      <c r="M111" s="12"/>
      <c r="N111" s="12"/>
      <c r="O111" s="12"/>
      <c r="P111" s="12"/>
      <c r="Q111" s="12"/>
      <c r="R111" s="12"/>
      <c r="S111" s="12"/>
      <c r="T111" s="13"/>
      <c r="U111" s="46"/>
      <c r="V111" s="47"/>
      <c r="W111" s="48">
        <f t="shared" si="12"/>
        <v>0</v>
      </c>
      <c r="X111" s="48">
        <f t="shared" si="13"/>
        <v>0</v>
      </c>
      <c r="Y111" s="48">
        <f t="shared" si="14"/>
        <v>0</v>
      </c>
      <c r="Z111" s="48">
        <f t="shared" si="15"/>
        <v>0</v>
      </c>
      <c r="AA111" s="48"/>
      <c r="AB111" s="48"/>
      <c r="AC111" s="49">
        <f t="shared" si="16"/>
        <v>0</v>
      </c>
      <c r="AD111" s="50">
        <v>0</v>
      </c>
      <c r="AE111" s="47">
        <v>39861</v>
      </c>
      <c r="AF111" s="51" t="s">
        <v>516</v>
      </c>
      <c r="AG111" s="52" t="s">
        <v>517</v>
      </c>
      <c r="AH111" s="53" t="s">
        <v>1081</v>
      </c>
      <c r="AI111" s="79"/>
      <c r="AJ111" s="80"/>
      <c r="AK111" s="81"/>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2"/>
      <c r="CL111" s="12"/>
      <c r="CM111" s="82"/>
      <c r="CN111" s="12"/>
      <c r="CO111" s="82"/>
      <c r="CP111" s="12"/>
      <c r="CQ111" s="83">
        <f t="shared" si="18"/>
        <v>0</v>
      </c>
      <c r="CR111" s="84"/>
      <c r="CS111" s="13"/>
      <c r="CT111" s="85"/>
      <c r="CU111" s="86"/>
      <c r="CV111" s="11"/>
      <c r="CW111" s="86"/>
      <c r="CX111" s="84"/>
      <c r="CY111" s="86"/>
    </row>
    <row r="112" spans="1:103" ht="38.25" x14ac:dyDescent="0.2">
      <c r="A112" s="43">
        <v>39861</v>
      </c>
      <c r="B112" s="44" t="s">
        <v>1066</v>
      </c>
      <c r="C112" s="44" t="s">
        <v>768</v>
      </c>
      <c r="D112" s="45" t="s">
        <v>1118</v>
      </c>
      <c r="E112" s="11"/>
      <c r="F112" s="12"/>
      <c r="G112" s="12"/>
      <c r="H112" s="12">
        <v>750</v>
      </c>
      <c r="I112" s="12">
        <v>150</v>
      </c>
      <c r="J112" s="12"/>
      <c r="K112" s="12">
        <v>150</v>
      </c>
      <c r="L112" s="12"/>
      <c r="M112" s="12"/>
      <c r="N112" s="12"/>
      <c r="O112" s="12"/>
      <c r="P112" s="12"/>
      <c r="Q112" s="12"/>
      <c r="R112" s="12"/>
      <c r="S112" s="12"/>
      <c r="T112" s="13"/>
      <c r="U112" s="46"/>
      <c r="V112" s="47"/>
      <c r="W112" s="48">
        <f t="shared" si="12"/>
        <v>0</v>
      </c>
      <c r="X112" s="48">
        <f t="shared" si="13"/>
        <v>0</v>
      </c>
      <c r="Y112" s="48">
        <f t="shared" si="14"/>
        <v>0</v>
      </c>
      <c r="Z112" s="48">
        <f t="shared" si="15"/>
        <v>0</v>
      </c>
      <c r="AA112" s="48"/>
      <c r="AB112" s="48"/>
      <c r="AC112" s="49">
        <f t="shared" si="16"/>
        <v>0</v>
      </c>
      <c r="AD112" s="50">
        <v>0</v>
      </c>
      <c r="AE112" s="47">
        <v>39861</v>
      </c>
      <c r="AF112" s="51" t="s">
        <v>516</v>
      </c>
      <c r="AG112" s="52" t="s">
        <v>517</v>
      </c>
      <c r="AH112" s="53" t="s">
        <v>1081</v>
      </c>
      <c r="AI112" s="79"/>
      <c r="AJ112" s="80"/>
      <c r="AK112" s="81"/>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2"/>
      <c r="CL112" s="12"/>
      <c r="CM112" s="82"/>
      <c r="CN112" s="12"/>
      <c r="CO112" s="82"/>
      <c r="CP112" s="12"/>
      <c r="CQ112" s="83">
        <f t="shared" si="18"/>
        <v>0</v>
      </c>
      <c r="CR112" s="84"/>
      <c r="CS112" s="13"/>
      <c r="CT112" s="85"/>
      <c r="CU112" s="86"/>
      <c r="CV112" s="11"/>
      <c r="CW112" s="86"/>
      <c r="CX112" s="84"/>
      <c r="CY112" s="86"/>
    </row>
    <row r="113" spans="1:103" ht="38.25" x14ac:dyDescent="0.2">
      <c r="A113" s="43">
        <v>39861</v>
      </c>
      <c r="B113" s="44" t="s">
        <v>1066</v>
      </c>
      <c r="C113" s="44" t="s">
        <v>769</v>
      </c>
      <c r="D113" s="45" t="s">
        <v>1118</v>
      </c>
      <c r="E113" s="11"/>
      <c r="F113" s="12"/>
      <c r="G113" s="12"/>
      <c r="H113" s="12">
        <v>450</v>
      </c>
      <c r="I113" s="12">
        <v>90</v>
      </c>
      <c r="J113" s="12"/>
      <c r="K113" s="12">
        <v>90</v>
      </c>
      <c r="L113" s="12"/>
      <c r="M113" s="12"/>
      <c r="N113" s="12"/>
      <c r="O113" s="12"/>
      <c r="P113" s="12"/>
      <c r="Q113" s="12"/>
      <c r="R113" s="12"/>
      <c r="S113" s="12"/>
      <c r="T113" s="13"/>
      <c r="U113" s="46"/>
      <c r="V113" s="47"/>
      <c r="W113" s="48">
        <f t="shared" si="12"/>
        <v>0</v>
      </c>
      <c r="X113" s="48">
        <f t="shared" si="13"/>
        <v>0</v>
      </c>
      <c r="Y113" s="48">
        <f t="shared" si="14"/>
        <v>0</v>
      </c>
      <c r="Z113" s="48">
        <f t="shared" si="15"/>
        <v>0</v>
      </c>
      <c r="AA113" s="48"/>
      <c r="AB113" s="48"/>
      <c r="AC113" s="49">
        <f t="shared" si="16"/>
        <v>0</v>
      </c>
      <c r="AD113" s="50">
        <v>0</v>
      </c>
      <c r="AE113" s="47">
        <v>39861</v>
      </c>
      <c r="AF113" s="51" t="s">
        <v>516</v>
      </c>
      <c r="AG113" s="52" t="s">
        <v>517</v>
      </c>
      <c r="AH113" s="53" t="s">
        <v>1081</v>
      </c>
      <c r="AI113" s="79"/>
      <c r="AJ113" s="80"/>
      <c r="AK113" s="81"/>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2"/>
      <c r="CL113" s="12"/>
      <c r="CM113" s="82"/>
      <c r="CN113" s="12"/>
      <c r="CO113" s="82"/>
      <c r="CP113" s="12"/>
      <c r="CQ113" s="83">
        <f t="shared" si="18"/>
        <v>0</v>
      </c>
      <c r="CR113" s="84"/>
      <c r="CS113" s="13"/>
      <c r="CT113" s="85"/>
      <c r="CU113" s="86"/>
      <c r="CV113" s="11"/>
      <c r="CW113" s="86"/>
      <c r="CX113" s="84"/>
      <c r="CY113" s="86"/>
    </row>
    <row r="114" spans="1:103" ht="25.5" x14ac:dyDescent="0.2">
      <c r="A114" s="43">
        <v>39861</v>
      </c>
      <c r="B114" s="44" t="s">
        <v>765</v>
      </c>
      <c r="C114" s="44" t="s">
        <v>766</v>
      </c>
      <c r="D114" s="45" t="s">
        <v>1117</v>
      </c>
      <c r="E114" s="11"/>
      <c r="F114" s="12"/>
      <c r="G114" s="12"/>
      <c r="H114" s="12">
        <f>15*5</f>
        <v>75</v>
      </c>
      <c r="I114" s="12">
        <v>15</v>
      </c>
      <c r="J114" s="12"/>
      <c r="K114" s="12">
        <v>15</v>
      </c>
      <c r="L114" s="12"/>
      <c r="M114" s="12"/>
      <c r="N114" s="12"/>
      <c r="O114" s="12"/>
      <c r="P114" s="12"/>
      <c r="Q114" s="12"/>
      <c r="R114" s="12"/>
      <c r="S114" s="12"/>
      <c r="T114" s="13"/>
      <c r="U114" s="46"/>
      <c r="V114" s="47"/>
      <c r="W114" s="48">
        <f t="shared" si="12"/>
        <v>0</v>
      </c>
      <c r="X114" s="48">
        <f t="shared" si="13"/>
        <v>0</v>
      </c>
      <c r="Y114" s="48">
        <f t="shared" si="14"/>
        <v>0</v>
      </c>
      <c r="Z114" s="48">
        <f t="shared" si="15"/>
        <v>0</v>
      </c>
      <c r="AA114" s="48"/>
      <c r="AB114" s="48"/>
      <c r="AC114" s="49">
        <f t="shared" si="16"/>
        <v>0</v>
      </c>
      <c r="AD114" s="50">
        <v>0</v>
      </c>
      <c r="AE114" s="47">
        <v>39861</v>
      </c>
      <c r="AF114" s="51" t="s">
        <v>516</v>
      </c>
      <c r="AG114" s="52" t="s">
        <v>517</v>
      </c>
      <c r="AH114" s="53"/>
      <c r="AI114" s="79"/>
      <c r="AJ114" s="80"/>
      <c r="AK114" s="81"/>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2"/>
      <c r="CL114" s="12"/>
      <c r="CM114" s="82"/>
      <c r="CN114" s="12"/>
      <c r="CO114" s="82"/>
      <c r="CP114" s="12"/>
      <c r="CQ114" s="83">
        <f t="shared" si="18"/>
        <v>0</v>
      </c>
      <c r="CR114" s="84"/>
      <c r="CS114" s="13"/>
      <c r="CT114" s="85"/>
      <c r="CU114" s="86"/>
      <c r="CV114" s="11"/>
      <c r="CW114" s="86"/>
      <c r="CX114" s="84"/>
      <c r="CY114" s="86"/>
    </row>
    <row r="115" spans="1:103" ht="25.5" x14ac:dyDescent="0.2">
      <c r="A115" s="43">
        <v>39862</v>
      </c>
      <c r="B115" s="44" t="s">
        <v>1066</v>
      </c>
      <c r="C115" s="44" t="s">
        <v>588</v>
      </c>
      <c r="D115" s="45" t="s">
        <v>1092</v>
      </c>
      <c r="E115" s="11"/>
      <c r="F115" s="12"/>
      <c r="G115" s="12"/>
      <c r="H115" s="12">
        <v>125</v>
      </c>
      <c r="I115" s="12">
        <v>48</v>
      </c>
      <c r="J115" s="12"/>
      <c r="K115" s="12"/>
      <c r="L115" s="12"/>
      <c r="M115" s="12"/>
      <c r="N115" s="12"/>
      <c r="O115" s="12"/>
      <c r="P115" s="12"/>
      <c r="Q115" s="12"/>
      <c r="R115" s="12"/>
      <c r="S115" s="12"/>
      <c r="T115" s="13"/>
      <c r="U115" s="46"/>
      <c r="V115" s="47"/>
      <c r="W115" s="48">
        <f t="shared" si="12"/>
        <v>0</v>
      </c>
      <c r="X115" s="48">
        <f t="shared" si="13"/>
        <v>0</v>
      </c>
      <c r="Y115" s="48">
        <f t="shared" si="14"/>
        <v>0</v>
      </c>
      <c r="Z115" s="48">
        <f t="shared" si="15"/>
        <v>0</v>
      </c>
      <c r="AA115" s="48"/>
      <c r="AB115" s="48"/>
      <c r="AC115" s="49">
        <f t="shared" si="16"/>
        <v>0</v>
      </c>
      <c r="AD115" s="50">
        <v>0</v>
      </c>
      <c r="AE115" s="47">
        <v>39926</v>
      </c>
      <c r="AF115" s="51" t="s">
        <v>516</v>
      </c>
      <c r="AG115" s="52" t="s">
        <v>517</v>
      </c>
      <c r="AH115" s="53" t="s">
        <v>593</v>
      </c>
      <c r="AI115" s="79"/>
      <c r="AJ115" s="80"/>
      <c r="AK115" s="81"/>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2"/>
      <c r="CL115" s="12"/>
      <c r="CM115" s="82"/>
      <c r="CN115" s="12"/>
      <c r="CO115" s="82"/>
      <c r="CP115" s="12"/>
      <c r="CQ115" s="83">
        <f t="shared" si="18"/>
        <v>0</v>
      </c>
      <c r="CR115" s="84"/>
      <c r="CS115" s="13"/>
      <c r="CT115" s="85"/>
      <c r="CU115" s="86"/>
      <c r="CV115" s="11"/>
      <c r="CW115" s="86"/>
      <c r="CX115" s="84"/>
      <c r="CY115" s="86"/>
    </row>
    <row r="116" spans="1:103" ht="63.75" x14ac:dyDescent="0.2">
      <c r="A116" s="43">
        <v>39862</v>
      </c>
      <c r="B116" s="44" t="s">
        <v>1350</v>
      </c>
      <c r="C116" s="44" t="s">
        <v>1340</v>
      </c>
      <c r="D116" s="45" t="s">
        <v>1117</v>
      </c>
      <c r="E116" s="11"/>
      <c r="F116" s="12"/>
      <c r="G116" s="12"/>
      <c r="H116" s="12">
        <f>100*5</f>
        <v>500</v>
      </c>
      <c r="I116" s="12">
        <v>100</v>
      </c>
      <c r="J116" s="12"/>
      <c r="K116" s="12">
        <v>100</v>
      </c>
      <c r="L116" s="12"/>
      <c r="M116" s="12"/>
      <c r="N116" s="12"/>
      <c r="O116" s="12"/>
      <c r="P116" s="12"/>
      <c r="Q116" s="12"/>
      <c r="R116" s="12"/>
      <c r="S116" s="12"/>
      <c r="T116" s="13"/>
      <c r="U116" s="46"/>
      <c r="V116" s="47"/>
      <c r="W116" s="48">
        <f t="shared" si="12"/>
        <v>0</v>
      </c>
      <c r="X116" s="48">
        <f t="shared" si="13"/>
        <v>0</v>
      </c>
      <c r="Y116" s="48">
        <f t="shared" si="14"/>
        <v>0</v>
      </c>
      <c r="Z116" s="48">
        <f t="shared" si="15"/>
        <v>0</v>
      </c>
      <c r="AA116" s="48"/>
      <c r="AB116" s="48"/>
      <c r="AC116" s="49">
        <f t="shared" si="16"/>
        <v>0</v>
      </c>
      <c r="AD116" s="50">
        <v>0</v>
      </c>
      <c r="AE116" s="47">
        <v>39862</v>
      </c>
      <c r="AF116" s="51" t="s">
        <v>516</v>
      </c>
      <c r="AG116" s="52" t="s">
        <v>517</v>
      </c>
      <c r="AH116" s="53" t="s">
        <v>1353</v>
      </c>
      <c r="AI116" s="79"/>
      <c r="AJ116" s="80"/>
      <c r="AK116" s="81"/>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2"/>
      <c r="CL116" s="12"/>
      <c r="CM116" s="82"/>
      <c r="CN116" s="12"/>
      <c r="CO116" s="82"/>
      <c r="CP116" s="12"/>
      <c r="CQ116" s="83">
        <f t="shared" si="18"/>
        <v>0</v>
      </c>
      <c r="CR116" s="84"/>
      <c r="CS116" s="13"/>
      <c r="CT116" s="85"/>
      <c r="CU116" s="86"/>
      <c r="CV116" s="11"/>
      <c r="CW116" s="86"/>
      <c r="CX116" s="84"/>
      <c r="CY116" s="86"/>
    </row>
    <row r="117" spans="1:103" ht="25.5" x14ac:dyDescent="0.2">
      <c r="A117" s="43">
        <v>39863</v>
      </c>
      <c r="B117" s="44" t="s">
        <v>1224</v>
      </c>
      <c r="C117" s="44" t="s">
        <v>1272</v>
      </c>
      <c r="D117" s="45" t="s">
        <v>134</v>
      </c>
      <c r="E117" s="11"/>
      <c r="F117" s="12"/>
      <c r="G117" s="12"/>
      <c r="H117" s="12">
        <f>275*5</f>
        <v>1375</v>
      </c>
      <c r="I117" s="12">
        <v>275</v>
      </c>
      <c r="J117" s="12"/>
      <c r="K117" s="12">
        <v>275</v>
      </c>
      <c r="L117" s="12"/>
      <c r="M117" s="12"/>
      <c r="N117" s="12"/>
      <c r="O117" s="12">
        <v>1</v>
      </c>
      <c r="P117" s="12"/>
      <c r="Q117" s="12"/>
      <c r="R117" s="12"/>
      <c r="S117" s="12"/>
      <c r="T117" s="13"/>
      <c r="U117" s="46"/>
      <c r="V117" s="47">
        <v>39920</v>
      </c>
      <c r="W117" s="48">
        <f t="shared" si="12"/>
        <v>105324824</v>
      </c>
      <c r="X117" s="48">
        <f t="shared" si="13"/>
        <v>23375000</v>
      </c>
      <c r="Y117" s="48">
        <f t="shared" si="14"/>
        <v>0</v>
      </c>
      <c r="Z117" s="48">
        <f t="shared" si="15"/>
        <v>0</v>
      </c>
      <c r="AA117" s="48"/>
      <c r="AB117" s="48"/>
      <c r="AC117" s="49">
        <f t="shared" si="16"/>
        <v>128699824</v>
      </c>
      <c r="AD117" s="50">
        <v>0</v>
      </c>
      <c r="AE117" s="47">
        <v>39863</v>
      </c>
      <c r="AF117" s="51" t="s">
        <v>1016</v>
      </c>
      <c r="AG117" s="52" t="s">
        <v>565</v>
      </c>
      <c r="AH117" s="53" t="s">
        <v>1273</v>
      </c>
      <c r="AI117" s="79"/>
      <c r="AJ117" s="80"/>
      <c r="AK117" s="81"/>
      <c r="AL117" s="80"/>
      <c r="AM117" s="80"/>
      <c r="AN117" s="80"/>
      <c r="AO117" s="80"/>
      <c r="AP117" s="80"/>
      <c r="AQ117" s="80"/>
      <c r="AR117" s="80"/>
      <c r="AS117" s="80"/>
      <c r="AT117" s="80"/>
      <c r="AU117" s="80">
        <v>1100</v>
      </c>
      <c r="AV117" s="80">
        <f>1100*56000</f>
        <v>61600000</v>
      </c>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v>1100</v>
      </c>
      <c r="CF117" s="80">
        <f>1100*21500</f>
        <v>23650000</v>
      </c>
      <c r="CG117" s="80"/>
      <c r="CH117" s="80"/>
      <c r="CI117" s="80"/>
      <c r="CJ117" s="80"/>
      <c r="CK117" s="82">
        <v>275</v>
      </c>
      <c r="CL117" s="12">
        <f>275*36999.36</f>
        <v>10174824</v>
      </c>
      <c r="CM117" s="82">
        <v>275</v>
      </c>
      <c r="CN117" s="12">
        <f>275*36000</f>
        <v>9900000</v>
      </c>
      <c r="CO117" s="82"/>
      <c r="CP117" s="12"/>
      <c r="CQ117" s="83">
        <f t="shared" si="18"/>
        <v>105324824</v>
      </c>
      <c r="CR117" s="84"/>
      <c r="CS117" s="13"/>
      <c r="CT117" s="85">
        <v>275</v>
      </c>
      <c r="CU117" s="86">
        <f>275*85000</f>
        <v>23375000</v>
      </c>
      <c r="CV117" s="11"/>
      <c r="CW117" s="86"/>
      <c r="CX117" s="84"/>
      <c r="CY117" s="86"/>
    </row>
    <row r="118" spans="1:103" ht="38.25" x14ac:dyDescent="0.2">
      <c r="A118" s="43">
        <v>39863</v>
      </c>
      <c r="B118" s="44" t="s">
        <v>1224</v>
      </c>
      <c r="C118" s="44" t="s">
        <v>1274</v>
      </c>
      <c r="D118" s="45" t="s">
        <v>1092</v>
      </c>
      <c r="E118" s="11"/>
      <c r="F118" s="12"/>
      <c r="G118" s="12"/>
      <c r="H118" s="12">
        <f>29*5</f>
        <v>145</v>
      </c>
      <c r="I118" s="12">
        <v>29</v>
      </c>
      <c r="J118" s="12"/>
      <c r="K118" s="12">
        <v>29</v>
      </c>
      <c r="L118" s="12"/>
      <c r="M118" s="12">
        <v>2</v>
      </c>
      <c r="N118" s="12">
        <v>1</v>
      </c>
      <c r="O118" s="12"/>
      <c r="P118" s="12"/>
      <c r="Q118" s="12"/>
      <c r="R118" s="12"/>
      <c r="S118" s="12"/>
      <c r="T118" s="13"/>
      <c r="U118" s="46"/>
      <c r="V118" s="47">
        <v>39920</v>
      </c>
      <c r="W118" s="48">
        <f t="shared" si="12"/>
        <v>13741981.439999999</v>
      </c>
      <c r="X118" s="48">
        <f t="shared" si="13"/>
        <v>2465000</v>
      </c>
      <c r="Y118" s="48">
        <f t="shared" si="14"/>
        <v>0</v>
      </c>
      <c r="Z118" s="48">
        <f t="shared" si="15"/>
        <v>0</v>
      </c>
      <c r="AA118" s="48"/>
      <c r="AB118" s="48"/>
      <c r="AC118" s="49">
        <f t="shared" si="16"/>
        <v>16206981.439999999</v>
      </c>
      <c r="AD118" s="50">
        <v>0</v>
      </c>
      <c r="AE118" s="47">
        <v>39863</v>
      </c>
      <c r="AF118" s="51" t="s">
        <v>1016</v>
      </c>
      <c r="AG118" s="52" t="s">
        <v>565</v>
      </c>
      <c r="AH118" s="53" t="s">
        <v>1278</v>
      </c>
      <c r="AI118" s="79"/>
      <c r="AJ118" s="80"/>
      <c r="AK118" s="81"/>
      <c r="AL118" s="80"/>
      <c r="AM118" s="80"/>
      <c r="AN118" s="80"/>
      <c r="AO118" s="80"/>
      <c r="AP118" s="80"/>
      <c r="AQ118" s="80"/>
      <c r="AR118" s="80"/>
      <c r="AS118" s="80"/>
      <c r="AT118" s="80"/>
      <c r="AU118" s="80">
        <v>150</v>
      </c>
      <c r="AV118" s="80">
        <f>150*56000</f>
        <v>8400000</v>
      </c>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v>150</v>
      </c>
      <c r="CF118" s="80">
        <f>150*21500</f>
        <v>3225000</v>
      </c>
      <c r="CG118" s="80"/>
      <c r="CH118" s="80"/>
      <c r="CI118" s="80"/>
      <c r="CJ118" s="80"/>
      <c r="CK118" s="82">
        <v>29</v>
      </c>
      <c r="CL118" s="12">
        <f>29*36999.36</f>
        <v>1072981.44</v>
      </c>
      <c r="CM118" s="82">
        <v>29</v>
      </c>
      <c r="CN118" s="12">
        <f>29*36000</f>
        <v>1044000</v>
      </c>
      <c r="CO118" s="82"/>
      <c r="CP118" s="12"/>
      <c r="CQ118" s="83">
        <f t="shared" si="18"/>
        <v>13741981.439999999</v>
      </c>
      <c r="CR118" s="84"/>
      <c r="CS118" s="13"/>
      <c r="CT118" s="85">
        <v>29</v>
      </c>
      <c r="CU118" s="86">
        <f>29*85000</f>
        <v>2465000</v>
      </c>
      <c r="CV118" s="11"/>
      <c r="CW118" s="86"/>
      <c r="CX118" s="84"/>
      <c r="CY118" s="86"/>
    </row>
    <row r="119" spans="1:103" ht="25.5" x14ac:dyDescent="0.2">
      <c r="A119" s="43">
        <v>39863</v>
      </c>
      <c r="B119" s="44" t="s">
        <v>1066</v>
      </c>
      <c r="C119" s="44" t="s">
        <v>486</v>
      </c>
      <c r="D119" s="45" t="s">
        <v>1092</v>
      </c>
      <c r="E119" s="11"/>
      <c r="F119" s="12"/>
      <c r="G119" s="12"/>
      <c r="H119" s="12">
        <v>111</v>
      </c>
      <c r="I119" s="12">
        <v>33</v>
      </c>
      <c r="J119" s="12"/>
      <c r="K119" s="12"/>
      <c r="L119" s="12"/>
      <c r="M119" s="12"/>
      <c r="N119" s="12"/>
      <c r="O119" s="12"/>
      <c r="P119" s="12"/>
      <c r="Q119" s="12"/>
      <c r="R119" s="12"/>
      <c r="S119" s="12"/>
      <c r="T119" s="13"/>
      <c r="U119" s="46"/>
      <c r="V119" s="47"/>
      <c r="W119" s="48">
        <f t="shared" si="12"/>
        <v>0</v>
      </c>
      <c r="X119" s="48">
        <f t="shared" si="13"/>
        <v>0</v>
      </c>
      <c r="Y119" s="48">
        <f t="shared" si="14"/>
        <v>0</v>
      </c>
      <c r="Z119" s="48">
        <f t="shared" si="15"/>
        <v>0</v>
      </c>
      <c r="AA119" s="48"/>
      <c r="AB119" s="48"/>
      <c r="AC119" s="49">
        <f t="shared" si="16"/>
        <v>0</v>
      </c>
      <c r="AD119" s="50">
        <v>0</v>
      </c>
      <c r="AE119" s="47">
        <v>39926</v>
      </c>
      <c r="AF119" s="51" t="s">
        <v>516</v>
      </c>
      <c r="AG119" s="52" t="s">
        <v>517</v>
      </c>
      <c r="AH119" s="53" t="s">
        <v>593</v>
      </c>
      <c r="AI119" s="79"/>
      <c r="AJ119" s="80"/>
      <c r="AK119" s="81"/>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2"/>
      <c r="CL119" s="12"/>
      <c r="CM119" s="82"/>
      <c r="CN119" s="12"/>
      <c r="CO119" s="82"/>
      <c r="CP119" s="12"/>
      <c r="CQ119" s="83">
        <f t="shared" si="18"/>
        <v>0</v>
      </c>
      <c r="CR119" s="84"/>
      <c r="CS119" s="13"/>
      <c r="CT119" s="85"/>
      <c r="CU119" s="86"/>
      <c r="CV119" s="11"/>
      <c r="CW119" s="86"/>
      <c r="CX119" s="84"/>
      <c r="CY119" s="86"/>
    </row>
    <row r="120" spans="1:103" ht="63.75" x14ac:dyDescent="0.2">
      <c r="A120" s="43">
        <v>39863</v>
      </c>
      <c r="B120" s="44" t="s">
        <v>1136</v>
      </c>
      <c r="C120" s="44" t="s">
        <v>814</v>
      </c>
      <c r="D120" s="45" t="s">
        <v>1092</v>
      </c>
      <c r="E120" s="11"/>
      <c r="F120" s="12"/>
      <c r="G120" s="12"/>
      <c r="H120" s="12">
        <f>60*5</f>
        <v>300</v>
      </c>
      <c r="I120" s="12">
        <v>60</v>
      </c>
      <c r="J120" s="12">
        <v>6</v>
      </c>
      <c r="K120" s="12"/>
      <c r="L120" s="12">
        <v>1</v>
      </c>
      <c r="M120" s="12"/>
      <c r="N120" s="12"/>
      <c r="O120" s="12"/>
      <c r="P120" s="12"/>
      <c r="Q120" s="12"/>
      <c r="R120" s="12"/>
      <c r="S120" s="12"/>
      <c r="T120" s="13"/>
      <c r="U120" s="46"/>
      <c r="V120" s="47"/>
      <c r="W120" s="48">
        <f t="shared" si="12"/>
        <v>0</v>
      </c>
      <c r="X120" s="48">
        <f t="shared" si="13"/>
        <v>0</v>
      </c>
      <c r="Y120" s="48">
        <f t="shared" si="14"/>
        <v>0</v>
      </c>
      <c r="Z120" s="48">
        <f t="shared" si="15"/>
        <v>0</v>
      </c>
      <c r="AA120" s="48"/>
      <c r="AB120" s="48"/>
      <c r="AC120" s="49">
        <f t="shared" si="16"/>
        <v>0</v>
      </c>
      <c r="AD120" s="50">
        <v>0</v>
      </c>
      <c r="AE120" s="47">
        <v>39875</v>
      </c>
      <c r="AF120" s="51" t="s">
        <v>1016</v>
      </c>
      <c r="AG120" s="52" t="s">
        <v>517</v>
      </c>
      <c r="AH120" s="54" t="s">
        <v>1270</v>
      </c>
      <c r="AI120" s="79"/>
      <c r="AJ120" s="80"/>
      <c r="AK120" s="81"/>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2"/>
      <c r="CL120" s="12"/>
      <c r="CM120" s="82"/>
      <c r="CN120" s="12"/>
      <c r="CO120" s="82"/>
      <c r="CP120" s="12"/>
      <c r="CQ120" s="83">
        <f t="shared" si="18"/>
        <v>0</v>
      </c>
      <c r="CR120" s="84"/>
      <c r="CS120" s="13"/>
      <c r="CT120" s="85"/>
      <c r="CU120" s="86"/>
      <c r="CV120" s="11"/>
      <c r="CW120" s="86"/>
      <c r="CX120" s="84"/>
      <c r="CY120" s="86"/>
    </row>
    <row r="121" spans="1:103" ht="25.5" x14ac:dyDescent="0.2">
      <c r="A121" s="43">
        <v>39864</v>
      </c>
      <c r="B121" s="44" t="s">
        <v>1066</v>
      </c>
      <c r="C121" s="44" t="s">
        <v>599</v>
      </c>
      <c r="D121" s="45" t="s">
        <v>1092</v>
      </c>
      <c r="E121" s="11"/>
      <c r="F121" s="12"/>
      <c r="G121" s="12"/>
      <c r="H121" s="12">
        <v>292</v>
      </c>
      <c r="I121" s="12">
        <v>84</v>
      </c>
      <c r="J121" s="12">
        <v>21</v>
      </c>
      <c r="K121" s="12">
        <v>53</v>
      </c>
      <c r="L121" s="12"/>
      <c r="M121" s="12"/>
      <c r="N121" s="12"/>
      <c r="O121" s="12"/>
      <c r="P121" s="12"/>
      <c r="Q121" s="12"/>
      <c r="R121" s="12"/>
      <c r="S121" s="12"/>
      <c r="T121" s="13"/>
      <c r="U121" s="46"/>
      <c r="V121" s="47"/>
      <c r="W121" s="48">
        <f t="shared" si="12"/>
        <v>0</v>
      </c>
      <c r="X121" s="48">
        <f t="shared" si="13"/>
        <v>0</v>
      </c>
      <c r="Y121" s="48">
        <f t="shared" si="14"/>
        <v>0</v>
      </c>
      <c r="Z121" s="48">
        <f t="shared" si="15"/>
        <v>0</v>
      </c>
      <c r="AA121" s="48"/>
      <c r="AB121" s="48"/>
      <c r="AC121" s="49">
        <f t="shared" si="16"/>
        <v>0</v>
      </c>
      <c r="AD121" s="50">
        <v>0</v>
      </c>
      <c r="AE121" s="47">
        <v>39926</v>
      </c>
      <c r="AF121" s="51" t="s">
        <v>516</v>
      </c>
      <c r="AG121" s="52" t="s">
        <v>517</v>
      </c>
      <c r="AH121" s="53" t="s">
        <v>593</v>
      </c>
      <c r="AI121" s="79"/>
      <c r="AJ121" s="80"/>
      <c r="AK121" s="81"/>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2"/>
      <c r="CL121" s="12"/>
      <c r="CM121" s="82"/>
      <c r="CN121" s="12"/>
      <c r="CO121" s="82"/>
      <c r="CP121" s="12"/>
      <c r="CQ121" s="83">
        <f t="shared" si="18"/>
        <v>0</v>
      </c>
      <c r="CR121" s="84"/>
      <c r="CS121" s="13"/>
      <c r="CT121" s="85"/>
      <c r="CU121" s="86"/>
      <c r="CV121" s="11"/>
      <c r="CW121" s="86"/>
      <c r="CX121" s="84"/>
      <c r="CY121" s="86"/>
    </row>
    <row r="122" spans="1:103" ht="25.5" x14ac:dyDescent="0.2">
      <c r="A122" s="43">
        <v>39864</v>
      </c>
      <c r="B122" s="44" t="s">
        <v>1066</v>
      </c>
      <c r="C122" s="44" t="s">
        <v>484</v>
      </c>
      <c r="D122" s="45" t="s">
        <v>1092</v>
      </c>
      <c r="E122" s="11">
        <v>2</v>
      </c>
      <c r="F122" s="12"/>
      <c r="G122" s="12"/>
      <c r="H122" s="12">
        <v>105</v>
      </c>
      <c r="I122" s="12">
        <v>21</v>
      </c>
      <c r="J122" s="12"/>
      <c r="K122" s="12">
        <v>21</v>
      </c>
      <c r="L122" s="12"/>
      <c r="M122" s="12"/>
      <c r="N122" s="12"/>
      <c r="O122" s="12"/>
      <c r="P122" s="12"/>
      <c r="Q122" s="12"/>
      <c r="R122" s="12"/>
      <c r="S122" s="12"/>
      <c r="T122" s="13"/>
      <c r="U122" s="46"/>
      <c r="V122" s="47"/>
      <c r="W122" s="48">
        <f t="shared" si="12"/>
        <v>0</v>
      </c>
      <c r="X122" s="48">
        <f t="shared" si="13"/>
        <v>0</v>
      </c>
      <c r="Y122" s="48">
        <f t="shared" si="14"/>
        <v>0</v>
      </c>
      <c r="Z122" s="48">
        <f t="shared" si="15"/>
        <v>0</v>
      </c>
      <c r="AA122" s="48"/>
      <c r="AB122" s="48"/>
      <c r="AC122" s="49">
        <f t="shared" si="16"/>
        <v>0</v>
      </c>
      <c r="AD122" s="50">
        <v>0</v>
      </c>
      <c r="AE122" s="47">
        <v>39926</v>
      </c>
      <c r="AF122" s="51" t="s">
        <v>516</v>
      </c>
      <c r="AG122" s="52" t="s">
        <v>517</v>
      </c>
      <c r="AH122" s="53" t="s">
        <v>593</v>
      </c>
      <c r="AI122" s="79"/>
      <c r="AJ122" s="80"/>
      <c r="AK122" s="81"/>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2"/>
      <c r="CL122" s="12"/>
      <c r="CM122" s="82"/>
      <c r="CN122" s="12"/>
      <c r="CO122" s="82"/>
      <c r="CP122" s="12"/>
      <c r="CQ122" s="83">
        <f t="shared" si="18"/>
        <v>0</v>
      </c>
      <c r="CR122" s="84"/>
      <c r="CS122" s="13"/>
      <c r="CT122" s="85"/>
      <c r="CU122" s="86"/>
      <c r="CV122" s="11"/>
      <c r="CW122" s="86"/>
      <c r="CX122" s="84"/>
      <c r="CY122" s="86"/>
    </row>
    <row r="123" spans="1:103" ht="25.5" x14ac:dyDescent="0.2">
      <c r="A123" s="43">
        <v>39867</v>
      </c>
      <c r="B123" s="44" t="s">
        <v>1127</v>
      </c>
      <c r="C123" s="44" t="s">
        <v>1275</v>
      </c>
      <c r="D123" s="45" t="s">
        <v>1118</v>
      </c>
      <c r="E123" s="11"/>
      <c r="F123" s="12"/>
      <c r="G123" s="12"/>
      <c r="H123" s="12">
        <v>100</v>
      </c>
      <c r="I123" s="12">
        <v>25</v>
      </c>
      <c r="J123" s="12"/>
      <c r="K123" s="12">
        <v>14</v>
      </c>
      <c r="L123" s="12"/>
      <c r="M123" s="12"/>
      <c r="N123" s="12"/>
      <c r="O123" s="12"/>
      <c r="P123" s="12"/>
      <c r="Q123" s="12"/>
      <c r="R123" s="12"/>
      <c r="S123" s="12"/>
      <c r="T123" s="13"/>
      <c r="U123" s="46"/>
      <c r="V123" s="47"/>
      <c r="W123" s="48">
        <f t="shared" si="12"/>
        <v>0</v>
      </c>
      <c r="X123" s="48">
        <f t="shared" si="13"/>
        <v>0</v>
      </c>
      <c r="Y123" s="48">
        <f t="shared" si="14"/>
        <v>0</v>
      </c>
      <c r="Z123" s="48">
        <f t="shared" si="15"/>
        <v>0</v>
      </c>
      <c r="AA123" s="48"/>
      <c r="AB123" s="48"/>
      <c r="AC123" s="49">
        <f t="shared" si="16"/>
        <v>0</v>
      </c>
      <c r="AD123" s="50">
        <v>0</v>
      </c>
      <c r="AE123" s="47">
        <v>39867</v>
      </c>
      <c r="AF123" s="51" t="s">
        <v>516</v>
      </c>
      <c r="AG123" s="52" t="s">
        <v>517</v>
      </c>
      <c r="AH123" s="53" t="s">
        <v>758</v>
      </c>
      <c r="AI123" s="79"/>
      <c r="AJ123" s="80"/>
      <c r="AK123" s="81"/>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2"/>
      <c r="CL123" s="12"/>
      <c r="CM123" s="82"/>
      <c r="CN123" s="12"/>
      <c r="CO123" s="82"/>
      <c r="CP123" s="12"/>
      <c r="CQ123" s="83">
        <f t="shared" si="18"/>
        <v>0</v>
      </c>
      <c r="CR123" s="84"/>
      <c r="CS123" s="13"/>
      <c r="CT123" s="85"/>
      <c r="CU123" s="86"/>
      <c r="CV123" s="11"/>
      <c r="CW123" s="86"/>
      <c r="CX123" s="84"/>
      <c r="CY123" s="86"/>
    </row>
    <row r="124" spans="1:103" ht="89.25" x14ac:dyDescent="0.2">
      <c r="A124" s="43">
        <v>39867</v>
      </c>
      <c r="B124" s="44" t="s">
        <v>600</v>
      </c>
      <c r="C124" s="44" t="s">
        <v>614</v>
      </c>
      <c r="D124" s="45" t="s">
        <v>1117</v>
      </c>
      <c r="E124" s="11"/>
      <c r="F124" s="12"/>
      <c r="G124" s="12"/>
      <c r="H124" s="12">
        <v>50</v>
      </c>
      <c r="I124" s="12">
        <v>10</v>
      </c>
      <c r="J124" s="12"/>
      <c r="K124" s="12">
        <v>10</v>
      </c>
      <c r="L124" s="12"/>
      <c r="M124" s="12"/>
      <c r="N124" s="12"/>
      <c r="O124" s="12"/>
      <c r="P124" s="12"/>
      <c r="Q124" s="12"/>
      <c r="R124" s="12"/>
      <c r="S124" s="12"/>
      <c r="T124" s="13"/>
      <c r="U124" s="46" t="s">
        <v>1325</v>
      </c>
      <c r="V124" s="47"/>
      <c r="W124" s="48">
        <f t="shared" si="12"/>
        <v>0</v>
      </c>
      <c r="X124" s="48">
        <f t="shared" si="13"/>
        <v>0</v>
      </c>
      <c r="Y124" s="48">
        <f t="shared" si="14"/>
        <v>0</v>
      </c>
      <c r="Z124" s="48">
        <f t="shared" si="15"/>
        <v>0</v>
      </c>
      <c r="AA124" s="48"/>
      <c r="AB124" s="48"/>
      <c r="AC124" s="49">
        <f t="shared" si="16"/>
        <v>0</v>
      </c>
      <c r="AD124" s="50">
        <v>0</v>
      </c>
      <c r="AE124" s="47">
        <v>39954</v>
      </c>
      <c r="AF124" s="51" t="s">
        <v>516</v>
      </c>
      <c r="AG124" s="52" t="s">
        <v>517</v>
      </c>
      <c r="AH124" s="53" t="s">
        <v>1326</v>
      </c>
      <c r="AI124" s="79"/>
      <c r="AJ124" s="80"/>
      <c r="AK124" s="81"/>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2"/>
      <c r="CL124" s="12"/>
      <c r="CM124" s="82"/>
      <c r="CN124" s="12"/>
      <c r="CO124" s="82"/>
      <c r="CP124" s="12"/>
      <c r="CQ124" s="83">
        <f t="shared" si="18"/>
        <v>0</v>
      </c>
      <c r="CR124" s="84"/>
      <c r="CS124" s="13"/>
      <c r="CT124" s="85"/>
      <c r="CU124" s="86"/>
      <c r="CV124" s="11"/>
      <c r="CW124" s="86"/>
      <c r="CX124" s="84"/>
      <c r="CY124" s="86"/>
    </row>
    <row r="125" spans="1:103" ht="51" x14ac:dyDescent="0.2">
      <c r="A125" s="43">
        <v>39868</v>
      </c>
      <c r="B125" s="44" t="s">
        <v>1127</v>
      </c>
      <c r="C125" s="44" t="s">
        <v>1276</v>
      </c>
      <c r="D125" s="45" t="s">
        <v>1118</v>
      </c>
      <c r="E125" s="11"/>
      <c r="F125" s="12"/>
      <c r="G125" s="12"/>
      <c r="H125" s="12">
        <v>35</v>
      </c>
      <c r="I125" s="12">
        <v>10</v>
      </c>
      <c r="J125" s="12"/>
      <c r="K125" s="12">
        <v>10</v>
      </c>
      <c r="L125" s="12">
        <v>11</v>
      </c>
      <c r="M125" s="12"/>
      <c r="N125" s="12"/>
      <c r="O125" s="12"/>
      <c r="P125" s="12"/>
      <c r="Q125" s="12"/>
      <c r="R125" s="12"/>
      <c r="S125" s="12"/>
      <c r="T125" s="13"/>
      <c r="U125" s="46"/>
      <c r="V125" s="47">
        <v>39937</v>
      </c>
      <c r="W125" s="48">
        <f t="shared" si="12"/>
        <v>0</v>
      </c>
      <c r="X125" s="48">
        <f t="shared" si="13"/>
        <v>0</v>
      </c>
      <c r="Y125" s="48">
        <f t="shared" si="14"/>
        <v>0</v>
      </c>
      <c r="Z125" s="48">
        <f t="shared" si="15"/>
        <v>0</v>
      </c>
      <c r="AA125" s="48">
        <v>65684501</v>
      </c>
      <c r="AB125" s="48"/>
      <c r="AC125" s="49">
        <f t="shared" si="16"/>
        <v>65684501</v>
      </c>
      <c r="AD125" s="50">
        <v>0</v>
      </c>
      <c r="AE125" s="47">
        <v>39868</v>
      </c>
      <c r="AF125" s="51" t="s">
        <v>1016</v>
      </c>
      <c r="AG125" s="52" t="s">
        <v>565</v>
      </c>
      <c r="AH125" s="53" t="s">
        <v>829</v>
      </c>
      <c r="AI125" s="79"/>
      <c r="AJ125" s="80"/>
      <c r="AK125" s="81"/>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2"/>
      <c r="CL125" s="12"/>
      <c r="CM125" s="82"/>
      <c r="CN125" s="12"/>
      <c r="CO125" s="82"/>
      <c r="CP125" s="12"/>
      <c r="CQ125" s="83">
        <f t="shared" si="18"/>
        <v>0</v>
      </c>
      <c r="CR125" s="84"/>
      <c r="CS125" s="13"/>
      <c r="CT125" s="85"/>
      <c r="CU125" s="86"/>
      <c r="CV125" s="11"/>
      <c r="CW125" s="86"/>
      <c r="CX125" s="84"/>
      <c r="CY125" s="86"/>
    </row>
    <row r="126" spans="1:103" ht="25.5" x14ac:dyDescent="0.2">
      <c r="A126" s="43">
        <v>39869</v>
      </c>
      <c r="B126" s="44" t="s">
        <v>625</v>
      </c>
      <c r="C126" s="44" t="s">
        <v>1282</v>
      </c>
      <c r="D126" s="45" t="s">
        <v>1118</v>
      </c>
      <c r="E126" s="11"/>
      <c r="F126" s="12"/>
      <c r="G126" s="12"/>
      <c r="H126" s="12">
        <v>50</v>
      </c>
      <c r="I126" s="12">
        <v>10</v>
      </c>
      <c r="J126" s="12"/>
      <c r="K126" s="12">
        <v>10</v>
      </c>
      <c r="L126" s="12"/>
      <c r="M126" s="12"/>
      <c r="N126" s="12"/>
      <c r="O126" s="12"/>
      <c r="P126" s="12"/>
      <c r="Q126" s="12"/>
      <c r="R126" s="12"/>
      <c r="S126" s="12"/>
      <c r="T126" s="13"/>
      <c r="U126" s="46"/>
      <c r="V126" s="47"/>
      <c r="W126" s="48">
        <f t="shared" si="12"/>
        <v>0</v>
      </c>
      <c r="X126" s="48">
        <f t="shared" si="13"/>
        <v>0</v>
      </c>
      <c r="Y126" s="48">
        <f t="shared" si="14"/>
        <v>0</v>
      </c>
      <c r="Z126" s="48">
        <f t="shared" si="15"/>
        <v>0</v>
      </c>
      <c r="AA126" s="48"/>
      <c r="AB126" s="48"/>
      <c r="AC126" s="49">
        <f t="shared" si="16"/>
        <v>0</v>
      </c>
      <c r="AD126" s="50">
        <v>0</v>
      </c>
      <c r="AE126" s="47">
        <v>39869</v>
      </c>
      <c r="AF126" s="51" t="s">
        <v>516</v>
      </c>
      <c r="AG126" s="52" t="s">
        <v>517</v>
      </c>
      <c r="AH126" s="53"/>
      <c r="AI126" s="79"/>
      <c r="AJ126" s="80"/>
      <c r="AK126" s="81"/>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2"/>
      <c r="CL126" s="12"/>
      <c r="CM126" s="82"/>
      <c r="CN126" s="12"/>
      <c r="CO126" s="82"/>
      <c r="CP126" s="12"/>
      <c r="CQ126" s="83">
        <f t="shared" si="18"/>
        <v>0</v>
      </c>
      <c r="CR126" s="84"/>
      <c r="CS126" s="13"/>
      <c r="CT126" s="85"/>
      <c r="CU126" s="86"/>
      <c r="CV126" s="11"/>
      <c r="CW126" s="86"/>
      <c r="CX126" s="84"/>
      <c r="CY126" s="86"/>
    </row>
    <row r="127" spans="1:103" ht="25.5" x14ac:dyDescent="0.2">
      <c r="A127" s="43">
        <v>39869</v>
      </c>
      <c r="B127" s="44" t="s">
        <v>1224</v>
      </c>
      <c r="C127" s="44" t="s">
        <v>1280</v>
      </c>
      <c r="D127" s="45" t="s">
        <v>1118</v>
      </c>
      <c r="E127" s="11"/>
      <c r="F127" s="12"/>
      <c r="G127" s="12"/>
      <c r="H127" s="12">
        <v>50</v>
      </c>
      <c r="I127" s="12">
        <v>10</v>
      </c>
      <c r="J127" s="12">
        <v>1</v>
      </c>
      <c r="K127" s="12"/>
      <c r="L127" s="12"/>
      <c r="M127" s="12"/>
      <c r="N127" s="12"/>
      <c r="O127" s="12"/>
      <c r="P127" s="12"/>
      <c r="Q127" s="12"/>
      <c r="R127" s="12"/>
      <c r="S127" s="12"/>
      <c r="T127" s="13"/>
      <c r="U127" s="46"/>
      <c r="V127" s="47"/>
      <c r="W127" s="48">
        <f t="shared" si="12"/>
        <v>0</v>
      </c>
      <c r="X127" s="48">
        <f t="shared" si="13"/>
        <v>0</v>
      </c>
      <c r="Y127" s="48">
        <f t="shared" si="14"/>
        <v>0</v>
      </c>
      <c r="Z127" s="48">
        <f t="shared" si="15"/>
        <v>0</v>
      </c>
      <c r="AA127" s="48"/>
      <c r="AB127" s="48"/>
      <c r="AC127" s="49">
        <f t="shared" si="16"/>
        <v>0</v>
      </c>
      <c r="AD127" s="50">
        <v>0</v>
      </c>
      <c r="AE127" s="47">
        <v>39869</v>
      </c>
      <c r="AF127" s="51" t="s">
        <v>516</v>
      </c>
      <c r="AG127" s="52" t="s">
        <v>517</v>
      </c>
      <c r="AH127" s="53" t="s">
        <v>1281</v>
      </c>
      <c r="AI127" s="79"/>
      <c r="AJ127" s="80"/>
      <c r="AK127" s="81"/>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2"/>
      <c r="CL127" s="12"/>
      <c r="CM127" s="82"/>
      <c r="CN127" s="12"/>
      <c r="CO127" s="82"/>
      <c r="CP127" s="12"/>
      <c r="CQ127" s="83">
        <f t="shared" si="18"/>
        <v>0</v>
      </c>
      <c r="CR127" s="84"/>
      <c r="CS127" s="13"/>
      <c r="CT127" s="85"/>
      <c r="CU127" s="86"/>
      <c r="CV127" s="11"/>
      <c r="CW127" s="86"/>
      <c r="CX127" s="84"/>
      <c r="CY127" s="86"/>
    </row>
    <row r="128" spans="1:103" ht="25.5" x14ac:dyDescent="0.2">
      <c r="A128" s="43">
        <v>39869</v>
      </c>
      <c r="B128" s="44" t="s">
        <v>1127</v>
      </c>
      <c r="C128" s="44" t="s">
        <v>116</v>
      </c>
      <c r="D128" s="45" t="s">
        <v>1092</v>
      </c>
      <c r="E128" s="11">
        <v>1</v>
      </c>
      <c r="F128" s="12">
        <v>1</v>
      </c>
      <c r="G128" s="12"/>
      <c r="H128" s="12">
        <v>20</v>
      </c>
      <c r="I128" s="12">
        <v>4</v>
      </c>
      <c r="J128" s="12"/>
      <c r="K128" s="12">
        <v>4</v>
      </c>
      <c r="L128" s="12"/>
      <c r="M128" s="12"/>
      <c r="N128" s="12"/>
      <c r="O128" s="12"/>
      <c r="P128" s="12"/>
      <c r="Q128" s="12"/>
      <c r="R128" s="12"/>
      <c r="S128" s="12"/>
      <c r="T128" s="13"/>
      <c r="U128" s="46"/>
      <c r="V128" s="47"/>
      <c r="W128" s="48">
        <f t="shared" si="12"/>
        <v>0</v>
      </c>
      <c r="X128" s="48">
        <f t="shared" si="13"/>
        <v>0</v>
      </c>
      <c r="Y128" s="48">
        <f t="shared" si="14"/>
        <v>0</v>
      </c>
      <c r="Z128" s="48">
        <f t="shared" si="15"/>
        <v>0</v>
      </c>
      <c r="AA128" s="48"/>
      <c r="AB128" s="48"/>
      <c r="AC128" s="49">
        <f t="shared" si="16"/>
        <v>0</v>
      </c>
      <c r="AD128" s="50">
        <v>0</v>
      </c>
      <c r="AE128" s="47">
        <v>39869</v>
      </c>
      <c r="AF128" s="51" t="s">
        <v>516</v>
      </c>
      <c r="AG128" s="52" t="s">
        <v>517</v>
      </c>
      <c r="AH128" s="55" t="s">
        <v>1279</v>
      </c>
      <c r="AI128" s="87"/>
      <c r="AJ128" s="80"/>
      <c r="AK128" s="81"/>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2"/>
      <c r="CL128" s="12"/>
      <c r="CM128" s="82"/>
      <c r="CN128" s="12"/>
      <c r="CO128" s="82"/>
      <c r="CP128" s="12"/>
      <c r="CQ128" s="83">
        <f t="shared" si="18"/>
        <v>0</v>
      </c>
      <c r="CR128" s="84"/>
      <c r="CS128" s="13"/>
      <c r="CT128" s="85"/>
      <c r="CU128" s="86"/>
      <c r="CV128" s="11"/>
      <c r="CW128" s="86"/>
      <c r="CX128" s="84"/>
      <c r="CY128" s="86"/>
    </row>
    <row r="129" spans="1:103" ht="25.5" x14ac:dyDescent="0.2">
      <c r="A129" s="43">
        <v>39871</v>
      </c>
      <c r="B129" s="44" t="s">
        <v>625</v>
      </c>
      <c r="C129" s="44" t="s">
        <v>981</v>
      </c>
      <c r="D129" s="45" t="s">
        <v>1095</v>
      </c>
      <c r="E129" s="11">
        <v>1</v>
      </c>
      <c r="F129" s="12">
        <v>7</v>
      </c>
      <c r="G129" s="12"/>
      <c r="H129" s="12"/>
      <c r="I129" s="12"/>
      <c r="J129" s="12"/>
      <c r="K129" s="12"/>
      <c r="L129" s="12"/>
      <c r="M129" s="12"/>
      <c r="N129" s="12"/>
      <c r="O129" s="12"/>
      <c r="P129" s="12"/>
      <c r="Q129" s="12"/>
      <c r="R129" s="12"/>
      <c r="S129" s="12"/>
      <c r="T129" s="13"/>
      <c r="U129" s="46"/>
      <c r="V129" s="47"/>
      <c r="W129" s="48">
        <f t="shared" si="12"/>
        <v>0</v>
      </c>
      <c r="X129" s="48">
        <f t="shared" si="13"/>
        <v>0</v>
      </c>
      <c r="Y129" s="48">
        <f t="shared" si="14"/>
        <v>0</v>
      </c>
      <c r="Z129" s="48">
        <f t="shared" si="15"/>
        <v>0</v>
      </c>
      <c r="AA129" s="48"/>
      <c r="AB129" s="48"/>
      <c r="AC129" s="49">
        <f t="shared" si="16"/>
        <v>0</v>
      </c>
      <c r="AD129" s="50">
        <v>0</v>
      </c>
      <c r="AE129" s="47">
        <v>39871</v>
      </c>
      <c r="AF129" s="51" t="s">
        <v>516</v>
      </c>
      <c r="AG129" s="52" t="s">
        <v>517</v>
      </c>
      <c r="AH129" s="53" t="s">
        <v>433</v>
      </c>
      <c r="AI129" s="79"/>
      <c r="AJ129" s="80"/>
      <c r="AK129" s="81"/>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2"/>
      <c r="CL129" s="12"/>
      <c r="CM129" s="82"/>
      <c r="CN129" s="12"/>
      <c r="CO129" s="82"/>
      <c r="CP129" s="12"/>
      <c r="CQ129" s="83">
        <f t="shared" si="18"/>
        <v>0</v>
      </c>
      <c r="CR129" s="84"/>
      <c r="CS129" s="13"/>
      <c r="CT129" s="85"/>
      <c r="CU129" s="86"/>
      <c r="CV129" s="11"/>
      <c r="CW129" s="86"/>
      <c r="CX129" s="84"/>
      <c r="CY129" s="86"/>
    </row>
    <row r="130" spans="1:103" ht="38.25" x14ac:dyDescent="0.2">
      <c r="A130" s="43">
        <v>39871</v>
      </c>
      <c r="B130" s="44" t="s">
        <v>1097</v>
      </c>
      <c r="C130" s="44" t="s">
        <v>434</v>
      </c>
      <c r="D130" s="45" t="s">
        <v>1116</v>
      </c>
      <c r="E130" s="11"/>
      <c r="F130" s="12">
        <v>4</v>
      </c>
      <c r="G130" s="12"/>
      <c r="H130" s="12">
        <v>15</v>
      </c>
      <c r="I130" s="12">
        <v>3</v>
      </c>
      <c r="J130" s="12">
        <v>3</v>
      </c>
      <c r="K130" s="12"/>
      <c r="L130" s="12"/>
      <c r="M130" s="12"/>
      <c r="N130" s="12"/>
      <c r="O130" s="12"/>
      <c r="P130" s="12"/>
      <c r="Q130" s="12"/>
      <c r="R130" s="12"/>
      <c r="S130" s="12"/>
      <c r="T130" s="13"/>
      <c r="U130" s="46"/>
      <c r="V130" s="47"/>
      <c r="W130" s="48">
        <f t="shared" si="12"/>
        <v>0</v>
      </c>
      <c r="X130" s="48">
        <f t="shared" si="13"/>
        <v>0</v>
      </c>
      <c r="Y130" s="48">
        <f t="shared" si="14"/>
        <v>0</v>
      </c>
      <c r="Z130" s="48">
        <f t="shared" si="15"/>
        <v>0</v>
      </c>
      <c r="AA130" s="48"/>
      <c r="AB130" s="48"/>
      <c r="AC130" s="49">
        <f t="shared" si="16"/>
        <v>0</v>
      </c>
      <c r="AD130" s="50">
        <v>0</v>
      </c>
      <c r="AE130" s="47">
        <v>39871</v>
      </c>
      <c r="AF130" s="51" t="s">
        <v>516</v>
      </c>
      <c r="AG130" s="52" t="s">
        <v>517</v>
      </c>
      <c r="AH130" s="53" t="s">
        <v>518</v>
      </c>
      <c r="AI130" s="79"/>
      <c r="AJ130" s="80"/>
      <c r="AK130" s="81"/>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2"/>
      <c r="CL130" s="12"/>
      <c r="CM130" s="82"/>
      <c r="CN130" s="12"/>
      <c r="CO130" s="82"/>
      <c r="CP130" s="12"/>
      <c r="CQ130" s="83">
        <f t="shared" si="18"/>
        <v>0</v>
      </c>
      <c r="CR130" s="84"/>
      <c r="CS130" s="13"/>
      <c r="CT130" s="85"/>
      <c r="CU130" s="86"/>
      <c r="CV130" s="11"/>
      <c r="CW130" s="86"/>
      <c r="CX130" s="84"/>
      <c r="CY130" s="86"/>
    </row>
    <row r="131" spans="1:103" ht="38.25" x14ac:dyDescent="0.2">
      <c r="A131" s="43">
        <v>39871</v>
      </c>
      <c r="B131" s="44" t="s">
        <v>1127</v>
      </c>
      <c r="C131" s="44" t="s">
        <v>116</v>
      </c>
      <c r="D131" s="45" t="s">
        <v>1118</v>
      </c>
      <c r="E131" s="11"/>
      <c r="F131" s="12"/>
      <c r="G131" s="12"/>
      <c r="H131" s="12"/>
      <c r="I131" s="12"/>
      <c r="J131" s="12"/>
      <c r="K131" s="12"/>
      <c r="L131" s="12"/>
      <c r="M131" s="12"/>
      <c r="N131" s="12"/>
      <c r="O131" s="12"/>
      <c r="P131" s="12"/>
      <c r="Q131" s="12"/>
      <c r="R131" s="12"/>
      <c r="S131" s="12"/>
      <c r="T131" s="13"/>
      <c r="U131" s="46" t="s">
        <v>435</v>
      </c>
      <c r="V131" s="47"/>
      <c r="W131" s="48">
        <f t="shared" ref="W131:W194" si="19">CQ131</f>
        <v>0</v>
      </c>
      <c r="X131" s="48">
        <f t="shared" ref="X131:X194" si="20">CU131</f>
        <v>0</v>
      </c>
      <c r="Y131" s="48">
        <f t="shared" ref="Y131:Y194" si="21">CW131+CY131</f>
        <v>0</v>
      </c>
      <c r="Z131" s="48">
        <f t="shared" ref="Z131:Z194" si="22">CS131</f>
        <v>0</v>
      </c>
      <c r="AA131" s="48"/>
      <c r="AB131" s="48"/>
      <c r="AC131" s="49">
        <f t="shared" ref="AC131:AC194" si="23">W131+X131+Y131+Z131+AA131+AB131</f>
        <v>0</v>
      </c>
      <c r="AD131" s="50">
        <v>0</v>
      </c>
      <c r="AE131" s="47">
        <v>39871</v>
      </c>
      <c r="AF131" s="51" t="s">
        <v>516</v>
      </c>
      <c r="AG131" s="52" t="s">
        <v>517</v>
      </c>
      <c r="AH131" s="53" t="s">
        <v>518</v>
      </c>
      <c r="AI131" s="79"/>
      <c r="AJ131" s="80"/>
      <c r="AK131" s="81"/>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2"/>
      <c r="CL131" s="12"/>
      <c r="CM131" s="82"/>
      <c r="CN131" s="12"/>
      <c r="CO131" s="82"/>
      <c r="CP131" s="12"/>
      <c r="CQ131" s="83">
        <f t="shared" ref="CQ131:CQ194" si="24">AJ131+AL131+AN131+AP131+AR131+AT131+AV131+AX131+AZ131+BB131+BD131+BF131+BH131+BJ131+BL131+BN131+BP131+BR131+BT131+BV131+BX131+BZ131+CB131+CD131+CF131+CH131+CJ131+CL131+CN131+CP131</f>
        <v>0</v>
      </c>
      <c r="CR131" s="84"/>
      <c r="CS131" s="13"/>
      <c r="CT131" s="85"/>
      <c r="CU131" s="86"/>
      <c r="CV131" s="11"/>
      <c r="CW131" s="86"/>
      <c r="CX131" s="84"/>
      <c r="CY131" s="86"/>
    </row>
    <row r="132" spans="1:103" ht="25.5" x14ac:dyDescent="0.2">
      <c r="A132" s="43">
        <v>39872</v>
      </c>
      <c r="B132" s="44" t="s">
        <v>478</v>
      </c>
      <c r="C132" s="44" t="s">
        <v>478</v>
      </c>
      <c r="D132" s="45" t="s">
        <v>1118</v>
      </c>
      <c r="E132" s="11"/>
      <c r="F132" s="12"/>
      <c r="G132" s="12"/>
      <c r="H132" s="12"/>
      <c r="I132" s="12"/>
      <c r="J132" s="12"/>
      <c r="K132" s="12"/>
      <c r="L132" s="12"/>
      <c r="M132" s="12"/>
      <c r="N132" s="12"/>
      <c r="O132" s="12"/>
      <c r="P132" s="12"/>
      <c r="Q132" s="12"/>
      <c r="R132" s="12"/>
      <c r="S132" s="12"/>
      <c r="T132" s="13"/>
      <c r="U132" s="46"/>
      <c r="V132" s="47">
        <v>39927</v>
      </c>
      <c r="W132" s="48">
        <f t="shared" si="19"/>
        <v>2337400</v>
      </c>
      <c r="X132" s="48">
        <f t="shared" si="20"/>
        <v>0</v>
      </c>
      <c r="Y132" s="48">
        <f t="shared" si="21"/>
        <v>0</v>
      </c>
      <c r="Z132" s="48">
        <f t="shared" si="22"/>
        <v>7201280</v>
      </c>
      <c r="AA132" s="48"/>
      <c r="AB132" s="48"/>
      <c r="AC132" s="49">
        <f t="shared" si="23"/>
        <v>9538680</v>
      </c>
      <c r="AD132" s="50">
        <v>0</v>
      </c>
      <c r="AE132" s="47">
        <v>39898</v>
      </c>
      <c r="AF132" s="51" t="s">
        <v>1016</v>
      </c>
      <c r="AG132" s="52" t="s">
        <v>565</v>
      </c>
      <c r="AH132" s="53" t="s">
        <v>1259</v>
      </c>
      <c r="AI132" s="79"/>
      <c r="AJ132" s="80"/>
      <c r="AK132" s="81"/>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v>5</v>
      </c>
      <c r="BV132" s="80">
        <f>5*467480</f>
        <v>2337400</v>
      </c>
      <c r="BW132" s="80"/>
      <c r="BX132" s="80"/>
      <c r="BY132" s="80"/>
      <c r="BZ132" s="80"/>
      <c r="CA132" s="80"/>
      <c r="CB132" s="80"/>
      <c r="CC132" s="80"/>
      <c r="CD132" s="80"/>
      <c r="CE132" s="80"/>
      <c r="CF132" s="80"/>
      <c r="CG132" s="80"/>
      <c r="CH132" s="80"/>
      <c r="CI132" s="80"/>
      <c r="CJ132" s="80"/>
      <c r="CK132" s="82"/>
      <c r="CL132" s="12"/>
      <c r="CM132" s="82"/>
      <c r="CN132" s="12"/>
      <c r="CO132" s="82"/>
      <c r="CP132" s="12"/>
      <c r="CQ132" s="83">
        <f t="shared" si="24"/>
        <v>2337400</v>
      </c>
      <c r="CR132" s="84">
        <v>8000</v>
      </c>
      <c r="CS132" s="13">
        <f>8000*900.16</f>
        <v>7201280</v>
      </c>
      <c r="CT132" s="85"/>
      <c r="CU132" s="86"/>
      <c r="CV132" s="11"/>
      <c r="CW132" s="86"/>
      <c r="CX132" s="84"/>
      <c r="CY132" s="86"/>
    </row>
    <row r="133" spans="1:103" ht="25.5" x14ac:dyDescent="0.2">
      <c r="A133" s="43">
        <v>39872</v>
      </c>
      <c r="B133" s="44" t="s">
        <v>1127</v>
      </c>
      <c r="C133" s="44" t="s">
        <v>116</v>
      </c>
      <c r="D133" s="45" t="s">
        <v>1070</v>
      </c>
      <c r="E133" s="11"/>
      <c r="F133" s="12">
        <v>19</v>
      </c>
      <c r="G133" s="12"/>
      <c r="H133" s="12"/>
      <c r="I133" s="12"/>
      <c r="J133" s="12"/>
      <c r="K133" s="12"/>
      <c r="L133" s="12"/>
      <c r="M133" s="12"/>
      <c r="N133" s="12"/>
      <c r="O133" s="12"/>
      <c r="P133" s="12"/>
      <c r="Q133" s="12"/>
      <c r="R133" s="12"/>
      <c r="S133" s="12"/>
      <c r="T133" s="13"/>
      <c r="U133" s="46"/>
      <c r="V133" s="47"/>
      <c r="W133" s="48">
        <f t="shared" si="19"/>
        <v>0</v>
      </c>
      <c r="X133" s="48">
        <f t="shared" si="20"/>
        <v>0</v>
      </c>
      <c r="Y133" s="48">
        <f t="shared" si="21"/>
        <v>0</v>
      </c>
      <c r="Z133" s="48">
        <f t="shared" si="22"/>
        <v>0</v>
      </c>
      <c r="AA133" s="48"/>
      <c r="AB133" s="48"/>
      <c r="AC133" s="49">
        <f t="shared" si="23"/>
        <v>0</v>
      </c>
      <c r="AD133" s="50">
        <v>0</v>
      </c>
      <c r="AE133" s="47">
        <v>39872</v>
      </c>
      <c r="AF133" s="51" t="s">
        <v>516</v>
      </c>
      <c r="AG133" s="52" t="s">
        <v>517</v>
      </c>
      <c r="AH133" s="53" t="s">
        <v>436</v>
      </c>
      <c r="AI133" s="79"/>
      <c r="AJ133" s="80"/>
      <c r="AK133" s="81"/>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2"/>
      <c r="CL133" s="12"/>
      <c r="CM133" s="82"/>
      <c r="CN133" s="12"/>
      <c r="CO133" s="82"/>
      <c r="CP133" s="12"/>
      <c r="CQ133" s="83">
        <f t="shared" si="24"/>
        <v>0</v>
      </c>
      <c r="CR133" s="84"/>
      <c r="CS133" s="13"/>
      <c r="CT133" s="85"/>
      <c r="CU133" s="86"/>
      <c r="CV133" s="11"/>
      <c r="CW133" s="86"/>
      <c r="CX133" s="84"/>
      <c r="CY133" s="86"/>
    </row>
    <row r="134" spans="1:103" ht="25.5" x14ac:dyDescent="0.2">
      <c r="A134" s="43">
        <v>39873</v>
      </c>
      <c r="B134" s="44" t="s">
        <v>300</v>
      </c>
      <c r="C134" s="44" t="s">
        <v>945</v>
      </c>
      <c r="D134" s="45" t="s">
        <v>1117</v>
      </c>
      <c r="E134" s="11"/>
      <c r="F134" s="12"/>
      <c r="G134" s="12"/>
      <c r="H134" s="12">
        <f>16*5</f>
        <v>80</v>
      </c>
      <c r="I134" s="12">
        <v>16</v>
      </c>
      <c r="J134" s="12"/>
      <c r="K134" s="12">
        <v>16</v>
      </c>
      <c r="L134" s="12"/>
      <c r="M134" s="12"/>
      <c r="N134" s="12"/>
      <c r="O134" s="12"/>
      <c r="P134" s="12"/>
      <c r="Q134" s="12"/>
      <c r="R134" s="12">
        <v>2</v>
      </c>
      <c r="S134" s="12">
        <v>1</v>
      </c>
      <c r="T134" s="13"/>
      <c r="U134" s="46"/>
      <c r="V134" s="47"/>
      <c r="W134" s="48">
        <f t="shared" si="19"/>
        <v>0</v>
      </c>
      <c r="X134" s="48">
        <f t="shared" si="20"/>
        <v>0</v>
      </c>
      <c r="Y134" s="48">
        <f t="shared" si="21"/>
        <v>0</v>
      </c>
      <c r="Z134" s="48">
        <f t="shared" si="22"/>
        <v>0</v>
      </c>
      <c r="AA134" s="48"/>
      <c r="AB134" s="48"/>
      <c r="AC134" s="49">
        <f t="shared" si="23"/>
        <v>0</v>
      </c>
      <c r="AD134" s="50">
        <v>0</v>
      </c>
      <c r="AE134" s="47">
        <v>39875</v>
      </c>
      <c r="AF134" s="51" t="s">
        <v>516</v>
      </c>
      <c r="AG134" s="52" t="s">
        <v>517</v>
      </c>
      <c r="AH134" s="53" t="s">
        <v>946</v>
      </c>
      <c r="AI134" s="79"/>
      <c r="AJ134" s="80"/>
      <c r="AK134" s="81"/>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2"/>
      <c r="CL134" s="12"/>
      <c r="CM134" s="82"/>
      <c r="CN134" s="12"/>
      <c r="CO134" s="82"/>
      <c r="CP134" s="12"/>
      <c r="CQ134" s="83">
        <f t="shared" si="24"/>
        <v>0</v>
      </c>
      <c r="CR134" s="84"/>
      <c r="CS134" s="13"/>
      <c r="CT134" s="85"/>
      <c r="CU134" s="86"/>
      <c r="CV134" s="11"/>
      <c r="CW134" s="86"/>
      <c r="CX134" s="84"/>
      <c r="CY134" s="86"/>
    </row>
    <row r="135" spans="1:103" ht="38.25" x14ac:dyDescent="0.2">
      <c r="A135" s="43">
        <v>39874</v>
      </c>
      <c r="B135" s="44" t="s">
        <v>1097</v>
      </c>
      <c r="C135" s="44" t="s">
        <v>125</v>
      </c>
      <c r="D135" s="45" t="s">
        <v>1116</v>
      </c>
      <c r="E135" s="11"/>
      <c r="F135" s="12"/>
      <c r="G135" s="12"/>
      <c r="H135" s="12">
        <v>12</v>
      </c>
      <c r="I135" s="12">
        <v>3</v>
      </c>
      <c r="J135" s="12">
        <v>3</v>
      </c>
      <c r="K135" s="12"/>
      <c r="L135" s="12"/>
      <c r="M135" s="12"/>
      <c r="N135" s="12"/>
      <c r="O135" s="12"/>
      <c r="P135" s="12"/>
      <c r="Q135" s="12"/>
      <c r="R135" s="12"/>
      <c r="S135" s="12"/>
      <c r="T135" s="13"/>
      <c r="U135" s="46"/>
      <c r="V135" s="47"/>
      <c r="W135" s="48">
        <f t="shared" si="19"/>
        <v>0</v>
      </c>
      <c r="X135" s="48">
        <f t="shared" si="20"/>
        <v>0</v>
      </c>
      <c r="Y135" s="48">
        <f t="shared" si="21"/>
        <v>0</v>
      </c>
      <c r="Z135" s="48">
        <f t="shared" si="22"/>
        <v>0</v>
      </c>
      <c r="AA135" s="48"/>
      <c r="AB135" s="48"/>
      <c r="AC135" s="49">
        <f t="shared" si="23"/>
        <v>0</v>
      </c>
      <c r="AD135" s="50">
        <v>0</v>
      </c>
      <c r="AE135" s="47">
        <v>39874</v>
      </c>
      <c r="AF135" s="51" t="s">
        <v>516</v>
      </c>
      <c r="AG135" s="52" t="s">
        <v>517</v>
      </c>
      <c r="AH135" s="53" t="s">
        <v>780</v>
      </c>
      <c r="AI135" s="79"/>
      <c r="AJ135" s="80"/>
      <c r="AK135" s="81"/>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2"/>
      <c r="CL135" s="12"/>
      <c r="CM135" s="82"/>
      <c r="CN135" s="12"/>
      <c r="CO135" s="82"/>
      <c r="CP135" s="12"/>
      <c r="CQ135" s="83">
        <f t="shared" si="24"/>
        <v>0</v>
      </c>
      <c r="CR135" s="84"/>
      <c r="CS135" s="13"/>
      <c r="CT135" s="85"/>
      <c r="CU135" s="86"/>
      <c r="CV135" s="11"/>
      <c r="CW135" s="86"/>
      <c r="CX135" s="84"/>
      <c r="CY135" s="86"/>
    </row>
    <row r="136" spans="1:103" ht="25.5" x14ac:dyDescent="0.2">
      <c r="A136" s="43">
        <v>39874</v>
      </c>
      <c r="B136" s="44" t="s">
        <v>1066</v>
      </c>
      <c r="C136" s="44" t="s">
        <v>589</v>
      </c>
      <c r="D136" s="45" t="s">
        <v>1118</v>
      </c>
      <c r="E136" s="11"/>
      <c r="F136" s="12"/>
      <c r="G136" s="12"/>
      <c r="H136" s="12">
        <v>201</v>
      </c>
      <c r="I136" s="12">
        <v>53</v>
      </c>
      <c r="J136" s="12"/>
      <c r="K136" s="12">
        <v>53</v>
      </c>
      <c r="L136" s="12"/>
      <c r="M136" s="12"/>
      <c r="N136" s="12"/>
      <c r="O136" s="12"/>
      <c r="P136" s="12"/>
      <c r="Q136" s="12"/>
      <c r="R136" s="12"/>
      <c r="S136" s="12"/>
      <c r="T136" s="13"/>
      <c r="U136" s="46"/>
      <c r="V136" s="47"/>
      <c r="W136" s="48">
        <f t="shared" si="19"/>
        <v>0</v>
      </c>
      <c r="X136" s="48">
        <f t="shared" si="20"/>
        <v>0</v>
      </c>
      <c r="Y136" s="48">
        <f t="shared" si="21"/>
        <v>0</v>
      </c>
      <c r="Z136" s="48">
        <f t="shared" si="22"/>
        <v>0</v>
      </c>
      <c r="AA136" s="48"/>
      <c r="AB136" s="48"/>
      <c r="AC136" s="49">
        <f t="shared" si="23"/>
        <v>0</v>
      </c>
      <c r="AD136" s="50">
        <v>0</v>
      </c>
      <c r="AE136" s="47">
        <v>39926</v>
      </c>
      <c r="AF136" s="51" t="s">
        <v>516</v>
      </c>
      <c r="AG136" s="52" t="s">
        <v>517</v>
      </c>
      <c r="AH136" s="53" t="s">
        <v>593</v>
      </c>
      <c r="AI136" s="79"/>
      <c r="AJ136" s="80"/>
      <c r="AK136" s="81"/>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2"/>
      <c r="CL136" s="12"/>
      <c r="CM136" s="82"/>
      <c r="CN136" s="12"/>
      <c r="CO136" s="82"/>
      <c r="CP136" s="12"/>
      <c r="CQ136" s="83">
        <f t="shared" si="24"/>
        <v>0</v>
      </c>
      <c r="CR136" s="84"/>
      <c r="CS136" s="13"/>
      <c r="CT136" s="85"/>
      <c r="CU136" s="86"/>
      <c r="CV136" s="11"/>
      <c r="CW136" s="86"/>
      <c r="CX136" s="84"/>
      <c r="CY136" s="86"/>
    </row>
    <row r="137" spans="1:103" ht="51" x14ac:dyDescent="0.2">
      <c r="A137" s="43">
        <v>39875</v>
      </c>
      <c r="B137" s="44" t="s">
        <v>625</v>
      </c>
      <c r="C137" s="44" t="s">
        <v>948</v>
      </c>
      <c r="D137" s="45" t="s">
        <v>1118</v>
      </c>
      <c r="E137" s="11"/>
      <c r="F137" s="12"/>
      <c r="G137" s="12"/>
      <c r="H137" s="12"/>
      <c r="I137" s="12"/>
      <c r="J137" s="12"/>
      <c r="K137" s="12"/>
      <c r="L137" s="12"/>
      <c r="M137" s="12"/>
      <c r="N137" s="12"/>
      <c r="O137" s="12"/>
      <c r="P137" s="12"/>
      <c r="Q137" s="12"/>
      <c r="R137" s="12"/>
      <c r="S137" s="12"/>
      <c r="T137" s="13"/>
      <c r="U137" s="46"/>
      <c r="V137" s="47">
        <v>39878</v>
      </c>
      <c r="W137" s="48">
        <f t="shared" si="19"/>
        <v>0</v>
      </c>
      <c r="X137" s="48">
        <f t="shared" si="20"/>
        <v>0</v>
      </c>
      <c r="Y137" s="48">
        <f t="shared" si="21"/>
        <v>0</v>
      </c>
      <c r="Z137" s="48">
        <f t="shared" si="22"/>
        <v>0</v>
      </c>
      <c r="AA137" s="48">
        <v>2477760</v>
      </c>
      <c r="AB137" s="48"/>
      <c r="AC137" s="49">
        <f t="shared" si="23"/>
        <v>2477760</v>
      </c>
      <c r="AD137" s="50">
        <v>0</v>
      </c>
      <c r="AE137" s="47">
        <v>39869</v>
      </c>
      <c r="AF137" s="51" t="s">
        <v>1016</v>
      </c>
      <c r="AG137" s="52" t="s">
        <v>565</v>
      </c>
      <c r="AH137" s="56" t="s">
        <v>459</v>
      </c>
      <c r="AI137" s="79"/>
      <c r="AJ137" s="80"/>
      <c r="AK137" s="81"/>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2"/>
      <c r="CL137" s="12"/>
      <c r="CM137" s="82"/>
      <c r="CN137" s="12"/>
      <c r="CO137" s="82"/>
      <c r="CP137" s="12"/>
      <c r="CQ137" s="83">
        <f t="shared" si="24"/>
        <v>0</v>
      </c>
      <c r="CR137" s="84"/>
      <c r="CS137" s="13"/>
      <c r="CT137" s="85"/>
      <c r="CU137" s="86"/>
      <c r="CV137" s="11"/>
      <c r="CW137" s="86"/>
      <c r="CX137" s="84"/>
      <c r="CY137" s="86"/>
    </row>
    <row r="138" spans="1:103" ht="25.5" x14ac:dyDescent="0.2">
      <c r="A138" s="43">
        <v>39875</v>
      </c>
      <c r="B138" s="44" t="s">
        <v>625</v>
      </c>
      <c r="C138" s="44" t="s">
        <v>536</v>
      </c>
      <c r="D138" s="45" t="s">
        <v>1117</v>
      </c>
      <c r="E138" s="11"/>
      <c r="F138" s="12"/>
      <c r="G138" s="12"/>
      <c r="H138" s="12">
        <v>20</v>
      </c>
      <c r="I138" s="12">
        <v>4</v>
      </c>
      <c r="J138" s="12">
        <v>4</v>
      </c>
      <c r="K138" s="12"/>
      <c r="L138" s="12"/>
      <c r="M138" s="12"/>
      <c r="N138" s="12"/>
      <c r="O138" s="12"/>
      <c r="P138" s="12"/>
      <c r="Q138" s="12"/>
      <c r="R138" s="12"/>
      <c r="S138" s="12"/>
      <c r="T138" s="13"/>
      <c r="U138" s="46"/>
      <c r="V138" s="47"/>
      <c r="W138" s="48">
        <f t="shared" si="19"/>
        <v>0</v>
      </c>
      <c r="X138" s="48">
        <f t="shared" si="20"/>
        <v>0</v>
      </c>
      <c r="Y138" s="48">
        <f t="shared" si="21"/>
        <v>0</v>
      </c>
      <c r="Z138" s="48">
        <f t="shared" si="22"/>
        <v>0</v>
      </c>
      <c r="AA138" s="48"/>
      <c r="AB138" s="48"/>
      <c r="AC138" s="49">
        <f t="shared" si="23"/>
        <v>0</v>
      </c>
      <c r="AD138" s="50">
        <v>0</v>
      </c>
      <c r="AE138" s="47">
        <v>39937</v>
      </c>
      <c r="AF138" s="51" t="s">
        <v>516</v>
      </c>
      <c r="AG138" s="52" t="s">
        <v>517</v>
      </c>
      <c r="AH138" s="53" t="s">
        <v>317</v>
      </c>
      <c r="AI138" s="79"/>
      <c r="AJ138" s="80"/>
      <c r="AK138" s="81"/>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2"/>
      <c r="CL138" s="12"/>
      <c r="CM138" s="82"/>
      <c r="CN138" s="12"/>
      <c r="CO138" s="82"/>
      <c r="CP138" s="12"/>
      <c r="CQ138" s="83">
        <f t="shared" si="24"/>
        <v>0</v>
      </c>
      <c r="CR138" s="84"/>
      <c r="CS138" s="13"/>
      <c r="CT138" s="85"/>
      <c r="CU138" s="86"/>
      <c r="CV138" s="11"/>
      <c r="CW138" s="86"/>
      <c r="CX138" s="84"/>
      <c r="CY138" s="86"/>
    </row>
    <row r="139" spans="1:103" ht="140.25" x14ac:dyDescent="0.2">
      <c r="A139" s="43">
        <v>39875</v>
      </c>
      <c r="B139" s="44" t="s">
        <v>1127</v>
      </c>
      <c r="C139" s="44" t="s">
        <v>439</v>
      </c>
      <c r="D139" s="45" t="s">
        <v>1134</v>
      </c>
      <c r="E139" s="11"/>
      <c r="F139" s="12"/>
      <c r="G139" s="12"/>
      <c r="H139" s="12"/>
      <c r="I139" s="12"/>
      <c r="J139" s="12"/>
      <c r="K139" s="12"/>
      <c r="L139" s="12"/>
      <c r="M139" s="12"/>
      <c r="N139" s="12"/>
      <c r="O139" s="12"/>
      <c r="P139" s="12"/>
      <c r="Q139" s="12"/>
      <c r="R139" s="12"/>
      <c r="S139" s="12"/>
      <c r="T139" s="13"/>
      <c r="U139" s="46"/>
      <c r="V139" s="47">
        <v>39875</v>
      </c>
      <c r="W139" s="48">
        <f t="shared" si="19"/>
        <v>0</v>
      </c>
      <c r="X139" s="48">
        <f t="shared" si="20"/>
        <v>0</v>
      </c>
      <c r="Y139" s="48">
        <f t="shared" si="21"/>
        <v>0</v>
      </c>
      <c r="Z139" s="48">
        <f t="shared" si="22"/>
        <v>0</v>
      </c>
      <c r="AA139" s="48"/>
      <c r="AB139" s="48">
        <v>60000000</v>
      </c>
      <c r="AC139" s="49">
        <f t="shared" si="23"/>
        <v>60000000</v>
      </c>
      <c r="AD139" s="50">
        <v>0</v>
      </c>
      <c r="AE139" s="47">
        <v>39808</v>
      </c>
      <c r="AF139" s="51" t="s">
        <v>1016</v>
      </c>
      <c r="AG139" s="52" t="s">
        <v>565</v>
      </c>
      <c r="AH139" s="54" t="s">
        <v>457</v>
      </c>
      <c r="AI139" s="79"/>
      <c r="AJ139" s="80"/>
      <c r="AK139" s="81"/>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2"/>
      <c r="CL139" s="12"/>
      <c r="CM139" s="82"/>
      <c r="CN139" s="12"/>
      <c r="CO139" s="82"/>
      <c r="CP139" s="12"/>
      <c r="CQ139" s="83">
        <f t="shared" si="24"/>
        <v>0</v>
      </c>
      <c r="CR139" s="84"/>
      <c r="CS139" s="13"/>
      <c r="CT139" s="85"/>
      <c r="CU139" s="86"/>
      <c r="CV139" s="11"/>
      <c r="CW139" s="86"/>
      <c r="CX139" s="84"/>
      <c r="CY139" s="86"/>
    </row>
    <row r="140" spans="1:103" ht="114.75" x14ac:dyDescent="0.2">
      <c r="A140" s="43">
        <v>39875</v>
      </c>
      <c r="B140" s="44" t="s">
        <v>1127</v>
      </c>
      <c r="C140" s="44" t="s">
        <v>1428</v>
      </c>
      <c r="D140" s="45" t="s">
        <v>1134</v>
      </c>
      <c r="E140" s="11"/>
      <c r="F140" s="12"/>
      <c r="G140" s="12"/>
      <c r="H140" s="12"/>
      <c r="I140" s="12"/>
      <c r="J140" s="12"/>
      <c r="K140" s="12"/>
      <c r="L140" s="12"/>
      <c r="M140" s="12"/>
      <c r="N140" s="12"/>
      <c r="O140" s="12"/>
      <c r="P140" s="12"/>
      <c r="Q140" s="12"/>
      <c r="R140" s="12"/>
      <c r="S140" s="12"/>
      <c r="T140" s="13"/>
      <c r="U140" s="46"/>
      <c r="V140" s="47">
        <v>39875</v>
      </c>
      <c r="W140" s="48">
        <f t="shared" si="19"/>
        <v>0</v>
      </c>
      <c r="X140" s="48">
        <f t="shared" si="20"/>
        <v>0</v>
      </c>
      <c r="Y140" s="48">
        <f t="shared" si="21"/>
        <v>0</v>
      </c>
      <c r="Z140" s="48">
        <f t="shared" si="22"/>
        <v>0</v>
      </c>
      <c r="AA140" s="48"/>
      <c r="AB140" s="48">
        <v>6000000</v>
      </c>
      <c r="AC140" s="49">
        <f t="shared" si="23"/>
        <v>6000000</v>
      </c>
      <c r="AD140" s="50">
        <v>0</v>
      </c>
      <c r="AE140" s="47">
        <v>39871</v>
      </c>
      <c r="AF140" s="51" t="s">
        <v>1016</v>
      </c>
      <c r="AG140" s="52" t="s">
        <v>565</v>
      </c>
      <c r="AH140" s="54" t="s">
        <v>696</v>
      </c>
      <c r="AI140" s="79"/>
      <c r="AJ140" s="80"/>
      <c r="AK140" s="81"/>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2"/>
      <c r="CL140" s="12"/>
      <c r="CM140" s="82"/>
      <c r="CN140" s="12"/>
      <c r="CO140" s="82"/>
      <c r="CP140" s="12"/>
      <c r="CQ140" s="83">
        <f t="shared" si="24"/>
        <v>0</v>
      </c>
      <c r="CR140" s="84"/>
      <c r="CS140" s="13"/>
      <c r="CT140" s="85"/>
      <c r="CU140" s="86"/>
      <c r="CV140" s="11"/>
      <c r="CW140" s="86"/>
      <c r="CX140" s="84"/>
      <c r="CY140" s="86"/>
    </row>
    <row r="141" spans="1:103" ht="89.25" x14ac:dyDescent="0.2">
      <c r="A141" s="43">
        <v>39875</v>
      </c>
      <c r="B141" s="44" t="s">
        <v>437</v>
      </c>
      <c r="C141" s="44" t="s">
        <v>1454</v>
      </c>
      <c r="D141" s="45" t="s">
        <v>1118</v>
      </c>
      <c r="E141" s="11"/>
      <c r="F141" s="12"/>
      <c r="G141" s="12"/>
      <c r="H141" s="12"/>
      <c r="I141" s="12"/>
      <c r="J141" s="12"/>
      <c r="K141" s="12"/>
      <c r="L141" s="12"/>
      <c r="M141" s="12"/>
      <c r="N141" s="12"/>
      <c r="O141" s="12"/>
      <c r="P141" s="12"/>
      <c r="Q141" s="12"/>
      <c r="R141" s="12"/>
      <c r="S141" s="12"/>
      <c r="T141" s="13"/>
      <c r="U141" s="46"/>
      <c r="V141" s="47">
        <v>39875</v>
      </c>
      <c r="W141" s="48">
        <f t="shared" si="19"/>
        <v>0</v>
      </c>
      <c r="X141" s="48">
        <f t="shared" si="20"/>
        <v>0</v>
      </c>
      <c r="Y141" s="48">
        <f t="shared" si="21"/>
        <v>0</v>
      </c>
      <c r="Z141" s="48">
        <f t="shared" si="22"/>
        <v>0</v>
      </c>
      <c r="AA141" s="48"/>
      <c r="AB141" s="48">
        <v>100000000</v>
      </c>
      <c r="AC141" s="49">
        <f t="shared" si="23"/>
        <v>100000000</v>
      </c>
      <c r="AD141" s="50">
        <v>0</v>
      </c>
      <c r="AE141" s="47">
        <v>39841</v>
      </c>
      <c r="AF141" s="51" t="s">
        <v>1016</v>
      </c>
      <c r="AG141" s="52" t="s">
        <v>565</v>
      </c>
      <c r="AH141" s="54" t="s">
        <v>438</v>
      </c>
      <c r="AI141" s="79"/>
      <c r="AJ141" s="80"/>
      <c r="AK141" s="81"/>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2"/>
      <c r="CL141" s="12"/>
      <c r="CM141" s="82"/>
      <c r="CN141" s="12"/>
      <c r="CO141" s="82"/>
      <c r="CP141" s="12"/>
      <c r="CQ141" s="83">
        <f t="shared" si="24"/>
        <v>0</v>
      </c>
      <c r="CR141" s="84"/>
      <c r="CS141" s="13"/>
      <c r="CT141" s="85"/>
      <c r="CU141" s="86"/>
      <c r="CV141" s="11"/>
      <c r="CW141" s="86"/>
      <c r="CX141" s="84"/>
      <c r="CY141" s="86"/>
    </row>
    <row r="142" spans="1:103" ht="102" x14ac:dyDescent="0.2">
      <c r="A142" s="43">
        <v>39875</v>
      </c>
      <c r="B142" s="44" t="s">
        <v>781</v>
      </c>
      <c r="C142" s="44" t="s">
        <v>782</v>
      </c>
      <c r="D142" s="45" t="s">
        <v>1134</v>
      </c>
      <c r="E142" s="11"/>
      <c r="F142" s="12"/>
      <c r="G142" s="12"/>
      <c r="H142" s="12"/>
      <c r="I142" s="12"/>
      <c r="J142" s="12"/>
      <c r="K142" s="12"/>
      <c r="L142" s="12"/>
      <c r="M142" s="12"/>
      <c r="N142" s="12"/>
      <c r="O142" s="12"/>
      <c r="P142" s="12"/>
      <c r="Q142" s="12"/>
      <c r="R142" s="12"/>
      <c r="S142" s="12"/>
      <c r="T142" s="13"/>
      <c r="U142" s="46"/>
      <c r="V142" s="47">
        <v>39875</v>
      </c>
      <c r="W142" s="48">
        <f t="shared" si="19"/>
        <v>0</v>
      </c>
      <c r="X142" s="48">
        <f t="shared" si="20"/>
        <v>0</v>
      </c>
      <c r="Y142" s="48">
        <f t="shared" si="21"/>
        <v>0</v>
      </c>
      <c r="Z142" s="48">
        <f t="shared" si="22"/>
        <v>0</v>
      </c>
      <c r="AA142" s="48"/>
      <c r="AB142" s="48">
        <v>83708956</v>
      </c>
      <c r="AC142" s="49">
        <f t="shared" si="23"/>
        <v>83708956</v>
      </c>
      <c r="AD142" s="50">
        <v>0</v>
      </c>
      <c r="AE142" s="47">
        <v>39871</v>
      </c>
      <c r="AF142" s="51" t="s">
        <v>1016</v>
      </c>
      <c r="AG142" s="52" t="s">
        <v>565</v>
      </c>
      <c r="AH142" s="54" t="s">
        <v>737</v>
      </c>
      <c r="AI142" s="79"/>
      <c r="AJ142" s="80"/>
      <c r="AK142" s="81"/>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2"/>
      <c r="CL142" s="12"/>
      <c r="CM142" s="82"/>
      <c r="CN142" s="12"/>
      <c r="CO142" s="82"/>
      <c r="CP142" s="12"/>
      <c r="CQ142" s="83">
        <f t="shared" si="24"/>
        <v>0</v>
      </c>
      <c r="CR142" s="84"/>
      <c r="CS142" s="13"/>
      <c r="CT142" s="85"/>
      <c r="CU142" s="86"/>
      <c r="CV142" s="11"/>
      <c r="CW142" s="86"/>
      <c r="CX142" s="84"/>
      <c r="CY142" s="86"/>
    </row>
    <row r="143" spans="1:103" ht="25.5" x14ac:dyDescent="0.2">
      <c r="A143" s="43">
        <v>39875</v>
      </c>
      <c r="B143" s="44" t="s">
        <v>1066</v>
      </c>
      <c r="C143" s="44" t="s">
        <v>590</v>
      </c>
      <c r="D143" s="45" t="s">
        <v>1118</v>
      </c>
      <c r="E143" s="11"/>
      <c r="F143" s="12"/>
      <c r="G143" s="12"/>
      <c r="H143" s="12">
        <v>400</v>
      </c>
      <c r="I143" s="12">
        <v>100</v>
      </c>
      <c r="J143" s="12"/>
      <c r="K143" s="12"/>
      <c r="L143" s="12"/>
      <c r="M143" s="12"/>
      <c r="N143" s="12"/>
      <c r="O143" s="12"/>
      <c r="P143" s="12"/>
      <c r="Q143" s="12"/>
      <c r="R143" s="12"/>
      <c r="S143" s="12"/>
      <c r="T143" s="13"/>
      <c r="U143" s="46"/>
      <c r="V143" s="47"/>
      <c r="W143" s="48">
        <f t="shared" si="19"/>
        <v>0</v>
      </c>
      <c r="X143" s="48">
        <f t="shared" si="20"/>
        <v>0</v>
      </c>
      <c r="Y143" s="48">
        <f t="shared" si="21"/>
        <v>0</v>
      </c>
      <c r="Z143" s="48">
        <f t="shared" si="22"/>
        <v>0</v>
      </c>
      <c r="AA143" s="48"/>
      <c r="AB143" s="48"/>
      <c r="AC143" s="49">
        <f t="shared" si="23"/>
        <v>0</v>
      </c>
      <c r="AD143" s="50">
        <v>0</v>
      </c>
      <c r="AE143" s="47">
        <v>39926</v>
      </c>
      <c r="AF143" s="51" t="s">
        <v>516</v>
      </c>
      <c r="AG143" s="52" t="s">
        <v>517</v>
      </c>
      <c r="AH143" s="53" t="s">
        <v>593</v>
      </c>
      <c r="AI143" s="79"/>
      <c r="AJ143" s="80"/>
      <c r="AK143" s="81"/>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2"/>
      <c r="CL143" s="12"/>
      <c r="CM143" s="82"/>
      <c r="CN143" s="12"/>
      <c r="CO143" s="82"/>
      <c r="CP143" s="12"/>
      <c r="CQ143" s="83">
        <f t="shared" si="24"/>
        <v>0</v>
      </c>
      <c r="CR143" s="84"/>
      <c r="CS143" s="13"/>
      <c r="CT143" s="85"/>
      <c r="CU143" s="86"/>
      <c r="CV143" s="11"/>
      <c r="CW143" s="86"/>
      <c r="CX143" s="84"/>
      <c r="CY143" s="86"/>
    </row>
    <row r="144" spans="1:103" ht="51" x14ac:dyDescent="0.2">
      <c r="A144" s="43">
        <v>39875</v>
      </c>
      <c r="B144" s="57" t="s">
        <v>1136</v>
      </c>
      <c r="C144" s="44" t="s">
        <v>1454</v>
      </c>
      <c r="D144" s="45" t="s">
        <v>1231</v>
      </c>
      <c r="E144" s="11"/>
      <c r="F144" s="12"/>
      <c r="G144" s="12"/>
      <c r="H144" s="12"/>
      <c r="I144" s="12"/>
      <c r="J144" s="12"/>
      <c r="K144" s="12"/>
      <c r="L144" s="12"/>
      <c r="M144" s="12"/>
      <c r="N144" s="12"/>
      <c r="O144" s="12"/>
      <c r="P144" s="12"/>
      <c r="Q144" s="12"/>
      <c r="R144" s="12"/>
      <c r="S144" s="12"/>
      <c r="T144" s="13"/>
      <c r="U144" s="46"/>
      <c r="V144" s="47"/>
      <c r="W144" s="48">
        <f t="shared" si="19"/>
        <v>0</v>
      </c>
      <c r="X144" s="48">
        <f t="shared" si="20"/>
        <v>0</v>
      </c>
      <c r="Y144" s="48">
        <f t="shared" si="21"/>
        <v>0</v>
      </c>
      <c r="Z144" s="48">
        <f t="shared" si="22"/>
        <v>0</v>
      </c>
      <c r="AA144" s="48">
        <v>51495880</v>
      </c>
      <c r="AB144" s="48"/>
      <c r="AC144" s="49">
        <f t="shared" si="23"/>
        <v>51495880</v>
      </c>
      <c r="AD144" s="50">
        <v>0</v>
      </c>
      <c r="AE144" s="47">
        <v>39875</v>
      </c>
      <c r="AF144" s="51" t="s">
        <v>1016</v>
      </c>
      <c r="AG144" s="52" t="s">
        <v>565</v>
      </c>
      <c r="AH144" s="54" t="s">
        <v>947</v>
      </c>
      <c r="AI144" s="79"/>
      <c r="AJ144" s="80"/>
      <c r="AK144" s="81"/>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2"/>
      <c r="CL144" s="12"/>
      <c r="CM144" s="82"/>
      <c r="CN144" s="12"/>
      <c r="CO144" s="82"/>
      <c r="CP144" s="12"/>
      <c r="CQ144" s="83">
        <f t="shared" si="24"/>
        <v>0</v>
      </c>
      <c r="CR144" s="84"/>
      <c r="CS144" s="13"/>
      <c r="CT144" s="85"/>
      <c r="CU144" s="86"/>
      <c r="CV144" s="11"/>
      <c r="CW144" s="86"/>
      <c r="CX144" s="84"/>
      <c r="CY144" s="86"/>
    </row>
    <row r="145" spans="1:103" ht="102" x14ac:dyDescent="0.2">
      <c r="A145" s="43">
        <v>39875</v>
      </c>
      <c r="B145" s="44" t="s">
        <v>1091</v>
      </c>
      <c r="C145" s="44" t="s">
        <v>458</v>
      </c>
      <c r="D145" s="45" t="s">
        <v>751</v>
      </c>
      <c r="E145" s="11"/>
      <c r="F145" s="12"/>
      <c r="G145" s="12"/>
      <c r="H145" s="12"/>
      <c r="I145" s="12"/>
      <c r="J145" s="12"/>
      <c r="K145" s="12"/>
      <c r="L145" s="12"/>
      <c r="M145" s="12"/>
      <c r="N145" s="12"/>
      <c r="O145" s="12"/>
      <c r="P145" s="12"/>
      <c r="Q145" s="12"/>
      <c r="R145" s="12"/>
      <c r="S145" s="12"/>
      <c r="T145" s="13"/>
      <c r="U145" s="46"/>
      <c r="V145" s="47">
        <v>39875</v>
      </c>
      <c r="W145" s="48">
        <f t="shared" si="19"/>
        <v>0</v>
      </c>
      <c r="X145" s="48">
        <f t="shared" si="20"/>
        <v>0</v>
      </c>
      <c r="Y145" s="48">
        <f t="shared" si="21"/>
        <v>0</v>
      </c>
      <c r="Z145" s="48">
        <f t="shared" si="22"/>
        <v>0</v>
      </c>
      <c r="AA145" s="48"/>
      <c r="AB145" s="48">
        <v>39724700</v>
      </c>
      <c r="AC145" s="49">
        <f t="shared" si="23"/>
        <v>39724700</v>
      </c>
      <c r="AD145" s="50">
        <v>0</v>
      </c>
      <c r="AE145" s="47">
        <v>39868</v>
      </c>
      <c r="AF145" s="51" t="s">
        <v>1016</v>
      </c>
      <c r="AG145" s="52" t="s">
        <v>565</v>
      </c>
      <c r="AH145" s="54" t="s">
        <v>1427</v>
      </c>
      <c r="AI145" s="79"/>
      <c r="AJ145" s="80"/>
      <c r="AK145" s="81"/>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2"/>
      <c r="CL145" s="12"/>
      <c r="CM145" s="82"/>
      <c r="CN145" s="12"/>
      <c r="CO145" s="82"/>
      <c r="CP145" s="12"/>
      <c r="CQ145" s="83">
        <f t="shared" si="24"/>
        <v>0</v>
      </c>
      <c r="CR145" s="84"/>
      <c r="CS145" s="13"/>
      <c r="CT145" s="85"/>
      <c r="CU145" s="86"/>
      <c r="CV145" s="11"/>
      <c r="CW145" s="86"/>
      <c r="CX145" s="84"/>
      <c r="CY145" s="86"/>
    </row>
    <row r="146" spans="1:103" ht="25.5" x14ac:dyDescent="0.2">
      <c r="A146" s="43">
        <v>39876</v>
      </c>
      <c r="B146" s="44" t="s">
        <v>1127</v>
      </c>
      <c r="C146" s="44" t="s">
        <v>116</v>
      </c>
      <c r="D146" s="45" t="s">
        <v>1117</v>
      </c>
      <c r="E146" s="11"/>
      <c r="F146" s="12"/>
      <c r="G146" s="12"/>
      <c r="H146" s="12">
        <v>20</v>
      </c>
      <c r="I146" s="12">
        <v>4</v>
      </c>
      <c r="J146" s="12"/>
      <c r="K146" s="12">
        <v>4</v>
      </c>
      <c r="L146" s="12"/>
      <c r="M146" s="12"/>
      <c r="N146" s="12"/>
      <c r="O146" s="12"/>
      <c r="P146" s="12"/>
      <c r="Q146" s="12"/>
      <c r="R146" s="12"/>
      <c r="S146" s="12"/>
      <c r="T146" s="13"/>
      <c r="U146" s="46"/>
      <c r="V146" s="47"/>
      <c r="W146" s="48">
        <f t="shared" si="19"/>
        <v>0</v>
      </c>
      <c r="X146" s="48">
        <f t="shared" si="20"/>
        <v>0</v>
      </c>
      <c r="Y146" s="48">
        <f t="shared" si="21"/>
        <v>0</v>
      </c>
      <c r="Z146" s="48">
        <f t="shared" si="22"/>
        <v>0</v>
      </c>
      <c r="AA146" s="48"/>
      <c r="AB146" s="48"/>
      <c r="AC146" s="49">
        <f t="shared" si="23"/>
        <v>0</v>
      </c>
      <c r="AD146" s="50">
        <v>0</v>
      </c>
      <c r="AE146" s="47">
        <v>39891</v>
      </c>
      <c r="AF146" s="51" t="s">
        <v>516</v>
      </c>
      <c r="AG146" s="52" t="s">
        <v>517</v>
      </c>
      <c r="AH146" s="53" t="s">
        <v>1352</v>
      </c>
      <c r="AI146" s="79"/>
      <c r="AJ146" s="80"/>
      <c r="AK146" s="81"/>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2"/>
      <c r="CL146" s="12"/>
      <c r="CM146" s="82"/>
      <c r="CN146" s="12"/>
      <c r="CO146" s="82"/>
      <c r="CP146" s="12"/>
      <c r="CQ146" s="83">
        <f t="shared" si="24"/>
        <v>0</v>
      </c>
      <c r="CR146" s="84"/>
      <c r="CS146" s="13"/>
      <c r="CT146" s="85"/>
      <c r="CU146" s="86"/>
      <c r="CV146" s="11"/>
      <c r="CW146" s="86"/>
      <c r="CX146" s="84"/>
      <c r="CY146" s="86"/>
    </row>
    <row r="147" spans="1:103" ht="25.5" x14ac:dyDescent="0.2">
      <c r="A147" s="43">
        <v>39876</v>
      </c>
      <c r="B147" s="44" t="s">
        <v>1066</v>
      </c>
      <c r="C147" s="44" t="s">
        <v>591</v>
      </c>
      <c r="D147" s="45" t="s">
        <v>1118</v>
      </c>
      <c r="E147" s="11"/>
      <c r="F147" s="12"/>
      <c r="G147" s="12"/>
      <c r="H147" s="12">
        <v>684</v>
      </c>
      <c r="I147" s="12">
        <v>171</v>
      </c>
      <c r="J147" s="12"/>
      <c r="K147" s="12">
        <v>171</v>
      </c>
      <c r="L147" s="12"/>
      <c r="M147" s="12"/>
      <c r="N147" s="12"/>
      <c r="O147" s="12"/>
      <c r="P147" s="12"/>
      <c r="Q147" s="12"/>
      <c r="R147" s="12"/>
      <c r="S147" s="12"/>
      <c r="T147" s="13"/>
      <c r="U147" s="46"/>
      <c r="V147" s="47"/>
      <c r="W147" s="48">
        <f t="shared" si="19"/>
        <v>0</v>
      </c>
      <c r="X147" s="48">
        <f t="shared" si="20"/>
        <v>0</v>
      </c>
      <c r="Y147" s="48">
        <f t="shared" si="21"/>
        <v>0</v>
      </c>
      <c r="Z147" s="48">
        <f t="shared" si="22"/>
        <v>0</v>
      </c>
      <c r="AA147" s="48"/>
      <c r="AB147" s="48"/>
      <c r="AC147" s="49">
        <f t="shared" si="23"/>
        <v>0</v>
      </c>
      <c r="AD147" s="50">
        <v>0</v>
      </c>
      <c r="AE147" s="47">
        <v>39926</v>
      </c>
      <c r="AF147" s="51" t="s">
        <v>516</v>
      </c>
      <c r="AG147" s="52" t="s">
        <v>517</v>
      </c>
      <c r="AH147" s="53" t="s">
        <v>593</v>
      </c>
      <c r="AI147" s="79"/>
      <c r="AJ147" s="80"/>
      <c r="AK147" s="81"/>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2"/>
      <c r="CL147" s="12"/>
      <c r="CM147" s="82"/>
      <c r="CN147" s="12"/>
      <c r="CO147" s="82"/>
      <c r="CP147" s="12"/>
      <c r="CQ147" s="83">
        <f t="shared" si="24"/>
        <v>0</v>
      </c>
      <c r="CR147" s="84"/>
      <c r="CS147" s="13"/>
      <c r="CT147" s="85"/>
      <c r="CU147" s="86"/>
      <c r="CV147" s="11"/>
      <c r="CW147" s="86"/>
      <c r="CX147" s="84"/>
      <c r="CY147" s="86"/>
    </row>
    <row r="148" spans="1:103" ht="51" x14ac:dyDescent="0.2">
      <c r="A148" s="43">
        <v>39878</v>
      </c>
      <c r="B148" s="44" t="s">
        <v>1067</v>
      </c>
      <c r="C148" s="44" t="s">
        <v>256</v>
      </c>
      <c r="D148" s="45" t="s">
        <v>257</v>
      </c>
      <c r="E148" s="11"/>
      <c r="F148" s="12"/>
      <c r="G148" s="12"/>
      <c r="H148" s="12">
        <f>300*5</f>
        <v>1500</v>
      </c>
      <c r="I148" s="12">
        <v>300</v>
      </c>
      <c r="J148" s="12"/>
      <c r="K148" s="12"/>
      <c r="L148" s="12"/>
      <c r="M148" s="12"/>
      <c r="N148" s="12"/>
      <c r="O148" s="12"/>
      <c r="P148" s="12"/>
      <c r="Q148" s="12"/>
      <c r="R148" s="12"/>
      <c r="S148" s="12"/>
      <c r="T148" s="13"/>
      <c r="U148" s="46"/>
      <c r="V148" s="47"/>
      <c r="W148" s="48">
        <f t="shared" si="19"/>
        <v>0</v>
      </c>
      <c r="X148" s="48">
        <f t="shared" si="20"/>
        <v>0</v>
      </c>
      <c r="Y148" s="48">
        <f t="shared" si="21"/>
        <v>0</v>
      </c>
      <c r="Z148" s="48">
        <f t="shared" si="22"/>
        <v>0</v>
      </c>
      <c r="AA148" s="48"/>
      <c r="AB148" s="48"/>
      <c r="AC148" s="49">
        <f t="shared" si="23"/>
        <v>0</v>
      </c>
      <c r="AD148" s="50">
        <v>0</v>
      </c>
      <c r="AE148" s="47">
        <v>39881</v>
      </c>
      <c r="AF148" s="51" t="s">
        <v>1016</v>
      </c>
      <c r="AG148" s="52" t="s">
        <v>565</v>
      </c>
      <c r="AH148" s="53" t="s">
        <v>830</v>
      </c>
      <c r="AI148" s="79"/>
      <c r="AJ148" s="80"/>
      <c r="AK148" s="81"/>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2"/>
      <c r="CL148" s="12"/>
      <c r="CM148" s="82"/>
      <c r="CN148" s="12"/>
      <c r="CO148" s="82"/>
      <c r="CP148" s="12"/>
      <c r="CQ148" s="83">
        <f t="shared" si="24"/>
        <v>0</v>
      </c>
      <c r="CR148" s="84"/>
      <c r="CS148" s="13"/>
      <c r="CT148" s="85"/>
      <c r="CU148" s="86"/>
      <c r="CV148" s="11"/>
      <c r="CW148" s="86"/>
      <c r="CX148" s="84"/>
      <c r="CY148" s="86"/>
    </row>
    <row r="149" spans="1:103" ht="25.5" x14ac:dyDescent="0.2">
      <c r="A149" s="43">
        <v>39878</v>
      </c>
      <c r="B149" s="44" t="s">
        <v>315</v>
      </c>
      <c r="C149" s="44" t="s">
        <v>1079</v>
      </c>
      <c r="D149" s="45" t="s">
        <v>1118</v>
      </c>
      <c r="E149" s="11"/>
      <c r="F149" s="12"/>
      <c r="G149" s="12"/>
      <c r="H149" s="12">
        <v>20</v>
      </c>
      <c r="I149" s="12">
        <v>4</v>
      </c>
      <c r="J149" s="12"/>
      <c r="K149" s="12">
        <v>4</v>
      </c>
      <c r="L149" s="12"/>
      <c r="M149" s="12"/>
      <c r="N149" s="12"/>
      <c r="O149" s="12"/>
      <c r="P149" s="12"/>
      <c r="Q149" s="12"/>
      <c r="R149" s="12"/>
      <c r="S149" s="12"/>
      <c r="T149" s="13"/>
      <c r="U149" s="46"/>
      <c r="V149" s="47"/>
      <c r="W149" s="48">
        <f t="shared" si="19"/>
        <v>0</v>
      </c>
      <c r="X149" s="48">
        <f t="shared" si="20"/>
        <v>0</v>
      </c>
      <c r="Y149" s="48">
        <f t="shared" si="21"/>
        <v>0</v>
      </c>
      <c r="Z149" s="48">
        <f t="shared" si="22"/>
        <v>0</v>
      </c>
      <c r="AA149" s="48"/>
      <c r="AB149" s="48"/>
      <c r="AC149" s="49">
        <f t="shared" si="23"/>
        <v>0</v>
      </c>
      <c r="AD149" s="50">
        <v>0</v>
      </c>
      <c r="AE149" s="47">
        <v>39891</v>
      </c>
      <c r="AF149" s="51" t="s">
        <v>516</v>
      </c>
      <c r="AG149" s="52" t="s">
        <v>517</v>
      </c>
      <c r="AH149" s="53" t="s">
        <v>1352</v>
      </c>
      <c r="AI149" s="79"/>
      <c r="AJ149" s="80"/>
      <c r="AK149" s="81"/>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2"/>
      <c r="CL149" s="12"/>
      <c r="CM149" s="82"/>
      <c r="CN149" s="12"/>
      <c r="CO149" s="82"/>
      <c r="CP149" s="12"/>
      <c r="CQ149" s="83">
        <f t="shared" si="24"/>
        <v>0</v>
      </c>
      <c r="CR149" s="84"/>
      <c r="CS149" s="13"/>
      <c r="CT149" s="85"/>
      <c r="CU149" s="86"/>
      <c r="CV149" s="11"/>
      <c r="CW149" s="86"/>
      <c r="CX149" s="84"/>
      <c r="CY149" s="86"/>
    </row>
    <row r="150" spans="1:103" ht="25.5" x14ac:dyDescent="0.2">
      <c r="A150" s="43">
        <v>39878</v>
      </c>
      <c r="B150" s="44" t="s">
        <v>1127</v>
      </c>
      <c r="C150" s="44" t="s">
        <v>617</v>
      </c>
      <c r="D150" s="45" t="s">
        <v>1118</v>
      </c>
      <c r="E150" s="11"/>
      <c r="F150" s="12"/>
      <c r="G150" s="12"/>
      <c r="H150" s="12">
        <f>37*5</f>
        <v>185</v>
      </c>
      <c r="I150" s="12">
        <v>37</v>
      </c>
      <c r="J150" s="12"/>
      <c r="K150" s="12">
        <v>37</v>
      </c>
      <c r="L150" s="12"/>
      <c r="M150" s="12"/>
      <c r="N150" s="12"/>
      <c r="O150" s="12"/>
      <c r="P150" s="12"/>
      <c r="Q150" s="12"/>
      <c r="R150" s="12"/>
      <c r="S150" s="12"/>
      <c r="T150" s="13"/>
      <c r="U150" s="46"/>
      <c r="V150" s="47"/>
      <c r="W150" s="48">
        <f t="shared" si="19"/>
        <v>0</v>
      </c>
      <c r="X150" s="48">
        <f t="shared" si="20"/>
        <v>0</v>
      </c>
      <c r="Y150" s="48">
        <f t="shared" si="21"/>
        <v>0</v>
      </c>
      <c r="Z150" s="48">
        <f t="shared" si="22"/>
        <v>0</v>
      </c>
      <c r="AA150" s="48"/>
      <c r="AB150" s="48"/>
      <c r="AC150" s="49">
        <f t="shared" si="23"/>
        <v>0</v>
      </c>
      <c r="AD150" s="50">
        <v>0</v>
      </c>
      <c r="AE150" s="47">
        <v>39937</v>
      </c>
      <c r="AF150" s="51" t="s">
        <v>516</v>
      </c>
      <c r="AG150" s="52" t="s">
        <v>517</v>
      </c>
      <c r="AH150" s="53" t="s">
        <v>1281</v>
      </c>
      <c r="AI150" s="79"/>
      <c r="AJ150" s="80"/>
      <c r="AK150" s="81"/>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2"/>
      <c r="CL150" s="12"/>
      <c r="CM150" s="82"/>
      <c r="CN150" s="12"/>
      <c r="CO150" s="82"/>
      <c r="CP150" s="12"/>
      <c r="CQ150" s="83">
        <f t="shared" si="24"/>
        <v>0</v>
      </c>
      <c r="CR150" s="84"/>
      <c r="CS150" s="13"/>
      <c r="CT150" s="85"/>
      <c r="CU150" s="86"/>
      <c r="CV150" s="11"/>
      <c r="CW150" s="86"/>
      <c r="CX150" s="84"/>
      <c r="CY150" s="86"/>
    </row>
    <row r="151" spans="1:103" ht="51" x14ac:dyDescent="0.2">
      <c r="A151" s="43">
        <v>39879</v>
      </c>
      <c r="B151" s="44" t="s">
        <v>1067</v>
      </c>
      <c r="C151" s="44" t="s">
        <v>258</v>
      </c>
      <c r="D151" s="45" t="s">
        <v>1117</v>
      </c>
      <c r="E151" s="11"/>
      <c r="F151" s="12"/>
      <c r="G151" s="12"/>
      <c r="H151" s="12">
        <v>20</v>
      </c>
      <c r="I151" s="12">
        <v>4</v>
      </c>
      <c r="J151" s="12"/>
      <c r="K151" s="12">
        <v>4</v>
      </c>
      <c r="L151" s="12"/>
      <c r="M151" s="12"/>
      <c r="N151" s="12"/>
      <c r="O151" s="12"/>
      <c r="P151" s="12"/>
      <c r="Q151" s="12"/>
      <c r="R151" s="12"/>
      <c r="S151" s="12"/>
      <c r="T151" s="13"/>
      <c r="U151" s="46"/>
      <c r="V151" s="47"/>
      <c r="W151" s="48">
        <f t="shared" si="19"/>
        <v>0</v>
      </c>
      <c r="X151" s="48">
        <f t="shared" si="20"/>
        <v>0</v>
      </c>
      <c r="Y151" s="48">
        <f t="shared" si="21"/>
        <v>0</v>
      </c>
      <c r="Z151" s="48">
        <f t="shared" si="22"/>
        <v>0</v>
      </c>
      <c r="AA151" s="48"/>
      <c r="AB151" s="48"/>
      <c r="AC151" s="49">
        <f t="shared" si="23"/>
        <v>0</v>
      </c>
      <c r="AD151" s="50">
        <v>0</v>
      </c>
      <c r="AE151" s="47">
        <v>39881</v>
      </c>
      <c r="AF151" s="51" t="s">
        <v>1016</v>
      </c>
      <c r="AG151" s="52" t="s">
        <v>565</v>
      </c>
      <c r="AH151" s="53" t="s">
        <v>831</v>
      </c>
      <c r="AI151" s="79"/>
      <c r="AJ151" s="80"/>
      <c r="AK151" s="81"/>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2"/>
      <c r="CL151" s="12"/>
      <c r="CM151" s="82"/>
      <c r="CN151" s="12"/>
      <c r="CO151" s="82"/>
      <c r="CP151" s="12"/>
      <c r="CQ151" s="83">
        <f t="shared" si="24"/>
        <v>0</v>
      </c>
      <c r="CR151" s="84"/>
      <c r="CS151" s="13"/>
      <c r="CT151" s="85"/>
      <c r="CU151" s="86"/>
      <c r="CV151" s="11"/>
      <c r="CW151" s="86"/>
      <c r="CX151" s="84"/>
      <c r="CY151" s="86"/>
    </row>
    <row r="152" spans="1:103" ht="25.5" x14ac:dyDescent="0.2">
      <c r="A152" s="43">
        <v>39879</v>
      </c>
      <c r="B152" s="44" t="s">
        <v>1067</v>
      </c>
      <c r="C152" s="44" t="s">
        <v>1454</v>
      </c>
      <c r="D152" s="45" t="s">
        <v>1231</v>
      </c>
      <c r="E152" s="11"/>
      <c r="F152" s="12"/>
      <c r="G152" s="12"/>
      <c r="H152" s="12"/>
      <c r="I152" s="12"/>
      <c r="J152" s="12"/>
      <c r="K152" s="12"/>
      <c r="L152" s="12"/>
      <c r="M152" s="12"/>
      <c r="N152" s="12"/>
      <c r="O152" s="12"/>
      <c r="P152" s="12"/>
      <c r="Q152" s="12"/>
      <c r="R152" s="12"/>
      <c r="S152" s="12"/>
      <c r="T152" s="13"/>
      <c r="U152" s="46"/>
      <c r="V152" s="47">
        <v>39923</v>
      </c>
      <c r="W152" s="48">
        <f t="shared" si="19"/>
        <v>0</v>
      </c>
      <c r="X152" s="48">
        <f t="shared" si="20"/>
        <v>85000000</v>
      </c>
      <c r="Y152" s="48">
        <f t="shared" si="21"/>
        <v>0</v>
      </c>
      <c r="Z152" s="48">
        <f t="shared" si="22"/>
        <v>89900000</v>
      </c>
      <c r="AA152" s="48"/>
      <c r="AB152" s="48"/>
      <c r="AC152" s="49">
        <f t="shared" si="23"/>
        <v>174900000</v>
      </c>
      <c r="AD152" s="50">
        <v>0</v>
      </c>
      <c r="AE152" s="47">
        <v>39881</v>
      </c>
      <c r="AF152" s="51" t="s">
        <v>1016</v>
      </c>
      <c r="AG152" s="52" t="s">
        <v>565</v>
      </c>
      <c r="AH152" s="58" t="s">
        <v>636</v>
      </c>
      <c r="AI152" s="79"/>
      <c r="AJ152" s="80"/>
      <c r="AK152" s="81"/>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2"/>
      <c r="CL152" s="12"/>
      <c r="CM152" s="82"/>
      <c r="CN152" s="12"/>
      <c r="CO152" s="82"/>
      <c r="CP152" s="12"/>
      <c r="CQ152" s="83">
        <f t="shared" si="24"/>
        <v>0</v>
      </c>
      <c r="CR152" s="84">
        <v>100000</v>
      </c>
      <c r="CS152" s="13">
        <f>100000*899</f>
        <v>89900000</v>
      </c>
      <c r="CT152" s="85">
        <v>1000</v>
      </c>
      <c r="CU152" s="86">
        <f>1000*85000</f>
        <v>85000000</v>
      </c>
      <c r="CV152" s="11"/>
      <c r="CW152" s="86"/>
      <c r="CX152" s="84"/>
      <c r="CY152" s="86"/>
    </row>
    <row r="153" spans="1:103" ht="25.5" x14ac:dyDescent="0.2">
      <c r="A153" s="43">
        <v>39879</v>
      </c>
      <c r="B153" s="44" t="s">
        <v>1097</v>
      </c>
      <c r="C153" s="44" t="s">
        <v>125</v>
      </c>
      <c r="D153" s="45" t="s">
        <v>1092</v>
      </c>
      <c r="E153" s="11"/>
      <c r="F153" s="12"/>
      <c r="G153" s="12"/>
      <c r="H153" s="12">
        <v>30</v>
      </c>
      <c r="I153" s="12">
        <v>6</v>
      </c>
      <c r="J153" s="12">
        <v>2</v>
      </c>
      <c r="K153" s="12">
        <v>4</v>
      </c>
      <c r="L153" s="12"/>
      <c r="M153" s="12"/>
      <c r="N153" s="12"/>
      <c r="O153" s="12"/>
      <c r="P153" s="12"/>
      <c r="Q153" s="12"/>
      <c r="R153" s="12"/>
      <c r="S153" s="12"/>
      <c r="T153" s="13"/>
      <c r="U153" s="46"/>
      <c r="V153" s="47"/>
      <c r="W153" s="48">
        <f t="shared" si="19"/>
        <v>0</v>
      </c>
      <c r="X153" s="48">
        <f t="shared" si="20"/>
        <v>0</v>
      </c>
      <c r="Y153" s="48">
        <f t="shared" si="21"/>
        <v>0</v>
      </c>
      <c r="Z153" s="48">
        <f t="shared" si="22"/>
        <v>0</v>
      </c>
      <c r="AA153" s="48"/>
      <c r="AB153" s="48"/>
      <c r="AC153" s="49">
        <f t="shared" si="23"/>
        <v>0</v>
      </c>
      <c r="AD153" s="50">
        <v>0</v>
      </c>
      <c r="AE153" s="47">
        <v>39879</v>
      </c>
      <c r="AF153" s="51" t="s">
        <v>516</v>
      </c>
      <c r="AG153" s="52" t="s">
        <v>517</v>
      </c>
      <c r="AH153" s="53" t="s">
        <v>799</v>
      </c>
      <c r="AI153" s="79"/>
      <c r="AJ153" s="80"/>
      <c r="AK153" s="81"/>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2"/>
      <c r="CL153" s="12"/>
      <c r="CM153" s="82"/>
      <c r="CN153" s="12"/>
      <c r="CO153" s="82"/>
      <c r="CP153" s="12"/>
      <c r="CQ153" s="83">
        <f t="shared" si="24"/>
        <v>0</v>
      </c>
      <c r="CR153" s="84"/>
      <c r="CS153" s="13"/>
      <c r="CT153" s="85"/>
      <c r="CU153" s="86"/>
      <c r="CV153" s="11"/>
      <c r="CW153" s="86"/>
      <c r="CX153" s="84"/>
      <c r="CY153" s="86"/>
    </row>
    <row r="154" spans="1:103" ht="38.25" x14ac:dyDescent="0.2">
      <c r="A154" s="43">
        <v>39879</v>
      </c>
      <c r="B154" s="44" t="s">
        <v>1127</v>
      </c>
      <c r="C154" s="44" t="s">
        <v>800</v>
      </c>
      <c r="D154" s="45" t="s">
        <v>1092</v>
      </c>
      <c r="E154" s="11"/>
      <c r="F154" s="12"/>
      <c r="G154" s="12"/>
      <c r="H154" s="12">
        <v>1131</v>
      </c>
      <c r="I154" s="12">
        <v>372</v>
      </c>
      <c r="J154" s="12">
        <v>25</v>
      </c>
      <c r="K154" s="12">
        <v>116</v>
      </c>
      <c r="L154" s="12"/>
      <c r="M154" s="12"/>
      <c r="N154" s="12"/>
      <c r="O154" s="12"/>
      <c r="P154" s="12"/>
      <c r="Q154" s="12"/>
      <c r="R154" s="12"/>
      <c r="S154" s="12"/>
      <c r="T154" s="13"/>
      <c r="U154" s="46"/>
      <c r="V154" s="47"/>
      <c r="W154" s="48">
        <f t="shared" si="19"/>
        <v>0</v>
      </c>
      <c r="X154" s="48">
        <f t="shared" si="20"/>
        <v>0</v>
      </c>
      <c r="Y154" s="48">
        <f t="shared" si="21"/>
        <v>0</v>
      </c>
      <c r="Z154" s="48">
        <f t="shared" si="22"/>
        <v>0</v>
      </c>
      <c r="AA154" s="48"/>
      <c r="AB154" s="48"/>
      <c r="AC154" s="49">
        <f t="shared" si="23"/>
        <v>0</v>
      </c>
      <c r="AD154" s="50">
        <v>0</v>
      </c>
      <c r="AE154" s="47">
        <v>39879</v>
      </c>
      <c r="AF154" s="51" t="s">
        <v>516</v>
      </c>
      <c r="AG154" s="52" t="s">
        <v>517</v>
      </c>
      <c r="AH154" s="53" t="s">
        <v>801</v>
      </c>
      <c r="AI154" s="79"/>
      <c r="AJ154" s="80"/>
      <c r="AK154" s="81"/>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2"/>
      <c r="CL154" s="12"/>
      <c r="CM154" s="82"/>
      <c r="CN154" s="12"/>
      <c r="CO154" s="82"/>
      <c r="CP154" s="12"/>
      <c r="CQ154" s="83">
        <f t="shared" si="24"/>
        <v>0</v>
      </c>
      <c r="CR154" s="84"/>
      <c r="CS154" s="13"/>
      <c r="CT154" s="85"/>
      <c r="CU154" s="86"/>
      <c r="CV154" s="11"/>
      <c r="CW154" s="86"/>
      <c r="CX154" s="84"/>
      <c r="CY154" s="86"/>
    </row>
    <row r="155" spans="1:103" ht="51" x14ac:dyDescent="0.2">
      <c r="A155" s="43">
        <v>39879</v>
      </c>
      <c r="B155" s="44" t="s">
        <v>1350</v>
      </c>
      <c r="C155" s="44" t="s">
        <v>1351</v>
      </c>
      <c r="D155" s="45" t="s">
        <v>1118</v>
      </c>
      <c r="E155" s="11"/>
      <c r="F155" s="12"/>
      <c r="G155" s="12"/>
      <c r="H155" s="12">
        <v>100</v>
      </c>
      <c r="I155" s="12">
        <v>25</v>
      </c>
      <c r="J155" s="12"/>
      <c r="K155" s="12">
        <v>25</v>
      </c>
      <c r="L155" s="12"/>
      <c r="M155" s="12"/>
      <c r="N155" s="12"/>
      <c r="O155" s="12"/>
      <c r="P155" s="12"/>
      <c r="Q155" s="12"/>
      <c r="R155" s="12"/>
      <c r="S155" s="12"/>
      <c r="T155" s="13"/>
      <c r="U155" s="46"/>
      <c r="V155" s="47"/>
      <c r="W155" s="48">
        <f t="shared" si="19"/>
        <v>0</v>
      </c>
      <c r="X155" s="48">
        <f t="shared" si="20"/>
        <v>0</v>
      </c>
      <c r="Y155" s="48">
        <f t="shared" si="21"/>
        <v>0</v>
      </c>
      <c r="Z155" s="48">
        <f t="shared" si="22"/>
        <v>0</v>
      </c>
      <c r="AA155" s="48"/>
      <c r="AB155" s="48"/>
      <c r="AC155" s="49">
        <f t="shared" si="23"/>
        <v>0</v>
      </c>
      <c r="AD155" s="50">
        <v>0</v>
      </c>
      <c r="AE155" s="47">
        <v>39879</v>
      </c>
      <c r="AF155" s="51" t="s">
        <v>516</v>
      </c>
      <c r="AG155" s="52" t="s">
        <v>517</v>
      </c>
      <c r="AH155" s="53" t="s">
        <v>795</v>
      </c>
      <c r="AI155" s="79"/>
      <c r="AJ155" s="80"/>
      <c r="AK155" s="81"/>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2"/>
      <c r="CL155" s="12"/>
      <c r="CM155" s="82"/>
      <c r="CN155" s="12"/>
      <c r="CO155" s="82"/>
      <c r="CP155" s="12"/>
      <c r="CQ155" s="83">
        <f t="shared" si="24"/>
        <v>0</v>
      </c>
      <c r="CR155" s="84"/>
      <c r="CS155" s="13"/>
      <c r="CT155" s="85"/>
      <c r="CU155" s="86"/>
      <c r="CV155" s="11"/>
      <c r="CW155" s="86"/>
      <c r="CX155" s="84"/>
      <c r="CY155" s="86"/>
    </row>
    <row r="156" spans="1:103" ht="51" x14ac:dyDescent="0.2">
      <c r="A156" s="43">
        <v>39879</v>
      </c>
      <c r="B156" s="44" t="s">
        <v>1350</v>
      </c>
      <c r="C156" s="44" t="s">
        <v>796</v>
      </c>
      <c r="D156" s="45" t="s">
        <v>1118</v>
      </c>
      <c r="E156" s="11"/>
      <c r="F156" s="12"/>
      <c r="G156" s="12"/>
      <c r="H156" s="12">
        <f>100*5</f>
        <v>500</v>
      </c>
      <c r="I156" s="12">
        <v>100</v>
      </c>
      <c r="J156" s="12"/>
      <c r="K156" s="12">
        <v>100</v>
      </c>
      <c r="L156" s="12"/>
      <c r="M156" s="12"/>
      <c r="N156" s="12"/>
      <c r="O156" s="12"/>
      <c r="P156" s="12"/>
      <c r="Q156" s="12"/>
      <c r="R156" s="12"/>
      <c r="S156" s="12"/>
      <c r="T156" s="13"/>
      <c r="U156" s="46"/>
      <c r="V156" s="47"/>
      <c r="W156" s="48">
        <f t="shared" si="19"/>
        <v>0</v>
      </c>
      <c r="X156" s="48">
        <f t="shared" si="20"/>
        <v>0</v>
      </c>
      <c r="Y156" s="48">
        <f t="shared" si="21"/>
        <v>0</v>
      </c>
      <c r="Z156" s="48">
        <f t="shared" si="22"/>
        <v>0</v>
      </c>
      <c r="AA156" s="48"/>
      <c r="AB156" s="48"/>
      <c r="AC156" s="49">
        <f t="shared" si="23"/>
        <v>0</v>
      </c>
      <c r="AD156" s="50">
        <v>0</v>
      </c>
      <c r="AE156" s="47">
        <v>39879</v>
      </c>
      <c r="AF156" s="51" t="s">
        <v>1016</v>
      </c>
      <c r="AG156" s="52" t="s">
        <v>565</v>
      </c>
      <c r="AH156" s="53" t="s">
        <v>1449</v>
      </c>
      <c r="AI156" s="79"/>
      <c r="AJ156" s="80"/>
      <c r="AK156" s="81"/>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2"/>
      <c r="CL156" s="12"/>
      <c r="CM156" s="82"/>
      <c r="CN156" s="12"/>
      <c r="CO156" s="82"/>
      <c r="CP156" s="12"/>
      <c r="CQ156" s="83">
        <f t="shared" si="24"/>
        <v>0</v>
      </c>
      <c r="CR156" s="84"/>
      <c r="CS156" s="13"/>
      <c r="CT156" s="85"/>
      <c r="CU156" s="86"/>
      <c r="CV156" s="11"/>
      <c r="CW156" s="86"/>
      <c r="CX156" s="84"/>
      <c r="CY156" s="86"/>
    </row>
    <row r="157" spans="1:103" ht="25.5" x14ac:dyDescent="0.2">
      <c r="A157" s="43">
        <v>39879</v>
      </c>
      <c r="B157" s="44" t="s">
        <v>1350</v>
      </c>
      <c r="C157" s="44" t="s">
        <v>797</v>
      </c>
      <c r="D157" s="45" t="s">
        <v>1118</v>
      </c>
      <c r="E157" s="11"/>
      <c r="F157" s="12"/>
      <c r="G157" s="12"/>
      <c r="H157" s="12">
        <v>25</v>
      </c>
      <c r="I157" s="12">
        <v>4</v>
      </c>
      <c r="J157" s="12"/>
      <c r="K157" s="12">
        <v>4</v>
      </c>
      <c r="L157" s="12"/>
      <c r="M157" s="12"/>
      <c r="N157" s="12"/>
      <c r="O157" s="12"/>
      <c r="P157" s="12"/>
      <c r="Q157" s="12"/>
      <c r="R157" s="12"/>
      <c r="S157" s="12"/>
      <c r="T157" s="13"/>
      <c r="U157" s="46"/>
      <c r="V157" s="47"/>
      <c r="W157" s="48">
        <f t="shared" si="19"/>
        <v>0</v>
      </c>
      <c r="X157" s="48">
        <f t="shared" si="20"/>
        <v>0</v>
      </c>
      <c r="Y157" s="48">
        <f t="shared" si="21"/>
        <v>0</v>
      </c>
      <c r="Z157" s="48">
        <f t="shared" si="22"/>
        <v>0</v>
      </c>
      <c r="AA157" s="48"/>
      <c r="AB157" s="48"/>
      <c r="AC157" s="49">
        <f t="shared" si="23"/>
        <v>0</v>
      </c>
      <c r="AD157" s="50">
        <v>0</v>
      </c>
      <c r="AE157" s="47">
        <v>39879</v>
      </c>
      <c r="AF157" s="51" t="s">
        <v>516</v>
      </c>
      <c r="AG157" s="52" t="s">
        <v>517</v>
      </c>
      <c r="AH157" s="53" t="s">
        <v>798</v>
      </c>
      <c r="AI157" s="79"/>
      <c r="AJ157" s="80"/>
      <c r="AK157" s="81"/>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2"/>
      <c r="CL157" s="12"/>
      <c r="CM157" s="82"/>
      <c r="CN157" s="12"/>
      <c r="CO157" s="82"/>
      <c r="CP157" s="12"/>
      <c r="CQ157" s="83">
        <f t="shared" si="24"/>
        <v>0</v>
      </c>
      <c r="CR157" s="84"/>
      <c r="CS157" s="13"/>
      <c r="CT157" s="85"/>
      <c r="CU157" s="86"/>
      <c r="CV157" s="11"/>
      <c r="CW157" s="86"/>
      <c r="CX157" s="84"/>
      <c r="CY157" s="86"/>
    </row>
    <row r="158" spans="1:103" ht="25.5" x14ac:dyDescent="0.2">
      <c r="A158" s="43">
        <v>39879</v>
      </c>
      <c r="B158" s="44" t="s">
        <v>1350</v>
      </c>
      <c r="C158" s="44" t="s">
        <v>1083</v>
      </c>
      <c r="D158" s="45" t="s">
        <v>1118</v>
      </c>
      <c r="E158" s="11"/>
      <c r="F158" s="12"/>
      <c r="G158" s="12"/>
      <c r="H158" s="12">
        <v>45</v>
      </c>
      <c r="I158" s="12">
        <v>9</v>
      </c>
      <c r="J158" s="12"/>
      <c r="K158" s="12">
        <v>9</v>
      </c>
      <c r="L158" s="12"/>
      <c r="M158" s="12"/>
      <c r="N158" s="12"/>
      <c r="O158" s="12"/>
      <c r="P158" s="12"/>
      <c r="Q158" s="12"/>
      <c r="R158" s="12"/>
      <c r="S158" s="12"/>
      <c r="T158" s="13"/>
      <c r="U158" s="46"/>
      <c r="V158" s="47"/>
      <c r="W158" s="48">
        <f t="shared" si="19"/>
        <v>0</v>
      </c>
      <c r="X158" s="48">
        <f t="shared" si="20"/>
        <v>0</v>
      </c>
      <c r="Y158" s="48">
        <f t="shared" si="21"/>
        <v>0</v>
      </c>
      <c r="Z158" s="48">
        <f t="shared" si="22"/>
        <v>0</v>
      </c>
      <c r="AA158" s="48"/>
      <c r="AB158" s="48"/>
      <c r="AC158" s="49">
        <f t="shared" si="23"/>
        <v>0</v>
      </c>
      <c r="AD158" s="50">
        <v>0</v>
      </c>
      <c r="AE158" s="47">
        <v>39891</v>
      </c>
      <c r="AF158" s="51" t="s">
        <v>516</v>
      </c>
      <c r="AG158" s="52" t="s">
        <v>517</v>
      </c>
      <c r="AH158" s="53" t="s">
        <v>1352</v>
      </c>
      <c r="AI158" s="79"/>
      <c r="AJ158" s="80"/>
      <c r="AK158" s="81"/>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2"/>
      <c r="CL158" s="12"/>
      <c r="CM158" s="82"/>
      <c r="CN158" s="12"/>
      <c r="CO158" s="82"/>
      <c r="CP158" s="12"/>
      <c r="CQ158" s="83">
        <f t="shared" si="24"/>
        <v>0</v>
      </c>
      <c r="CR158" s="84"/>
      <c r="CS158" s="13"/>
      <c r="CT158" s="85"/>
      <c r="CU158" s="86"/>
      <c r="CV158" s="11"/>
      <c r="CW158" s="86"/>
      <c r="CX158" s="84"/>
      <c r="CY158" s="86"/>
    </row>
    <row r="159" spans="1:103" ht="153" x14ac:dyDescent="0.2">
      <c r="A159" s="43">
        <v>39880</v>
      </c>
      <c r="B159" s="44" t="s">
        <v>300</v>
      </c>
      <c r="C159" s="44" t="s">
        <v>802</v>
      </c>
      <c r="D159" s="45" t="s">
        <v>1118</v>
      </c>
      <c r="E159" s="11"/>
      <c r="F159" s="12"/>
      <c r="G159" s="12"/>
      <c r="H159" s="12"/>
      <c r="I159" s="12"/>
      <c r="J159" s="12"/>
      <c r="K159" s="12"/>
      <c r="L159" s="12"/>
      <c r="M159" s="12"/>
      <c r="N159" s="12"/>
      <c r="O159" s="12"/>
      <c r="P159" s="12"/>
      <c r="Q159" s="12"/>
      <c r="R159" s="12"/>
      <c r="S159" s="12"/>
      <c r="T159" s="13"/>
      <c r="U159" s="46"/>
      <c r="V159" s="47">
        <v>39880</v>
      </c>
      <c r="W159" s="48">
        <f t="shared" si="19"/>
        <v>0</v>
      </c>
      <c r="X159" s="48">
        <f t="shared" si="20"/>
        <v>0</v>
      </c>
      <c r="Y159" s="48">
        <f t="shared" si="21"/>
        <v>0</v>
      </c>
      <c r="Z159" s="48">
        <f t="shared" si="22"/>
        <v>0</v>
      </c>
      <c r="AA159" s="48"/>
      <c r="AB159" s="48">
        <f>30000000+130068000</f>
        <v>160068000</v>
      </c>
      <c r="AC159" s="49">
        <f t="shared" si="23"/>
        <v>160068000</v>
      </c>
      <c r="AD159" s="50">
        <v>0</v>
      </c>
      <c r="AE159" s="47">
        <v>39880</v>
      </c>
      <c r="AF159" s="51" t="s">
        <v>1016</v>
      </c>
      <c r="AG159" s="52" t="s">
        <v>565</v>
      </c>
      <c r="AH159" s="54" t="s">
        <v>442</v>
      </c>
      <c r="AI159" s="79"/>
      <c r="AJ159" s="80"/>
      <c r="AK159" s="81"/>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2"/>
      <c r="CL159" s="12"/>
      <c r="CM159" s="82"/>
      <c r="CN159" s="12"/>
      <c r="CO159" s="82"/>
      <c r="CP159" s="12"/>
      <c r="CQ159" s="83">
        <f t="shared" si="24"/>
        <v>0</v>
      </c>
      <c r="CR159" s="84"/>
      <c r="CS159" s="13"/>
      <c r="CT159" s="85"/>
      <c r="CU159" s="86"/>
      <c r="CV159" s="11"/>
      <c r="CW159" s="86"/>
      <c r="CX159" s="84"/>
      <c r="CY159" s="86"/>
    </row>
    <row r="160" spans="1:103" ht="153" x14ac:dyDescent="0.2">
      <c r="A160" s="43">
        <v>39880</v>
      </c>
      <c r="B160" s="44" t="s">
        <v>1224</v>
      </c>
      <c r="C160" s="44" t="s">
        <v>282</v>
      </c>
      <c r="D160" s="45" t="s">
        <v>1118</v>
      </c>
      <c r="E160" s="11"/>
      <c r="F160" s="12"/>
      <c r="G160" s="12"/>
      <c r="H160" s="12">
        <v>2000</v>
      </c>
      <c r="I160" s="12">
        <v>400</v>
      </c>
      <c r="J160" s="12"/>
      <c r="K160" s="12">
        <v>220</v>
      </c>
      <c r="L160" s="12"/>
      <c r="M160" s="12"/>
      <c r="N160" s="12">
        <v>7</v>
      </c>
      <c r="O160" s="12"/>
      <c r="P160" s="12"/>
      <c r="Q160" s="12"/>
      <c r="R160" s="12"/>
      <c r="S160" s="12"/>
      <c r="T160" s="13">
        <v>70</v>
      </c>
      <c r="U160" s="46"/>
      <c r="V160" s="47">
        <v>39923</v>
      </c>
      <c r="W160" s="48">
        <f t="shared" si="19"/>
        <v>159951734</v>
      </c>
      <c r="X160" s="48">
        <f t="shared" si="20"/>
        <v>170000000</v>
      </c>
      <c r="Y160" s="48">
        <f t="shared" si="21"/>
        <v>0</v>
      </c>
      <c r="Z160" s="48">
        <f t="shared" si="22"/>
        <v>0</v>
      </c>
      <c r="AA160" s="48">
        <f>11600000+17959120</f>
        <v>29559120</v>
      </c>
      <c r="AB160" s="48"/>
      <c r="AC160" s="49">
        <f t="shared" si="23"/>
        <v>359510854</v>
      </c>
      <c r="AD160" s="50">
        <v>0</v>
      </c>
      <c r="AE160" s="47">
        <v>39880</v>
      </c>
      <c r="AF160" s="51" t="s">
        <v>1016</v>
      </c>
      <c r="AG160" s="52" t="s">
        <v>565</v>
      </c>
      <c r="AH160" s="53" t="s">
        <v>832</v>
      </c>
      <c r="AI160" s="79"/>
      <c r="AJ160" s="80"/>
      <c r="AK160" s="81"/>
      <c r="AL160" s="80"/>
      <c r="AM160" s="80"/>
      <c r="AN160" s="80"/>
      <c r="AO160" s="80"/>
      <c r="AP160" s="80"/>
      <c r="AQ160" s="80"/>
      <c r="AR160" s="80"/>
      <c r="AS160" s="80"/>
      <c r="AT160" s="80"/>
      <c r="AU160" s="80">
        <f>1000+300</f>
        <v>1300</v>
      </c>
      <c r="AV160" s="80">
        <f>1000*56000+300*56000</f>
        <v>72800000</v>
      </c>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v>1000</v>
      </c>
      <c r="CF160" s="80">
        <f>1000*20999.99</f>
        <v>20999990</v>
      </c>
      <c r="CG160" s="80"/>
      <c r="CH160" s="80"/>
      <c r="CI160" s="80"/>
      <c r="CJ160" s="80"/>
      <c r="CK160" s="82">
        <f>400+1000</f>
        <v>1400</v>
      </c>
      <c r="CL160" s="12">
        <f>400*36999.36+1000*36952</f>
        <v>51751744</v>
      </c>
      <c r="CM160" s="82">
        <v>400</v>
      </c>
      <c r="CN160" s="12">
        <f>400*36000</f>
        <v>14400000</v>
      </c>
      <c r="CO160" s="82"/>
      <c r="CP160" s="12"/>
      <c r="CQ160" s="83">
        <f t="shared" si="24"/>
        <v>159951734</v>
      </c>
      <c r="CR160" s="84"/>
      <c r="CS160" s="13"/>
      <c r="CT160" s="85">
        <f>1000+1000</f>
        <v>2000</v>
      </c>
      <c r="CU160" s="86">
        <f>1000*85000+1000*85000</f>
        <v>170000000</v>
      </c>
      <c r="CV160" s="11"/>
      <c r="CW160" s="86"/>
      <c r="CX160" s="84"/>
      <c r="CY160" s="86"/>
    </row>
    <row r="161" spans="1:103" ht="25.5" x14ac:dyDescent="0.2">
      <c r="A161" s="43">
        <v>39881</v>
      </c>
      <c r="B161" s="44" t="s">
        <v>625</v>
      </c>
      <c r="C161" s="44" t="s">
        <v>803</v>
      </c>
      <c r="D161" s="45" t="s">
        <v>1092</v>
      </c>
      <c r="E161" s="11"/>
      <c r="F161" s="12"/>
      <c r="G161" s="12"/>
      <c r="H161" s="12"/>
      <c r="I161" s="12"/>
      <c r="J161" s="12"/>
      <c r="K161" s="12"/>
      <c r="L161" s="12"/>
      <c r="M161" s="12"/>
      <c r="N161" s="12"/>
      <c r="O161" s="12"/>
      <c r="P161" s="12"/>
      <c r="Q161" s="12"/>
      <c r="R161" s="12"/>
      <c r="S161" s="12"/>
      <c r="T161" s="13"/>
      <c r="U161" s="46"/>
      <c r="V161" s="47"/>
      <c r="W161" s="48">
        <f t="shared" si="19"/>
        <v>0</v>
      </c>
      <c r="X161" s="48">
        <f t="shared" si="20"/>
        <v>0</v>
      </c>
      <c r="Y161" s="48">
        <f t="shared" si="21"/>
        <v>0</v>
      </c>
      <c r="Z161" s="48">
        <f t="shared" si="22"/>
        <v>0</v>
      </c>
      <c r="AA161" s="48"/>
      <c r="AB161" s="48"/>
      <c r="AC161" s="49">
        <f t="shared" si="23"/>
        <v>0</v>
      </c>
      <c r="AD161" s="50">
        <v>0</v>
      </c>
      <c r="AE161" s="47">
        <v>39881</v>
      </c>
      <c r="AF161" s="51" t="s">
        <v>516</v>
      </c>
      <c r="AG161" s="52" t="s">
        <v>517</v>
      </c>
      <c r="AH161" s="53" t="s">
        <v>347</v>
      </c>
      <c r="AI161" s="79"/>
      <c r="AJ161" s="80"/>
      <c r="AK161" s="81"/>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2"/>
      <c r="CL161" s="12"/>
      <c r="CM161" s="82"/>
      <c r="CN161" s="12"/>
      <c r="CO161" s="82"/>
      <c r="CP161" s="12"/>
      <c r="CQ161" s="83">
        <f t="shared" si="24"/>
        <v>0</v>
      </c>
      <c r="CR161" s="84"/>
      <c r="CS161" s="13"/>
      <c r="CT161" s="85"/>
      <c r="CU161" s="86"/>
      <c r="CV161" s="11"/>
      <c r="CW161" s="86"/>
      <c r="CX161" s="84"/>
      <c r="CY161" s="86"/>
    </row>
    <row r="162" spans="1:103" ht="25.5" x14ac:dyDescent="0.2">
      <c r="A162" s="43">
        <v>39881</v>
      </c>
      <c r="B162" s="44" t="s">
        <v>625</v>
      </c>
      <c r="C162" s="44" t="s">
        <v>348</v>
      </c>
      <c r="D162" s="45" t="s">
        <v>1118</v>
      </c>
      <c r="E162" s="11"/>
      <c r="F162" s="12"/>
      <c r="G162" s="12"/>
      <c r="H162" s="12">
        <v>50</v>
      </c>
      <c r="I162" s="12">
        <v>10</v>
      </c>
      <c r="J162" s="12"/>
      <c r="K162" s="12">
        <v>10</v>
      </c>
      <c r="L162" s="12"/>
      <c r="M162" s="12"/>
      <c r="N162" s="12"/>
      <c r="O162" s="12"/>
      <c r="P162" s="12"/>
      <c r="Q162" s="12"/>
      <c r="R162" s="12"/>
      <c r="S162" s="12"/>
      <c r="T162" s="13"/>
      <c r="U162" s="46"/>
      <c r="V162" s="47"/>
      <c r="W162" s="48">
        <f t="shared" si="19"/>
        <v>0</v>
      </c>
      <c r="X162" s="48">
        <f t="shared" si="20"/>
        <v>0</v>
      </c>
      <c r="Y162" s="48">
        <f t="shared" si="21"/>
        <v>0</v>
      </c>
      <c r="Z162" s="48">
        <f t="shared" si="22"/>
        <v>0</v>
      </c>
      <c r="AA162" s="48"/>
      <c r="AB162" s="48"/>
      <c r="AC162" s="49">
        <f t="shared" si="23"/>
        <v>0</v>
      </c>
      <c r="AD162" s="50">
        <v>0</v>
      </c>
      <c r="AE162" s="47">
        <v>39881</v>
      </c>
      <c r="AF162" s="51" t="s">
        <v>516</v>
      </c>
      <c r="AG162" s="52" t="s">
        <v>517</v>
      </c>
      <c r="AH162" s="53" t="s">
        <v>654</v>
      </c>
      <c r="AI162" s="79"/>
      <c r="AJ162" s="80"/>
      <c r="AK162" s="81"/>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2"/>
      <c r="CL162" s="12"/>
      <c r="CM162" s="82"/>
      <c r="CN162" s="12"/>
      <c r="CO162" s="82"/>
      <c r="CP162" s="12"/>
      <c r="CQ162" s="83">
        <f t="shared" si="24"/>
        <v>0</v>
      </c>
      <c r="CR162" s="84"/>
      <c r="CS162" s="13"/>
      <c r="CT162" s="85"/>
      <c r="CU162" s="86"/>
      <c r="CV162" s="11"/>
      <c r="CW162" s="86"/>
      <c r="CX162" s="84"/>
      <c r="CY162" s="86"/>
    </row>
    <row r="163" spans="1:103" ht="38.25" x14ac:dyDescent="0.2">
      <c r="A163" s="43">
        <v>39881</v>
      </c>
      <c r="B163" s="44" t="s">
        <v>625</v>
      </c>
      <c r="C163" s="44" t="s">
        <v>655</v>
      </c>
      <c r="D163" s="45" t="s">
        <v>1117</v>
      </c>
      <c r="E163" s="11"/>
      <c r="F163" s="12"/>
      <c r="G163" s="12"/>
      <c r="H163" s="12">
        <v>100</v>
      </c>
      <c r="I163" s="12">
        <v>20</v>
      </c>
      <c r="J163" s="12"/>
      <c r="K163" s="12">
        <v>20</v>
      </c>
      <c r="L163" s="12"/>
      <c r="M163" s="12"/>
      <c r="N163" s="12"/>
      <c r="O163" s="12"/>
      <c r="P163" s="12"/>
      <c r="Q163" s="12"/>
      <c r="R163" s="12"/>
      <c r="S163" s="12"/>
      <c r="T163" s="13"/>
      <c r="U163" s="46"/>
      <c r="V163" s="47"/>
      <c r="W163" s="48">
        <f t="shared" si="19"/>
        <v>0</v>
      </c>
      <c r="X163" s="48">
        <f t="shared" si="20"/>
        <v>0</v>
      </c>
      <c r="Y163" s="48">
        <f t="shared" si="21"/>
        <v>0</v>
      </c>
      <c r="Z163" s="48">
        <f t="shared" si="22"/>
        <v>0</v>
      </c>
      <c r="AA163" s="48"/>
      <c r="AB163" s="48"/>
      <c r="AC163" s="49">
        <f t="shared" si="23"/>
        <v>0</v>
      </c>
      <c r="AD163" s="50">
        <v>0</v>
      </c>
      <c r="AE163" s="47">
        <v>39881</v>
      </c>
      <c r="AF163" s="51" t="s">
        <v>516</v>
      </c>
      <c r="AG163" s="52" t="s">
        <v>517</v>
      </c>
      <c r="AH163" s="53" t="s">
        <v>656</v>
      </c>
      <c r="AI163" s="79"/>
      <c r="AJ163" s="80"/>
      <c r="AK163" s="81"/>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2"/>
      <c r="CL163" s="12"/>
      <c r="CM163" s="82"/>
      <c r="CN163" s="12"/>
      <c r="CO163" s="82"/>
      <c r="CP163" s="12"/>
      <c r="CQ163" s="83">
        <f t="shared" si="24"/>
        <v>0</v>
      </c>
      <c r="CR163" s="84"/>
      <c r="CS163" s="13"/>
      <c r="CT163" s="85"/>
      <c r="CU163" s="86"/>
      <c r="CV163" s="11"/>
      <c r="CW163" s="86"/>
      <c r="CX163" s="84"/>
      <c r="CY163" s="86"/>
    </row>
    <row r="164" spans="1:103" ht="25.5" x14ac:dyDescent="0.2">
      <c r="A164" s="43">
        <v>39881</v>
      </c>
      <c r="B164" s="44" t="s">
        <v>1067</v>
      </c>
      <c r="C164" s="44" t="s">
        <v>1346</v>
      </c>
      <c r="D164" s="45" t="s">
        <v>1117</v>
      </c>
      <c r="E164" s="11"/>
      <c r="F164" s="12"/>
      <c r="G164" s="12"/>
      <c r="H164" s="12">
        <v>145</v>
      </c>
      <c r="I164" s="12">
        <v>29</v>
      </c>
      <c r="J164" s="12">
        <v>1</v>
      </c>
      <c r="K164" s="12">
        <v>28</v>
      </c>
      <c r="L164" s="12"/>
      <c r="M164" s="12"/>
      <c r="N164" s="12"/>
      <c r="O164" s="12"/>
      <c r="P164" s="12"/>
      <c r="Q164" s="12"/>
      <c r="R164" s="12"/>
      <c r="S164" s="12"/>
      <c r="T164" s="13"/>
      <c r="U164" s="46"/>
      <c r="V164" s="47"/>
      <c r="W164" s="48">
        <f t="shared" si="19"/>
        <v>0</v>
      </c>
      <c r="X164" s="48">
        <f t="shared" si="20"/>
        <v>0</v>
      </c>
      <c r="Y164" s="48">
        <f t="shared" si="21"/>
        <v>0</v>
      </c>
      <c r="Z164" s="48">
        <f t="shared" si="22"/>
        <v>0</v>
      </c>
      <c r="AA164" s="48"/>
      <c r="AB164" s="48"/>
      <c r="AC164" s="49">
        <f t="shared" si="23"/>
        <v>0</v>
      </c>
      <c r="AD164" s="50">
        <v>0</v>
      </c>
      <c r="AE164" s="47">
        <v>39891</v>
      </c>
      <c r="AF164" s="51" t="s">
        <v>516</v>
      </c>
      <c r="AG164" s="52" t="s">
        <v>517</v>
      </c>
      <c r="AH164" s="53" t="s">
        <v>1352</v>
      </c>
      <c r="AI164" s="79"/>
      <c r="AJ164" s="80"/>
      <c r="AK164" s="81"/>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2"/>
      <c r="CL164" s="12"/>
      <c r="CM164" s="82"/>
      <c r="CN164" s="12"/>
      <c r="CO164" s="82"/>
      <c r="CP164" s="12"/>
      <c r="CQ164" s="83">
        <f t="shared" si="24"/>
        <v>0</v>
      </c>
      <c r="CR164" s="84"/>
      <c r="CS164" s="13"/>
      <c r="CT164" s="85"/>
      <c r="CU164" s="86"/>
      <c r="CV164" s="11"/>
      <c r="CW164" s="86"/>
      <c r="CX164" s="84"/>
      <c r="CY164" s="86"/>
    </row>
    <row r="165" spans="1:103" ht="12.75" x14ac:dyDescent="0.2">
      <c r="A165" s="43">
        <v>39881</v>
      </c>
      <c r="B165" s="44" t="s">
        <v>481</v>
      </c>
      <c r="C165" s="44" t="s">
        <v>243</v>
      </c>
      <c r="D165" s="45" t="s">
        <v>1118</v>
      </c>
      <c r="E165" s="11"/>
      <c r="F165" s="12"/>
      <c r="G165" s="12"/>
      <c r="H165" s="12">
        <f>47*5</f>
        <v>235</v>
      </c>
      <c r="I165" s="12">
        <v>47</v>
      </c>
      <c r="J165" s="12"/>
      <c r="K165" s="12">
        <v>47</v>
      </c>
      <c r="L165" s="12"/>
      <c r="M165" s="12"/>
      <c r="N165" s="12"/>
      <c r="O165" s="12"/>
      <c r="P165" s="12"/>
      <c r="Q165" s="12"/>
      <c r="R165" s="12"/>
      <c r="S165" s="12"/>
      <c r="T165" s="13"/>
      <c r="U165" s="46"/>
      <c r="V165" s="47">
        <v>39927</v>
      </c>
      <c r="W165" s="48">
        <f t="shared" si="19"/>
        <v>4650000</v>
      </c>
      <c r="X165" s="48">
        <f t="shared" si="20"/>
        <v>5100000</v>
      </c>
      <c r="Y165" s="48">
        <f t="shared" si="21"/>
        <v>9975000</v>
      </c>
      <c r="Z165" s="48">
        <f t="shared" si="22"/>
        <v>0</v>
      </c>
      <c r="AA165" s="48"/>
      <c r="AB165" s="48"/>
      <c r="AC165" s="49">
        <f t="shared" si="23"/>
        <v>19725000</v>
      </c>
      <c r="AD165" s="50">
        <v>0</v>
      </c>
      <c r="AE165" s="47">
        <v>39919</v>
      </c>
      <c r="AF165" s="51" t="s">
        <v>1016</v>
      </c>
      <c r="AG165" s="52" t="s">
        <v>565</v>
      </c>
      <c r="AH165" s="53" t="s">
        <v>317</v>
      </c>
      <c r="AI165" s="79"/>
      <c r="AJ165" s="80"/>
      <c r="AK165" s="81"/>
      <c r="AL165" s="80"/>
      <c r="AM165" s="80"/>
      <c r="AN165" s="80"/>
      <c r="AO165" s="80"/>
      <c r="AP165" s="80"/>
      <c r="AQ165" s="80"/>
      <c r="AR165" s="80"/>
      <c r="AS165" s="80"/>
      <c r="AT165" s="80"/>
      <c r="AU165" s="80">
        <v>60</v>
      </c>
      <c r="AV165" s="80">
        <f>60*56000</f>
        <v>3360000</v>
      </c>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v>60</v>
      </c>
      <c r="CF165" s="80">
        <f>60*21500</f>
        <v>1290000</v>
      </c>
      <c r="CG165" s="80"/>
      <c r="CH165" s="80"/>
      <c r="CI165" s="80"/>
      <c r="CJ165" s="80"/>
      <c r="CK165" s="82"/>
      <c r="CL165" s="12"/>
      <c r="CM165" s="82"/>
      <c r="CN165" s="12"/>
      <c r="CO165" s="82"/>
      <c r="CP165" s="12"/>
      <c r="CQ165" s="83">
        <f t="shared" si="24"/>
        <v>4650000</v>
      </c>
      <c r="CR165" s="84"/>
      <c r="CS165" s="13"/>
      <c r="CT165" s="85">
        <v>60</v>
      </c>
      <c r="CU165" s="86">
        <f>60*85000</f>
        <v>5100000</v>
      </c>
      <c r="CV165" s="11"/>
      <c r="CW165" s="86"/>
      <c r="CX165" s="84">
        <f>170+210</f>
        <v>380</v>
      </c>
      <c r="CY165" s="86">
        <f>170*21000+210*30500</f>
        <v>9975000</v>
      </c>
    </row>
    <row r="166" spans="1:103" ht="25.5" x14ac:dyDescent="0.2">
      <c r="A166" s="43">
        <v>39881</v>
      </c>
      <c r="B166" s="44" t="s">
        <v>481</v>
      </c>
      <c r="C166" s="44" t="s">
        <v>513</v>
      </c>
      <c r="D166" s="45" t="s">
        <v>1118</v>
      </c>
      <c r="E166" s="11"/>
      <c r="F166" s="12"/>
      <c r="G166" s="12"/>
      <c r="H166" s="12">
        <f>74*5</f>
        <v>370</v>
      </c>
      <c r="I166" s="12">
        <v>74</v>
      </c>
      <c r="J166" s="12"/>
      <c r="K166" s="12">
        <v>74</v>
      </c>
      <c r="L166" s="12"/>
      <c r="M166" s="12"/>
      <c r="N166" s="12"/>
      <c r="O166" s="12"/>
      <c r="P166" s="12"/>
      <c r="Q166" s="12"/>
      <c r="R166" s="12"/>
      <c r="S166" s="12"/>
      <c r="T166" s="13"/>
      <c r="U166" s="46"/>
      <c r="V166" s="47">
        <v>39927</v>
      </c>
      <c r="W166" s="48">
        <f t="shared" si="19"/>
        <v>3100000</v>
      </c>
      <c r="X166" s="48">
        <f t="shared" si="20"/>
        <v>4250000</v>
      </c>
      <c r="Y166" s="48">
        <f t="shared" si="21"/>
        <v>7030000</v>
      </c>
      <c r="Z166" s="48">
        <f t="shared" si="22"/>
        <v>0</v>
      </c>
      <c r="AA166" s="48"/>
      <c r="AB166" s="48"/>
      <c r="AC166" s="49">
        <f t="shared" si="23"/>
        <v>14380000</v>
      </c>
      <c r="AD166" s="50">
        <v>0</v>
      </c>
      <c r="AE166" s="47">
        <v>39919</v>
      </c>
      <c r="AF166" s="51" t="s">
        <v>1016</v>
      </c>
      <c r="AG166" s="52" t="s">
        <v>565</v>
      </c>
      <c r="AH166" s="53" t="s">
        <v>317</v>
      </c>
      <c r="AI166" s="79"/>
      <c r="AJ166" s="80"/>
      <c r="AK166" s="81"/>
      <c r="AL166" s="80"/>
      <c r="AM166" s="80"/>
      <c r="AN166" s="80"/>
      <c r="AO166" s="80"/>
      <c r="AP166" s="80"/>
      <c r="AQ166" s="80"/>
      <c r="AR166" s="80"/>
      <c r="AS166" s="80"/>
      <c r="AT166" s="80"/>
      <c r="AU166" s="80">
        <v>40</v>
      </c>
      <c r="AV166" s="80">
        <f>40*56000</f>
        <v>2240000</v>
      </c>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v>40</v>
      </c>
      <c r="CF166" s="80">
        <f>40*21500</f>
        <v>860000</v>
      </c>
      <c r="CG166" s="80"/>
      <c r="CH166" s="80"/>
      <c r="CI166" s="80"/>
      <c r="CJ166" s="80"/>
      <c r="CK166" s="82"/>
      <c r="CL166" s="12"/>
      <c r="CM166" s="82"/>
      <c r="CN166" s="12"/>
      <c r="CO166" s="82"/>
      <c r="CP166" s="12"/>
      <c r="CQ166" s="83">
        <f t="shared" si="24"/>
        <v>3100000</v>
      </c>
      <c r="CR166" s="84"/>
      <c r="CS166" s="13"/>
      <c r="CT166" s="85">
        <v>50</v>
      </c>
      <c r="CU166" s="86">
        <f>50*85000</f>
        <v>4250000</v>
      </c>
      <c r="CV166" s="11"/>
      <c r="CW166" s="86"/>
      <c r="CX166" s="84">
        <f>175+110</f>
        <v>285</v>
      </c>
      <c r="CY166" s="86">
        <f>175*21000+110*30500</f>
        <v>7030000</v>
      </c>
    </row>
    <row r="167" spans="1:103" ht="25.5" x14ac:dyDescent="0.2">
      <c r="A167" s="43">
        <v>39882</v>
      </c>
      <c r="B167" s="44" t="s">
        <v>1094</v>
      </c>
      <c r="C167" s="44" t="s">
        <v>929</v>
      </c>
      <c r="D167" s="45" t="s">
        <v>1117</v>
      </c>
      <c r="E167" s="11"/>
      <c r="F167" s="12"/>
      <c r="G167" s="12"/>
      <c r="H167" s="12">
        <f>70*5</f>
        <v>350</v>
      </c>
      <c r="I167" s="12">
        <v>70</v>
      </c>
      <c r="J167" s="12"/>
      <c r="K167" s="12">
        <v>70</v>
      </c>
      <c r="L167" s="12"/>
      <c r="M167" s="12"/>
      <c r="N167" s="12"/>
      <c r="O167" s="12"/>
      <c r="P167" s="12"/>
      <c r="Q167" s="12"/>
      <c r="R167" s="12"/>
      <c r="S167" s="12"/>
      <c r="T167" s="13"/>
      <c r="U167" s="46"/>
      <c r="V167" s="47"/>
      <c r="W167" s="48">
        <f t="shared" si="19"/>
        <v>0</v>
      </c>
      <c r="X167" s="48">
        <f t="shared" si="20"/>
        <v>0</v>
      </c>
      <c r="Y167" s="48">
        <f t="shared" si="21"/>
        <v>0</v>
      </c>
      <c r="Z167" s="48">
        <f t="shared" si="22"/>
        <v>0</v>
      </c>
      <c r="AA167" s="48"/>
      <c r="AB167" s="48"/>
      <c r="AC167" s="49">
        <f t="shared" si="23"/>
        <v>0</v>
      </c>
      <c r="AD167" s="50">
        <v>0</v>
      </c>
      <c r="AE167" s="47">
        <v>39882</v>
      </c>
      <c r="AF167" s="51" t="s">
        <v>516</v>
      </c>
      <c r="AG167" s="52" t="s">
        <v>517</v>
      </c>
      <c r="AH167" s="53" t="s">
        <v>518</v>
      </c>
      <c r="AI167" s="79"/>
      <c r="AJ167" s="80"/>
      <c r="AK167" s="81"/>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2"/>
      <c r="CL167" s="12"/>
      <c r="CM167" s="82"/>
      <c r="CN167" s="12"/>
      <c r="CO167" s="82"/>
      <c r="CP167" s="12"/>
      <c r="CQ167" s="83">
        <f t="shared" si="24"/>
        <v>0</v>
      </c>
      <c r="CR167" s="84"/>
      <c r="CS167" s="13"/>
      <c r="CT167" s="85"/>
      <c r="CU167" s="86"/>
      <c r="CV167" s="11"/>
      <c r="CW167" s="86"/>
      <c r="CX167" s="84"/>
      <c r="CY167" s="86"/>
    </row>
    <row r="168" spans="1:103" ht="114.75" x14ac:dyDescent="0.2">
      <c r="A168" s="43">
        <v>39882</v>
      </c>
      <c r="B168" s="44" t="s">
        <v>1127</v>
      </c>
      <c r="C168" s="44" t="s">
        <v>657</v>
      </c>
      <c r="D168" s="45" t="s">
        <v>1134</v>
      </c>
      <c r="E168" s="11"/>
      <c r="F168" s="12"/>
      <c r="G168" s="12"/>
      <c r="H168" s="12"/>
      <c r="I168" s="12"/>
      <c r="J168" s="12"/>
      <c r="K168" s="12"/>
      <c r="L168" s="12"/>
      <c r="M168" s="12"/>
      <c r="N168" s="12"/>
      <c r="O168" s="12"/>
      <c r="P168" s="12"/>
      <c r="Q168" s="12"/>
      <c r="R168" s="12"/>
      <c r="S168" s="12"/>
      <c r="T168" s="13"/>
      <c r="U168" s="46"/>
      <c r="V168" s="47">
        <v>39882</v>
      </c>
      <c r="W168" s="48">
        <f t="shared" si="19"/>
        <v>0</v>
      </c>
      <c r="X168" s="48">
        <f t="shared" si="20"/>
        <v>0</v>
      </c>
      <c r="Y168" s="48">
        <f t="shared" si="21"/>
        <v>0</v>
      </c>
      <c r="Z168" s="48">
        <f t="shared" si="22"/>
        <v>0</v>
      </c>
      <c r="AA168" s="48"/>
      <c r="AB168" s="48">
        <v>7200000</v>
      </c>
      <c r="AC168" s="49">
        <f t="shared" si="23"/>
        <v>7200000</v>
      </c>
      <c r="AD168" s="50">
        <v>0</v>
      </c>
      <c r="AE168" s="47">
        <v>39877</v>
      </c>
      <c r="AF168" s="51" t="s">
        <v>1016</v>
      </c>
      <c r="AG168" s="52" t="s">
        <v>565</v>
      </c>
      <c r="AH168" s="54" t="s">
        <v>696</v>
      </c>
      <c r="AI168" s="79"/>
      <c r="AJ168" s="80"/>
      <c r="AK168" s="81"/>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2"/>
      <c r="CL168" s="12"/>
      <c r="CM168" s="82"/>
      <c r="CN168" s="12"/>
      <c r="CO168" s="82"/>
      <c r="CP168" s="12"/>
      <c r="CQ168" s="83">
        <f t="shared" si="24"/>
        <v>0</v>
      </c>
      <c r="CR168" s="84"/>
      <c r="CS168" s="13"/>
      <c r="CT168" s="85"/>
      <c r="CU168" s="86"/>
      <c r="CV168" s="11"/>
      <c r="CW168" s="86"/>
      <c r="CX168" s="84"/>
      <c r="CY168" s="86"/>
    </row>
    <row r="169" spans="1:103" ht="242.25" x14ac:dyDescent="0.2">
      <c r="A169" s="43">
        <v>39883</v>
      </c>
      <c r="B169" s="44" t="s">
        <v>1350</v>
      </c>
      <c r="C169" s="44" t="s">
        <v>658</v>
      </c>
      <c r="D169" s="45" t="s">
        <v>1092</v>
      </c>
      <c r="E169" s="11"/>
      <c r="F169" s="12"/>
      <c r="G169" s="12"/>
      <c r="H169" s="12"/>
      <c r="I169" s="12"/>
      <c r="J169" s="12"/>
      <c r="K169" s="12"/>
      <c r="L169" s="12"/>
      <c r="M169" s="12"/>
      <c r="N169" s="12"/>
      <c r="O169" s="12"/>
      <c r="P169" s="12"/>
      <c r="Q169" s="12"/>
      <c r="R169" s="12"/>
      <c r="S169" s="12"/>
      <c r="T169" s="13"/>
      <c r="U169" s="46"/>
      <c r="V169" s="47">
        <v>39883</v>
      </c>
      <c r="W169" s="48">
        <f t="shared" si="19"/>
        <v>0</v>
      </c>
      <c r="X169" s="48">
        <f t="shared" si="20"/>
        <v>0</v>
      </c>
      <c r="Y169" s="48">
        <f t="shared" si="21"/>
        <v>0</v>
      </c>
      <c r="Z169" s="48">
        <f t="shared" si="22"/>
        <v>0</v>
      </c>
      <c r="AA169" s="48"/>
      <c r="AB169" s="48">
        <v>200000000</v>
      </c>
      <c r="AC169" s="49">
        <f t="shared" si="23"/>
        <v>200000000</v>
      </c>
      <c r="AD169" s="50">
        <v>0</v>
      </c>
      <c r="AE169" s="47">
        <v>39876</v>
      </c>
      <c r="AF169" s="51" t="s">
        <v>1016</v>
      </c>
      <c r="AG169" s="52" t="s">
        <v>565</v>
      </c>
      <c r="AH169" s="59" t="s">
        <v>928</v>
      </c>
      <c r="AI169" s="79"/>
      <c r="AJ169" s="80"/>
      <c r="AK169" s="81"/>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2"/>
      <c r="CL169" s="12"/>
      <c r="CM169" s="82"/>
      <c r="CN169" s="12"/>
      <c r="CO169" s="82"/>
      <c r="CP169" s="12"/>
      <c r="CQ169" s="83">
        <f t="shared" si="24"/>
        <v>0</v>
      </c>
      <c r="CR169" s="84"/>
      <c r="CS169" s="13"/>
      <c r="CT169" s="85"/>
      <c r="CU169" s="86"/>
      <c r="CV169" s="11"/>
      <c r="CW169" s="86"/>
      <c r="CX169" s="84"/>
      <c r="CY169" s="86"/>
    </row>
    <row r="170" spans="1:103" ht="25.5" x14ac:dyDescent="0.2">
      <c r="A170" s="43">
        <v>39884</v>
      </c>
      <c r="B170" s="44" t="s">
        <v>625</v>
      </c>
      <c r="C170" s="44" t="s">
        <v>648</v>
      </c>
      <c r="D170" s="45" t="s">
        <v>1117</v>
      </c>
      <c r="E170" s="11"/>
      <c r="F170" s="12"/>
      <c r="G170" s="12"/>
      <c r="H170" s="12">
        <v>450</v>
      </c>
      <c r="I170" s="12">
        <v>90</v>
      </c>
      <c r="J170" s="12"/>
      <c r="K170" s="12">
        <v>90</v>
      </c>
      <c r="L170" s="12"/>
      <c r="M170" s="12"/>
      <c r="N170" s="12"/>
      <c r="O170" s="12"/>
      <c r="P170" s="12"/>
      <c r="Q170" s="12"/>
      <c r="R170" s="12"/>
      <c r="S170" s="12"/>
      <c r="T170" s="13"/>
      <c r="U170" s="46"/>
      <c r="V170" s="47"/>
      <c r="W170" s="48">
        <f t="shared" si="19"/>
        <v>0</v>
      </c>
      <c r="X170" s="48">
        <f t="shared" si="20"/>
        <v>0</v>
      </c>
      <c r="Y170" s="48">
        <f t="shared" si="21"/>
        <v>0</v>
      </c>
      <c r="Z170" s="48">
        <f t="shared" si="22"/>
        <v>0</v>
      </c>
      <c r="AA170" s="48"/>
      <c r="AB170" s="48"/>
      <c r="AC170" s="49">
        <f t="shared" si="23"/>
        <v>0</v>
      </c>
      <c r="AD170" s="50">
        <v>0</v>
      </c>
      <c r="AE170" s="47">
        <v>39891</v>
      </c>
      <c r="AF170" s="51" t="s">
        <v>516</v>
      </c>
      <c r="AG170" s="52" t="s">
        <v>517</v>
      </c>
      <c r="AH170" s="53" t="s">
        <v>1352</v>
      </c>
      <c r="AI170" s="79"/>
      <c r="AJ170" s="80"/>
      <c r="AK170" s="81"/>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2"/>
      <c r="CL170" s="12"/>
      <c r="CM170" s="82"/>
      <c r="CN170" s="12"/>
      <c r="CO170" s="82"/>
      <c r="CP170" s="12"/>
      <c r="CQ170" s="83">
        <f t="shared" si="24"/>
        <v>0</v>
      </c>
      <c r="CR170" s="84"/>
      <c r="CS170" s="13"/>
      <c r="CT170" s="85"/>
      <c r="CU170" s="86"/>
      <c r="CV170" s="11"/>
      <c r="CW170" s="86"/>
      <c r="CX170" s="84"/>
      <c r="CY170" s="86"/>
    </row>
    <row r="171" spans="1:103" ht="25.5" x14ac:dyDescent="0.2">
      <c r="A171" s="43">
        <v>39884</v>
      </c>
      <c r="B171" s="44" t="s">
        <v>904</v>
      </c>
      <c r="C171" s="44" t="s">
        <v>1008</v>
      </c>
      <c r="D171" s="45" t="s">
        <v>1117</v>
      </c>
      <c r="E171" s="11"/>
      <c r="F171" s="12"/>
      <c r="G171" s="12"/>
      <c r="H171" s="12">
        <f>31*5</f>
        <v>155</v>
      </c>
      <c r="I171" s="12">
        <v>31</v>
      </c>
      <c r="J171" s="12">
        <v>1</v>
      </c>
      <c r="K171" s="12">
        <v>30</v>
      </c>
      <c r="L171" s="12"/>
      <c r="M171" s="12"/>
      <c r="N171" s="12"/>
      <c r="O171" s="12"/>
      <c r="P171" s="12"/>
      <c r="Q171" s="12"/>
      <c r="R171" s="12"/>
      <c r="S171" s="12"/>
      <c r="T171" s="13"/>
      <c r="U171" s="46"/>
      <c r="V171" s="47"/>
      <c r="W171" s="48">
        <f t="shared" si="19"/>
        <v>0</v>
      </c>
      <c r="X171" s="48">
        <f t="shared" si="20"/>
        <v>0</v>
      </c>
      <c r="Y171" s="48">
        <f t="shared" si="21"/>
        <v>0</v>
      </c>
      <c r="Z171" s="48">
        <f t="shared" si="22"/>
        <v>0</v>
      </c>
      <c r="AA171" s="48"/>
      <c r="AB171" s="48"/>
      <c r="AC171" s="49">
        <f t="shared" si="23"/>
        <v>0</v>
      </c>
      <c r="AD171" s="50">
        <v>0</v>
      </c>
      <c r="AE171" s="47">
        <v>39898</v>
      </c>
      <c r="AF171" s="51" t="s">
        <v>516</v>
      </c>
      <c r="AG171" s="52" t="s">
        <v>517</v>
      </c>
      <c r="AH171" s="53" t="s">
        <v>1281</v>
      </c>
      <c r="AI171" s="79"/>
      <c r="AJ171" s="80"/>
      <c r="AK171" s="81"/>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2"/>
      <c r="CL171" s="12"/>
      <c r="CM171" s="82"/>
      <c r="CN171" s="12"/>
      <c r="CO171" s="82"/>
      <c r="CP171" s="12"/>
      <c r="CQ171" s="83">
        <f t="shared" si="24"/>
        <v>0</v>
      </c>
      <c r="CR171" s="84"/>
      <c r="CS171" s="13"/>
      <c r="CT171" s="85"/>
      <c r="CU171" s="86"/>
      <c r="CV171" s="11"/>
      <c r="CW171" s="86"/>
      <c r="CX171" s="84"/>
      <c r="CY171" s="86"/>
    </row>
    <row r="172" spans="1:103" ht="25.5" x14ac:dyDescent="0.2">
      <c r="A172" s="43">
        <v>39885</v>
      </c>
      <c r="B172" s="44" t="s">
        <v>625</v>
      </c>
      <c r="C172" s="44" t="s">
        <v>1078</v>
      </c>
      <c r="D172" s="45" t="s">
        <v>1092</v>
      </c>
      <c r="E172" s="11"/>
      <c r="F172" s="12"/>
      <c r="G172" s="12"/>
      <c r="H172" s="12">
        <v>10</v>
      </c>
      <c r="I172" s="12">
        <v>2</v>
      </c>
      <c r="J172" s="12"/>
      <c r="K172" s="12">
        <v>2</v>
      </c>
      <c r="L172" s="12"/>
      <c r="M172" s="12"/>
      <c r="N172" s="12"/>
      <c r="O172" s="12"/>
      <c r="P172" s="12"/>
      <c r="Q172" s="12"/>
      <c r="R172" s="12"/>
      <c r="S172" s="12"/>
      <c r="T172" s="13"/>
      <c r="U172" s="46"/>
      <c r="V172" s="47"/>
      <c r="W172" s="48">
        <f t="shared" si="19"/>
        <v>0</v>
      </c>
      <c r="X172" s="48">
        <f t="shared" si="20"/>
        <v>0</v>
      </c>
      <c r="Y172" s="48">
        <f t="shared" si="21"/>
        <v>0</v>
      </c>
      <c r="Z172" s="48">
        <f t="shared" si="22"/>
        <v>0</v>
      </c>
      <c r="AA172" s="48"/>
      <c r="AB172" s="48"/>
      <c r="AC172" s="49">
        <f t="shared" si="23"/>
        <v>0</v>
      </c>
      <c r="AD172" s="50">
        <v>0</v>
      </c>
      <c r="AE172" s="47">
        <v>39885</v>
      </c>
      <c r="AF172" s="51" t="s">
        <v>516</v>
      </c>
      <c r="AG172" s="52" t="s">
        <v>517</v>
      </c>
      <c r="AH172" s="53" t="s">
        <v>253</v>
      </c>
      <c r="AI172" s="79"/>
      <c r="AJ172" s="80"/>
      <c r="AK172" s="81"/>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2"/>
      <c r="CL172" s="12"/>
      <c r="CM172" s="82"/>
      <c r="CN172" s="12"/>
      <c r="CO172" s="82"/>
      <c r="CP172" s="12"/>
      <c r="CQ172" s="83">
        <f t="shared" si="24"/>
        <v>0</v>
      </c>
      <c r="CR172" s="84"/>
      <c r="CS172" s="13"/>
      <c r="CT172" s="85"/>
      <c r="CU172" s="86"/>
      <c r="CV172" s="11"/>
      <c r="CW172" s="86"/>
      <c r="CX172" s="84"/>
      <c r="CY172" s="86"/>
    </row>
    <row r="173" spans="1:103" ht="25.5" x14ac:dyDescent="0.2">
      <c r="A173" s="43">
        <v>39885</v>
      </c>
      <c r="B173" s="44" t="s">
        <v>1091</v>
      </c>
      <c r="C173" s="44" t="s">
        <v>1082</v>
      </c>
      <c r="D173" s="45" t="s">
        <v>1117</v>
      </c>
      <c r="E173" s="11"/>
      <c r="F173" s="12"/>
      <c r="G173" s="12"/>
      <c r="H173" s="12">
        <v>9</v>
      </c>
      <c r="I173" s="12">
        <v>2</v>
      </c>
      <c r="J173" s="12">
        <v>1</v>
      </c>
      <c r="K173" s="12">
        <v>1</v>
      </c>
      <c r="L173" s="12"/>
      <c r="M173" s="12"/>
      <c r="N173" s="12"/>
      <c r="O173" s="12"/>
      <c r="P173" s="12"/>
      <c r="Q173" s="12"/>
      <c r="R173" s="12"/>
      <c r="S173" s="12"/>
      <c r="T173" s="13"/>
      <c r="U173" s="46"/>
      <c r="V173" s="47"/>
      <c r="W173" s="48">
        <f t="shared" si="19"/>
        <v>0</v>
      </c>
      <c r="X173" s="48">
        <f t="shared" si="20"/>
        <v>0</v>
      </c>
      <c r="Y173" s="48">
        <f t="shared" si="21"/>
        <v>0</v>
      </c>
      <c r="Z173" s="48">
        <f t="shared" si="22"/>
        <v>0</v>
      </c>
      <c r="AA173" s="48"/>
      <c r="AB173" s="48"/>
      <c r="AC173" s="49">
        <f t="shared" si="23"/>
        <v>0</v>
      </c>
      <c r="AD173" s="50">
        <v>0</v>
      </c>
      <c r="AE173" s="47">
        <v>39891</v>
      </c>
      <c r="AF173" s="51" t="s">
        <v>516</v>
      </c>
      <c r="AG173" s="52" t="s">
        <v>517</v>
      </c>
      <c r="AH173" s="53" t="s">
        <v>1352</v>
      </c>
      <c r="AI173" s="79"/>
      <c r="AJ173" s="80"/>
      <c r="AK173" s="81"/>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2"/>
      <c r="CL173" s="12"/>
      <c r="CM173" s="82"/>
      <c r="CN173" s="12"/>
      <c r="CO173" s="82"/>
      <c r="CP173" s="12"/>
      <c r="CQ173" s="83">
        <f t="shared" si="24"/>
        <v>0</v>
      </c>
      <c r="CR173" s="84"/>
      <c r="CS173" s="13"/>
      <c r="CT173" s="85"/>
      <c r="CU173" s="86"/>
      <c r="CV173" s="11"/>
      <c r="CW173" s="86"/>
      <c r="CX173" s="84"/>
      <c r="CY173" s="86"/>
    </row>
    <row r="174" spans="1:103" ht="89.25" x14ac:dyDescent="0.2">
      <c r="A174" s="43">
        <v>39886</v>
      </c>
      <c r="B174" s="44" t="s">
        <v>1093</v>
      </c>
      <c r="C174" s="44" t="s">
        <v>523</v>
      </c>
      <c r="D174" s="45" t="s">
        <v>1118</v>
      </c>
      <c r="E174" s="11"/>
      <c r="F174" s="12"/>
      <c r="G174" s="12"/>
      <c r="H174" s="12">
        <v>8250</v>
      </c>
      <c r="I174" s="12">
        <v>1650</v>
      </c>
      <c r="J174" s="12"/>
      <c r="K174" s="12">
        <v>1650</v>
      </c>
      <c r="L174" s="12"/>
      <c r="M174" s="12"/>
      <c r="N174" s="12"/>
      <c r="O174" s="12"/>
      <c r="P174" s="12"/>
      <c r="Q174" s="12"/>
      <c r="R174" s="12"/>
      <c r="S174" s="12"/>
      <c r="T174" s="13"/>
      <c r="U174" s="46"/>
      <c r="V174" s="47"/>
      <c r="W174" s="48">
        <f t="shared" si="19"/>
        <v>0</v>
      </c>
      <c r="X174" s="48">
        <f t="shared" si="20"/>
        <v>0</v>
      </c>
      <c r="Y174" s="48">
        <f t="shared" si="21"/>
        <v>0</v>
      </c>
      <c r="Z174" s="48">
        <f t="shared" si="22"/>
        <v>0</v>
      </c>
      <c r="AA174" s="48"/>
      <c r="AB174" s="48">
        <v>119955000</v>
      </c>
      <c r="AC174" s="49">
        <f t="shared" si="23"/>
        <v>119955000</v>
      </c>
      <c r="AD174" s="50">
        <v>0</v>
      </c>
      <c r="AE174" s="47">
        <v>39886</v>
      </c>
      <c r="AF174" s="51" t="s">
        <v>1016</v>
      </c>
      <c r="AG174" s="52" t="s">
        <v>565</v>
      </c>
      <c r="AH174" s="54" t="s">
        <v>639</v>
      </c>
      <c r="AI174" s="79"/>
      <c r="AJ174" s="80"/>
      <c r="AK174" s="81"/>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2"/>
      <c r="CL174" s="12"/>
      <c r="CM174" s="82"/>
      <c r="CN174" s="12"/>
      <c r="CO174" s="82"/>
      <c r="CP174" s="12"/>
      <c r="CQ174" s="83">
        <f t="shared" si="24"/>
        <v>0</v>
      </c>
      <c r="CR174" s="84"/>
      <c r="CS174" s="13"/>
      <c r="CT174" s="85"/>
      <c r="CU174" s="86"/>
      <c r="CV174" s="11"/>
      <c r="CW174" s="86"/>
      <c r="CX174" s="84"/>
      <c r="CY174" s="86"/>
    </row>
    <row r="175" spans="1:103" ht="25.5" x14ac:dyDescent="0.2">
      <c r="A175" s="43">
        <v>39886</v>
      </c>
      <c r="B175" s="44" t="s">
        <v>1093</v>
      </c>
      <c r="C175" s="44" t="s">
        <v>1049</v>
      </c>
      <c r="D175" s="45" t="s">
        <v>1118</v>
      </c>
      <c r="E175" s="11"/>
      <c r="F175" s="12"/>
      <c r="G175" s="12"/>
      <c r="H175" s="12">
        <v>1645</v>
      </c>
      <c r="I175" s="12">
        <v>329</v>
      </c>
      <c r="J175" s="12"/>
      <c r="K175" s="12">
        <v>329</v>
      </c>
      <c r="L175" s="12"/>
      <c r="M175" s="12"/>
      <c r="N175" s="12"/>
      <c r="O175" s="12"/>
      <c r="P175" s="12"/>
      <c r="Q175" s="12"/>
      <c r="R175" s="12"/>
      <c r="S175" s="12"/>
      <c r="T175" s="13"/>
      <c r="U175" s="46"/>
      <c r="V175" s="47"/>
      <c r="W175" s="48">
        <f t="shared" si="19"/>
        <v>0</v>
      </c>
      <c r="X175" s="48">
        <f t="shared" si="20"/>
        <v>0</v>
      </c>
      <c r="Y175" s="48">
        <f t="shared" si="21"/>
        <v>0</v>
      </c>
      <c r="Z175" s="48">
        <f t="shared" si="22"/>
        <v>0</v>
      </c>
      <c r="AA175" s="48"/>
      <c r="AB175" s="48"/>
      <c r="AC175" s="49">
        <f t="shared" si="23"/>
        <v>0</v>
      </c>
      <c r="AD175" s="50">
        <v>0</v>
      </c>
      <c r="AE175" s="47">
        <v>39903</v>
      </c>
      <c r="AF175" s="51" t="s">
        <v>1016</v>
      </c>
      <c r="AG175" s="52" t="s">
        <v>565</v>
      </c>
      <c r="AH175" s="53" t="s">
        <v>1459</v>
      </c>
      <c r="AI175" s="79"/>
      <c r="AJ175" s="80"/>
      <c r="AK175" s="81"/>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2"/>
      <c r="CL175" s="12"/>
      <c r="CM175" s="82"/>
      <c r="CN175" s="12"/>
      <c r="CO175" s="82"/>
      <c r="CP175" s="12"/>
      <c r="CQ175" s="83">
        <f t="shared" si="24"/>
        <v>0</v>
      </c>
      <c r="CR175" s="84"/>
      <c r="CS175" s="13"/>
      <c r="CT175" s="85"/>
      <c r="CU175" s="86"/>
      <c r="CV175" s="11"/>
      <c r="CW175" s="86"/>
      <c r="CX175" s="84"/>
      <c r="CY175" s="86"/>
    </row>
    <row r="176" spans="1:103" ht="38.25" x14ac:dyDescent="0.2">
      <c r="A176" s="43">
        <v>39887</v>
      </c>
      <c r="B176" s="44" t="s">
        <v>625</v>
      </c>
      <c r="C176" s="44" t="s">
        <v>1051</v>
      </c>
      <c r="D176" s="45" t="s">
        <v>1116</v>
      </c>
      <c r="E176" s="11">
        <v>1</v>
      </c>
      <c r="F176" s="12">
        <v>1</v>
      </c>
      <c r="G176" s="12"/>
      <c r="H176" s="12">
        <v>5</v>
      </c>
      <c r="I176" s="12">
        <v>1</v>
      </c>
      <c r="J176" s="12">
        <v>1</v>
      </c>
      <c r="K176" s="12"/>
      <c r="L176" s="12"/>
      <c r="M176" s="12"/>
      <c r="N176" s="12"/>
      <c r="O176" s="12"/>
      <c r="P176" s="12"/>
      <c r="Q176" s="12"/>
      <c r="R176" s="12"/>
      <c r="S176" s="12"/>
      <c r="T176" s="13"/>
      <c r="U176" s="46"/>
      <c r="V176" s="47"/>
      <c r="W176" s="48">
        <f t="shared" si="19"/>
        <v>0</v>
      </c>
      <c r="X176" s="48">
        <f t="shared" si="20"/>
        <v>0</v>
      </c>
      <c r="Y176" s="48">
        <f t="shared" si="21"/>
        <v>0</v>
      </c>
      <c r="Z176" s="48">
        <f t="shared" si="22"/>
        <v>0</v>
      </c>
      <c r="AA176" s="48"/>
      <c r="AB176" s="48"/>
      <c r="AC176" s="49">
        <f t="shared" si="23"/>
        <v>0</v>
      </c>
      <c r="AD176" s="50">
        <v>0</v>
      </c>
      <c r="AE176" s="47">
        <v>39877</v>
      </c>
      <c r="AF176" s="51" t="s">
        <v>516</v>
      </c>
      <c r="AG176" s="52" t="s">
        <v>517</v>
      </c>
      <c r="AH176" s="53" t="s">
        <v>1354</v>
      </c>
      <c r="AI176" s="79"/>
      <c r="AJ176" s="80"/>
      <c r="AK176" s="81"/>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2"/>
      <c r="CL176" s="12"/>
      <c r="CM176" s="82"/>
      <c r="CN176" s="12"/>
      <c r="CO176" s="82"/>
      <c r="CP176" s="12"/>
      <c r="CQ176" s="83">
        <f t="shared" si="24"/>
        <v>0</v>
      </c>
      <c r="CR176" s="84"/>
      <c r="CS176" s="13"/>
      <c r="CT176" s="85"/>
      <c r="CU176" s="86"/>
      <c r="CV176" s="11"/>
      <c r="CW176" s="86"/>
      <c r="CX176" s="84"/>
      <c r="CY176" s="86"/>
    </row>
    <row r="177" spans="1:104" ht="25.5" x14ac:dyDescent="0.2">
      <c r="A177" s="43">
        <v>39887</v>
      </c>
      <c r="B177" s="44" t="s">
        <v>904</v>
      </c>
      <c r="C177" s="44" t="s">
        <v>1009</v>
      </c>
      <c r="D177" s="45" t="s">
        <v>1117</v>
      </c>
      <c r="E177" s="11"/>
      <c r="F177" s="12"/>
      <c r="G177" s="12"/>
      <c r="H177" s="12">
        <v>136</v>
      </c>
      <c r="I177" s="12">
        <v>34</v>
      </c>
      <c r="J177" s="12"/>
      <c r="K177" s="12">
        <v>34</v>
      </c>
      <c r="L177" s="12"/>
      <c r="M177" s="12"/>
      <c r="N177" s="12"/>
      <c r="O177" s="12"/>
      <c r="P177" s="12"/>
      <c r="Q177" s="12"/>
      <c r="R177" s="12"/>
      <c r="S177" s="12"/>
      <c r="T177" s="13"/>
      <c r="U177" s="46"/>
      <c r="V177" s="47"/>
      <c r="W177" s="48">
        <f t="shared" si="19"/>
        <v>0</v>
      </c>
      <c r="X177" s="48">
        <f t="shared" si="20"/>
        <v>0</v>
      </c>
      <c r="Y177" s="48">
        <f t="shared" si="21"/>
        <v>0</v>
      </c>
      <c r="Z177" s="48">
        <f t="shared" si="22"/>
        <v>0</v>
      </c>
      <c r="AA177" s="48"/>
      <c r="AB177" s="48"/>
      <c r="AC177" s="49">
        <f t="shared" si="23"/>
        <v>0</v>
      </c>
      <c r="AD177" s="50">
        <v>0</v>
      </c>
      <c r="AE177" s="47">
        <v>39891</v>
      </c>
      <c r="AF177" s="51" t="s">
        <v>516</v>
      </c>
      <c r="AG177" s="52" t="s">
        <v>517</v>
      </c>
      <c r="AH177" s="53" t="s">
        <v>1281</v>
      </c>
      <c r="AI177" s="79"/>
      <c r="AJ177" s="80"/>
      <c r="AK177" s="81"/>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2"/>
      <c r="CL177" s="12"/>
      <c r="CM177" s="82"/>
      <c r="CN177" s="12"/>
      <c r="CO177" s="82"/>
      <c r="CP177" s="12"/>
      <c r="CQ177" s="83">
        <f t="shared" si="24"/>
        <v>0</v>
      </c>
      <c r="CR177" s="84"/>
      <c r="CS177" s="13"/>
      <c r="CT177" s="85"/>
      <c r="CU177" s="86"/>
      <c r="CV177" s="11"/>
      <c r="CW177" s="86"/>
      <c r="CX177" s="84"/>
      <c r="CY177" s="86"/>
    </row>
    <row r="178" spans="1:104" ht="25.5" x14ac:dyDescent="0.2">
      <c r="A178" s="43">
        <v>39887</v>
      </c>
      <c r="B178" s="44" t="s">
        <v>1127</v>
      </c>
      <c r="C178" s="44" t="s">
        <v>116</v>
      </c>
      <c r="D178" s="45" t="s">
        <v>1092</v>
      </c>
      <c r="E178" s="11"/>
      <c r="F178" s="12"/>
      <c r="G178" s="12"/>
      <c r="H178" s="12">
        <v>10</v>
      </c>
      <c r="I178" s="12">
        <v>2</v>
      </c>
      <c r="J178" s="12"/>
      <c r="K178" s="12">
        <v>2</v>
      </c>
      <c r="L178" s="12"/>
      <c r="M178" s="12"/>
      <c r="N178" s="12"/>
      <c r="O178" s="12"/>
      <c r="P178" s="12"/>
      <c r="Q178" s="12"/>
      <c r="R178" s="12"/>
      <c r="S178" s="12"/>
      <c r="T178" s="13"/>
      <c r="U178" s="46"/>
      <c r="V178" s="47"/>
      <c r="W178" s="48">
        <f t="shared" si="19"/>
        <v>0</v>
      </c>
      <c r="X178" s="48">
        <f t="shared" si="20"/>
        <v>0</v>
      </c>
      <c r="Y178" s="48">
        <f t="shared" si="21"/>
        <v>0</v>
      </c>
      <c r="Z178" s="48">
        <f t="shared" si="22"/>
        <v>0</v>
      </c>
      <c r="AA178" s="48"/>
      <c r="AB178" s="48"/>
      <c r="AC178" s="49">
        <f t="shared" si="23"/>
        <v>0</v>
      </c>
      <c r="AD178" s="50">
        <v>0</v>
      </c>
      <c r="AE178" s="47">
        <v>39877</v>
      </c>
      <c r="AF178" s="51" t="s">
        <v>516</v>
      </c>
      <c r="AG178" s="52" t="s">
        <v>517</v>
      </c>
      <c r="AH178" s="53" t="s">
        <v>1355</v>
      </c>
      <c r="AI178" s="79"/>
      <c r="AJ178" s="80"/>
      <c r="AK178" s="81"/>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2"/>
      <c r="CL178" s="12"/>
      <c r="CM178" s="82"/>
      <c r="CN178" s="12"/>
      <c r="CO178" s="82"/>
      <c r="CP178" s="12"/>
      <c r="CQ178" s="83">
        <f t="shared" si="24"/>
        <v>0</v>
      </c>
      <c r="CR178" s="84"/>
      <c r="CS178" s="13"/>
      <c r="CT178" s="85"/>
      <c r="CU178" s="86"/>
      <c r="CV178" s="11"/>
      <c r="CW178" s="86"/>
      <c r="CX178" s="84"/>
      <c r="CY178" s="86"/>
    </row>
    <row r="179" spans="1:104" ht="25.5" x14ac:dyDescent="0.2">
      <c r="A179" s="43">
        <v>39887</v>
      </c>
      <c r="B179" s="44" t="s">
        <v>1114</v>
      </c>
      <c r="C179" s="44" t="s">
        <v>646</v>
      </c>
      <c r="D179" s="45" t="s">
        <v>1117</v>
      </c>
      <c r="E179" s="11"/>
      <c r="F179" s="12"/>
      <c r="G179" s="12"/>
      <c r="H179" s="12">
        <v>100</v>
      </c>
      <c r="I179" s="12">
        <v>20</v>
      </c>
      <c r="J179" s="12"/>
      <c r="K179" s="12">
        <v>20</v>
      </c>
      <c r="L179" s="12"/>
      <c r="M179" s="12"/>
      <c r="N179" s="12"/>
      <c r="O179" s="12"/>
      <c r="P179" s="12"/>
      <c r="Q179" s="12"/>
      <c r="R179" s="12"/>
      <c r="S179" s="12"/>
      <c r="T179" s="13"/>
      <c r="U179" s="46"/>
      <c r="V179" s="47"/>
      <c r="W179" s="48">
        <f t="shared" si="19"/>
        <v>0</v>
      </c>
      <c r="X179" s="48">
        <f t="shared" si="20"/>
        <v>0</v>
      </c>
      <c r="Y179" s="48">
        <f t="shared" si="21"/>
        <v>0</v>
      </c>
      <c r="Z179" s="48">
        <f t="shared" si="22"/>
        <v>0</v>
      </c>
      <c r="AA179" s="48"/>
      <c r="AB179" s="48"/>
      <c r="AC179" s="49">
        <f t="shared" si="23"/>
        <v>0</v>
      </c>
      <c r="AD179" s="50">
        <v>0</v>
      </c>
      <c r="AE179" s="47">
        <v>39891</v>
      </c>
      <c r="AF179" s="51" t="s">
        <v>516</v>
      </c>
      <c r="AG179" s="52" t="s">
        <v>517</v>
      </c>
      <c r="AH179" s="53" t="s">
        <v>1352</v>
      </c>
      <c r="AI179" s="79"/>
      <c r="AJ179" s="80"/>
      <c r="AK179" s="81"/>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2"/>
      <c r="CL179" s="12"/>
      <c r="CM179" s="82"/>
      <c r="CN179" s="12"/>
      <c r="CO179" s="82"/>
      <c r="CP179" s="12"/>
      <c r="CQ179" s="83">
        <f t="shared" si="24"/>
        <v>0</v>
      </c>
      <c r="CR179" s="84"/>
      <c r="CS179" s="13"/>
      <c r="CT179" s="85"/>
      <c r="CU179" s="86"/>
      <c r="CV179" s="11"/>
      <c r="CW179" s="86"/>
      <c r="CX179" s="84"/>
      <c r="CY179" s="86"/>
    </row>
    <row r="180" spans="1:104" ht="38.25" x14ac:dyDescent="0.2">
      <c r="A180" s="43">
        <v>39888</v>
      </c>
      <c r="B180" s="44" t="s">
        <v>904</v>
      </c>
      <c r="C180" s="44" t="s">
        <v>254</v>
      </c>
      <c r="D180" s="45" t="s">
        <v>1116</v>
      </c>
      <c r="E180" s="11"/>
      <c r="F180" s="12"/>
      <c r="G180" s="12"/>
      <c r="H180" s="12">
        <v>11</v>
      </c>
      <c r="I180" s="12">
        <v>3</v>
      </c>
      <c r="J180" s="12">
        <v>2</v>
      </c>
      <c r="K180" s="12"/>
      <c r="L180" s="12"/>
      <c r="M180" s="12"/>
      <c r="N180" s="12"/>
      <c r="O180" s="12"/>
      <c r="P180" s="12"/>
      <c r="Q180" s="12"/>
      <c r="R180" s="12"/>
      <c r="S180" s="12"/>
      <c r="T180" s="13"/>
      <c r="U180" s="46"/>
      <c r="V180" s="47"/>
      <c r="W180" s="48">
        <f t="shared" si="19"/>
        <v>0</v>
      </c>
      <c r="X180" s="48">
        <f t="shared" si="20"/>
        <v>0</v>
      </c>
      <c r="Y180" s="48">
        <f t="shared" si="21"/>
        <v>0</v>
      </c>
      <c r="Z180" s="48">
        <f t="shared" si="22"/>
        <v>0</v>
      </c>
      <c r="AA180" s="48"/>
      <c r="AB180" s="48"/>
      <c r="AC180" s="49">
        <f t="shared" si="23"/>
        <v>0</v>
      </c>
      <c r="AD180" s="50">
        <v>0</v>
      </c>
      <c r="AE180" s="47">
        <v>39888</v>
      </c>
      <c r="AF180" s="51" t="s">
        <v>516</v>
      </c>
      <c r="AG180" s="52" t="s">
        <v>517</v>
      </c>
      <c r="AH180" s="53" t="s">
        <v>255</v>
      </c>
      <c r="AI180" s="79"/>
      <c r="AJ180" s="80"/>
      <c r="AK180" s="81"/>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2"/>
      <c r="CL180" s="12"/>
      <c r="CM180" s="82"/>
      <c r="CN180" s="12"/>
      <c r="CO180" s="82"/>
      <c r="CP180" s="12"/>
      <c r="CQ180" s="83">
        <f t="shared" si="24"/>
        <v>0</v>
      </c>
      <c r="CR180" s="84"/>
      <c r="CS180" s="13"/>
      <c r="CT180" s="85"/>
      <c r="CU180" s="86"/>
      <c r="CV180" s="11"/>
      <c r="CW180" s="86"/>
      <c r="CX180" s="84"/>
      <c r="CY180" s="86"/>
    </row>
    <row r="181" spans="1:104" ht="38.25" x14ac:dyDescent="0.2">
      <c r="A181" s="43">
        <v>39888</v>
      </c>
      <c r="B181" s="44" t="s">
        <v>1094</v>
      </c>
      <c r="C181" s="44" t="s">
        <v>637</v>
      </c>
      <c r="D181" s="45" t="s">
        <v>1116</v>
      </c>
      <c r="E181" s="11"/>
      <c r="F181" s="12"/>
      <c r="G181" s="12"/>
      <c r="H181" s="12">
        <v>60</v>
      </c>
      <c r="I181" s="12">
        <v>12</v>
      </c>
      <c r="J181" s="12">
        <v>8</v>
      </c>
      <c r="K181" s="12"/>
      <c r="L181" s="12"/>
      <c r="M181" s="12"/>
      <c r="N181" s="12"/>
      <c r="O181" s="12"/>
      <c r="P181" s="12"/>
      <c r="Q181" s="12"/>
      <c r="R181" s="12"/>
      <c r="S181" s="12">
        <v>2</v>
      </c>
      <c r="T181" s="13"/>
      <c r="U181" s="46"/>
      <c r="V181" s="47"/>
      <c r="W181" s="48">
        <f t="shared" si="19"/>
        <v>0</v>
      </c>
      <c r="X181" s="48">
        <f t="shared" si="20"/>
        <v>0</v>
      </c>
      <c r="Y181" s="48">
        <f t="shared" si="21"/>
        <v>0</v>
      </c>
      <c r="Z181" s="48">
        <f t="shared" si="22"/>
        <v>0</v>
      </c>
      <c r="AA181" s="48"/>
      <c r="AB181" s="48"/>
      <c r="AC181" s="49">
        <f t="shared" si="23"/>
        <v>0</v>
      </c>
      <c r="AD181" s="50">
        <v>0</v>
      </c>
      <c r="AE181" s="47">
        <v>39889</v>
      </c>
      <c r="AF181" s="51" t="s">
        <v>516</v>
      </c>
      <c r="AG181" s="52" t="s">
        <v>517</v>
      </c>
      <c r="AH181" s="53" t="s">
        <v>638</v>
      </c>
      <c r="AI181" s="79"/>
      <c r="AJ181" s="80"/>
      <c r="AK181" s="81"/>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2"/>
      <c r="CL181" s="12"/>
      <c r="CM181" s="82"/>
      <c r="CN181" s="12"/>
      <c r="CO181" s="82"/>
      <c r="CP181" s="12"/>
      <c r="CQ181" s="83">
        <f t="shared" si="24"/>
        <v>0</v>
      </c>
      <c r="CR181" s="84"/>
      <c r="CS181" s="13"/>
      <c r="CT181" s="85"/>
      <c r="CU181" s="86"/>
      <c r="CV181" s="11"/>
      <c r="CW181" s="86"/>
      <c r="CX181" s="84"/>
      <c r="CY181" s="86"/>
    </row>
    <row r="182" spans="1:104" ht="63.75" x14ac:dyDescent="0.2">
      <c r="A182" s="43">
        <v>39888</v>
      </c>
      <c r="B182" s="44" t="s">
        <v>632</v>
      </c>
      <c r="C182" s="44" t="s">
        <v>1243</v>
      </c>
      <c r="D182" s="45" t="s">
        <v>1117</v>
      </c>
      <c r="E182" s="11"/>
      <c r="F182" s="12"/>
      <c r="G182" s="12"/>
      <c r="H182" s="12">
        <f>21*5</f>
        <v>105</v>
      </c>
      <c r="I182" s="12">
        <v>21</v>
      </c>
      <c r="J182" s="12"/>
      <c r="K182" s="12">
        <v>21</v>
      </c>
      <c r="L182" s="12"/>
      <c r="M182" s="12"/>
      <c r="N182" s="12"/>
      <c r="O182" s="12"/>
      <c r="P182" s="12"/>
      <c r="Q182" s="12"/>
      <c r="R182" s="12"/>
      <c r="S182" s="12"/>
      <c r="T182" s="13">
        <f>3.5+3+2.5+2.5+4+2.5+3+3.5+1.5+3+4+4+3.5+2+3+3+3+3.5+4+4.5+3.5</f>
        <v>67</v>
      </c>
      <c r="U182" s="46" t="s">
        <v>233</v>
      </c>
      <c r="V182" s="47"/>
      <c r="W182" s="48">
        <f t="shared" si="19"/>
        <v>0</v>
      </c>
      <c r="X182" s="48">
        <f t="shared" si="20"/>
        <v>0</v>
      </c>
      <c r="Y182" s="48">
        <f t="shared" si="21"/>
        <v>0</v>
      </c>
      <c r="Z182" s="48">
        <f t="shared" si="22"/>
        <v>0</v>
      </c>
      <c r="AA182" s="48"/>
      <c r="AB182" s="48"/>
      <c r="AC182" s="49">
        <f t="shared" si="23"/>
        <v>0</v>
      </c>
      <c r="AD182" s="50">
        <v>0</v>
      </c>
      <c r="AE182" s="47">
        <v>39891</v>
      </c>
      <c r="AF182" s="51" t="s">
        <v>516</v>
      </c>
      <c r="AG182" s="52" t="s">
        <v>517</v>
      </c>
      <c r="AH182" s="53" t="s">
        <v>1207</v>
      </c>
      <c r="AI182" s="79"/>
      <c r="AJ182" s="80"/>
      <c r="AK182" s="81"/>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2"/>
      <c r="CL182" s="12"/>
      <c r="CM182" s="82"/>
      <c r="CN182" s="12"/>
      <c r="CO182" s="82"/>
      <c r="CP182" s="12"/>
      <c r="CQ182" s="83">
        <f t="shared" si="24"/>
        <v>0</v>
      </c>
      <c r="CR182" s="84"/>
      <c r="CS182" s="13"/>
      <c r="CT182" s="85"/>
      <c r="CU182" s="86"/>
      <c r="CV182" s="11"/>
      <c r="CW182" s="86"/>
      <c r="CX182" s="84"/>
      <c r="CY182" s="86"/>
    </row>
    <row r="183" spans="1:104" ht="25.5" x14ac:dyDescent="0.2">
      <c r="A183" s="43">
        <v>39888</v>
      </c>
      <c r="B183" s="44" t="s">
        <v>1091</v>
      </c>
      <c r="C183" s="44" t="s">
        <v>288</v>
      </c>
      <c r="D183" s="45" t="s">
        <v>1092</v>
      </c>
      <c r="E183" s="11"/>
      <c r="F183" s="12"/>
      <c r="G183" s="12"/>
      <c r="H183" s="12">
        <v>15</v>
      </c>
      <c r="I183" s="12">
        <v>3</v>
      </c>
      <c r="J183" s="12"/>
      <c r="K183" s="12">
        <v>3</v>
      </c>
      <c r="L183" s="12"/>
      <c r="M183" s="12"/>
      <c r="N183" s="12"/>
      <c r="O183" s="12"/>
      <c r="P183" s="12"/>
      <c r="Q183" s="12"/>
      <c r="R183" s="12"/>
      <c r="S183" s="12"/>
      <c r="T183" s="13"/>
      <c r="U183" s="46"/>
      <c r="V183" s="47"/>
      <c r="W183" s="48">
        <f t="shared" si="19"/>
        <v>0</v>
      </c>
      <c r="X183" s="48">
        <f t="shared" si="20"/>
        <v>0</v>
      </c>
      <c r="Y183" s="48">
        <f t="shared" si="21"/>
        <v>0</v>
      </c>
      <c r="Z183" s="48">
        <f t="shared" si="22"/>
        <v>0</v>
      </c>
      <c r="AA183" s="48"/>
      <c r="AB183" s="48"/>
      <c r="AC183" s="49">
        <f t="shared" si="23"/>
        <v>0</v>
      </c>
      <c r="AD183" s="50">
        <v>0</v>
      </c>
      <c r="AE183" s="47">
        <v>39889</v>
      </c>
      <c r="AF183" s="51" t="s">
        <v>516</v>
      </c>
      <c r="AG183" s="52" t="s">
        <v>517</v>
      </c>
      <c r="AH183" s="53" t="s">
        <v>799</v>
      </c>
      <c r="AI183" s="79"/>
      <c r="AJ183" s="80"/>
      <c r="AK183" s="81"/>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2"/>
      <c r="CL183" s="12"/>
      <c r="CM183" s="82"/>
      <c r="CN183" s="12"/>
      <c r="CO183" s="82"/>
      <c r="CP183" s="12"/>
      <c r="CQ183" s="83">
        <f t="shared" si="24"/>
        <v>0</v>
      </c>
      <c r="CR183" s="84"/>
      <c r="CS183" s="13"/>
      <c r="CT183" s="85"/>
      <c r="CU183" s="86"/>
      <c r="CV183" s="11"/>
      <c r="CW183" s="86"/>
      <c r="CX183" s="84"/>
      <c r="CY183" s="86"/>
    </row>
    <row r="184" spans="1:104" ht="25.5" x14ac:dyDescent="0.2">
      <c r="A184" s="43">
        <v>39888</v>
      </c>
      <c r="B184" s="44" t="s">
        <v>1350</v>
      </c>
      <c r="C184" s="44" t="s">
        <v>1084</v>
      </c>
      <c r="D184" s="45" t="s">
        <v>1117</v>
      </c>
      <c r="E184" s="11"/>
      <c r="F184" s="12"/>
      <c r="G184" s="12"/>
      <c r="H184" s="12">
        <v>25</v>
      </c>
      <c r="I184" s="12">
        <v>5</v>
      </c>
      <c r="J184" s="12"/>
      <c r="K184" s="12">
        <v>5</v>
      </c>
      <c r="L184" s="12"/>
      <c r="M184" s="12"/>
      <c r="N184" s="12"/>
      <c r="O184" s="12"/>
      <c r="P184" s="12"/>
      <c r="Q184" s="12"/>
      <c r="R184" s="12"/>
      <c r="S184" s="12"/>
      <c r="T184" s="13"/>
      <c r="U184" s="46"/>
      <c r="V184" s="47"/>
      <c r="W184" s="48">
        <f t="shared" si="19"/>
        <v>0</v>
      </c>
      <c r="X184" s="48">
        <f t="shared" si="20"/>
        <v>0</v>
      </c>
      <c r="Y184" s="48">
        <f t="shared" si="21"/>
        <v>0</v>
      </c>
      <c r="Z184" s="48">
        <f t="shared" si="22"/>
        <v>0</v>
      </c>
      <c r="AA184" s="48"/>
      <c r="AB184" s="48"/>
      <c r="AC184" s="49">
        <f t="shared" si="23"/>
        <v>0</v>
      </c>
      <c r="AD184" s="50">
        <v>0</v>
      </c>
      <c r="AE184" s="47">
        <v>39891</v>
      </c>
      <c r="AF184" s="51" t="s">
        <v>516</v>
      </c>
      <c r="AG184" s="52" t="s">
        <v>517</v>
      </c>
      <c r="AH184" s="53" t="s">
        <v>1352</v>
      </c>
      <c r="AI184" s="79"/>
      <c r="AJ184" s="80"/>
      <c r="AK184" s="81"/>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2"/>
      <c r="CL184" s="12"/>
      <c r="CM184" s="82"/>
      <c r="CN184" s="12"/>
      <c r="CO184" s="82"/>
      <c r="CP184" s="12"/>
      <c r="CQ184" s="83">
        <f t="shared" si="24"/>
        <v>0</v>
      </c>
      <c r="CR184" s="84"/>
      <c r="CS184" s="13"/>
      <c r="CT184" s="85"/>
      <c r="CU184" s="86"/>
      <c r="CV184" s="11"/>
      <c r="CW184" s="86"/>
      <c r="CX184" s="84"/>
      <c r="CY184" s="86"/>
    </row>
    <row r="185" spans="1:104" ht="38.25" x14ac:dyDescent="0.2">
      <c r="A185" s="43">
        <v>39889</v>
      </c>
      <c r="B185" s="44" t="s">
        <v>1067</v>
      </c>
      <c r="C185" s="44" t="s">
        <v>1346</v>
      </c>
      <c r="D185" s="45" t="s">
        <v>1116</v>
      </c>
      <c r="E185" s="11"/>
      <c r="F185" s="12"/>
      <c r="G185" s="12"/>
      <c r="H185" s="12">
        <v>5</v>
      </c>
      <c r="I185" s="12">
        <v>1</v>
      </c>
      <c r="J185" s="12">
        <v>1</v>
      </c>
      <c r="K185" s="12"/>
      <c r="L185" s="12"/>
      <c r="M185" s="12"/>
      <c r="N185" s="12"/>
      <c r="O185" s="12"/>
      <c r="P185" s="12"/>
      <c r="Q185" s="12"/>
      <c r="R185" s="12"/>
      <c r="S185" s="12"/>
      <c r="T185" s="13"/>
      <c r="U185" s="46"/>
      <c r="V185" s="47"/>
      <c r="W185" s="48">
        <f t="shared" si="19"/>
        <v>0</v>
      </c>
      <c r="X185" s="48">
        <f t="shared" si="20"/>
        <v>0</v>
      </c>
      <c r="Y185" s="48">
        <f t="shared" si="21"/>
        <v>0</v>
      </c>
      <c r="Z185" s="48">
        <f t="shared" si="22"/>
        <v>0</v>
      </c>
      <c r="AA185" s="48"/>
      <c r="AB185" s="48"/>
      <c r="AC185" s="49">
        <f t="shared" si="23"/>
        <v>0</v>
      </c>
      <c r="AD185" s="50">
        <v>0</v>
      </c>
      <c r="AE185" s="47">
        <v>39889</v>
      </c>
      <c r="AF185" s="51" t="s">
        <v>516</v>
      </c>
      <c r="AG185" s="52" t="s">
        <v>517</v>
      </c>
      <c r="AH185" s="53" t="s">
        <v>687</v>
      </c>
      <c r="AI185" s="79"/>
      <c r="AJ185" s="80"/>
      <c r="AK185" s="81"/>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2"/>
      <c r="CL185" s="12"/>
      <c r="CM185" s="82"/>
      <c r="CN185" s="12"/>
      <c r="CO185" s="82"/>
      <c r="CP185" s="12"/>
      <c r="CQ185" s="83">
        <f t="shared" si="24"/>
        <v>0</v>
      </c>
      <c r="CR185" s="84"/>
      <c r="CS185" s="13"/>
      <c r="CT185" s="85"/>
      <c r="CU185" s="86"/>
      <c r="CV185" s="11"/>
      <c r="CW185" s="86"/>
      <c r="CX185" s="84"/>
      <c r="CY185" s="86"/>
    </row>
    <row r="186" spans="1:104" ht="38.25" x14ac:dyDescent="0.2">
      <c r="A186" s="43">
        <v>39889</v>
      </c>
      <c r="B186" s="44" t="s">
        <v>1226</v>
      </c>
      <c r="C186" s="44" t="s">
        <v>640</v>
      </c>
      <c r="D186" s="45" t="s">
        <v>1070</v>
      </c>
      <c r="E186" s="11">
        <v>2</v>
      </c>
      <c r="F186" s="12"/>
      <c r="G186" s="12"/>
      <c r="H186" s="12"/>
      <c r="I186" s="12"/>
      <c r="J186" s="12"/>
      <c r="K186" s="12"/>
      <c r="L186" s="12"/>
      <c r="M186" s="12"/>
      <c r="N186" s="12"/>
      <c r="O186" s="12"/>
      <c r="P186" s="12"/>
      <c r="Q186" s="12"/>
      <c r="R186" s="12"/>
      <c r="S186" s="12"/>
      <c r="T186" s="13"/>
      <c r="U186" s="46"/>
      <c r="V186" s="47"/>
      <c r="W186" s="48">
        <f t="shared" si="19"/>
        <v>0</v>
      </c>
      <c r="X186" s="48">
        <f t="shared" si="20"/>
        <v>0</v>
      </c>
      <c r="Y186" s="48">
        <f t="shared" si="21"/>
        <v>0</v>
      </c>
      <c r="Z186" s="48">
        <f t="shared" si="22"/>
        <v>0</v>
      </c>
      <c r="AA186" s="48"/>
      <c r="AB186" s="48"/>
      <c r="AC186" s="49">
        <f t="shared" si="23"/>
        <v>0</v>
      </c>
      <c r="AD186" s="50">
        <v>0</v>
      </c>
      <c r="AE186" s="47">
        <v>39889</v>
      </c>
      <c r="AF186" s="51" t="s">
        <v>516</v>
      </c>
      <c r="AG186" s="52" t="s">
        <v>517</v>
      </c>
      <c r="AH186" s="53" t="s">
        <v>63</v>
      </c>
      <c r="AI186" s="79"/>
      <c r="AJ186" s="80"/>
      <c r="AK186" s="81"/>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2"/>
      <c r="CL186" s="12"/>
      <c r="CM186" s="82"/>
      <c r="CN186" s="12"/>
      <c r="CO186" s="82"/>
      <c r="CP186" s="12"/>
      <c r="CQ186" s="83">
        <f t="shared" si="24"/>
        <v>0</v>
      </c>
      <c r="CR186" s="84"/>
      <c r="CS186" s="13"/>
      <c r="CT186" s="85"/>
      <c r="CU186" s="86"/>
      <c r="CV186" s="11"/>
      <c r="CW186" s="86"/>
      <c r="CX186" s="84"/>
      <c r="CY186" s="86"/>
    </row>
    <row r="187" spans="1:104" ht="76.5" x14ac:dyDescent="0.2">
      <c r="A187" s="43">
        <v>39889</v>
      </c>
      <c r="B187" s="44" t="s">
        <v>688</v>
      </c>
      <c r="C187" s="44" t="s">
        <v>689</v>
      </c>
      <c r="D187" s="45" t="s">
        <v>1117</v>
      </c>
      <c r="E187" s="11"/>
      <c r="F187" s="12"/>
      <c r="G187" s="12"/>
      <c r="H187" s="12">
        <f>12*5</f>
        <v>60</v>
      </c>
      <c r="I187" s="12">
        <v>12</v>
      </c>
      <c r="J187" s="12"/>
      <c r="K187" s="12">
        <v>12</v>
      </c>
      <c r="L187" s="12"/>
      <c r="M187" s="12"/>
      <c r="N187" s="12"/>
      <c r="O187" s="12"/>
      <c r="P187" s="12"/>
      <c r="Q187" s="12"/>
      <c r="R187" s="12"/>
      <c r="S187" s="12">
        <v>1</v>
      </c>
      <c r="T187" s="13"/>
      <c r="U187" s="46"/>
      <c r="V187" s="47"/>
      <c r="W187" s="48">
        <f t="shared" si="19"/>
        <v>0</v>
      </c>
      <c r="X187" s="48">
        <f t="shared" si="20"/>
        <v>0</v>
      </c>
      <c r="Y187" s="48">
        <f t="shared" si="21"/>
        <v>0</v>
      </c>
      <c r="Z187" s="48">
        <f t="shared" si="22"/>
        <v>0</v>
      </c>
      <c r="AA187" s="48"/>
      <c r="AB187" s="48"/>
      <c r="AC187" s="49">
        <f t="shared" si="23"/>
        <v>0</v>
      </c>
      <c r="AD187" s="50">
        <v>0</v>
      </c>
      <c r="AE187" s="47">
        <v>39890</v>
      </c>
      <c r="AF187" s="51" t="s">
        <v>516</v>
      </c>
      <c r="AG187" s="52" t="s">
        <v>517</v>
      </c>
      <c r="AH187" s="53" t="s">
        <v>549</v>
      </c>
      <c r="AI187" s="79"/>
      <c r="AJ187" s="80"/>
      <c r="AK187" s="81"/>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2"/>
      <c r="CL187" s="12"/>
      <c r="CM187" s="82"/>
      <c r="CN187" s="12"/>
      <c r="CO187" s="82"/>
      <c r="CP187" s="12"/>
      <c r="CQ187" s="83">
        <f t="shared" si="24"/>
        <v>0</v>
      </c>
      <c r="CR187" s="84"/>
      <c r="CS187" s="13"/>
      <c r="CT187" s="85"/>
      <c r="CU187" s="86"/>
      <c r="CV187" s="11"/>
      <c r="CW187" s="86"/>
      <c r="CX187" s="84"/>
      <c r="CY187" s="86"/>
    </row>
    <row r="188" spans="1:104" ht="76.5" x14ac:dyDescent="0.2">
      <c r="A188" s="43">
        <v>39889</v>
      </c>
      <c r="B188" s="44" t="s">
        <v>437</v>
      </c>
      <c r="C188" s="44" t="s">
        <v>64</v>
      </c>
      <c r="D188" s="45" t="s">
        <v>1117</v>
      </c>
      <c r="E188" s="11"/>
      <c r="F188" s="12"/>
      <c r="G188" s="12"/>
      <c r="H188" s="12">
        <v>200</v>
      </c>
      <c r="I188" s="12">
        <v>40</v>
      </c>
      <c r="J188" s="12"/>
      <c r="K188" s="12">
        <v>40</v>
      </c>
      <c r="L188" s="12"/>
      <c r="M188" s="12"/>
      <c r="N188" s="12"/>
      <c r="O188" s="12"/>
      <c r="P188" s="12"/>
      <c r="Q188" s="12"/>
      <c r="R188" s="12"/>
      <c r="S188" s="12"/>
      <c r="T188" s="13"/>
      <c r="U188" s="46"/>
      <c r="V188" s="47">
        <v>39959</v>
      </c>
      <c r="W188" s="48">
        <f t="shared" si="19"/>
        <v>0</v>
      </c>
      <c r="X188" s="48">
        <f t="shared" si="20"/>
        <v>0</v>
      </c>
      <c r="Y188" s="48">
        <f t="shared" si="21"/>
        <v>21030000</v>
      </c>
      <c r="Z188" s="48">
        <f t="shared" si="22"/>
        <v>0</v>
      </c>
      <c r="AA188" s="48">
        <f>1664256+260000+11500000+52000+112320</f>
        <v>13588576</v>
      </c>
      <c r="AB188" s="48"/>
      <c r="AC188" s="49">
        <f t="shared" si="23"/>
        <v>34618576</v>
      </c>
      <c r="AD188" s="50">
        <v>0</v>
      </c>
      <c r="AE188" s="47">
        <v>39889</v>
      </c>
      <c r="AF188" s="51" t="s">
        <v>1016</v>
      </c>
      <c r="AG188" s="52" t="s">
        <v>565</v>
      </c>
      <c r="AH188" s="53" t="s">
        <v>833</v>
      </c>
      <c r="AI188" s="79"/>
      <c r="AJ188" s="80"/>
      <c r="AK188" s="81"/>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2"/>
      <c r="CL188" s="12"/>
      <c r="CM188" s="82"/>
      <c r="CN188" s="12"/>
      <c r="CO188" s="82"/>
      <c r="CP188" s="12"/>
      <c r="CQ188" s="83">
        <f t="shared" si="24"/>
        <v>0</v>
      </c>
      <c r="CR188" s="84"/>
      <c r="CS188" s="13"/>
      <c r="CT188" s="85"/>
      <c r="CU188" s="86"/>
      <c r="CV188" s="11">
        <v>100</v>
      </c>
      <c r="CW188" s="86">
        <f>100*25000</f>
        <v>2500000</v>
      </c>
      <c r="CX188" s="84">
        <f>548+20+173+20</f>
        <v>761</v>
      </c>
      <c r="CY188" s="86">
        <f>548*21000+20*38000+173*34000+20*19000</f>
        <v>18530000</v>
      </c>
      <c r="CZ188" s="9" t="s">
        <v>1200</v>
      </c>
    </row>
    <row r="189" spans="1:104" ht="25.5" x14ac:dyDescent="0.2">
      <c r="A189" s="43">
        <v>39889</v>
      </c>
      <c r="B189" s="44" t="s">
        <v>1091</v>
      </c>
      <c r="C189" s="44" t="s">
        <v>80</v>
      </c>
      <c r="D189" s="45" t="s">
        <v>1092</v>
      </c>
      <c r="E189" s="11"/>
      <c r="F189" s="12"/>
      <c r="G189" s="12"/>
      <c r="H189" s="12">
        <f>16*5</f>
        <v>80</v>
      </c>
      <c r="I189" s="12">
        <v>16</v>
      </c>
      <c r="J189" s="12">
        <v>11</v>
      </c>
      <c r="K189" s="12">
        <v>5</v>
      </c>
      <c r="L189" s="12"/>
      <c r="M189" s="12"/>
      <c r="N189" s="12"/>
      <c r="O189" s="12"/>
      <c r="P189" s="12"/>
      <c r="Q189" s="12"/>
      <c r="R189" s="12"/>
      <c r="S189" s="12"/>
      <c r="T189" s="13"/>
      <c r="U189" s="46"/>
      <c r="V189" s="47"/>
      <c r="W189" s="48">
        <f t="shared" si="19"/>
        <v>0</v>
      </c>
      <c r="X189" s="48">
        <f t="shared" si="20"/>
        <v>0</v>
      </c>
      <c r="Y189" s="48">
        <f t="shared" si="21"/>
        <v>0</v>
      </c>
      <c r="Z189" s="48">
        <f t="shared" si="22"/>
        <v>0</v>
      </c>
      <c r="AA189" s="48"/>
      <c r="AB189" s="48"/>
      <c r="AC189" s="49">
        <f t="shared" si="23"/>
        <v>0</v>
      </c>
      <c r="AD189" s="50">
        <v>0</v>
      </c>
      <c r="AE189" s="47">
        <v>39891</v>
      </c>
      <c r="AF189" s="51" t="s">
        <v>516</v>
      </c>
      <c r="AG189" s="52" t="s">
        <v>517</v>
      </c>
      <c r="AH189" s="53" t="s">
        <v>81</v>
      </c>
      <c r="AI189" s="79"/>
      <c r="AJ189" s="80"/>
      <c r="AK189" s="81"/>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2"/>
      <c r="CL189" s="12"/>
      <c r="CM189" s="82"/>
      <c r="CN189" s="12"/>
      <c r="CO189" s="82"/>
      <c r="CP189" s="12"/>
      <c r="CQ189" s="83">
        <f t="shared" si="24"/>
        <v>0</v>
      </c>
      <c r="CR189" s="84"/>
      <c r="CS189" s="13"/>
      <c r="CT189" s="85"/>
      <c r="CU189" s="86"/>
      <c r="CV189" s="11"/>
      <c r="CW189" s="86"/>
      <c r="CX189" s="84"/>
      <c r="CY189" s="86"/>
    </row>
    <row r="190" spans="1:104" ht="25.5" x14ac:dyDescent="0.2">
      <c r="A190" s="43">
        <v>39890</v>
      </c>
      <c r="B190" s="44" t="s">
        <v>625</v>
      </c>
      <c r="C190" s="44" t="s">
        <v>476</v>
      </c>
      <c r="D190" s="45" t="s">
        <v>1117</v>
      </c>
      <c r="E190" s="11"/>
      <c r="F190" s="12"/>
      <c r="G190" s="12"/>
      <c r="H190" s="12">
        <v>75</v>
      </c>
      <c r="I190" s="12">
        <v>15</v>
      </c>
      <c r="J190" s="12"/>
      <c r="K190" s="12">
        <v>15</v>
      </c>
      <c r="L190" s="12"/>
      <c r="M190" s="12"/>
      <c r="N190" s="12"/>
      <c r="O190" s="12"/>
      <c r="P190" s="12"/>
      <c r="Q190" s="12"/>
      <c r="R190" s="12"/>
      <c r="S190" s="12"/>
      <c r="T190" s="13"/>
      <c r="U190" s="46"/>
      <c r="V190" s="47"/>
      <c r="W190" s="48">
        <f t="shared" si="19"/>
        <v>0</v>
      </c>
      <c r="X190" s="48">
        <f t="shared" si="20"/>
        <v>0</v>
      </c>
      <c r="Y190" s="48">
        <f t="shared" si="21"/>
        <v>0</v>
      </c>
      <c r="Z190" s="48">
        <f t="shared" si="22"/>
        <v>0</v>
      </c>
      <c r="AA190" s="48"/>
      <c r="AB190" s="48"/>
      <c r="AC190" s="49">
        <f t="shared" si="23"/>
        <v>0</v>
      </c>
      <c r="AD190" s="50">
        <v>0</v>
      </c>
      <c r="AE190" s="47">
        <v>39890</v>
      </c>
      <c r="AF190" s="51" t="s">
        <v>516</v>
      </c>
      <c r="AG190" s="52" t="s">
        <v>517</v>
      </c>
      <c r="AH190" s="53" t="s">
        <v>518</v>
      </c>
      <c r="AI190" s="79"/>
      <c r="AJ190" s="80"/>
      <c r="AK190" s="81"/>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2"/>
      <c r="CL190" s="12"/>
      <c r="CM190" s="82"/>
      <c r="CN190" s="12"/>
      <c r="CO190" s="82"/>
      <c r="CP190" s="12"/>
      <c r="CQ190" s="83">
        <f t="shared" si="24"/>
        <v>0</v>
      </c>
      <c r="CR190" s="84"/>
      <c r="CS190" s="13"/>
      <c r="CT190" s="85"/>
      <c r="CU190" s="86"/>
      <c r="CV190" s="11"/>
      <c r="CW190" s="86"/>
      <c r="CX190" s="84"/>
      <c r="CY190" s="86"/>
    </row>
    <row r="191" spans="1:104" ht="25.5" x14ac:dyDescent="0.2">
      <c r="A191" s="43">
        <v>39890</v>
      </c>
      <c r="B191" s="44" t="s">
        <v>904</v>
      </c>
      <c r="C191" s="44" t="s">
        <v>321</v>
      </c>
      <c r="D191" s="45" t="s">
        <v>1118</v>
      </c>
      <c r="E191" s="11"/>
      <c r="F191" s="12"/>
      <c r="G191" s="12"/>
      <c r="H191" s="12">
        <f>17*5</f>
        <v>85</v>
      </c>
      <c r="I191" s="12">
        <v>17</v>
      </c>
      <c r="J191" s="12">
        <v>2</v>
      </c>
      <c r="K191" s="12">
        <v>15</v>
      </c>
      <c r="L191" s="12"/>
      <c r="M191" s="12"/>
      <c r="N191" s="12"/>
      <c r="O191" s="12"/>
      <c r="P191" s="12"/>
      <c r="Q191" s="12"/>
      <c r="R191" s="12"/>
      <c r="S191" s="12"/>
      <c r="T191" s="13"/>
      <c r="U191" s="46"/>
      <c r="V191" s="47"/>
      <c r="W191" s="48">
        <f t="shared" si="19"/>
        <v>0</v>
      </c>
      <c r="X191" s="48">
        <f t="shared" si="20"/>
        <v>0</v>
      </c>
      <c r="Y191" s="48">
        <f t="shared" si="21"/>
        <v>0</v>
      </c>
      <c r="Z191" s="48">
        <f t="shared" si="22"/>
        <v>0</v>
      </c>
      <c r="AA191" s="48"/>
      <c r="AB191" s="48"/>
      <c r="AC191" s="49">
        <f t="shared" si="23"/>
        <v>0</v>
      </c>
      <c r="AD191" s="50">
        <v>0</v>
      </c>
      <c r="AE191" s="47">
        <v>39898</v>
      </c>
      <c r="AF191" s="51" t="s">
        <v>516</v>
      </c>
      <c r="AG191" s="52" t="s">
        <v>517</v>
      </c>
      <c r="AH191" s="53" t="s">
        <v>1281</v>
      </c>
      <c r="AI191" s="79"/>
      <c r="AJ191" s="80"/>
      <c r="AK191" s="81"/>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2"/>
      <c r="CL191" s="12"/>
      <c r="CM191" s="82"/>
      <c r="CN191" s="12"/>
      <c r="CO191" s="82"/>
      <c r="CP191" s="12"/>
      <c r="CQ191" s="83">
        <f t="shared" si="24"/>
        <v>0</v>
      </c>
      <c r="CR191" s="84"/>
      <c r="CS191" s="13"/>
      <c r="CT191" s="85"/>
      <c r="CU191" s="86"/>
      <c r="CV191" s="11"/>
      <c r="CW191" s="86"/>
      <c r="CX191" s="84"/>
      <c r="CY191" s="86"/>
    </row>
    <row r="192" spans="1:104" ht="51" x14ac:dyDescent="0.2">
      <c r="A192" s="43">
        <v>39890</v>
      </c>
      <c r="B192" s="44" t="s">
        <v>1091</v>
      </c>
      <c r="C192" s="44" t="s">
        <v>162</v>
      </c>
      <c r="D192" s="45" t="s">
        <v>1118</v>
      </c>
      <c r="E192" s="11"/>
      <c r="F192" s="12"/>
      <c r="G192" s="12"/>
      <c r="H192" s="12">
        <f>55*5</f>
        <v>275</v>
      </c>
      <c r="I192" s="12">
        <f>40+15</f>
        <v>55</v>
      </c>
      <c r="J192" s="12"/>
      <c r="K192" s="12">
        <f>40+15</f>
        <v>55</v>
      </c>
      <c r="L192" s="12"/>
      <c r="M192" s="12"/>
      <c r="N192" s="12"/>
      <c r="O192" s="12"/>
      <c r="P192" s="12"/>
      <c r="Q192" s="12"/>
      <c r="R192" s="12"/>
      <c r="S192" s="12"/>
      <c r="T192" s="13">
        <v>200</v>
      </c>
      <c r="U192" s="46"/>
      <c r="V192" s="47"/>
      <c r="W192" s="48">
        <f t="shared" si="19"/>
        <v>0</v>
      </c>
      <c r="X192" s="48">
        <f t="shared" si="20"/>
        <v>0</v>
      </c>
      <c r="Y192" s="48">
        <f t="shared" si="21"/>
        <v>0</v>
      </c>
      <c r="Z192" s="48">
        <f t="shared" si="22"/>
        <v>0</v>
      </c>
      <c r="AA192" s="48"/>
      <c r="AB192" s="48"/>
      <c r="AC192" s="49">
        <f t="shared" si="23"/>
        <v>0</v>
      </c>
      <c r="AD192" s="50">
        <v>0</v>
      </c>
      <c r="AE192" s="47">
        <v>39891</v>
      </c>
      <c r="AF192" s="51" t="s">
        <v>516</v>
      </c>
      <c r="AG192" s="52" t="s">
        <v>517</v>
      </c>
      <c r="AH192" s="53" t="s">
        <v>783</v>
      </c>
      <c r="AI192" s="79"/>
      <c r="AJ192" s="80"/>
      <c r="AK192" s="81"/>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2"/>
      <c r="CL192" s="12"/>
      <c r="CM192" s="82"/>
      <c r="CN192" s="12"/>
      <c r="CO192" s="82"/>
      <c r="CP192" s="12"/>
      <c r="CQ192" s="83">
        <f t="shared" si="24"/>
        <v>0</v>
      </c>
      <c r="CR192" s="84"/>
      <c r="CS192" s="13"/>
      <c r="CT192" s="85"/>
      <c r="CU192" s="86"/>
      <c r="CV192" s="11"/>
      <c r="CW192" s="86"/>
      <c r="CX192" s="84"/>
      <c r="CY192" s="86"/>
    </row>
    <row r="193" spans="1:103" ht="25.5" x14ac:dyDescent="0.2">
      <c r="A193" s="43">
        <v>39890</v>
      </c>
      <c r="B193" s="44" t="s">
        <v>1091</v>
      </c>
      <c r="C193" s="44" t="s">
        <v>784</v>
      </c>
      <c r="D193" s="45" t="s">
        <v>1092</v>
      </c>
      <c r="E193" s="11"/>
      <c r="F193" s="12"/>
      <c r="G193" s="12"/>
      <c r="H193" s="12">
        <v>150</v>
      </c>
      <c r="I193" s="12">
        <v>30</v>
      </c>
      <c r="J193" s="12"/>
      <c r="K193" s="12">
        <v>30</v>
      </c>
      <c r="L193" s="12"/>
      <c r="M193" s="12"/>
      <c r="N193" s="12"/>
      <c r="O193" s="12"/>
      <c r="P193" s="12"/>
      <c r="Q193" s="12"/>
      <c r="R193" s="12"/>
      <c r="S193" s="12"/>
      <c r="T193" s="13"/>
      <c r="U193" s="46"/>
      <c r="V193" s="47"/>
      <c r="W193" s="48">
        <f t="shared" si="19"/>
        <v>0</v>
      </c>
      <c r="X193" s="48">
        <f t="shared" si="20"/>
        <v>0</v>
      </c>
      <c r="Y193" s="48">
        <f t="shared" si="21"/>
        <v>0</v>
      </c>
      <c r="Z193" s="48">
        <f t="shared" si="22"/>
        <v>0</v>
      </c>
      <c r="AA193" s="48"/>
      <c r="AB193" s="48"/>
      <c r="AC193" s="49">
        <f t="shared" si="23"/>
        <v>0</v>
      </c>
      <c r="AD193" s="50">
        <v>0</v>
      </c>
      <c r="AE193" s="47">
        <v>39891</v>
      </c>
      <c r="AF193" s="51" t="s">
        <v>516</v>
      </c>
      <c r="AG193" s="52" t="s">
        <v>517</v>
      </c>
      <c r="AH193" s="53" t="s">
        <v>79</v>
      </c>
      <c r="AI193" s="79"/>
      <c r="AJ193" s="80"/>
      <c r="AK193" s="81"/>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2"/>
      <c r="CL193" s="12"/>
      <c r="CM193" s="82"/>
      <c r="CN193" s="12"/>
      <c r="CO193" s="82"/>
      <c r="CP193" s="12"/>
      <c r="CQ193" s="83">
        <f t="shared" si="24"/>
        <v>0</v>
      </c>
      <c r="CR193" s="84"/>
      <c r="CS193" s="13"/>
      <c r="CT193" s="85"/>
      <c r="CU193" s="86"/>
      <c r="CV193" s="11"/>
      <c r="CW193" s="86"/>
      <c r="CX193" s="84"/>
      <c r="CY193" s="86"/>
    </row>
    <row r="194" spans="1:103" ht="25.5" x14ac:dyDescent="0.2">
      <c r="A194" s="43">
        <v>39891</v>
      </c>
      <c r="B194" s="44" t="s">
        <v>904</v>
      </c>
      <c r="C194" s="44" t="s">
        <v>1004</v>
      </c>
      <c r="D194" s="45" t="s">
        <v>1092</v>
      </c>
      <c r="E194" s="11"/>
      <c r="F194" s="12"/>
      <c r="G194" s="12"/>
      <c r="H194" s="12"/>
      <c r="I194" s="12"/>
      <c r="J194" s="12"/>
      <c r="K194" s="12"/>
      <c r="L194" s="12">
        <v>1</v>
      </c>
      <c r="M194" s="12"/>
      <c r="N194" s="12"/>
      <c r="O194" s="12"/>
      <c r="P194" s="12"/>
      <c r="Q194" s="12"/>
      <c r="R194" s="12"/>
      <c r="S194" s="12"/>
      <c r="T194" s="13"/>
      <c r="U194" s="46"/>
      <c r="V194" s="47"/>
      <c r="W194" s="48">
        <f t="shared" si="19"/>
        <v>0</v>
      </c>
      <c r="X194" s="48">
        <f t="shared" si="20"/>
        <v>0</v>
      </c>
      <c r="Y194" s="48">
        <f t="shared" si="21"/>
        <v>0</v>
      </c>
      <c r="Z194" s="48">
        <f t="shared" si="22"/>
        <v>0</v>
      </c>
      <c r="AA194" s="48"/>
      <c r="AB194" s="48"/>
      <c r="AC194" s="49">
        <f t="shared" si="23"/>
        <v>0</v>
      </c>
      <c r="AD194" s="50">
        <v>0</v>
      </c>
      <c r="AE194" s="47">
        <v>39891</v>
      </c>
      <c r="AF194" s="51" t="s">
        <v>516</v>
      </c>
      <c r="AG194" s="52" t="s">
        <v>517</v>
      </c>
      <c r="AH194" s="53" t="s">
        <v>1005</v>
      </c>
      <c r="AI194" s="79"/>
      <c r="AJ194" s="80"/>
      <c r="AK194" s="81"/>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2"/>
      <c r="CL194" s="12"/>
      <c r="CM194" s="82"/>
      <c r="CN194" s="12"/>
      <c r="CO194" s="82"/>
      <c r="CP194" s="12"/>
      <c r="CQ194" s="83">
        <f t="shared" si="24"/>
        <v>0</v>
      </c>
      <c r="CR194" s="84"/>
      <c r="CS194" s="13"/>
      <c r="CT194" s="85"/>
      <c r="CU194" s="86"/>
      <c r="CV194" s="11"/>
      <c r="CW194" s="86"/>
      <c r="CX194" s="84"/>
      <c r="CY194" s="86"/>
    </row>
    <row r="195" spans="1:103" ht="38.25" x14ac:dyDescent="0.2">
      <c r="A195" s="43">
        <v>39891</v>
      </c>
      <c r="B195" s="44" t="s">
        <v>904</v>
      </c>
      <c r="C195" s="44" t="s">
        <v>1006</v>
      </c>
      <c r="D195" s="45" t="s">
        <v>1092</v>
      </c>
      <c r="E195" s="11"/>
      <c r="F195" s="12"/>
      <c r="G195" s="12"/>
      <c r="H195" s="12">
        <f>16*5</f>
        <v>80</v>
      </c>
      <c r="I195" s="12">
        <v>16</v>
      </c>
      <c r="J195" s="12">
        <v>1</v>
      </c>
      <c r="K195" s="12">
        <v>15</v>
      </c>
      <c r="L195" s="12"/>
      <c r="M195" s="12"/>
      <c r="N195" s="12"/>
      <c r="O195" s="12"/>
      <c r="P195" s="12"/>
      <c r="Q195" s="12"/>
      <c r="R195" s="12"/>
      <c r="S195" s="12"/>
      <c r="T195" s="13"/>
      <c r="U195" s="46"/>
      <c r="V195" s="47"/>
      <c r="W195" s="48">
        <f t="shared" ref="W195:W258" si="25">CQ195</f>
        <v>0</v>
      </c>
      <c r="X195" s="48">
        <f t="shared" ref="X195:X258" si="26">CU195</f>
        <v>0</v>
      </c>
      <c r="Y195" s="48">
        <f t="shared" ref="Y195:Y258" si="27">CW195+CY195</f>
        <v>0</v>
      </c>
      <c r="Z195" s="48">
        <f t="shared" ref="Z195:Z258" si="28">CS195</f>
        <v>0</v>
      </c>
      <c r="AA195" s="48"/>
      <c r="AB195" s="48"/>
      <c r="AC195" s="49">
        <f t="shared" ref="AC195:AC258" si="29">W195+X195+Y195+Z195+AA195+AB195</f>
        <v>0</v>
      </c>
      <c r="AD195" s="50">
        <v>0</v>
      </c>
      <c r="AE195" s="47">
        <v>39898</v>
      </c>
      <c r="AF195" s="51" t="s">
        <v>516</v>
      </c>
      <c r="AG195" s="52" t="s">
        <v>517</v>
      </c>
      <c r="AH195" s="53" t="s">
        <v>1007</v>
      </c>
      <c r="AI195" s="79"/>
      <c r="AJ195" s="80"/>
      <c r="AK195" s="81"/>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2"/>
      <c r="CL195" s="12"/>
      <c r="CM195" s="82"/>
      <c r="CN195" s="12"/>
      <c r="CO195" s="82"/>
      <c r="CP195" s="12"/>
      <c r="CQ195" s="83">
        <f t="shared" ref="CQ195:CQ258" si="30">AJ195+AL195+AN195+AP195+AR195+AT195+AV195+AX195+AZ195+BB195+BD195+BF195+BH195+BJ195+BL195+BN195+BP195+BR195+BT195+BV195+BX195+BZ195+CB195+CD195+CF195+CH195+CJ195+CL195+CN195+CP195</f>
        <v>0</v>
      </c>
      <c r="CR195" s="84"/>
      <c r="CS195" s="13"/>
      <c r="CT195" s="85"/>
      <c r="CU195" s="86"/>
      <c r="CV195" s="11"/>
      <c r="CW195" s="86"/>
      <c r="CX195" s="84"/>
      <c r="CY195" s="86"/>
    </row>
    <row r="196" spans="1:103" ht="51" x14ac:dyDescent="0.2">
      <c r="A196" s="43">
        <v>39891</v>
      </c>
      <c r="B196" s="44" t="s">
        <v>1224</v>
      </c>
      <c r="C196" s="44" t="s">
        <v>282</v>
      </c>
      <c r="D196" s="45" t="s">
        <v>1095</v>
      </c>
      <c r="E196" s="11">
        <v>2</v>
      </c>
      <c r="F196" s="12">
        <v>3</v>
      </c>
      <c r="G196" s="12"/>
      <c r="H196" s="12"/>
      <c r="I196" s="12"/>
      <c r="J196" s="12"/>
      <c r="K196" s="12"/>
      <c r="L196" s="12"/>
      <c r="M196" s="12"/>
      <c r="N196" s="12"/>
      <c r="O196" s="12"/>
      <c r="P196" s="12"/>
      <c r="Q196" s="12"/>
      <c r="R196" s="12"/>
      <c r="S196" s="12"/>
      <c r="T196" s="13"/>
      <c r="U196" s="46"/>
      <c r="V196" s="47">
        <v>40070</v>
      </c>
      <c r="W196" s="48">
        <f t="shared" si="25"/>
        <v>0</v>
      </c>
      <c r="X196" s="48">
        <f t="shared" si="26"/>
        <v>34000000</v>
      </c>
      <c r="Y196" s="48">
        <f t="shared" si="27"/>
        <v>0</v>
      </c>
      <c r="Z196" s="48">
        <f t="shared" si="28"/>
        <v>0</v>
      </c>
      <c r="AA196" s="48"/>
      <c r="AB196" s="48"/>
      <c r="AC196" s="49">
        <f t="shared" si="29"/>
        <v>34000000</v>
      </c>
      <c r="AD196" s="50">
        <v>0</v>
      </c>
      <c r="AE196" s="47">
        <v>39891</v>
      </c>
      <c r="AF196" s="51" t="s">
        <v>1016</v>
      </c>
      <c r="AG196" s="52" t="s">
        <v>565</v>
      </c>
      <c r="AH196" s="53" t="s">
        <v>411</v>
      </c>
      <c r="AI196" s="79"/>
      <c r="AJ196" s="80"/>
      <c r="AK196" s="81"/>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2"/>
      <c r="CL196" s="12"/>
      <c r="CM196" s="82"/>
      <c r="CN196" s="12"/>
      <c r="CO196" s="82"/>
      <c r="CP196" s="12"/>
      <c r="CQ196" s="83">
        <f t="shared" si="30"/>
        <v>0</v>
      </c>
      <c r="CR196" s="84"/>
      <c r="CS196" s="13"/>
      <c r="CT196" s="85">
        <v>400</v>
      </c>
      <c r="CU196" s="86">
        <f>400*85000</f>
        <v>34000000</v>
      </c>
      <c r="CV196" s="11"/>
      <c r="CW196" s="86"/>
      <c r="CX196" s="84"/>
      <c r="CY196" s="86"/>
    </row>
    <row r="197" spans="1:103" ht="51" x14ac:dyDescent="0.2">
      <c r="A197" s="43">
        <v>39891</v>
      </c>
      <c r="B197" s="44" t="s">
        <v>1224</v>
      </c>
      <c r="C197" s="44" t="s">
        <v>1208</v>
      </c>
      <c r="D197" s="45" t="s">
        <v>1118</v>
      </c>
      <c r="E197" s="11"/>
      <c r="F197" s="12"/>
      <c r="G197" s="12"/>
      <c r="H197" s="12">
        <v>11</v>
      </c>
      <c r="I197" s="12">
        <v>2</v>
      </c>
      <c r="J197" s="12"/>
      <c r="K197" s="12">
        <v>2</v>
      </c>
      <c r="L197" s="12"/>
      <c r="M197" s="12"/>
      <c r="N197" s="12"/>
      <c r="O197" s="12"/>
      <c r="P197" s="12"/>
      <c r="Q197" s="12"/>
      <c r="R197" s="12"/>
      <c r="S197" s="12"/>
      <c r="T197" s="13"/>
      <c r="U197" s="46"/>
      <c r="V197" s="47"/>
      <c r="W197" s="48">
        <f t="shared" si="25"/>
        <v>0</v>
      </c>
      <c r="X197" s="48">
        <f t="shared" si="26"/>
        <v>0</v>
      </c>
      <c r="Y197" s="48">
        <f t="shared" si="27"/>
        <v>0</v>
      </c>
      <c r="Z197" s="48">
        <f t="shared" si="28"/>
        <v>0</v>
      </c>
      <c r="AA197" s="48"/>
      <c r="AB197" s="48"/>
      <c r="AC197" s="49">
        <f t="shared" si="29"/>
        <v>0</v>
      </c>
      <c r="AD197" s="50">
        <v>0</v>
      </c>
      <c r="AE197" s="47">
        <v>39891</v>
      </c>
      <c r="AF197" s="51" t="s">
        <v>516</v>
      </c>
      <c r="AG197" s="52" t="s">
        <v>517</v>
      </c>
      <c r="AH197" s="53" t="s">
        <v>786</v>
      </c>
      <c r="AI197" s="79"/>
      <c r="AJ197" s="80"/>
      <c r="AK197" s="81"/>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2"/>
      <c r="CL197" s="12"/>
      <c r="CM197" s="82"/>
      <c r="CN197" s="12"/>
      <c r="CO197" s="82"/>
      <c r="CP197" s="12"/>
      <c r="CQ197" s="83">
        <f t="shared" si="30"/>
        <v>0</v>
      </c>
      <c r="CR197" s="84"/>
      <c r="CS197" s="13"/>
      <c r="CT197" s="85"/>
      <c r="CU197" s="86"/>
      <c r="CV197" s="11"/>
      <c r="CW197" s="86"/>
      <c r="CX197" s="84"/>
      <c r="CY197" s="86"/>
    </row>
    <row r="198" spans="1:103" ht="25.5" x14ac:dyDescent="0.2">
      <c r="A198" s="43">
        <v>39891</v>
      </c>
      <c r="B198" s="44" t="s">
        <v>1094</v>
      </c>
      <c r="C198" s="44" t="s">
        <v>1454</v>
      </c>
      <c r="D198" s="45" t="s">
        <v>1118</v>
      </c>
      <c r="E198" s="11"/>
      <c r="F198" s="12"/>
      <c r="G198" s="12"/>
      <c r="H198" s="12"/>
      <c r="I198" s="12"/>
      <c r="J198" s="12"/>
      <c r="K198" s="12"/>
      <c r="L198" s="12"/>
      <c r="M198" s="12"/>
      <c r="N198" s="12"/>
      <c r="O198" s="12"/>
      <c r="P198" s="12"/>
      <c r="Q198" s="12"/>
      <c r="R198" s="12"/>
      <c r="S198" s="12"/>
      <c r="T198" s="13"/>
      <c r="U198" s="46"/>
      <c r="V198" s="47">
        <v>39924</v>
      </c>
      <c r="W198" s="48">
        <f t="shared" si="25"/>
        <v>0</v>
      </c>
      <c r="X198" s="48">
        <f t="shared" si="26"/>
        <v>0</v>
      </c>
      <c r="Y198" s="48">
        <f t="shared" si="27"/>
        <v>0</v>
      </c>
      <c r="Z198" s="48">
        <f t="shared" si="28"/>
        <v>190472000</v>
      </c>
      <c r="AA198" s="48"/>
      <c r="AB198" s="48"/>
      <c r="AC198" s="49">
        <f t="shared" si="29"/>
        <v>190472000</v>
      </c>
      <c r="AD198" s="50">
        <v>0</v>
      </c>
      <c r="AE198" s="47">
        <v>39892</v>
      </c>
      <c r="AF198" s="51" t="s">
        <v>1016</v>
      </c>
      <c r="AG198" s="52" t="s">
        <v>565</v>
      </c>
      <c r="AH198" s="53" t="s">
        <v>1261</v>
      </c>
      <c r="AI198" s="79"/>
      <c r="AJ198" s="80"/>
      <c r="AK198" s="81"/>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2"/>
      <c r="CL198" s="12"/>
      <c r="CM198" s="82"/>
      <c r="CN198" s="12"/>
      <c r="CO198" s="82"/>
      <c r="CP198" s="12"/>
      <c r="CQ198" s="83">
        <f t="shared" si="30"/>
        <v>0</v>
      </c>
      <c r="CR198" s="84">
        <v>200000</v>
      </c>
      <c r="CS198" s="13">
        <f>200000*952.36</f>
        <v>190472000</v>
      </c>
      <c r="CT198" s="85"/>
      <c r="CU198" s="86"/>
      <c r="CV198" s="11"/>
      <c r="CW198" s="86"/>
      <c r="CX198" s="84"/>
      <c r="CY198" s="86"/>
    </row>
    <row r="199" spans="1:103" ht="25.5" x14ac:dyDescent="0.2">
      <c r="A199" s="43">
        <v>39891</v>
      </c>
      <c r="B199" s="44" t="s">
        <v>600</v>
      </c>
      <c r="C199" s="44" t="s">
        <v>690</v>
      </c>
      <c r="D199" s="45" t="s">
        <v>1092</v>
      </c>
      <c r="E199" s="11">
        <v>5</v>
      </c>
      <c r="F199" s="12"/>
      <c r="G199" s="12"/>
      <c r="H199" s="12">
        <v>5</v>
      </c>
      <c r="I199" s="12">
        <v>1</v>
      </c>
      <c r="J199" s="12">
        <v>1</v>
      </c>
      <c r="K199" s="12"/>
      <c r="L199" s="12"/>
      <c r="M199" s="12"/>
      <c r="N199" s="12"/>
      <c r="O199" s="12"/>
      <c r="P199" s="12"/>
      <c r="Q199" s="12"/>
      <c r="R199" s="12"/>
      <c r="S199" s="12"/>
      <c r="T199" s="13"/>
      <c r="U199" s="46"/>
      <c r="V199" s="47"/>
      <c r="W199" s="48">
        <f t="shared" si="25"/>
        <v>0</v>
      </c>
      <c r="X199" s="48">
        <f t="shared" si="26"/>
        <v>0</v>
      </c>
      <c r="Y199" s="48">
        <f t="shared" si="27"/>
        <v>0</v>
      </c>
      <c r="Z199" s="48">
        <f t="shared" si="28"/>
        <v>0</v>
      </c>
      <c r="AA199" s="48"/>
      <c r="AB199" s="48"/>
      <c r="AC199" s="49">
        <f t="shared" si="29"/>
        <v>0</v>
      </c>
      <c r="AD199" s="50">
        <v>0</v>
      </c>
      <c r="AE199" s="47">
        <v>39891</v>
      </c>
      <c r="AF199" s="51" t="s">
        <v>516</v>
      </c>
      <c r="AG199" s="52" t="s">
        <v>517</v>
      </c>
      <c r="AH199" s="53" t="s">
        <v>691</v>
      </c>
      <c r="AI199" s="79"/>
      <c r="AJ199" s="80"/>
      <c r="AK199" s="81"/>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2"/>
      <c r="CL199" s="12"/>
      <c r="CM199" s="82"/>
      <c r="CN199" s="12"/>
      <c r="CO199" s="82"/>
      <c r="CP199" s="12"/>
      <c r="CQ199" s="83">
        <f t="shared" si="30"/>
        <v>0</v>
      </c>
      <c r="CR199" s="84"/>
      <c r="CS199" s="13"/>
      <c r="CT199" s="85"/>
      <c r="CU199" s="86"/>
      <c r="CV199" s="11"/>
      <c r="CW199" s="86"/>
      <c r="CX199" s="84"/>
      <c r="CY199" s="86"/>
    </row>
    <row r="200" spans="1:103" ht="25.5" x14ac:dyDescent="0.2">
      <c r="A200" s="43">
        <v>39891</v>
      </c>
      <c r="B200" s="44" t="s">
        <v>1350</v>
      </c>
      <c r="C200" s="44" t="s">
        <v>1351</v>
      </c>
      <c r="D200" s="45" t="s">
        <v>1095</v>
      </c>
      <c r="E200" s="11"/>
      <c r="F200" s="12">
        <v>2</v>
      </c>
      <c r="G200" s="12"/>
      <c r="H200" s="12"/>
      <c r="I200" s="12"/>
      <c r="J200" s="12"/>
      <c r="K200" s="12"/>
      <c r="L200" s="12"/>
      <c r="M200" s="12"/>
      <c r="N200" s="12"/>
      <c r="O200" s="12"/>
      <c r="P200" s="12"/>
      <c r="Q200" s="12"/>
      <c r="R200" s="12"/>
      <c r="S200" s="12"/>
      <c r="T200" s="13"/>
      <c r="U200" s="46"/>
      <c r="V200" s="47"/>
      <c r="W200" s="48">
        <f t="shared" si="25"/>
        <v>0</v>
      </c>
      <c r="X200" s="48">
        <f t="shared" si="26"/>
        <v>0</v>
      </c>
      <c r="Y200" s="48">
        <f t="shared" si="27"/>
        <v>0</v>
      </c>
      <c r="Z200" s="48">
        <f t="shared" si="28"/>
        <v>0</v>
      </c>
      <c r="AA200" s="48"/>
      <c r="AB200" s="48"/>
      <c r="AC200" s="49">
        <f t="shared" si="29"/>
        <v>0</v>
      </c>
      <c r="AD200" s="50">
        <v>0</v>
      </c>
      <c r="AE200" s="47">
        <v>39891</v>
      </c>
      <c r="AF200" s="51" t="s">
        <v>516</v>
      </c>
      <c r="AG200" s="52" t="s">
        <v>517</v>
      </c>
      <c r="AH200" s="53" t="s">
        <v>1242</v>
      </c>
      <c r="AI200" s="79"/>
      <c r="AJ200" s="80"/>
      <c r="AK200" s="81"/>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2"/>
      <c r="CL200" s="12"/>
      <c r="CM200" s="82"/>
      <c r="CN200" s="12"/>
      <c r="CO200" s="82"/>
      <c r="CP200" s="12"/>
      <c r="CQ200" s="83">
        <f t="shared" si="30"/>
        <v>0</v>
      </c>
      <c r="CR200" s="84"/>
      <c r="CS200" s="13"/>
      <c r="CT200" s="85"/>
      <c r="CU200" s="86"/>
      <c r="CV200" s="11"/>
      <c r="CW200" s="86"/>
      <c r="CX200" s="84"/>
      <c r="CY200" s="86"/>
    </row>
    <row r="201" spans="1:103" ht="38.25" x14ac:dyDescent="0.2">
      <c r="A201" s="43">
        <v>39892</v>
      </c>
      <c r="B201" s="44" t="s">
        <v>1114</v>
      </c>
      <c r="C201" s="44" t="s">
        <v>560</v>
      </c>
      <c r="D201" s="45" t="s">
        <v>1116</v>
      </c>
      <c r="E201" s="11"/>
      <c r="F201" s="12"/>
      <c r="G201" s="12"/>
      <c r="H201" s="12"/>
      <c r="I201" s="12"/>
      <c r="J201" s="12"/>
      <c r="K201" s="12"/>
      <c r="L201" s="12"/>
      <c r="M201" s="12"/>
      <c r="N201" s="12"/>
      <c r="O201" s="12"/>
      <c r="P201" s="12"/>
      <c r="Q201" s="12"/>
      <c r="R201" s="12"/>
      <c r="S201" s="12">
        <v>2</v>
      </c>
      <c r="T201" s="13"/>
      <c r="U201" s="46"/>
      <c r="V201" s="47"/>
      <c r="W201" s="48">
        <f t="shared" si="25"/>
        <v>0</v>
      </c>
      <c r="X201" s="48">
        <f t="shared" si="26"/>
        <v>0</v>
      </c>
      <c r="Y201" s="48">
        <f t="shared" si="27"/>
        <v>0</v>
      </c>
      <c r="Z201" s="48">
        <f t="shared" si="28"/>
        <v>0</v>
      </c>
      <c r="AA201" s="48"/>
      <c r="AB201" s="48"/>
      <c r="AC201" s="49">
        <f t="shared" si="29"/>
        <v>0</v>
      </c>
      <c r="AD201" s="50">
        <v>0</v>
      </c>
      <c r="AE201" s="47">
        <v>39896</v>
      </c>
      <c r="AF201" s="51" t="s">
        <v>516</v>
      </c>
      <c r="AG201" s="52" t="s">
        <v>517</v>
      </c>
      <c r="AH201" s="53" t="s">
        <v>53</v>
      </c>
      <c r="AI201" s="79"/>
      <c r="AJ201" s="80"/>
      <c r="AK201" s="81"/>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2"/>
      <c r="CL201" s="12"/>
      <c r="CM201" s="82"/>
      <c r="CN201" s="12"/>
      <c r="CO201" s="82"/>
      <c r="CP201" s="12"/>
      <c r="CQ201" s="83">
        <f t="shared" si="30"/>
        <v>0</v>
      </c>
      <c r="CR201" s="84"/>
      <c r="CS201" s="13"/>
      <c r="CT201" s="85"/>
      <c r="CU201" s="86"/>
      <c r="CV201" s="11"/>
      <c r="CW201" s="86"/>
      <c r="CX201" s="84"/>
      <c r="CY201" s="86"/>
    </row>
    <row r="202" spans="1:103" ht="114.75" x14ac:dyDescent="0.2">
      <c r="A202" s="43">
        <v>39892</v>
      </c>
      <c r="B202" s="44" t="s">
        <v>1350</v>
      </c>
      <c r="C202" s="44" t="s">
        <v>1419</v>
      </c>
      <c r="D202" s="45" t="s">
        <v>134</v>
      </c>
      <c r="E202" s="11"/>
      <c r="F202" s="12"/>
      <c r="G202" s="12">
        <v>1</v>
      </c>
      <c r="H202" s="12">
        <f>75*5</f>
        <v>375</v>
      </c>
      <c r="I202" s="12">
        <v>75</v>
      </c>
      <c r="J202" s="12"/>
      <c r="K202" s="12">
        <v>75</v>
      </c>
      <c r="L202" s="12"/>
      <c r="M202" s="12"/>
      <c r="N202" s="12"/>
      <c r="O202" s="12">
        <v>3</v>
      </c>
      <c r="P202" s="12"/>
      <c r="Q202" s="12"/>
      <c r="R202" s="12"/>
      <c r="S202" s="12"/>
      <c r="T202" s="13"/>
      <c r="U202" s="46"/>
      <c r="V202" s="47"/>
      <c r="W202" s="48">
        <f t="shared" si="25"/>
        <v>0</v>
      </c>
      <c r="X202" s="48">
        <f t="shared" si="26"/>
        <v>0</v>
      </c>
      <c r="Y202" s="48">
        <f t="shared" si="27"/>
        <v>0</v>
      </c>
      <c r="Z202" s="48">
        <f t="shared" si="28"/>
        <v>0</v>
      </c>
      <c r="AA202" s="48"/>
      <c r="AB202" s="48"/>
      <c r="AC202" s="49">
        <f t="shared" si="29"/>
        <v>0</v>
      </c>
      <c r="AD202" s="50">
        <v>0</v>
      </c>
      <c r="AE202" s="47">
        <v>39903</v>
      </c>
      <c r="AF202" s="51" t="s">
        <v>1016</v>
      </c>
      <c r="AG202" s="52" t="s">
        <v>517</v>
      </c>
      <c r="AH202" s="53" t="s">
        <v>834</v>
      </c>
      <c r="AI202" s="79"/>
      <c r="AJ202" s="80"/>
      <c r="AK202" s="81"/>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2"/>
      <c r="CL202" s="12"/>
      <c r="CM202" s="82"/>
      <c r="CN202" s="12"/>
      <c r="CO202" s="82"/>
      <c r="CP202" s="12"/>
      <c r="CQ202" s="83">
        <f t="shared" si="30"/>
        <v>0</v>
      </c>
      <c r="CR202" s="84"/>
      <c r="CS202" s="13"/>
      <c r="CT202" s="85"/>
      <c r="CU202" s="86"/>
      <c r="CV202" s="11"/>
      <c r="CW202" s="86"/>
      <c r="CX202" s="84"/>
      <c r="CY202" s="86"/>
    </row>
    <row r="203" spans="1:103" ht="25.5" x14ac:dyDescent="0.2">
      <c r="A203" s="43">
        <v>39893</v>
      </c>
      <c r="B203" s="44" t="s">
        <v>625</v>
      </c>
      <c r="C203" s="44" t="s">
        <v>1051</v>
      </c>
      <c r="D203" s="45" t="s">
        <v>1118</v>
      </c>
      <c r="E203" s="11">
        <v>1</v>
      </c>
      <c r="F203" s="12"/>
      <c r="G203" s="12"/>
      <c r="H203" s="12"/>
      <c r="I203" s="12"/>
      <c r="J203" s="12"/>
      <c r="K203" s="12"/>
      <c r="L203" s="12"/>
      <c r="M203" s="12"/>
      <c r="N203" s="12"/>
      <c r="O203" s="12"/>
      <c r="P203" s="12"/>
      <c r="Q203" s="12"/>
      <c r="R203" s="12"/>
      <c r="S203" s="12"/>
      <c r="T203" s="13"/>
      <c r="U203" s="46"/>
      <c r="V203" s="47"/>
      <c r="W203" s="48">
        <f t="shared" si="25"/>
        <v>0</v>
      </c>
      <c r="X203" s="48">
        <f t="shared" si="26"/>
        <v>0</v>
      </c>
      <c r="Y203" s="48">
        <f t="shared" si="27"/>
        <v>0</v>
      </c>
      <c r="Z203" s="48">
        <f t="shared" si="28"/>
        <v>0</v>
      </c>
      <c r="AA203" s="48"/>
      <c r="AB203" s="48"/>
      <c r="AC203" s="49">
        <f t="shared" si="29"/>
        <v>0</v>
      </c>
      <c r="AD203" s="50">
        <v>0</v>
      </c>
      <c r="AE203" s="47">
        <v>39896</v>
      </c>
      <c r="AF203" s="51" t="s">
        <v>516</v>
      </c>
      <c r="AG203" s="52" t="s">
        <v>517</v>
      </c>
      <c r="AH203" s="53" t="s">
        <v>52</v>
      </c>
      <c r="AI203" s="79"/>
      <c r="AJ203" s="80"/>
      <c r="AK203" s="81"/>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2"/>
      <c r="CL203" s="12"/>
      <c r="CM203" s="82"/>
      <c r="CN203" s="12"/>
      <c r="CO203" s="82"/>
      <c r="CP203" s="12"/>
      <c r="CQ203" s="83">
        <f t="shared" si="30"/>
        <v>0</v>
      </c>
      <c r="CR203" s="84"/>
      <c r="CS203" s="13"/>
      <c r="CT203" s="85"/>
      <c r="CU203" s="86"/>
      <c r="CV203" s="11"/>
      <c r="CW203" s="86"/>
      <c r="CX203" s="84"/>
      <c r="CY203" s="86"/>
    </row>
    <row r="204" spans="1:103" ht="89.25" x14ac:dyDescent="0.2">
      <c r="A204" s="43">
        <v>39893</v>
      </c>
      <c r="B204" s="44" t="s">
        <v>1091</v>
      </c>
      <c r="C204" s="44" t="s">
        <v>288</v>
      </c>
      <c r="D204" s="45" t="s">
        <v>1118</v>
      </c>
      <c r="E204" s="11"/>
      <c r="F204" s="12"/>
      <c r="G204" s="12"/>
      <c r="H204" s="12">
        <f>22*5</f>
        <v>110</v>
      </c>
      <c r="I204" s="12">
        <f>10+6+6</f>
        <v>22</v>
      </c>
      <c r="J204" s="12"/>
      <c r="K204" s="12">
        <v>14</v>
      </c>
      <c r="L204" s="12"/>
      <c r="M204" s="12"/>
      <c r="N204" s="12"/>
      <c r="O204" s="12"/>
      <c r="P204" s="12"/>
      <c r="Q204" s="12"/>
      <c r="R204" s="12"/>
      <c r="S204" s="12"/>
      <c r="T204" s="13"/>
      <c r="U204" s="46"/>
      <c r="V204" s="47"/>
      <c r="W204" s="48">
        <f t="shared" si="25"/>
        <v>0</v>
      </c>
      <c r="X204" s="48">
        <f t="shared" si="26"/>
        <v>0</v>
      </c>
      <c r="Y204" s="48">
        <f t="shared" si="27"/>
        <v>0</v>
      </c>
      <c r="Z204" s="48">
        <f t="shared" si="28"/>
        <v>0</v>
      </c>
      <c r="AA204" s="48"/>
      <c r="AB204" s="48"/>
      <c r="AC204" s="49">
        <f t="shared" si="29"/>
        <v>0</v>
      </c>
      <c r="AD204" s="50">
        <v>0</v>
      </c>
      <c r="AE204" s="47">
        <v>39896</v>
      </c>
      <c r="AF204" s="51" t="s">
        <v>516</v>
      </c>
      <c r="AG204" s="52" t="s">
        <v>517</v>
      </c>
      <c r="AH204" s="53" t="s">
        <v>566</v>
      </c>
      <c r="AI204" s="79"/>
      <c r="AJ204" s="80"/>
      <c r="AK204" s="81"/>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2"/>
      <c r="CL204" s="12"/>
      <c r="CM204" s="82"/>
      <c r="CN204" s="12"/>
      <c r="CO204" s="82"/>
      <c r="CP204" s="12"/>
      <c r="CQ204" s="83">
        <f t="shared" si="30"/>
        <v>0</v>
      </c>
      <c r="CR204" s="84"/>
      <c r="CS204" s="13"/>
      <c r="CT204" s="85"/>
      <c r="CU204" s="86"/>
      <c r="CV204" s="11"/>
      <c r="CW204" s="86"/>
      <c r="CX204" s="84"/>
      <c r="CY204" s="86"/>
    </row>
    <row r="205" spans="1:103" ht="38.25" x14ac:dyDescent="0.2">
      <c r="A205" s="43">
        <v>39893</v>
      </c>
      <c r="B205" s="44" t="s">
        <v>1350</v>
      </c>
      <c r="C205" s="44" t="s">
        <v>1351</v>
      </c>
      <c r="D205" s="45" t="s">
        <v>1092</v>
      </c>
      <c r="E205" s="11">
        <v>2</v>
      </c>
      <c r="F205" s="12"/>
      <c r="G205" s="12"/>
      <c r="H205" s="12">
        <v>90</v>
      </c>
      <c r="I205" s="12">
        <v>22</v>
      </c>
      <c r="J205" s="12">
        <v>3</v>
      </c>
      <c r="K205" s="12">
        <v>19</v>
      </c>
      <c r="L205" s="12"/>
      <c r="M205" s="12"/>
      <c r="N205" s="12"/>
      <c r="O205" s="12"/>
      <c r="P205" s="12"/>
      <c r="Q205" s="12"/>
      <c r="R205" s="12"/>
      <c r="S205" s="12"/>
      <c r="T205" s="13"/>
      <c r="U205" s="46"/>
      <c r="V205" s="47"/>
      <c r="W205" s="48">
        <f t="shared" si="25"/>
        <v>0</v>
      </c>
      <c r="X205" s="48">
        <f t="shared" si="26"/>
        <v>0</v>
      </c>
      <c r="Y205" s="48">
        <f t="shared" si="27"/>
        <v>0</v>
      </c>
      <c r="Z205" s="48">
        <f t="shared" si="28"/>
        <v>0</v>
      </c>
      <c r="AA205" s="48"/>
      <c r="AB205" s="48"/>
      <c r="AC205" s="49">
        <f t="shared" si="29"/>
        <v>0</v>
      </c>
      <c r="AD205" s="50">
        <v>0</v>
      </c>
      <c r="AE205" s="47">
        <v>39896</v>
      </c>
      <c r="AF205" s="51" t="s">
        <v>516</v>
      </c>
      <c r="AG205" s="52" t="s">
        <v>517</v>
      </c>
      <c r="AH205" s="53" t="s">
        <v>54</v>
      </c>
      <c r="AI205" s="79"/>
      <c r="AJ205" s="80"/>
      <c r="AK205" s="81"/>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2"/>
      <c r="CL205" s="12"/>
      <c r="CM205" s="82"/>
      <c r="CN205" s="12"/>
      <c r="CO205" s="82"/>
      <c r="CP205" s="12"/>
      <c r="CQ205" s="83">
        <f t="shared" si="30"/>
        <v>0</v>
      </c>
      <c r="CR205" s="84"/>
      <c r="CS205" s="13"/>
      <c r="CT205" s="85"/>
      <c r="CU205" s="86"/>
      <c r="CV205" s="11"/>
      <c r="CW205" s="86"/>
      <c r="CX205" s="84"/>
      <c r="CY205" s="86"/>
    </row>
    <row r="206" spans="1:103" ht="63.75" x14ac:dyDescent="0.2">
      <c r="A206" s="43">
        <v>39894</v>
      </c>
      <c r="B206" s="44" t="s">
        <v>625</v>
      </c>
      <c r="C206" s="44" t="s">
        <v>1051</v>
      </c>
      <c r="D206" s="45" t="s">
        <v>1118</v>
      </c>
      <c r="E206" s="11">
        <v>2</v>
      </c>
      <c r="F206" s="12"/>
      <c r="G206" s="12"/>
      <c r="H206" s="12"/>
      <c r="I206" s="12"/>
      <c r="J206" s="12"/>
      <c r="K206" s="12"/>
      <c r="L206" s="12"/>
      <c r="M206" s="12"/>
      <c r="N206" s="12"/>
      <c r="O206" s="12"/>
      <c r="P206" s="12"/>
      <c r="Q206" s="12"/>
      <c r="R206" s="12"/>
      <c r="S206" s="12"/>
      <c r="T206" s="13"/>
      <c r="U206" s="46"/>
      <c r="V206" s="47"/>
      <c r="W206" s="48">
        <f t="shared" si="25"/>
        <v>0</v>
      </c>
      <c r="X206" s="48">
        <f t="shared" si="26"/>
        <v>0</v>
      </c>
      <c r="Y206" s="48">
        <f t="shared" si="27"/>
        <v>0</v>
      </c>
      <c r="Z206" s="48">
        <f t="shared" si="28"/>
        <v>0</v>
      </c>
      <c r="AA206" s="48"/>
      <c r="AB206" s="48"/>
      <c r="AC206" s="49">
        <f t="shared" si="29"/>
        <v>0</v>
      </c>
      <c r="AD206" s="50">
        <v>0</v>
      </c>
      <c r="AE206" s="47">
        <v>39896</v>
      </c>
      <c r="AF206" s="51" t="s">
        <v>516</v>
      </c>
      <c r="AG206" s="52" t="s">
        <v>517</v>
      </c>
      <c r="AH206" s="53" t="s">
        <v>1369</v>
      </c>
      <c r="AI206" s="79"/>
      <c r="AJ206" s="80"/>
      <c r="AK206" s="81"/>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2"/>
      <c r="CL206" s="12"/>
      <c r="CM206" s="82"/>
      <c r="CN206" s="12"/>
      <c r="CO206" s="82"/>
      <c r="CP206" s="12"/>
      <c r="CQ206" s="83">
        <f t="shared" si="30"/>
        <v>0</v>
      </c>
      <c r="CR206" s="84"/>
      <c r="CS206" s="13"/>
      <c r="CT206" s="85"/>
      <c r="CU206" s="86"/>
      <c r="CV206" s="11"/>
      <c r="CW206" s="86"/>
      <c r="CX206" s="84"/>
      <c r="CY206" s="86"/>
    </row>
    <row r="207" spans="1:103" ht="38.25" x14ac:dyDescent="0.2">
      <c r="A207" s="43">
        <v>39894</v>
      </c>
      <c r="B207" s="44" t="s">
        <v>625</v>
      </c>
      <c r="C207" s="44" t="s">
        <v>412</v>
      </c>
      <c r="D207" s="45" t="s">
        <v>1118</v>
      </c>
      <c r="E207" s="11"/>
      <c r="F207" s="12"/>
      <c r="G207" s="12"/>
      <c r="H207" s="12">
        <v>100</v>
      </c>
      <c r="I207" s="12">
        <v>20</v>
      </c>
      <c r="J207" s="12"/>
      <c r="K207" s="12">
        <v>20</v>
      </c>
      <c r="L207" s="12"/>
      <c r="M207" s="12"/>
      <c r="N207" s="12"/>
      <c r="O207" s="12"/>
      <c r="P207" s="12"/>
      <c r="Q207" s="12"/>
      <c r="R207" s="12"/>
      <c r="S207" s="12"/>
      <c r="T207" s="13"/>
      <c r="U207" s="46"/>
      <c r="V207" s="47"/>
      <c r="W207" s="48">
        <f t="shared" si="25"/>
        <v>0</v>
      </c>
      <c r="X207" s="48">
        <f t="shared" si="26"/>
        <v>0</v>
      </c>
      <c r="Y207" s="48">
        <f t="shared" si="27"/>
        <v>0</v>
      </c>
      <c r="Z207" s="48">
        <f t="shared" si="28"/>
        <v>0</v>
      </c>
      <c r="AA207" s="48"/>
      <c r="AB207" s="48"/>
      <c r="AC207" s="49">
        <f t="shared" si="29"/>
        <v>0</v>
      </c>
      <c r="AD207" s="50">
        <v>0</v>
      </c>
      <c r="AE207" s="47">
        <v>39896</v>
      </c>
      <c r="AF207" s="51" t="s">
        <v>516</v>
      </c>
      <c r="AG207" s="52" t="s">
        <v>517</v>
      </c>
      <c r="AH207" s="53" t="s">
        <v>328</v>
      </c>
      <c r="AI207" s="79"/>
      <c r="AJ207" s="80"/>
      <c r="AK207" s="81"/>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2"/>
      <c r="CL207" s="12"/>
      <c r="CM207" s="82"/>
      <c r="CN207" s="12"/>
      <c r="CO207" s="82"/>
      <c r="CP207" s="12"/>
      <c r="CQ207" s="83">
        <f t="shared" si="30"/>
        <v>0</v>
      </c>
      <c r="CR207" s="84"/>
      <c r="CS207" s="13"/>
      <c r="CT207" s="85"/>
      <c r="CU207" s="86"/>
      <c r="CV207" s="11"/>
      <c r="CW207" s="86"/>
      <c r="CX207" s="84"/>
      <c r="CY207" s="86"/>
    </row>
    <row r="208" spans="1:103" ht="63.75" x14ac:dyDescent="0.2">
      <c r="A208" s="43">
        <v>39894</v>
      </c>
      <c r="B208" s="44" t="s">
        <v>625</v>
      </c>
      <c r="C208" s="44" t="s">
        <v>1051</v>
      </c>
      <c r="D208" s="45" t="s">
        <v>1092</v>
      </c>
      <c r="E208" s="11"/>
      <c r="F208" s="12"/>
      <c r="G208" s="12"/>
      <c r="H208" s="12"/>
      <c r="I208" s="12"/>
      <c r="J208" s="12"/>
      <c r="K208" s="12"/>
      <c r="L208" s="12">
        <v>2</v>
      </c>
      <c r="M208" s="12"/>
      <c r="N208" s="12"/>
      <c r="O208" s="12"/>
      <c r="P208" s="12"/>
      <c r="Q208" s="12"/>
      <c r="R208" s="12"/>
      <c r="S208" s="12"/>
      <c r="T208" s="13"/>
      <c r="U208" s="46"/>
      <c r="V208" s="47"/>
      <c r="W208" s="48">
        <f t="shared" si="25"/>
        <v>0</v>
      </c>
      <c r="X208" s="48">
        <f t="shared" si="26"/>
        <v>0</v>
      </c>
      <c r="Y208" s="48">
        <f t="shared" si="27"/>
        <v>0</v>
      </c>
      <c r="Z208" s="48">
        <f t="shared" si="28"/>
        <v>0</v>
      </c>
      <c r="AA208" s="48"/>
      <c r="AB208" s="48"/>
      <c r="AC208" s="49">
        <f t="shared" si="29"/>
        <v>0</v>
      </c>
      <c r="AD208" s="50">
        <v>0</v>
      </c>
      <c r="AE208" s="47">
        <v>39896</v>
      </c>
      <c r="AF208" s="51" t="s">
        <v>516</v>
      </c>
      <c r="AG208" s="52" t="s">
        <v>517</v>
      </c>
      <c r="AH208" s="53" t="s">
        <v>329</v>
      </c>
      <c r="AI208" s="79"/>
      <c r="AJ208" s="80"/>
      <c r="AK208" s="81"/>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2"/>
      <c r="CL208" s="12"/>
      <c r="CM208" s="82"/>
      <c r="CN208" s="12"/>
      <c r="CO208" s="82"/>
      <c r="CP208" s="12"/>
      <c r="CQ208" s="83">
        <f t="shared" si="30"/>
        <v>0</v>
      </c>
      <c r="CR208" s="84"/>
      <c r="CS208" s="13"/>
      <c r="CT208" s="85"/>
      <c r="CU208" s="86"/>
      <c r="CV208" s="11"/>
      <c r="CW208" s="86"/>
      <c r="CX208" s="84"/>
      <c r="CY208" s="86"/>
    </row>
    <row r="209" spans="1:103" ht="127.5" x14ac:dyDescent="0.2">
      <c r="A209" s="43">
        <v>39894</v>
      </c>
      <c r="B209" s="44" t="s">
        <v>1127</v>
      </c>
      <c r="C209" s="44" t="s">
        <v>800</v>
      </c>
      <c r="D209" s="45" t="s">
        <v>1092</v>
      </c>
      <c r="E209" s="11"/>
      <c r="F209" s="12"/>
      <c r="G209" s="12"/>
      <c r="H209" s="12">
        <v>330</v>
      </c>
      <c r="I209" s="12">
        <v>45</v>
      </c>
      <c r="J209" s="12"/>
      <c r="K209" s="12">
        <v>45</v>
      </c>
      <c r="L209" s="12"/>
      <c r="M209" s="12"/>
      <c r="N209" s="12"/>
      <c r="O209" s="12"/>
      <c r="P209" s="12"/>
      <c r="Q209" s="12"/>
      <c r="R209" s="12"/>
      <c r="S209" s="12"/>
      <c r="T209" s="13"/>
      <c r="U209" s="46"/>
      <c r="V209" s="47"/>
      <c r="W209" s="48">
        <f t="shared" si="25"/>
        <v>0</v>
      </c>
      <c r="X209" s="48">
        <f t="shared" si="26"/>
        <v>0</v>
      </c>
      <c r="Y209" s="48">
        <f t="shared" si="27"/>
        <v>0</v>
      </c>
      <c r="Z209" s="48">
        <f t="shared" si="28"/>
        <v>0</v>
      </c>
      <c r="AA209" s="48"/>
      <c r="AB209" s="48"/>
      <c r="AC209" s="49">
        <f t="shared" si="29"/>
        <v>0</v>
      </c>
      <c r="AD209" s="50">
        <v>0</v>
      </c>
      <c r="AE209" s="47">
        <v>39896</v>
      </c>
      <c r="AF209" s="51" t="s">
        <v>516</v>
      </c>
      <c r="AG209" s="52" t="s">
        <v>517</v>
      </c>
      <c r="AH209" s="53" t="s">
        <v>979</v>
      </c>
      <c r="AI209" s="79"/>
      <c r="AJ209" s="80"/>
      <c r="AK209" s="81"/>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2"/>
      <c r="CL209" s="12"/>
      <c r="CM209" s="82"/>
      <c r="CN209" s="12"/>
      <c r="CO209" s="82"/>
      <c r="CP209" s="12"/>
      <c r="CQ209" s="83">
        <f t="shared" si="30"/>
        <v>0</v>
      </c>
      <c r="CR209" s="84"/>
      <c r="CS209" s="13"/>
      <c r="CT209" s="85"/>
      <c r="CU209" s="86"/>
      <c r="CV209" s="11"/>
      <c r="CW209" s="86"/>
      <c r="CX209" s="84"/>
      <c r="CY209" s="86"/>
    </row>
    <row r="210" spans="1:103" ht="38.25" x14ac:dyDescent="0.2">
      <c r="A210" s="43">
        <v>39894</v>
      </c>
      <c r="B210" s="44" t="s">
        <v>1046</v>
      </c>
      <c r="C210" s="44" t="s">
        <v>1046</v>
      </c>
      <c r="D210" s="45" t="s">
        <v>1118</v>
      </c>
      <c r="E210" s="11"/>
      <c r="F210" s="12"/>
      <c r="G210" s="12"/>
      <c r="H210" s="12"/>
      <c r="I210" s="12"/>
      <c r="J210" s="12"/>
      <c r="K210" s="12"/>
      <c r="L210" s="12"/>
      <c r="M210" s="12"/>
      <c r="N210" s="12"/>
      <c r="O210" s="12"/>
      <c r="P210" s="12"/>
      <c r="Q210" s="12"/>
      <c r="R210" s="12"/>
      <c r="S210" s="12"/>
      <c r="T210" s="13"/>
      <c r="U210" s="46"/>
      <c r="V210" s="47">
        <v>39924</v>
      </c>
      <c r="W210" s="48">
        <f t="shared" si="25"/>
        <v>0</v>
      </c>
      <c r="X210" s="48">
        <f t="shared" si="26"/>
        <v>0</v>
      </c>
      <c r="Y210" s="48">
        <f t="shared" si="27"/>
        <v>0</v>
      </c>
      <c r="Z210" s="48">
        <f t="shared" si="28"/>
        <v>45820000</v>
      </c>
      <c r="AA210" s="48"/>
      <c r="AB210" s="48"/>
      <c r="AC210" s="49">
        <f t="shared" si="29"/>
        <v>45820000</v>
      </c>
      <c r="AD210" s="50">
        <v>0</v>
      </c>
      <c r="AE210" s="47">
        <v>39894</v>
      </c>
      <c r="AF210" s="51" t="s">
        <v>1016</v>
      </c>
      <c r="AG210" s="52" t="s">
        <v>565</v>
      </c>
      <c r="AH210" s="53" t="s">
        <v>357</v>
      </c>
      <c r="AI210" s="79"/>
      <c r="AJ210" s="80"/>
      <c r="AK210" s="81"/>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2"/>
      <c r="CL210" s="12"/>
      <c r="CM210" s="82"/>
      <c r="CN210" s="12"/>
      <c r="CO210" s="82"/>
      <c r="CP210" s="12"/>
      <c r="CQ210" s="83">
        <f t="shared" si="30"/>
        <v>0</v>
      </c>
      <c r="CR210" s="84">
        <v>50000</v>
      </c>
      <c r="CS210" s="13">
        <f>50000*916.4</f>
        <v>45820000</v>
      </c>
      <c r="CT210" s="85"/>
      <c r="CU210" s="86"/>
      <c r="CV210" s="11"/>
      <c r="CW210" s="86"/>
      <c r="CX210" s="84"/>
      <c r="CY210" s="86"/>
    </row>
    <row r="211" spans="1:103" ht="25.5" x14ac:dyDescent="0.2">
      <c r="A211" s="43">
        <v>39894</v>
      </c>
      <c r="B211" s="44" t="s">
        <v>1136</v>
      </c>
      <c r="C211" s="44" t="s">
        <v>307</v>
      </c>
      <c r="D211" s="45" t="s">
        <v>1092</v>
      </c>
      <c r="E211" s="11"/>
      <c r="F211" s="12"/>
      <c r="G211" s="12"/>
      <c r="H211" s="12">
        <f>11*5</f>
        <v>55</v>
      </c>
      <c r="I211" s="12">
        <v>11</v>
      </c>
      <c r="J211" s="12"/>
      <c r="K211" s="12">
        <v>11</v>
      </c>
      <c r="L211" s="12"/>
      <c r="M211" s="12"/>
      <c r="N211" s="12"/>
      <c r="O211" s="12"/>
      <c r="P211" s="12"/>
      <c r="Q211" s="12"/>
      <c r="R211" s="12"/>
      <c r="S211" s="12"/>
      <c r="T211" s="13"/>
      <c r="U211" s="46"/>
      <c r="V211" s="47"/>
      <c r="W211" s="48">
        <f t="shared" si="25"/>
        <v>0</v>
      </c>
      <c r="X211" s="48">
        <f t="shared" si="26"/>
        <v>0</v>
      </c>
      <c r="Y211" s="48">
        <f t="shared" si="27"/>
        <v>0</v>
      </c>
      <c r="Z211" s="48">
        <f t="shared" si="28"/>
        <v>0</v>
      </c>
      <c r="AA211" s="48"/>
      <c r="AB211" s="48"/>
      <c r="AC211" s="49">
        <f t="shared" si="29"/>
        <v>0</v>
      </c>
      <c r="AD211" s="50">
        <v>0</v>
      </c>
      <c r="AE211" s="47">
        <v>39896</v>
      </c>
      <c r="AF211" s="51" t="s">
        <v>516</v>
      </c>
      <c r="AG211" s="52" t="s">
        <v>517</v>
      </c>
      <c r="AH211" s="53" t="s">
        <v>324</v>
      </c>
      <c r="AI211" s="79"/>
      <c r="AJ211" s="80"/>
      <c r="AK211" s="81"/>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2"/>
      <c r="CL211" s="12"/>
      <c r="CM211" s="82"/>
      <c r="CN211" s="12"/>
      <c r="CO211" s="82"/>
      <c r="CP211" s="12"/>
      <c r="CQ211" s="83">
        <f t="shared" si="30"/>
        <v>0</v>
      </c>
      <c r="CR211" s="84"/>
      <c r="CS211" s="13"/>
      <c r="CT211" s="85"/>
      <c r="CU211" s="86"/>
      <c r="CV211" s="11"/>
      <c r="CW211" s="86"/>
      <c r="CX211" s="84"/>
      <c r="CY211" s="86"/>
    </row>
    <row r="212" spans="1:103" ht="63.75" x14ac:dyDescent="0.2">
      <c r="A212" s="43">
        <v>39894</v>
      </c>
      <c r="B212" s="44" t="s">
        <v>413</v>
      </c>
      <c r="C212" s="44" t="s">
        <v>366</v>
      </c>
      <c r="D212" s="45" t="s">
        <v>1118</v>
      </c>
      <c r="E212" s="11"/>
      <c r="F212" s="12"/>
      <c r="G212" s="12"/>
      <c r="H212" s="12">
        <v>1632</v>
      </c>
      <c r="I212" s="12">
        <v>408</v>
      </c>
      <c r="J212" s="12"/>
      <c r="K212" s="12">
        <v>408</v>
      </c>
      <c r="L212" s="12"/>
      <c r="M212" s="12"/>
      <c r="N212" s="12"/>
      <c r="O212" s="12">
        <v>1</v>
      </c>
      <c r="P212" s="12"/>
      <c r="Q212" s="12"/>
      <c r="R212" s="12"/>
      <c r="S212" s="12"/>
      <c r="T212" s="13"/>
      <c r="U212" s="46"/>
      <c r="V212" s="47"/>
      <c r="W212" s="48">
        <f t="shared" si="25"/>
        <v>0</v>
      </c>
      <c r="X212" s="48">
        <f t="shared" si="26"/>
        <v>0</v>
      </c>
      <c r="Y212" s="48">
        <f t="shared" si="27"/>
        <v>0</v>
      </c>
      <c r="Z212" s="48">
        <f t="shared" si="28"/>
        <v>0</v>
      </c>
      <c r="AA212" s="48"/>
      <c r="AB212" s="48"/>
      <c r="AC212" s="49">
        <f t="shared" si="29"/>
        <v>0</v>
      </c>
      <c r="AD212" s="50">
        <v>0</v>
      </c>
      <c r="AE212" s="47">
        <v>39896</v>
      </c>
      <c r="AF212" s="51" t="s">
        <v>516</v>
      </c>
      <c r="AG212" s="52" t="s">
        <v>517</v>
      </c>
      <c r="AH212" s="53" t="s">
        <v>1409</v>
      </c>
      <c r="AI212" s="79"/>
      <c r="AJ212" s="80"/>
      <c r="AK212" s="81"/>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2"/>
      <c r="CL212" s="12"/>
      <c r="CM212" s="82"/>
      <c r="CN212" s="12"/>
      <c r="CO212" s="82"/>
      <c r="CP212" s="12"/>
      <c r="CQ212" s="83">
        <f t="shared" si="30"/>
        <v>0</v>
      </c>
      <c r="CR212" s="84"/>
      <c r="CS212" s="13"/>
      <c r="CT212" s="85"/>
      <c r="CU212" s="86"/>
      <c r="CV212" s="11"/>
      <c r="CW212" s="86"/>
      <c r="CX212" s="84"/>
      <c r="CY212" s="86"/>
    </row>
    <row r="213" spans="1:103" ht="38.25" x14ac:dyDescent="0.2">
      <c r="A213" s="43">
        <v>39894</v>
      </c>
      <c r="B213" s="44" t="s">
        <v>1350</v>
      </c>
      <c r="C213" s="44" t="s">
        <v>416</v>
      </c>
      <c r="D213" s="45" t="s">
        <v>1116</v>
      </c>
      <c r="E213" s="11">
        <v>3</v>
      </c>
      <c r="F213" s="12"/>
      <c r="G213" s="12"/>
      <c r="H213" s="12">
        <v>5</v>
      </c>
      <c r="I213" s="12">
        <v>1</v>
      </c>
      <c r="J213" s="12">
        <v>1</v>
      </c>
      <c r="K213" s="12"/>
      <c r="L213" s="12"/>
      <c r="M213" s="12"/>
      <c r="N213" s="12"/>
      <c r="O213" s="12"/>
      <c r="P213" s="12"/>
      <c r="Q213" s="12"/>
      <c r="R213" s="12"/>
      <c r="S213" s="12"/>
      <c r="T213" s="13"/>
      <c r="U213" s="46"/>
      <c r="V213" s="47"/>
      <c r="W213" s="48">
        <f t="shared" si="25"/>
        <v>0</v>
      </c>
      <c r="X213" s="48">
        <f t="shared" si="26"/>
        <v>0</v>
      </c>
      <c r="Y213" s="48">
        <f t="shared" si="27"/>
        <v>0</v>
      </c>
      <c r="Z213" s="48">
        <f t="shared" si="28"/>
        <v>0</v>
      </c>
      <c r="AA213" s="48"/>
      <c r="AB213" s="48"/>
      <c r="AC213" s="49">
        <f t="shared" si="29"/>
        <v>0</v>
      </c>
      <c r="AD213" s="50">
        <v>0</v>
      </c>
      <c r="AE213" s="47">
        <v>39896</v>
      </c>
      <c r="AF213" s="51" t="s">
        <v>516</v>
      </c>
      <c r="AG213" s="52" t="s">
        <v>517</v>
      </c>
      <c r="AH213" s="53" t="s">
        <v>417</v>
      </c>
      <c r="AI213" s="79"/>
      <c r="AJ213" s="80"/>
      <c r="AK213" s="81"/>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2"/>
      <c r="CL213" s="12"/>
      <c r="CM213" s="82"/>
      <c r="CN213" s="12"/>
      <c r="CO213" s="82"/>
      <c r="CP213" s="12"/>
      <c r="CQ213" s="83">
        <f t="shared" si="30"/>
        <v>0</v>
      </c>
      <c r="CR213" s="84"/>
      <c r="CS213" s="13"/>
      <c r="CT213" s="85"/>
      <c r="CU213" s="86"/>
      <c r="CV213" s="11"/>
      <c r="CW213" s="86"/>
      <c r="CX213" s="84"/>
      <c r="CY213" s="86"/>
    </row>
    <row r="214" spans="1:103" ht="38.25" x14ac:dyDescent="0.2">
      <c r="A214" s="43">
        <v>39895</v>
      </c>
      <c r="B214" s="44" t="s">
        <v>625</v>
      </c>
      <c r="C214" s="44" t="s">
        <v>1051</v>
      </c>
      <c r="D214" s="45" t="s">
        <v>1118</v>
      </c>
      <c r="E214" s="11"/>
      <c r="F214" s="12"/>
      <c r="G214" s="12"/>
      <c r="H214" s="12">
        <v>40</v>
      </c>
      <c r="I214" s="12">
        <v>8</v>
      </c>
      <c r="J214" s="12"/>
      <c r="K214" s="12">
        <v>8</v>
      </c>
      <c r="L214" s="12"/>
      <c r="M214" s="12"/>
      <c r="N214" s="12"/>
      <c r="O214" s="12"/>
      <c r="P214" s="12"/>
      <c r="Q214" s="12"/>
      <c r="R214" s="12"/>
      <c r="S214" s="12"/>
      <c r="T214" s="13"/>
      <c r="U214" s="46"/>
      <c r="V214" s="47"/>
      <c r="W214" s="48">
        <f t="shared" si="25"/>
        <v>0</v>
      </c>
      <c r="X214" s="48">
        <f t="shared" si="26"/>
        <v>0</v>
      </c>
      <c r="Y214" s="48">
        <f t="shared" si="27"/>
        <v>0</v>
      </c>
      <c r="Z214" s="48">
        <f t="shared" si="28"/>
        <v>0</v>
      </c>
      <c r="AA214" s="48"/>
      <c r="AB214" s="48"/>
      <c r="AC214" s="49">
        <f t="shared" si="29"/>
        <v>0</v>
      </c>
      <c r="AD214" s="50">
        <v>0</v>
      </c>
      <c r="AE214" s="47">
        <v>39896</v>
      </c>
      <c r="AF214" s="51" t="s">
        <v>516</v>
      </c>
      <c r="AG214" s="52" t="s">
        <v>517</v>
      </c>
      <c r="AH214" s="53" t="s">
        <v>46</v>
      </c>
      <c r="AI214" s="79"/>
      <c r="AJ214" s="80"/>
      <c r="AK214" s="81"/>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2"/>
      <c r="CL214" s="12"/>
      <c r="CM214" s="82"/>
      <c r="CN214" s="12"/>
      <c r="CO214" s="82"/>
      <c r="CP214" s="12"/>
      <c r="CQ214" s="83">
        <f t="shared" si="30"/>
        <v>0</v>
      </c>
      <c r="CR214" s="84"/>
      <c r="CS214" s="13"/>
      <c r="CT214" s="85"/>
      <c r="CU214" s="86"/>
      <c r="CV214" s="11"/>
      <c r="CW214" s="86"/>
      <c r="CX214" s="84"/>
      <c r="CY214" s="86"/>
    </row>
    <row r="215" spans="1:103" ht="25.5" x14ac:dyDescent="0.2">
      <c r="A215" s="43">
        <v>39895</v>
      </c>
      <c r="B215" s="44" t="s">
        <v>625</v>
      </c>
      <c r="C215" s="44" t="s">
        <v>1051</v>
      </c>
      <c r="D215" s="45" t="s">
        <v>1092</v>
      </c>
      <c r="E215" s="11"/>
      <c r="F215" s="12"/>
      <c r="G215" s="12"/>
      <c r="H215" s="12">
        <v>5</v>
      </c>
      <c r="I215" s="12">
        <v>1</v>
      </c>
      <c r="J215" s="12">
        <v>1</v>
      </c>
      <c r="K215" s="12"/>
      <c r="L215" s="12"/>
      <c r="M215" s="12"/>
      <c r="N215" s="12"/>
      <c r="O215" s="12"/>
      <c r="P215" s="12"/>
      <c r="Q215" s="12"/>
      <c r="R215" s="12"/>
      <c r="S215" s="12"/>
      <c r="T215" s="13"/>
      <c r="U215" s="46"/>
      <c r="V215" s="47"/>
      <c r="W215" s="48">
        <f t="shared" si="25"/>
        <v>0</v>
      </c>
      <c r="X215" s="48">
        <f t="shared" si="26"/>
        <v>0</v>
      </c>
      <c r="Y215" s="48">
        <f t="shared" si="27"/>
        <v>0</v>
      </c>
      <c r="Z215" s="48">
        <f t="shared" si="28"/>
        <v>0</v>
      </c>
      <c r="AA215" s="48"/>
      <c r="AB215" s="48"/>
      <c r="AC215" s="49">
        <f t="shared" si="29"/>
        <v>0</v>
      </c>
      <c r="AD215" s="50">
        <v>0</v>
      </c>
      <c r="AE215" s="47">
        <v>39896</v>
      </c>
      <c r="AF215" s="51" t="s">
        <v>516</v>
      </c>
      <c r="AG215" s="52" t="s">
        <v>517</v>
      </c>
      <c r="AH215" s="53" t="s">
        <v>336</v>
      </c>
      <c r="AI215" s="79"/>
      <c r="AJ215" s="80"/>
      <c r="AK215" s="81"/>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2"/>
      <c r="CL215" s="12"/>
      <c r="CM215" s="82"/>
      <c r="CN215" s="12"/>
      <c r="CO215" s="82"/>
      <c r="CP215" s="12"/>
      <c r="CQ215" s="83">
        <f t="shared" si="30"/>
        <v>0</v>
      </c>
      <c r="CR215" s="84"/>
      <c r="CS215" s="13"/>
      <c r="CT215" s="85"/>
      <c r="CU215" s="86"/>
      <c r="CV215" s="11"/>
      <c r="CW215" s="86"/>
      <c r="CX215" s="84"/>
      <c r="CY215" s="86"/>
    </row>
    <row r="216" spans="1:103" ht="25.5" x14ac:dyDescent="0.2">
      <c r="A216" s="43">
        <v>39895</v>
      </c>
      <c r="B216" s="44" t="s">
        <v>1226</v>
      </c>
      <c r="C216" s="44" t="s">
        <v>418</v>
      </c>
      <c r="D216" s="45" t="s">
        <v>1118</v>
      </c>
      <c r="E216" s="11">
        <v>2</v>
      </c>
      <c r="F216" s="12"/>
      <c r="G216" s="12"/>
      <c r="H216" s="12"/>
      <c r="I216" s="12"/>
      <c r="J216" s="12"/>
      <c r="K216" s="12"/>
      <c r="L216" s="12"/>
      <c r="M216" s="12"/>
      <c r="N216" s="12"/>
      <c r="O216" s="12"/>
      <c r="P216" s="12"/>
      <c r="Q216" s="12"/>
      <c r="R216" s="12"/>
      <c r="S216" s="12"/>
      <c r="T216" s="13"/>
      <c r="U216" s="46"/>
      <c r="V216" s="47"/>
      <c r="W216" s="48">
        <f t="shared" si="25"/>
        <v>0</v>
      </c>
      <c r="X216" s="48">
        <f t="shared" si="26"/>
        <v>0</v>
      </c>
      <c r="Y216" s="48">
        <f t="shared" si="27"/>
        <v>0</v>
      </c>
      <c r="Z216" s="48">
        <f t="shared" si="28"/>
        <v>0</v>
      </c>
      <c r="AA216" s="48"/>
      <c r="AB216" s="48"/>
      <c r="AC216" s="49">
        <f t="shared" si="29"/>
        <v>0</v>
      </c>
      <c r="AD216" s="50">
        <v>0</v>
      </c>
      <c r="AE216" s="47">
        <v>39896</v>
      </c>
      <c r="AF216" s="51" t="s">
        <v>516</v>
      </c>
      <c r="AG216" s="52" t="s">
        <v>517</v>
      </c>
      <c r="AH216" s="53" t="s">
        <v>334</v>
      </c>
      <c r="AI216" s="79"/>
      <c r="AJ216" s="80"/>
      <c r="AK216" s="81"/>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2"/>
      <c r="CL216" s="12"/>
      <c r="CM216" s="82"/>
      <c r="CN216" s="12"/>
      <c r="CO216" s="82"/>
      <c r="CP216" s="12"/>
      <c r="CQ216" s="83">
        <f t="shared" si="30"/>
        <v>0</v>
      </c>
      <c r="CR216" s="84"/>
      <c r="CS216" s="13"/>
      <c r="CT216" s="85"/>
      <c r="CU216" s="86"/>
      <c r="CV216" s="11"/>
      <c r="CW216" s="86"/>
      <c r="CX216" s="84"/>
      <c r="CY216" s="86"/>
    </row>
    <row r="217" spans="1:103" ht="25.5" x14ac:dyDescent="0.2">
      <c r="A217" s="43">
        <v>39895</v>
      </c>
      <c r="B217" s="44" t="s">
        <v>1097</v>
      </c>
      <c r="C217" s="44" t="s">
        <v>125</v>
      </c>
      <c r="D217" s="45" t="s">
        <v>1092</v>
      </c>
      <c r="E217" s="11"/>
      <c r="F217" s="12"/>
      <c r="G217" s="12"/>
      <c r="H217" s="12">
        <v>14</v>
      </c>
      <c r="I217" s="12">
        <v>3</v>
      </c>
      <c r="J217" s="12">
        <v>3</v>
      </c>
      <c r="K217" s="12"/>
      <c r="L217" s="12"/>
      <c r="M217" s="12"/>
      <c r="N217" s="12"/>
      <c r="O217" s="12"/>
      <c r="P217" s="12"/>
      <c r="Q217" s="12"/>
      <c r="R217" s="12"/>
      <c r="S217" s="12"/>
      <c r="T217" s="13"/>
      <c r="U217" s="46"/>
      <c r="V217" s="47"/>
      <c r="W217" s="48">
        <f t="shared" si="25"/>
        <v>0</v>
      </c>
      <c r="X217" s="48">
        <f t="shared" si="26"/>
        <v>0</v>
      </c>
      <c r="Y217" s="48">
        <f t="shared" si="27"/>
        <v>0</v>
      </c>
      <c r="Z217" s="48">
        <f t="shared" si="28"/>
        <v>0</v>
      </c>
      <c r="AA217" s="48"/>
      <c r="AB217" s="48"/>
      <c r="AC217" s="49">
        <f t="shared" si="29"/>
        <v>0</v>
      </c>
      <c r="AD217" s="50">
        <v>0</v>
      </c>
      <c r="AE217" s="47">
        <v>39896</v>
      </c>
      <c r="AF217" s="51" t="s">
        <v>516</v>
      </c>
      <c r="AG217" s="52" t="s">
        <v>517</v>
      </c>
      <c r="AH217" s="53" t="s">
        <v>496</v>
      </c>
      <c r="AI217" s="79"/>
      <c r="AJ217" s="80"/>
      <c r="AK217" s="81"/>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2"/>
      <c r="CL217" s="12"/>
      <c r="CM217" s="82"/>
      <c r="CN217" s="12"/>
      <c r="CO217" s="82"/>
      <c r="CP217" s="12"/>
      <c r="CQ217" s="83">
        <f t="shared" si="30"/>
        <v>0</v>
      </c>
      <c r="CR217" s="84"/>
      <c r="CS217" s="13"/>
      <c r="CT217" s="85"/>
      <c r="CU217" s="86"/>
      <c r="CV217" s="11"/>
      <c r="CW217" s="86"/>
      <c r="CX217" s="84"/>
      <c r="CY217" s="86"/>
    </row>
    <row r="218" spans="1:103" ht="25.5" x14ac:dyDescent="0.2">
      <c r="A218" s="43">
        <v>39895</v>
      </c>
      <c r="B218" s="44" t="s">
        <v>1097</v>
      </c>
      <c r="C218" s="44" t="s">
        <v>493</v>
      </c>
      <c r="D218" s="45" t="s">
        <v>1118</v>
      </c>
      <c r="E218" s="11"/>
      <c r="F218" s="12"/>
      <c r="G218" s="12"/>
      <c r="H218" s="12">
        <f>720*5</f>
        <v>3600</v>
      </c>
      <c r="I218" s="12">
        <v>720</v>
      </c>
      <c r="J218" s="12"/>
      <c r="K218" s="12">
        <v>720</v>
      </c>
      <c r="L218" s="12"/>
      <c r="M218" s="12"/>
      <c r="N218" s="12"/>
      <c r="O218" s="12"/>
      <c r="P218" s="12"/>
      <c r="Q218" s="12"/>
      <c r="R218" s="12"/>
      <c r="S218" s="12"/>
      <c r="T218" s="13"/>
      <c r="U218" s="46"/>
      <c r="V218" s="47"/>
      <c r="W218" s="48">
        <f t="shared" si="25"/>
        <v>0</v>
      </c>
      <c r="X218" s="48">
        <f t="shared" si="26"/>
        <v>0</v>
      </c>
      <c r="Y218" s="48">
        <f t="shared" si="27"/>
        <v>0</v>
      </c>
      <c r="Z218" s="48">
        <f t="shared" si="28"/>
        <v>0</v>
      </c>
      <c r="AA218" s="48"/>
      <c r="AB218" s="48"/>
      <c r="AC218" s="49">
        <f t="shared" si="29"/>
        <v>0</v>
      </c>
      <c r="AD218" s="50">
        <v>0</v>
      </c>
      <c r="AE218" s="47">
        <v>39896</v>
      </c>
      <c r="AF218" s="51" t="s">
        <v>516</v>
      </c>
      <c r="AG218" s="52" t="s">
        <v>517</v>
      </c>
      <c r="AH218" s="53" t="s">
        <v>495</v>
      </c>
      <c r="AI218" s="79"/>
      <c r="AJ218" s="80"/>
      <c r="AK218" s="81"/>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2"/>
      <c r="CL218" s="12"/>
      <c r="CM218" s="82"/>
      <c r="CN218" s="12"/>
      <c r="CO218" s="82"/>
      <c r="CP218" s="12"/>
      <c r="CQ218" s="83">
        <f t="shared" si="30"/>
        <v>0</v>
      </c>
      <c r="CR218" s="84"/>
      <c r="CS218" s="13"/>
      <c r="CT218" s="85"/>
      <c r="CU218" s="86"/>
      <c r="CV218" s="11"/>
      <c r="CW218" s="86"/>
      <c r="CX218" s="84"/>
      <c r="CY218" s="86"/>
    </row>
    <row r="219" spans="1:103" ht="25.5" x14ac:dyDescent="0.2">
      <c r="A219" s="43">
        <v>39895</v>
      </c>
      <c r="B219" s="44" t="s">
        <v>1097</v>
      </c>
      <c r="C219" s="44" t="s">
        <v>434</v>
      </c>
      <c r="D219" s="45" t="s">
        <v>1118</v>
      </c>
      <c r="E219" s="11"/>
      <c r="F219" s="12"/>
      <c r="G219" s="12"/>
      <c r="H219" s="12">
        <v>3750</v>
      </c>
      <c r="I219" s="12">
        <v>750</v>
      </c>
      <c r="J219" s="12"/>
      <c r="K219" s="12">
        <v>750</v>
      </c>
      <c r="L219" s="12"/>
      <c r="M219" s="12"/>
      <c r="N219" s="12"/>
      <c r="O219" s="12"/>
      <c r="P219" s="12"/>
      <c r="Q219" s="12"/>
      <c r="R219" s="12"/>
      <c r="S219" s="12"/>
      <c r="T219" s="13"/>
      <c r="U219" s="46"/>
      <c r="V219" s="47"/>
      <c r="W219" s="48">
        <f t="shared" si="25"/>
        <v>0</v>
      </c>
      <c r="X219" s="48">
        <f t="shared" si="26"/>
        <v>0</v>
      </c>
      <c r="Y219" s="48">
        <f t="shared" si="27"/>
        <v>0</v>
      </c>
      <c r="Z219" s="48">
        <f t="shared" si="28"/>
        <v>0</v>
      </c>
      <c r="AA219" s="48"/>
      <c r="AB219" s="48"/>
      <c r="AC219" s="49">
        <f t="shared" si="29"/>
        <v>0</v>
      </c>
      <c r="AD219" s="50">
        <v>0</v>
      </c>
      <c r="AE219" s="47">
        <v>39896</v>
      </c>
      <c r="AF219" s="51" t="s">
        <v>516</v>
      </c>
      <c r="AG219" s="52" t="s">
        <v>517</v>
      </c>
      <c r="AH219" s="53" t="s">
        <v>494</v>
      </c>
      <c r="AI219" s="79"/>
      <c r="AJ219" s="80"/>
      <c r="AK219" s="81"/>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2"/>
      <c r="CL219" s="12"/>
      <c r="CM219" s="82"/>
      <c r="CN219" s="12"/>
      <c r="CO219" s="82"/>
      <c r="CP219" s="12"/>
      <c r="CQ219" s="83">
        <f t="shared" si="30"/>
        <v>0</v>
      </c>
      <c r="CR219" s="84"/>
      <c r="CS219" s="13"/>
      <c r="CT219" s="85"/>
      <c r="CU219" s="86"/>
      <c r="CV219" s="11"/>
      <c r="CW219" s="86"/>
      <c r="CX219" s="84"/>
      <c r="CY219" s="86"/>
    </row>
    <row r="220" spans="1:103" ht="38.25" x14ac:dyDescent="0.2">
      <c r="A220" s="43">
        <v>39895</v>
      </c>
      <c r="B220" s="44" t="s">
        <v>1097</v>
      </c>
      <c r="C220" s="44" t="s">
        <v>497</v>
      </c>
      <c r="D220" s="45" t="s">
        <v>1118</v>
      </c>
      <c r="E220" s="11"/>
      <c r="F220" s="12"/>
      <c r="G220" s="12"/>
      <c r="H220" s="12">
        <f>1130*5</f>
        <v>5650</v>
      </c>
      <c r="I220" s="12">
        <v>1130</v>
      </c>
      <c r="J220" s="12"/>
      <c r="K220" s="12">
        <v>1130</v>
      </c>
      <c r="L220" s="12"/>
      <c r="M220" s="12"/>
      <c r="N220" s="12"/>
      <c r="O220" s="12"/>
      <c r="P220" s="12"/>
      <c r="Q220" s="12"/>
      <c r="R220" s="12"/>
      <c r="S220" s="12"/>
      <c r="T220" s="13"/>
      <c r="U220" s="46"/>
      <c r="V220" s="47"/>
      <c r="W220" s="48">
        <f t="shared" si="25"/>
        <v>0</v>
      </c>
      <c r="X220" s="48">
        <f t="shared" si="26"/>
        <v>0</v>
      </c>
      <c r="Y220" s="48">
        <f t="shared" si="27"/>
        <v>0</v>
      </c>
      <c r="Z220" s="48">
        <f t="shared" si="28"/>
        <v>0</v>
      </c>
      <c r="AA220" s="48"/>
      <c r="AB220" s="48"/>
      <c r="AC220" s="49">
        <f t="shared" si="29"/>
        <v>0</v>
      </c>
      <c r="AD220" s="50">
        <v>0</v>
      </c>
      <c r="AE220" s="47">
        <v>39896</v>
      </c>
      <c r="AF220" s="51" t="s">
        <v>516</v>
      </c>
      <c r="AG220" s="52" t="s">
        <v>517</v>
      </c>
      <c r="AH220" s="53" t="s">
        <v>322</v>
      </c>
      <c r="AI220" s="79"/>
      <c r="AJ220" s="80"/>
      <c r="AK220" s="81"/>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2"/>
      <c r="CL220" s="12"/>
      <c r="CM220" s="82"/>
      <c r="CN220" s="12"/>
      <c r="CO220" s="82"/>
      <c r="CP220" s="12"/>
      <c r="CQ220" s="83">
        <f t="shared" si="30"/>
        <v>0</v>
      </c>
      <c r="CR220" s="84"/>
      <c r="CS220" s="13"/>
      <c r="CT220" s="85"/>
      <c r="CU220" s="86"/>
      <c r="CV220" s="11"/>
      <c r="CW220" s="86"/>
      <c r="CX220" s="84"/>
      <c r="CY220" s="86"/>
    </row>
    <row r="221" spans="1:103" ht="89.25" x14ac:dyDescent="0.2">
      <c r="A221" s="43">
        <v>39895</v>
      </c>
      <c r="B221" s="44" t="s">
        <v>1097</v>
      </c>
      <c r="C221" s="44" t="s">
        <v>498</v>
      </c>
      <c r="D221" s="45" t="s">
        <v>1118</v>
      </c>
      <c r="E221" s="11"/>
      <c r="F221" s="12"/>
      <c r="G221" s="12"/>
      <c r="H221" s="12">
        <f>810*5</f>
        <v>4050</v>
      </c>
      <c r="I221" s="12">
        <v>810</v>
      </c>
      <c r="J221" s="12"/>
      <c r="K221" s="12">
        <v>810</v>
      </c>
      <c r="L221" s="12"/>
      <c r="M221" s="12"/>
      <c r="N221" s="12"/>
      <c r="O221" s="12"/>
      <c r="P221" s="12"/>
      <c r="Q221" s="12"/>
      <c r="R221" s="12"/>
      <c r="S221" s="12"/>
      <c r="T221" s="13"/>
      <c r="U221" s="46"/>
      <c r="V221" s="47">
        <v>39959</v>
      </c>
      <c r="W221" s="48">
        <f t="shared" si="25"/>
        <v>0</v>
      </c>
      <c r="X221" s="48">
        <f t="shared" si="26"/>
        <v>0</v>
      </c>
      <c r="Y221" s="48">
        <f t="shared" si="27"/>
        <v>0</v>
      </c>
      <c r="Z221" s="48">
        <f t="shared" si="28"/>
        <v>0</v>
      </c>
      <c r="AA221" s="48"/>
      <c r="AB221" s="48">
        <v>20000000</v>
      </c>
      <c r="AC221" s="49">
        <f t="shared" si="29"/>
        <v>20000000</v>
      </c>
      <c r="AD221" s="50">
        <v>0</v>
      </c>
      <c r="AE221" s="47">
        <v>39896</v>
      </c>
      <c r="AF221" s="51" t="s">
        <v>1016</v>
      </c>
      <c r="AG221" s="52" t="s">
        <v>565</v>
      </c>
      <c r="AH221" s="53" t="s">
        <v>835</v>
      </c>
      <c r="AI221" s="79"/>
      <c r="AJ221" s="80"/>
      <c r="AK221" s="81"/>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2"/>
      <c r="CL221" s="12"/>
      <c r="CM221" s="82"/>
      <c r="CN221" s="12"/>
      <c r="CO221" s="82"/>
      <c r="CP221" s="12"/>
      <c r="CQ221" s="83">
        <f t="shared" si="30"/>
        <v>0</v>
      </c>
      <c r="CR221" s="84"/>
      <c r="CS221" s="13"/>
      <c r="CT221" s="85"/>
      <c r="CU221" s="86"/>
      <c r="CV221" s="11"/>
      <c r="CW221" s="86"/>
      <c r="CX221" s="84"/>
      <c r="CY221" s="86"/>
    </row>
    <row r="222" spans="1:103" ht="25.5" x14ac:dyDescent="0.2">
      <c r="A222" s="43">
        <v>39895</v>
      </c>
      <c r="B222" s="44" t="s">
        <v>1094</v>
      </c>
      <c r="C222" s="44" t="s">
        <v>929</v>
      </c>
      <c r="D222" s="45" t="s">
        <v>1118</v>
      </c>
      <c r="E222" s="11"/>
      <c r="F222" s="12"/>
      <c r="G222" s="12"/>
      <c r="H222" s="12">
        <v>19</v>
      </c>
      <c r="I222" s="12">
        <v>5</v>
      </c>
      <c r="J222" s="12">
        <v>3</v>
      </c>
      <c r="K222" s="12">
        <v>2</v>
      </c>
      <c r="L222" s="12"/>
      <c r="M222" s="12"/>
      <c r="N222" s="12"/>
      <c r="O222" s="12"/>
      <c r="P222" s="12"/>
      <c r="Q222" s="12"/>
      <c r="R222" s="12"/>
      <c r="S222" s="12"/>
      <c r="T222" s="13"/>
      <c r="U222" s="46"/>
      <c r="V222" s="47"/>
      <c r="W222" s="48">
        <f t="shared" si="25"/>
        <v>0</v>
      </c>
      <c r="X222" s="48">
        <f t="shared" si="26"/>
        <v>0</v>
      </c>
      <c r="Y222" s="48">
        <f t="shared" si="27"/>
        <v>0</v>
      </c>
      <c r="Z222" s="48">
        <f t="shared" si="28"/>
        <v>0</v>
      </c>
      <c r="AA222" s="48"/>
      <c r="AB222" s="48"/>
      <c r="AC222" s="49">
        <f t="shared" si="29"/>
        <v>0</v>
      </c>
      <c r="AD222" s="50">
        <v>0</v>
      </c>
      <c r="AE222" s="47">
        <v>39896</v>
      </c>
      <c r="AF222" s="51" t="s">
        <v>516</v>
      </c>
      <c r="AG222" s="52" t="s">
        <v>517</v>
      </c>
      <c r="AH222" s="53" t="s">
        <v>492</v>
      </c>
      <c r="AI222" s="79"/>
      <c r="AJ222" s="80"/>
      <c r="AK222" s="81"/>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2"/>
      <c r="CL222" s="12"/>
      <c r="CM222" s="82"/>
      <c r="CN222" s="12"/>
      <c r="CO222" s="82"/>
      <c r="CP222" s="12"/>
      <c r="CQ222" s="83">
        <f t="shared" si="30"/>
        <v>0</v>
      </c>
      <c r="CR222" s="84"/>
      <c r="CS222" s="13"/>
      <c r="CT222" s="85"/>
      <c r="CU222" s="86"/>
      <c r="CV222" s="11"/>
      <c r="CW222" s="86"/>
      <c r="CX222" s="84"/>
      <c r="CY222" s="86"/>
    </row>
    <row r="223" spans="1:103" ht="38.25" x14ac:dyDescent="0.2">
      <c r="A223" s="43">
        <v>39895</v>
      </c>
      <c r="B223" s="44" t="s">
        <v>1127</v>
      </c>
      <c r="C223" s="44" t="s">
        <v>800</v>
      </c>
      <c r="D223" s="45" t="s">
        <v>1092</v>
      </c>
      <c r="E223" s="11"/>
      <c r="F223" s="12"/>
      <c r="G223" s="12"/>
      <c r="H223" s="12"/>
      <c r="I223" s="12"/>
      <c r="J223" s="12"/>
      <c r="K223" s="12"/>
      <c r="L223" s="12"/>
      <c r="M223" s="12"/>
      <c r="N223" s="12"/>
      <c r="O223" s="12"/>
      <c r="P223" s="12"/>
      <c r="Q223" s="12"/>
      <c r="R223" s="12"/>
      <c r="S223" s="12"/>
      <c r="T223" s="13"/>
      <c r="U223" s="46"/>
      <c r="V223" s="47"/>
      <c r="W223" s="48">
        <f t="shared" si="25"/>
        <v>0</v>
      </c>
      <c r="X223" s="48">
        <f t="shared" si="26"/>
        <v>0</v>
      </c>
      <c r="Y223" s="48">
        <f t="shared" si="27"/>
        <v>0</v>
      </c>
      <c r="Z223" s="48">
        <f t="shared" si="28"/>
        <v>0</v>
      </c>
      <c r="AA223" s="48"/>
      <c r="AB223" s="48"/>
      <c r="AC223" s="49">
        <f t="shared" si="29"/>
        <v>0</v>
      </c>
      <c r="AD223" s="50">
        <v>0</v>
      </c>
      <c r="AE223" s="47">
        <v>39896</v>
      </c>
      <c r="AF223" s="51" t="s">
        <v>516</v>
      </c>
      <c r="AG223" s="52" t="s">
        <v>517</v>
      </c>
      <c r="AH223" s="53" t="s">
        <v>330</v>
      </c>
      <c r="AI223" s="79"/>
      <c r="AJ223" s="80"/>
      <c r="AK223" s="81"/>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2"/>
      <c r="CL223" s="12"/>
      <c r="CM223" s="82"/>
      <c r="CN223" s="12"/>
      <c r="CO223" s="82"/>
      <c r="CP223" s="12"/>
      <c r="CQ223" s="83">
        <f t="shared" si="30"/>
        <v>0</v>
      </c>
      <c r="CR223" s="84"/>
      <c r="CS223" s="13"/>
      <c r="CT223" s="85"/>
      <c r="CU223" s="86"/>
      <c r="CV223" s="11"/>
      <c r="CW223" s="86"/>
      <c r="CX223" s="84"/>
      <c r="CY223" s="86"/>
    </row>
    <row r="224" spans="1:103" ht="76.5" x14ac:dyDescent="0.2">
      <c r="A224" s="43">
        <v>39895</v>
      </c>
      <c r="B224" s="44" t="s">
        <v>1127</v>
      </c>
      <c r="C224" s="44" t="s">
        <v>116</v>
      </c>
      <c r="D224" s="45" t="s">
        <v>1118</v>
      </c>
      <c r="E224" s="11"/>
      <c r="F224" s="12"/>
      <c r="G224" s="12"/>
      <c r="H224" s="12">
        <v>1736</v>
      </c>
      <c r="I224" s="12">
        <v>365</v>
      </c>
      <c r="J224" s="12"/>
      <c r="K224" s="12">
        <v>365</v>
      </c>
      <c r="L224" s="12"/>
      <c r="M224" s="12"/>
      <c r="N224" s="12"/>
      <c r="O224" s="12"/>
      <c r="P224" s="12"/>
      <c r="Q224" s="12"/>
      <c r="R224" s="12"/>
      <c r="S224" s="12"/>
      <c r="T224" s="13"/>
      <c r="U224" s="46"/>
      <c r="V224" s="47"/>
      <c r="W224" s="48">
        <f t="shared" si="25"/>
        <v>0</v>
      </c>
      <c r="X224" s="48">
        <f t="shared" si="26"/>
        <v>0</v>
      </c>
      <c r="Y224" s="48">
        <f t="shared" si="27"/>
        <v>0</v>
      </c>
      <c r="Z224" s="48">
        <f t="shared" si="28"/>
        <v>0</v>
      </c>
      <c r="AA224" s="48"/>
      <c r="AB224" s="48"/>
      <c r="AC224" s="49">
        <f t="shared" si="29"/>
        <v>0</v>
      </c>
      <c r="AD224" s="50">
        <v>0</v>
      </c>
      <c r="AE224" s="47">
        <v>39896</v>
      </c>
      <c r="AF224" s="51" t="s">
        <v>516</v>
      </c>
      <c r="AG224" s="52" t="s">
        <v>517</v>
      </c>
      <c r="AH224" s="53" t="s">
        <v>365</v>
      </c>
      <c r="AI224" s="79"/>
      <c r="AJ224" s="80"/>
      <c r="AK224" s="81"/>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2"/>
      <c r="CL224" s="12"/>
      <c r="CM224" s="82"/>
      <c r="CN224" s="12"/>
      <c r="CO224" s="82"/>
      <c r="CP224" s="12"/>
      <c r="CQ224" s="83">
        <f t="shared" si="30"/>
        <v>0</v>
      </c>
      <c r="CR224" s="84"/>
      <c r="CS224" s="13"/>
      <c r="CT224" s="85"/>
      <c r="CU224" s="86"/>
      <c r="CV224" s="11"/>
      <c r="CW224" s="86"/>
      <c r="CX224" s="84"/>
      <c r="CY224" s="86"/>
    </row>
    <row r="225" spans="1:103" ht="25.5" x14ac:dyDescent="0.2">
      <c r="A225" s="43">
        <v>39895</v>
      </c>
      <c r="B225" s="44" t="s">
        <v>1127</v>
      </c>
      <c r="C225" s="44" t="s">
        <v>47</v>
      </c>
      <c r="D225" s="45" t="s">
        <v>1118</v>
      </c>
      <c r="E225" s="11"/>
      <c r="F225" s="12"/>
      <c r="G225" s="12"/>
      <c r="H225" s="12">
        <f>577-330</f>
        <v>247</v>
      </c>
      <c r="I225" s="12">
        <f>116-45</f>
        <v>71</v>
      </c>
      <c r="J225" s="12"/>
      <c r="K225" s="12">
        <v>71</v>
      </c>
      <c r="L225" s="12"/>
      <c r="M225" s="12"/>
      <c r="N225" s="12"/>
      <c r="O225" s="12"/>
      <c r="P225" s="12"/>
      <c r="Q225" s="12"/>
      <c r="R225" s="12"/>
      <c r="S225" s="12"/>
      <c r="T225" s="13"/>
      <c r="U225" s="46"/>
      <c r="V225" s="47"/>
      <c r="W225" s="48">
        <f t="shared" si="25"/>
        <v>0</v>
      </c>
      <c r="X225" s="48">
        <f t="shared" si="26"/>
        <v>0</v>
      </c>
      <c r="Y225" s="48">
        <f t="shared" si="27"/>
        <v>0</v>
      </c>
      <c r="Z225" s="48">
        <f t="shared" si="28"/>
        <v>0</v>
      </c>
      <c r="AA225" s="48"/>
      <c r="AB225" s="48"/>
      <c r="AC225" s="49">
        <f t="shared" si="29"/>
        <v>0</v>
      </c>
      <c r="AD225" s="50">
        <v>0</v>
      </c>
      <c r="AE225" s="47">
        <v>39896</v>
      </c>
      <c r="AF225" s="51" t="s">
        <v>516</v>
      </c>
      <c r="AG225" s="52" t="s">
        <v>517</v>
      </c>
      <c r="AH225" s="53" t="s">
        <v>48</v>
      </c>
      <c r="AI225" s="79"/>
      <c r="AJ225" s="80"/>
      <c r="AK225" s="81"/>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2"/>
      <c r="CL225" s="12"/>
      <c r="CM225" s="82"/>
      <c r="CN225" s="12"/>
      <c r="CO225" s="82"/>
      <c r="CP225" s="12"/>
      <c r="CQ225" s="83">
        <f t="shared" si="30"/>
        <v>0</v>
      </c>
      <c r="CR225" s="84"/>
      <c r="CS225" s="13"/>
      <c r="CT225" s="85"/>
      <c r="CU225" s="86"/>
      <c r="CV225" s="11"/>
      <c r="CW225" s="86"/>
      <c r="CX225" s="84"/>
      <c r="CY225" s="86"/>
    </row>
    <row r="226" spans="1:103" ht="25.5" x14ac:dyDescent="0.2">
      <c r="A226" s="43">
        <v>39895</v>
      </c>
      <c r="B226" s="44" t="s">
        <v>1127</v>
      </c>
      <c r="C226" s="44" t="s">
        <v>1275</v>
      </c>
      <c r="D226" s="45" t="s">
        <v>1118</v>
      </c>
      <c r="E226" s="11"/>
      <c r="F226" s="12"/>
      <c r="G226" s="12"/>
      <c r="H226" s="12"/>
      <c r="I226" s="12"/>
      <c r="J226" s="12"/>
      <c r="K226" s="12"/>
      <c r="L226" s="12"/>
      <c r="M226" s="12"/>
      <c r="N226" s="12"/>
      <c r="O226" s="12"/>
      <c r="P226" s="12"/>
      <c r="Q226" s="12"/>
      <c r="R226" s="12"/>
      <c r="S226" s="12"/>
      <c r="T226" s="13"/>
      <c r="U226" s="46"/>
      <c r="V226" s="47"/>
      <c r="W226" s="48">
        <f t="shared" si="25"/>
        <v>0</v>
      </c>
      <c r="X226" s="48">
        <f t="shared" si="26"/>
        <v>0</v>
      </c>
      <c r="Y226" s="48">
        <f t="shared" si="27"/>
        <v>0</v>
      </c>
      <c r="Z226" s="48">
        <f t="shared" si="28"/>
        <v>0</v>
      </c>
      <c r="AA226" s="48"/>
      <c r="AB226" s="48"/>
      <c r="AC226" s="49">
        <f t="shared" si="29"/>
        <v>0</v>
      </c>
      <c r="AD226" s="50">
        <v>0</v>
      </c>
      <c r="AE226" s="47">
        <v>39896</v>
      </c>
      <c r="AF226" s="51" t="s">
        <v>516</v>
      </c>
      <c r="AG226" s="52" t="s">
        <v>517</v>
      </c>
      <c r="AH226" s="53" t="s">
        <v>48</v>
      </c>
      <c r="AI226" s="79"/>
      <c r="AJ226" s="80"/>
      <c r="AK226" s="81"/>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2"/>
      <c r="CL226" s="12"/>
      <c r="CM226" s="82"/>
      <c r="CN226" s="12"/>
      <c r="CO226" s="82"/>
      <c r="CP226" s="12"/>
      <c r="CQ226" s="83">
        <f t="shared" si="30"/>
        <v>0</v>
      </c>
      <c r="CR226" s="84"/>
      <c r="CS226" s="13"/>
      <c r="CT226" s="85"/>
      <c r="CU226" s="86"/>
      <c r="CV226" s="11"/>
      <c r="CW226" s="86"/>
      <c r="CX226" s="84"/>
      <c r="CY226" s="86"/>
    </row>
    <row r="227" spans="1:103" ht="38.25" x14ac:dyDescent="0.2">
      <c r="A227" s="43">
        <v>39895</v>
      </c>
      <c r="B227" s="44" t="s">
        <v>600</v>
      </c>
      <c r="C227" s="44" t="s">
        <v>419</v>
      </c>
      <c r="D227" s="45" t="s">
        <v>1118</v>
      </c>
      <c r="E227" s="11"/>
      <c r="F227" s="12"/>
      <c r="G227" s="12"/>
      <c r="H227" s="12">
        <v>10</v>
      </c>
      <c r="I227" s="12">
        <v>2</v>
      </c>
      <c r="J227" s="12">
        <v>1</v>
      </c>
      <c r="K227" s="12">
        <v>1</v>
      </c>
      <c r="L227" s="12"/>
      <c r="M227" s="12"/>
      <c r="N227" s="12"/>
      <c r="O227" s="12"/>
      <c r="P227" s="12"/>
      <c r="Q227" s="12"/>
      <c r="R227" s="12"/>
      <c r="S227" s="12"/>
      <c r="T227" s="13"/>
      <c r="U227" s="46"/>
      <c r="V227" s="47"/>
      <c r="W227" s="48">
        <f t="shared" si="25"/>
        <v>0</v>
      </c>
      <c r="X227" s="48">
        <f t="shared" si="26"/>
        <v>0</v>
      </c>
      <c r="Y227" s="48">
        <f t="shared" si="27"/>
        <v>0</v>
      </c>
      <c r="Z227" s="48">
        <f t="shared" si="28"/>
        <v>0</v>
      </c>
      <c r="AA227" s="48"/>
      <c r="AB227" s="48"/>
      <c r="AC227" s="49">
        <f t="shared" si="29"/>
        <v>0</v>
      </c>
      <c r="AD227" s="50">
        <v>0</v>
      </c>
      <c r="AE227" s="47">
        <v>39896</v>
      </c>
      <c r="AF227" s="51" t="s">
        <v>516</v>
      </c>
      <c r="AG227" s="52" t="s">
        <v>517</v>
      </c>
      <c r="AH227" s="53" t="s">
        <v>332</v>
      </c>
      <c r="AI227" s="79"/>
      <c r="AJ227" s="80"/>
      <c r="AK227" s="81"/>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2"/>
      <c r="CL227" s="12"/>
      <c r="CM227" s="82"/>
      <c r="CN227" s="12"/>
      <c r="CO227" s="82"/>
      <c r="CP227" s="12"/>
      <c r="CQ227" s="83">
        <f t="shared" si="30"/>
        <v>0</v>
      </c>
      <c r="CR227" s="84"/>
      <c r="CS227" s="13"/>
      <c r="CT227" s="85"/>
      <c r="CU227" s="86"/>
      <c r="CV227" s="11"/>
      <c r="CW227" s="86"/>
      <c r="CX227" s="84"/>
      <c r="CY227" s="86"/>
    </row>
    <row r="228" spans="1:103" ht="63.75" x14ac:dyDescent="0.2">
      <c r="A228" s="43">
        <v>39895</v>
      </c>
      <c r="B228" s="44" t="s">
        <v>781</v>
      </c>
      <c r="C228" s="44" t="s">
        <v>49</v>
      </c>
      <c r="D228" s="45" t="s">
        <v>1118</v>
      </c>
      <c r="E228" s="11"/>
      <c r="F228" s="12"/>
      <c r="G228" s="12"/>
      <c r="H228" s="12">
        <v>357</v>
      </c>
      <c r="I228" s="12">
        <v>65</v>
      </c>
      <c r="J228" s="12">
        <v>3</v>
      </c>
      <c r="K228" s="12">
        <v>62</v>
      </c>
      <c r="L228" s="12"/>
      <c r="M228" s="12"/>
      <c r="N228" s="12">
        <v>1</v>
      </c>
      <c r="O228" s="12"/>
      <c r="P228" s="12"/>
      <c r="Q228" s="12"/>
      <c r="R228" s="12"/>
      <c r="S228" s="12"/>
      <c r="T228" s="13"/>
      <c r="U228" s="46"/>
      <c r="V228" s="47"/>
      <c r="W228" s="48">
        <f t="shared" si="25"/>
        <v>0</v>
      </c>
      <c r="X228" s="48">
        <f t="shared" si="26"/>
        <v>0</v>
      </c>
      <c r="Y228" s="48">
        <f t="shared" si="27"/>
        <v>0</v>
      </c>
      <c r="Z228" s="48">
        <f t="shared" si="28"/>
        <v>0</v>
      </c>
      <c r="AA228" s="48"/>
      <c r="AB228" s="48"/>
      <c r="AC228" s="49">
        <f t="shared" si="29"/>
        <v>0</v>
      </c>
      <c r="AD228" s="50">
        <v>0</v>
      </c>
      <c r="AE228" s="47">
        <v>39896</v>
      </c>
      <c r="AF228" s="51" t="s">
        <v>516</v>
      </c>
      <c r="AG228" s="52" t="s">
        <v>517</v>
      </c>
      <c r="AH228" s="53" t="s">
        <v>323</v>
      </c>
      <c r="AI228" s="79"/>
      <c r="AJ228" s="80"/>
      <c r="AK228" s="81"/>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2"/>
      <c r="CL228" s="12"/>
      <c r="CM228" s="82"/>
      <c r="CN228" s="12"/>
      <c r="CO228" s="82"/>
      <c r="CP228" s="12"/>
      <c r="CQ228" s="83">
        <f t="shared" si="30"/>
        <v>0</v>
      </c>
      <c r="CR228" s="84"/>
      <c r="CS228" s="13"/>
      <c r="CT228" s="85"/>
      <c r="CU228" s="86"/>
      <c r="CV228" s="11"/>
      <c r="CW228" s="86"/>
      <c r="CX228" s="84"/>
      <c r="CY228" s="86"/>
    </row>
    <row r="229" spans="1:103" ht="25.5" x14ac:dyDescent="0.2">
      <c r="A229" s="43">
        <v>39895</v>
      </c>
      <c r="B229" s="44" t="s">
        <v>1114</v>
      </c>
      <c r="C229" s="44" t="s">
        <v>646</v>
      </c>
      <c r="D229" s="45" t="s">
        <v>1118</v>
      </c>
      <c r="E229" s="11"/>
      <c r="F229" s="12"/>
      <c r="G229" s="12"/>
      <c r="H229" s="12">
        <v>151</v>
      </c>
      <c r="I229" s="12">
        <v>33</v>
      </c>
      <c r="J229" s="12"/>
      <c r="K229" s="12">
        <v>33</v>
      </c>
      <c r="L229" s="12"/>
      <c r="M229" s="12"/>
      <c r="N229" s="12"/>
      <c r="O229" s="12"/>
      <c r="P229" s="12"/>
      <c r="Q229" s="12"/>
      <c r="R229" s="12"/>
      <c r="S229" s="12"/>
      <c r="T229" s="13"/>
      <c r="U229" s="46"/>
      <c r="V229" s="47"/>
      <c r="W229" s="48">
        <f t="shared" si="25"/>
        <v>0</v>
      </c>
      <c r="X229" s="48">
        <f t="shared" si="26"/>
        <v>0</v>
      </c>
      <c r="Y229" s="48">
        <f t="shared" si="27"/>
        <v>0</v>
      </c>
      <c r="Z229" s="48">
        <f t="shared" si="28"/>
        <v>0</v>
      </c>
      <c r="AA229" s="48"/>
      <c r="AB229" s="48"/>
      <c r="AC229" s="49">
        <f t="shared" si="29"/>
        <v>0</v>
      </c>
      <c r="AD229" s="50">
        <v>0</v>
      </c>
      <c r="AE229" s="47">
        <v>39896</v>
      </c>
      <c r="AF229" s="51" t="s">
        <v>516</v>
      </c>
      <c r="AG229" s="52" t="s">
        <v>517</v>
      </c>
      <c r="AH229" s="53" t="s">
        <v>415</v>
      </c>
      <c r="AI229" s="79"/>
      <c r="AJ229" s="80"/>
      <c r="AK229" s="81"/>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2"/>
      <c r="CL229" s="12"/>
      <c r="CM229" s="82"/>
      <c r="CN229" s="12"/>
      <c r="CO229" s="82"/>
      <c r="CP229" s="12"/>
      <c r="CQ229" s="83">
        <f t="shared" si="30"/>
        <v>0</v>
      </c>
      <c r="CR229" s="84"/>
      <c r="CS229" s="13"/>
      <c r="CT229" s="85"/>
      <c r="CU229" s="86"/>
      <c r="CV229" s="11"/>
      <c r="CW229" s="86"/>
      <c r="CX229" s="84"/>
      <c r="CY229" s="86"/>
    </row>
    <row r="230" spans="1:103" ht="38.25" x14ac:dyDescent="0.2">
      <c r="A230" s="43">
        <v>39895</v>
      </c>
      <c r="B230" s="44" t="s">
        <v>413</v>
      </c>
      <c r="C230" s="44" t="s">
        <v>414</v>
      </c>
      <c r="D230" s="45" t="s">
        <v>1092</v>
      </c>
      <c r="E230" s="11"/>
      <c r="F230" s="12"/>
      <c r="G230" s="12"/>
      <c r="H230" s="12">
        <v>10</v>
      </c>
      <c r="I230" s="12">
        <v>2</v>
      </c>
      <c r="J230" s="12">
        <v>2</v>
      </c>
      <c r="K230" s="12"/>
      <c r="L230" s="12"/>
      <c r="M230" s="12"/>
      <c r="N230" s="12"/>
      <c r="O230" s="12"/>
      <c r="P230" s="12"/>
      <c r="Q230" s="12"/>
      <c r="R230" s="12"/>
      <c r="S230" s="12"/>
      <c r="T230" s="13"/>
      <c r="U230" s="46"/>
      <c r="V230" s="47"/>
      <c r="W230" s="48">
        <f t="shared" si="25"/>
        <v>0</v>
      </c>
      <c r="X230" s="48">
        <f t="shared" si="26"/>
        <v>0</v>
      </c>
      <c r="Y230" s="48">
        <f t="shared" si="27"/>
        <v>0</v>
      </c>
      <c r="Z230" s="48">
        <f t="shared" si="28"/>
        <v>0</v>
      </c>
      <c r="AA230" s="48"/>
      <c r="AB230" s="48"/>
      <c r="AC230" s="49">
        <f t="shared" si="29"/>
        <v>0</v>
      </c>
      <c r="AD230" s="50">
        <v>0</v>
      </c>
      <c r="AE230" s="47">
        <v>39896</v>
      </c>
      <c r="AF230" s="51" t="s">
        <v>516</v>
      </c>
      <c r="AG230" s="52" t="s">
        <v>517</v>
      </c>
      <c r="AH230" s="53" t="s">
        <v>331</v>
      </c>
      <c r="AI230" s="79"/>
      <c r="AJ230" s="80"/>
      <c r="AK230" s="81"/>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2"/>
      <c r="CL230" s="12"/>
      <c r="CM230" s="82"/>
      <c r="CN230" s="12"/>
      <c r="CO230" s="82"/>
      <c r="CP230" s="12"/>
      <c r="CQ230" s="83">
        <f t="shared" si="30"/>
        <v>0</v>
      </c>
      <c r="CR230" s="84"/>
      <c r="CS230" s="13"/>
      <c r="CT230" s="85"/>
      <c r="CU230" s="86"/>
      <c r="CV230" s="11"/>
      <c r="CW230" s="86"/>
      <c r="CX230" s="84"/>
      <c r="CY230" s="86"/>
    </row>
    <row r="231" spans="1:103" ht="63.75" x14ac:dyDescent="0.2">
      <c r="A231" s="43">
        <v>39895</v>
      </c>
      <c r="B231" s="44" t="s">
        <v>413</v>
      </c>
      <c r="C231" s="44" t="s">
        <v>51</v>
      </c>
      <c r="D231" s="45" t="s">
        <v>1118</v>
      </c>
      <c r="E231" s="11"/>
      <c r="F231" s="12"/>
      <c r="G231" s="12"/>
      <c r="H231" s="12">
        <v>10</v>
      </c>
      <c r="I231" s="12">
        <v>2</v>
      </c>
      <c r="J231" s="12"/>
      <c r="K231" s="12">
        <v>2</v>
      </c>
      <c r="L231" s="12"/>
      <c r="M231" s="12"/>
      <c r="N231" s="12"/>
      <c r="O231" s="12"/>
      <c r="P231" s="12"/>
      <c r="Q231" s="12"/>
      <c r="R231" s="12"/>
      <c r="S231" s="12"/>
      <c r="T231" s="13"/>
      <c r="U231" s="46"/>
      <c r="V231" s="47"/>
      <c r="W231" s="48">
        <f t="shared" si="25"/>
        <v>0</v>
      </c>
      <c r="X231" s="48">
        <f t="shared" si="26"/>
        <v>0</v>
      </c>
      <c r="Y231" s="48">
        <f t="shared" si="27"/>
        <v>0</v>
      </c>
      <c r="Z231" s="48">
        <f t="shared" si="28"/>
        <v>0</v>
      </c>
      <c r="AA231" s="48"/>
      <c r="AB231" s="48"/>
      <c r="AC231" s="49">
        <f t="shared" si="29"/>
        <v>0</v>
      </c>
      <c r="AD231" s="50">
        <v>0</v>
      </c>
      <c r="AE231" s="47">
        <v>39896</v>
      </c>
      <c r="AF231" s="51" t="s">
        <v>516</v>
      </c>
      <c r="AG231" s="52" t="s">
        <v>517</v>
      </c>
      <c r="AH231" s="53" t="s">
        <v>354</v>
      </c>
      <c r="AI231" s="79"/>
      <c r="AJ231" s="80"/>
      <c r="AK231" s="81"/>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2"/>
      <c r="CL231" s="12"/>
      <c r="CM231" s="82"/>
      <c r="CN231" s="12"/>
      <c r="CO231" s="82"/>
      <c r="CP231" s="12"/>
      <c r="CQ231" s="83">
        <f t="shared" si="30"/>
        <v>0</v>
      </c>
      <c r="CR231" s="84"/>
      <c r="CS231" s="13"/>
      <c r="CT231" s="85"/>
      <c r="CU231" s="86"/>
      <c r="CV231" s="11"/>
      <c r="CW231" s="86"/>
      <c r="CX231" s="84"/>
      <c r="CY231" s="86"/>
    </row>
    <row r="232" spans="1:103" ht="25.5" x14ac:dyDescent="0.2">
      <c r="A232" s="43">
        <v>39895</v>
      </c>
      <c r="B232" s="44" t="s">
        <v>1350</v>
      </c>
      <c r="C232" s="44" t="s">
        <v>50</v>
      </c>
      <c r="D232" s="45" t="s">
        <v>1118</v>
      </c>
      <c r="E232" s="11"/>
      <c r="F232" s="12"/>
      <c r="G232" s="12"/>
      <c r="H232" s="12">
        <v>10</v>
      </c>
      <c r="I232" s="12">
        <v>2</v>
      </c>
      <c r="J232" s="12"/>
      <c r="K232" s="12">
        <v>2</v>
      </c>
      <c r="L232" s="12"/>
      <c r="M232" s="12"/>
      <c r="N232" s="12"/>
      <c r="O232" s="12"/>
      <c r="P232" s="12"/>
      <c r="Q232" s="12"/>
      <c r="R232" s="12"/>
      <c r="S232" s="12"/>
      <c r="T232" s="13"/>
      <c r="U232" s="46"/>
      <c r="V232" s="47"/>
      <c r="W232" s="48">
        <f t="shared" si="25"/>
        <v>0</v>
      </c>
      <c r="X232" s="48">
        <f t="shared" si="26"/>
        <v>0</v>
      </c>
      <c r="Y232" s="48">
        <f t="shared" si="27"/>
        <v>0</v>
      </c>
      <c r="Z232" s="48">
        <f t="shared" si="28"/>
        <v>0</v>
      </c>
      <c r="AA232" s="48"/>
      <c r="AB232" s="48"/>
      <c r="AC232" s="49">
        <f t="shared" si="29"/>
        <v>0</v>
      </c>
      <c r="AD232" s="50">
        <v>0</v>
      </c>
      <c r="AE232" s="47">
        <v>39896</v>
      </c>
      <c r="AF232" s="51" t="s">
        <v>516</v>
      </c>
      <c r="AG232" s="52" t="s">
        <v>517</v>
      </c>
      <c r="AH232" s="53" t="s">
        <v>1281</v>
      </c>
      <c r="AI232" s="79"/>
      <c r="AJ232" s="80"/>
      <c r="AK232" s="81"/>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2"/>
      <c r="CL232" s="12"/>
      <c r="CM232" s="82"/>
      <c r="CN232" s="12"/>
      <c r="CO232" s="82"/>
      <c r="CP232" s="12"/>
      <c r="CQ232" s="83">
        <f t="shared" si="30"/>
        <v>0</v>
      </c>
      <c r="CR232" s="84"/>
      <c r="CS232" s="13"/>
      <c r="CT232" s="85"/>
      <c r="CU232" s="86"/>
      <c r="CV232" s="11"/>
      <c r="CW232" s="86"/>
      <c r="CX232" s="84"/>
      <c r="CY232" s="86"/>
    </row>
    <row r="233" spans="1:103" ht="38.25" x14ac:dyDescent="0.2">
      <c r="A233" s="43">
        <v>39895</v>
      </c>
      <c r="B233" s="44" t="s">
        <v>1350</v>
      </c>
      <c r="C233" s="44" t="s">
        <v>1351</v>
      </c>
      <c r="D233" s="45" t="s">
        <v>1092</v>
      </c>
      <c r="E233" s="11"/>
      <c r="F233" s="12">
        <v>3</v>
      </c>
      <c r="G233" s="12"/>
      <c r="H233" s="12"/>
      <c r="I233" s="12"/>
      <c r="J233" s="12"/>
      <c r="K233" s="12"/>
      <c r="L233" s="12">
        <v>1</v>
      </c>
      <c r="M233" s="12"/>
      <c r="N233" s="12"/>
      <c r="O233" s="12"/>
      <c r="P233" s="12"/>
      <c r="Q233" s="12"/>
      <c r="R233" s="12"/>
      <c r="S233" s="12"/>
      <c r="T233" s="13"/>
      <c r="U233" s="46"/>
      <c r="V233" s="47"/>
      <c r="W233" s="48">
        <f t="shared" si="25"/>
        <v>0</v>
      </c>
      <c r="X233" s="48">
        <f t="shared" si="26"/>
        <v>0</v>
      </c>
      <c r="Y233" s="48">
        <f t="shared" si="27"/>
        <v>0</v>
      </c>
      <c r="Z233" s="48">
        <f t="shared" si="28"/>
        <v>0</v>
      </c>
      <c r="AA233" s="48"/>
      <c r="AB233" s="48"/>
      <c r="AC233" s="49">
        <f t="shared" si="29"/>
        <v>0</v>
      </c>
      <c r="AD233" s="50">
        <v>0</v>
      </c>
      <c r="AE233" s="47">
        <v>39896</v>
      </c>
      <c r="AF233" s="51" t="s">
        <v>516</v>
      </c>
      <c r="AG233" s="52" t="s">
        <v>517</v>
      </c>
      <c r="AH233" s="53" t="s">
        <v>333</v>
      </c>
      <c r="AI233" s="79"/>
      <c r="AJ233" s="80"/>
      <c r="AK233" s="81"/>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2"/>
      <c r="CL233" s="12"/>
      <c r="CM233" s="82"/>
      <c r="CN233" s="12"/>
      <c r="CO233" s="82"/>
      <c r="CP233" s="12"/>
      <c r="CQ233" s="83">
        <f t="shared" si="30"/>
        <v>0</v>
      </c>
      <c r="CR233" s="84"/>
      <c r="CS233" s="13"/>
      <c r="CT233" s="85"/>
      <c r="CU233" s="86"/>
      <c r="CV233" s="11"/>
      <c r="CW233" s="86"/>
      <c r="CX233" s="84"/>
      <c r="CY233" s="86"/>
    </row>
    <row r="234" spans="1:103" ht="178.5" x14ac:dyDescent="0.2">
      <c r="A234" s="43">
        <v>39896</v>
      </c>
      <c r="B234" s="44" t="s">
        <v>1066</v>
      </c>
      <c r="C234" s="44" t="s">
        <v>1454</v>
      </c>
      <c r="D234" s="45" t="s">
        <v>1118</v>
      </c>
      <c r="E234" s="11"/>
      <c r="F234" s="12"/>
      <c r="G234" s="12"/>
      <c r="H234" s="12"/>
      <c r="I234" s="12"/>
      <c r="J234" s="12"/>
      <c r="K234" s="12"/>
      <c r="L234" s="12"/>
      <c r="M234" s="12"/>
      <c r="N234" s="12"/>
      <c r="O234" s="12"/>
      <c r="P234" s="12"/>
      <c r="Q234" s="12"/>
      <c r="R234" s="12"/>
      <c r="S234" s="12"/>
      <c r="T234" s="13"/>
      <c r="U234" s="46" t="s">
        <v>1420</v>
      </c>
      <c r="V234" s="47"/>
      <c r="W234" s="48">
        <f t="shared" si="25"/>
        <v>0</v>
      </c>
      <c r="X234" s="48">
        <f t="shared" si="26"/>
        <v>0</v>
      </c>
      <c r="Y234" s="48">
        <f t="shared" si="27"/>
        <v>0</v>
      </c>
      <c r="Z234" s="48">
        <f t="shared" si="28"/>
        <v>0</v>
      </c>
      <c r="AA234" s="48"/>
      <c r="AB234" s="48"/>
      <c r="AC234" s="49">
        <f t="shared" si="29"/>
        <v>0</v>
      </c>
      <c r="AD234" s="50">
        <v>0</v>
      </c>
      <c r="AE234" s="47">
        <v>39896</v>
      </c>
      <c r="AF234" s="51" t="s">
        <v>516</v>
      </c>
      <c r="AG234" s="52" t="s">
        <v>517</v>
      </c>
      <c r="AH234" s="53" t="s">
        <v>1423</v>
      </c>
      <c r="AI234" s="79"/>
      <c r="AJ234" s="80"/>
      <c r="AK234" s="81"/>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2"/>
      <c r="CL234" s="12"/>
      <c r="CM234" s="82"/>
      <c r="CN234" s="12"/>
      <c r="CO234" s="82"/>
      <c r="CP234" s="12"/>
      <c r="CQ234" s="83">
        <f t="shared" si="30"/>
        <v>0</v>
      </c>
      <c r="CR234" s="84"/>
      <c r="CS234" s="13"/>
      <c r="CT234" s="85"/>
      <c r="CU234" s="86"/>
      <c r="CV234" s="11"/>
      <c r="CW234" s="86"/>
      <c r="CX234" s="84"/>
      <c r="CY234" s="86"/>
    </row>
    <row r="235" spans="1:103" ht="25.5" x14ac:dyDescent="0.2">
      <c r="A235" s="43">
        <v>39896</v>
      </c>
      <c r="B235" s="44" t="s">
        <v>1136</v>
      </c>
      <c r="C235" s="44" t="s">
        <v>307</v>
      </c>
      <c r="D235" s="45" t="s">
        <v>1118</v>
      </c>
      <c r="E235" s="11"/>
      <c r="F235" s="12"/>
      <c r="G235" s="12"/>
      <c r="H235" s="12">
        <v>61</v>
      </c>
      <c r="I235" s="12">
        <v>16</v>
      </c>
      <c r="J235" s="12"/>
      <c r="K235" s="12">
        <v>16</v>
      </c>
      <c r="L235" s="12"/>
      <c r="M235" s="12"/>
      <c r="N235" s="12"/>
      <c r="O235" s="12"/>
      <c r="P235" s="12"/>
      <c r="Q235" s="12"/>
      <c r="R235" s="12"/>
      <c r="S235" s="12"/>
      <c r="T235" s="13"/>
      <c r="U235" s="46"/>
      <c r="V235" s="47"/>
      <c r="W235" s="48">
        <f t="shared" si="25"/>
        <v>0</v>
      </c>
      <c r="X235" s="48">
        <f t="shared" si="26"/>
        <v>0</v>
      </c>
      <c r="Y235" s="48">
        <f t="shared" si="27"/>
        <v>0</v>
      </c>
      <c r="Z235" s="48">
        <f t="shared" si="28"/>
        <v>0</v>
      </c>
      <c r="AA235" s="48"/>
      <c r="AB235" s="48"/>
      <c r="AC235" s="49">
        <f t="shared" si="29"/>
        <v>0</v>
      </c>
      <c r="AD235" s="50">
        <v>0</v>
      </c>
      <c r="AE235" s="47">
        <v>39896</v>
      </c>
      <c r="AF235" s="51" t="s">
        <v>516</v>
      </c>
      <c r="AG235" s="52" t="s">
        <v>517</v>
      </c>
      <c r="AH235" s="53" t="s">
        <v>337</v>
      </c>
      <c r="AI235" s="79"/>
      <c r="AJ235" s="80"/>
      <c r="AK235" s="81"/>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2"/>
      <c r="CL235" s="12"/>
      <c r="CM235" s="82"/>
      <c r="CN235" s="12"/>
      <c r="CO235" s="82"/>
      <c r="CP235" s="12"/>
      <c r="CQ235" s="83">
        <f t="shared" si="30"/>
        <v>0</v>
      </c>
      <c r="CR235" s="84"/>
      <c r="CS235" s="13"/>
      <c r="CT235" s="85"/>
      <c r="CU235" s="86"/>
      <c r="CV235" s="11"/>
      <c r="CW235" s="86"/>
      <c r="CX235" s="84"/>
      <c r="CY235" s="86"/>
    </row>
    <row r="236" spans="1:103" ht="38.25" x14ac:dyDescent="0.2">
      <c r="A236" s="43">
        <v>39896</v>
      </c>
      <c r="B236" s="44" t="s">
        <v>1136</v>
      </c>
      <c r="C236" s="44" t="s">
        <v>542</v>
      </c>
      <c r="D236" s="45" t="s">
        <v>1118</v>
      </c>
      <c r="E236" s="11"/>
      <c r="F236" s="12"/>
      <c r="G236" s="12"/>
      <c r="H236" s="12">
        <f>11*5</f>
        <v>55</v>
      </c>
      <c r="I236" s="12">
        <v>11</v>
      </c>
      <c r="J236" s="12">
        <v>3</v>
      </c>
      <c r="K236" s="12">
        <v>8</v>
      </c>
      <c r="L236" s="12"/>
      <c r="M236" s="12"/>
      <c r="N236" s="12"/>
      <c r="O236" s="12"/>
      <c r="P236" s="12"/>
      <c r="Q236" s="12"/>
      <c r="R236" s="12"/>
      <c r="S236" s="12"/>
      <c r="T236" s="13"/>
      <c r="U236" s="46"/>
      <c r="V236" s="47"/>
      <c r="W236" s="48">
        <f t="shared" si="25"/>
        <v>0</v>
      </c>
      <c r="X236" s="48">
        <f t="shared" si="26"/>
        <v>0</v>
      </c>
      <c r="Y236" s="48">
        <f t="shared" si="27"/>
        <v>0</v>
      </c>
      <c r="Z236" s="48">
        <f t="shared" si="28"/>
        <v>0</v>
      </c>
      <c r="AA236" s="48"/>
      <c r="AB236" s="48"/>
      <c r="AC236" s="49">
        <f t="shared" si="29"/>
        <v>0</v>
      </c>
      <c r="AD236" s="50">
        <v>0</v>
      </c>
      <c r="AE236" s="47">
        <v>39966</v>
      </c>
      <c r="AF236" s="51" t="s">
        <v>516</v>
      </c>
      <c r="AG236" s="52" t="s">
        <v>517</v>
      </c>
      <c r="AH236" s="53" t="s">
        <v>543</v>
      </c>
      <c r="AI236" s="79"/>
      <c r="AJ236" s="80"/>
      <c r="AK236" s="81"/>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2"/>
      <c r="CL236" s="12"/>
      <c r="CM236" s="82"/>
      <c r="CN236" s="12"/>
      <c r="CO236" s="82"/>
      <c r="CP236" s="12"/>
      <c r="CQ236" s="83">
        <f t="shared" si="30"/>
        <v>0</v>
      </c>
      <c r="CR236" s="84"/>
      <c r="CS236" s="13"/>
      <c r="CT236" s="85"/>
      <c r="CU236" s="86"/>
      <c r="CV236" s="11"/>
      <c r="CW236" s="86"/>
      <c r="CX236" s="84"/>
      <c r="CY236" s="86"/>
    </row>
    <row r="237" spans="1:103" ht="63.75" x14ac:dyDescent="0.2">
      <c r="A237" s="43">
        <v>39897</v>
      </c>
      <c r="B237" s="44" t="s">
        <v>625</v>
      </c>
      <c r="C237" s="44" t="s">
        <v>904</v>
      </c>
      <c r="D237" s="45" t="s">
        <v>1118</v>
      </c>
      <c r="E237" s="11"/>
      <c r="F237" s="12"/>
      <c r="G237" s="12"/>
      <c r="H237" s="12">
        <v>4555</v>
      </c>
      <c r="I237" s="12">
        <v>936</v>
      </c>
      <c r="J237" s="12">
        <v>60</v>
      </c>
      <c r="K237" s="12">
        <f>936-60</f>
        <v>876</v>
      </c>
      <c r="L237" s="12"/>
      <c r="M237" s="12"/>
      <c r="N237" s="12"/>
      <c r="O237" s="12"/>
      <c r="P237" s="12"/>
      <c r="Q237" s="12"/>
      <c r="R237" s="12"/>
      <c r="S237" s="12"/>
      <c r="T237" s="13"/>
      <c r="U237" s="46"/>
      <c r="V237" s="47"/>
      <c r="W237" s="48">
        <f t="shared" si="25"/>
        <v>0</v>
      </c>
      <c r="X237" s="48">
        <f t="shared" si="26"/>
        <v>0</v>
      </c>
      <c r="Y237" s="48">
        <f t="shared" si="27"/>
        <v>0</v>
      </c>
      <c r="Z237" s="48">
        <f t="shared" si="28"/>
        <v>0</v>
      </c>
      <c r="AA237" s="48"/>
      <c r="AB237" s="48"/>
      <c r="AC237" s="49">
        <f t="shared" si="29"/>
        <v>0</v>
      </c>
      <c r="AD237" s="50">
        <v>0</v>
      </c>
      <c r="AE237" s="47">
        <v>39898</v>
      </c>
      <c r="AF237" s="51" t="s">
        <v>516</v>
      </c>
      <c r="AG237" s="52" t="s">
        <v>517</v>
      </c>
      <c r="AH237" s="53" t="s">
        <v>512</v>
      </c>
      <c r="AI237" s="79"/>
      <c r="AJ237" s="80"/>
      <c r="AK237" s="81"/>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2"/>
      <c r="CL237" s="12"/>
      <c r="CM237" s="82"/>
      <c r="CN237" s="12"/>
      <c r="CO237" s="82"/>
      <c r="CP237" s="12"/>
      <c r="CQ237" s="83">
        <f t="shared" si="30"/>
        <v>0</v>
      </c>
      <c r="CR237" s="84"/>
      <c r="CS237" s="13"/>
      <c r="CT237" s="85"/>
      <c r="CU237" s="86"/>
      <c r="CV237" s="11"/>
      <c r="CW237" s="86"/>
      <c r="CX237" s="84"/>
      <c r="CY237" s="86"/>
    </row>
    <row r="238" spans="1:103" ht="51" x14ac:dyDescent="0.2">
      <c r="A238" s="43">
        <v>39897</v>
      </c>
      <c r="B238" s="44" t="s">
        <v>1224</v>
      </c>
      <c r="C238" s="44" t="s">
        <v>282</v>
      </c>
      <c r="D238" s="45" t="s">
        <v>1117</v>
      </c>
      <c r="E238" s="11"/>
      <c r="F238" s="12"/>
      <c r="G238" s="12"/>
      <c r="H238" s="12"/>
      <c r="I238" s="12"/>
      <c r="J238" s="12"/>
      <c r="K238" s="12"/>
      <c r="L238" s="12"/>
      <c r="M238" s="12"/>
      <c r="N238" s="12"/>
      <c r="O238" s="12"/>
      <c r="P238" s="12"/>
      <c r="Q238" s="12"/>
      <c r="R238" s="12"/>
      <c r="S238" s="12"/>
      <c r="T238" s="13"/>
      <c r="U238" s="46" t="s">
        <v>1144</v>
      </c>
      <c r="V238" s="47"/>
      <c r="W238" s="48">
        <f t="shared" si="25"/>
        <v>0</v>
      </c>
      <c r="X238" s="48">
        <f t="shared" si="26"/>
        <v>0</v>
      </c>
      <c r="Y238" s="48">
        <f t="shared" si="27"/>
        <v>0</v>
      </c>
      <c r="Z238" s="48">
        <f t="shared" si="28"/>
        <v>0</v>
      </c>
      <c r="AA238" s="48"/>
      <c r="AB238" s="48"/>
      <c r="AC238" s="49">
        <f t="shared" si="29"/>
        <v>0</v>
      </c>
      <c r="AD238" s="50">
        <v>0</v>
      </c>
      <c r="AE238" s="47">
        <v>39973</v>
      </c>
      <c r="AF238" s="51" t="s">
        <v>1016</v>
      </c>
      <c r="AG238" s="52" t="s">
        <v>517</v>
      </c>
      <c r="AH238" s="53" t="s">
        <v>836</v>
      </c>
      <c r="AI238" s="79"/>
      <c r="AJ238" s="80"/>
      <c r="AK238" s="81"/>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2"/>
      <c r="CL238" s="12"/>
      <c r="CM238" s="82"/>
      <c r="CN238" s="12"/>
      <c r="CO238" s="82"/>
      <c r="CP238" s="12"/>
      <c r="CQ238" s="83">
        <f t="shared" si="30"/>
        <v>0</v>
      </c>
      <c r="CR238" s="84"/>
      <c r="CS238" s="13"/>
      <c r="CT238" s="85"/>
      <c r="CU238" s="86"/>
      <c r="CV238" s="11"/>
      <c r="CW238" s="86"/>
      <c r="CX238" s="84"/>
      <c r="CY238" s="86"/>
    </row>
    <row r="239" spans="1:103" ht="89.25" x14ac:dyDescent="0.2">
      <c r="A239" s="43">
        <v>39897</v>
      </c>
      <c r="B239" s="44" t="s">
        <v>1094</v>
      </c>
      <c r="C239" s="44" t="s">
        <v>680</v>
      </c>
      <c r="D239" s="45" t="s">
        <v>1118</v>
      </c>
      <c r="E239" s="11"/>
      <c r="F239" s="12"/>
      <c r="G239" s="12"/>
      <c r="H239" s="12">
        <v>180</v>
      </c>
      <c r="I239" s="12">
        <v>36</v>
      </c>
      <c r="J239" s="12"/>
      <c r="K239" s="12">
        <v>36</v>
      </c>
      <c r="L239" s="12"/>
      <c r="M239" s="12"/>
      <c r="N239" s="12"/>
      <c r="O239" s="12"/>
      <c r="P239" s="12"/>
      <c r="Q239" s="12"/>
      <c r="R239" s="12"/>
      <c r="S239" s="12"/>
      <c r="T239" s="13"/>
      <c r="U239" s="46"/>
      <c r="V239" s="47">
        <v>39897</v>
      </c>
      <c r="W239" s="48">
        <f t="shared" si="25"/>
        <v>0</v>
      </c>
      <c r="X239" s="48">
        <f t="shared" si="26"/>
        <v>0</v>
      </c>
      <c r="Y239" s="48">
        <f t="shared" si="27"/>
        <v>0</v>
      </c>
      <c r="Z239" s="48">
        <f t="shared" si="28"/>
        <v>0</v>
      </c>
      <c r="AA239" s="48"/>
      <c r="AB239" s="48">
        <v>120000000</v>
      </c>
      <c r="AC239" s="49">
        <f t="shared" si="29"/>
        <v>120000000</v>
      </c>
      <c r="AD239" s="50">
        <v>0</v>
      </c>
      <c r="AE239" s="47">
        <v>39897</v>
      </c>
      <c r="AF239" s="51" t="s">
        <v>1016</v>
      </c>
      <c r="AG239" s="52" t="s">
        <v>565</v>
      </c>
      <c r="AH239" s="54" t="s">
        <v>1040</v>
      </c>
      <c r="AI239" s="79"/>
      <c r="AJ239" s="80"/>
      <c r="AK239" s="81"/>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2"/>
      <c r="CL239" s="12"/>
      <c r="CM239" s="82"/>
      <c r="CN239" s="12"/>
      <c r="CO239" s="82"/>
      <c r="CP239" s="12"/>
      <c r="CQ239" s="83">
        <f t="shared" si="30"/>
        <v>0</v>
      </c>
      <c r="CR239" s="84"/>
      <c r="CS239" s="13"/>
      <c r="CT239" s="85"/>
      <c r="CU239" s="86"/>
      <c r="CV239" s="11"/>
      <c r="CW239" s="86"/>
      <c r="CX239" s="84"/>
      <c r="CY239" s="86"/>
    </row>
    <row r="240" spans="1:103" ht="25.5" x14ac:dyDescent="0.2">
      <c r="A240" s="43">
        <v>39897</v>
      </c>
      <c r="B240" s="44" t="s">
        <v>1127</v>
      </c>
      <c r="C240" s="44" t="s">
        <v>312</v>
      </c>
      <c r="D240" s="45" t="s">
        <v>1092</v>
      </c>
      <c r="E240" s="11"/>
      <c r="F240" s="12"/>
      <c r="G240" s="12"/>
      <c r="H240" s="12">
        <v>5</v>
      </c>
      <c r="I240" s="12">
        <v>1</v>
      </c>
      <c r="J240" s="12"/>
      <c r="K240" s="12">
        <v>1</v>
      </c>
      <c r="L240" s="12"/>
      <c r="M240" s="12"/>
      <c r="N240" s="12"/>
      <c r="O240" s="12"/>
      <c r="P240" s="12"/>
      <c r="Q240" s="12"/>
      <c r="R240" s="12"/>
      <c r="S240" s="12"/>
      <c r="T240" s="13"/>
      <c r="U240" s="46"/>
      <c r="V240" s="47"/>
      <c r="W240" s="48">
        <f t="shared" si="25"/>
        <v>0</v>
      </c>
      <c r="X240" s="48">
        <f t="shared" si="26"/>
        <v>0</v>
      </c>
      <c r="Y240" s="48">
        <f t="shared" si="27"/>
        <v>0</v>
      </c>
      <c r="Z240" s="48">
        <f t="shared" si="28"/>
        <v>0</v>
      </c>
      <c r="AA240" s="48"/>
      <c r="AB240" s="48"/>
      <c r="AC240" s="49">
        <f t="shared" si="29"/>
        <v>0</v>
      </c>
      <c r="AD240" s="50">
        <v>0</v>
      </c>
      <c r="AE240" s="47">
        <v>39898</v>
      </c>
      <c r="AF240" s="51" t="s">
        <v>516</v>
      </c>
      <c r="AG240" s="52" t="s">
        <v>517</v>
      </c>
      <c r="AH240" s="53" t="s">
        <v>93</v>
      </c>
      <c r="AI240" s="79"/>
      <c r="AJ240" s="80"/>
      <c r="AK240" s="81"/>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2"/>
      <c r="CL240" s="12"/>
      <c r="CM240" s="82"/>
      <c r="CN240" s="12"/>
      <c r="CO240" s="82"/>
      <c r="CP240" s="12"/>
      <c r="CQ240" s="83">
        <f t="shared" si="30"/>
        <v>0</v>
      </c>
      <c r="CR240" s="84"/>
      <c r="CS240" s="13"/>
      <c r="CT240" s="85"/>
      <c r="CU240" s="86"/>
      <c r="CV240" s="11"/>
      <c r="CW240" s="86"/>
      <c r="CX240" s="84"/>
      <c r="CY240" s="86"/>
    </row>
    <row r="241" spans="1:103" ht="25.5" x14ac:dyDescent="0.2">
      <c r="A241" s="43">
        <v>39897</v>
      </c>
      <c r="B241" s="44" t="s">
        <v>1127</v>
      </c>
      <c r="C241" s="44" t="s">
        <v>116</v>
      </c>
      <c r="D241" s="45" t="s">
        <v>1118</v>
      </c>
      <c r="E241" s="11"/>
      <c r="F241" s="12"/>
      <c r="G241" s="12"/>
      <c r="H241" s="12">
        <f>16*5</f>
        <v>80</v>
      </c>
      <c r="I241" s="12">
        <v>16</v>
      </c>
      <c r="J241" s="12">
        <v>1</v>
      </c>
      <c r="K241" s="12">
        <v>15</v>
      </c>
      <c r="L241" s="12"/>
      <c r="M241" s="12"/>
      <c r="N241" s="12"/>
      <c r="O241" s="12"/>
      <c r="P241" s="12"/>
      <c r="Q241" s="12"/>
      <c r="R241" s="12"/>
      <c r="S241" s="12"/>
      <c r="T241" s="13"/>
      <c r="U241" s="46"/>
      <c r="V241" s="47"/>
      <c r="W241" s="48">
        <f t="shared" si="25"/>
        <v>0</v>
      </c>
      <c r="X241" s="48">
        <f t="shared" si="26"/>
        <v>0</v>
      </c>
      <c r="Y241" s="48">
        <f t="shared" si="27"/>
        <v>0</v>
      </c>
      <c r="Z241" s="48">
        <f t="shared" si="28"/>
        <v>0</v>
      </c>
      <c r="AA241" s="48"/>
      <c r="AB241" s="48"/>
      <c r="AC241" s="49">
        <f t="shared" si="29"/>
        <v>0</v>
      </c>
      <c r="AD241" s="50">
        <v>0</v>
      </c>
      <c r="AE241" s="47">
        <v>39898</v>
      </c>
      <c r="AF241" s="51" t="s">
        <v>516</v>
      </c>
      <c r="AG241" s="52" t="s">
        <v>517</v>
      </c>
      <c r="AH241" s="53" t="s">
        <v>94</v>
      </c>
      <c r="AI241" s="79"/>
      <c r="AJ241" s="80"/>
      <c r="AK241" s="81"/>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2"/>
      <c r="CL241" s="12"/>
      <c r="CM241" s="82"/>
      <c r="CN241" s="12"/>
      <c r="CO241" s="82"/>
      <c r="CP241" s="12"/>
      <c r="CQ241" s="83">
        <f t="shared" si="30"/>
        <v>0</v>
      </c>
      <c r="CR241" s="84"/>
      <c r="CS241" s="13"/>
      <c r="CT241" s="85"/>
      <c r="CU241" s="86"/>
      <c r="CV241" s="11"/>
      <c r="CW241" s="86"/>
      <c r="CX241" s="84"/>
      <c r="CY241" s="86"/>
    </row>
    <row r="242" spans="1:103" ht="25.5" x14ac:dyDescent="0.2">
      <c r="A242" s="43">
        <v>39898</v>
      </c>
      <c r="B242" s="44" t="s">
        <v>625</v>
      </c>
      <c r="C242" s="44" t="s">
        <v>348</v>
      </c>
      <c r="D242" s="45" t="s">
        <v>1092</v>
      </c>
      <c r="E242" s="11"/>
      <c r="F242" s="12"/>
      <c r="G242" s="12"/>
      <c r="H242" s="12">
        <v>250</v>
      </c>
      <c r="I242" s="12">
        <v>50</v>
      </c>
      <c r="J242" s="12">
        <v>17</v>
      </c>
      <c r="K242" s="12">
        <v>33</v>
      </c>
      <c r="L242" s="12"/>
      <c r="M242" s="12"/>
      <c r="N242" s="12"/>
      <c r="O242" s="12"/>
      <c r="P242" s="12"/>
      <c r="Q242" s="12"/>
      <c r="R242" s="12"/>
      <c r="S242" s="12"/>
      <c r="T242" s="13"/>
      <c r="U242" s="46"/>
      <c r="V242" s="47"/>
      <c r="W242" s="48">
        <f t="shared" si="25"/>
        <v>0</v>
      </c>
      <c r="X242" s="48">
        <f t="shared" si="26"/>
        <v>0</v>
      </c>
      <c r="Y242" s="48">
        <f t="shared" si="27"/>
        <v>0</v>
      </c>
      <c r="Z242" s="48">
        <f t="shared" si="28"/>
        <v>0</v>
      </c>
      <c r="AA242" s="48"/>
      <c r="AB242" s="48"/>
      <c r="AC242" s="49">
        <f t="shared" si="29"/>
        <v>0</v>
      </c>
      <c r="AD242" s="50">
        <v>0</v>
      </c>
      <c r="AE242" s="47">
        <v>39898</v>
      </c>
      <c r="AF242" s="51" t="s">
        <v>516</v>
      </c>
      <c r="AG242" s="52" t="s">
        <v>517</v>
      </c>
      <c r="AH242" s="53" t="s">
        <v>1281</v>
      </c>
      <c r="AI242" s="79"/>
      <c r="AJ242" s="80"/>
      <c r="AK242" s="81"/>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2"/>
      <c r="CL242" s="12"/>
      <c r="CM242" s="82"/>
      <c r="CN242" s="12"/>
      <c r="CO242" s="82"/>
      <c r="CP242" s="12"/>
      <c r="CQ242" s="83">
        <f t="shared" si="30"/>
        <v>0</v>
      </c>
      <c r="CR242" s="84"/>
      <c r="CS242" s="13"/>
      <c r="CT242" s="85"/>
      <c r="CU242" s="86"/>
      <c r="CV242" s="11"/>
      <c r="CW242" s="86"/>
      <c r="CX242" s="84"/>
      <c r="CY242" s="86"/>
    </row>
    <row r="243" spans="1:103" ht="25.5" x14ac:dyDescent="0.2">
      <c r="A243" s="43">
        <v>39898</v>
      </c>
      <c r="B243" s="44" t="s">
        <v>1127</v>
      </c>
      <c r="C243" s="44" t="s">
        <v>450</v>
      </c>
      <c r="D243" s="45" t="s">
        <v>1092</v>
      </c>
      <c r="E243" s="11">
        <v>3</v>
      </c>
      <c r="F243" s="12">
        <v>1</v>
      </c>
      <c r="G243" s="12"/>
      <c r="H243" s="12">
        <v>23</v>
      </c>
      <c r="I243" s="12">
        <v>6</v>
      </c>
      <c r="J243" s="12">
        <v>1</v>
      </c>
      <c r="K243" s="12">
        <v>5</v>
      </c>
      <c r="L243" s="12"/>
      <c r="M243" s="12"/>
      <c r="N243" s="12"/>
      <c r="O243" s="12"/>
      <c r="P243" s="12"/>
      <c r="Q243" s="12"/>
      <c r="R243" s="12"/>
      <c r="S243" s="12"/>
      <c r="T243" s="13"/>
      <c r="U243" s="46"/>
      <c r="V243" s="47"/>
      <c r="W243" s="48">
        <f t="shared" si="25"/>
        <v>0</v>
      </c>
      <c r="X243" s="48">
        <f t="shared" si="26"/>
        <v>0</v>
      </c>
      <c r="Y243" s="48">
        <f t="shared" si="27"/>
        <v>0</v>
      </c>
      <c r="Z243" s="48">
        <f t="shared" si="28"/>
        <v>0</v>
      </c>
      <c r="AA243" s="48"/>
      <c r="AB243" s="48"/>
      <c r="AC243" s="49">
        <f t="shared" si="29"/>
        <v>0</v>
      </c>
      <c r="AD243" s="50">
        <v>0</v>
      </c>
      <c r="AE243" s="47">
        <v>39898</v>
      </c>
      <c r="AF243" s="51" t="s">
        <v>516</v>
      </c>
      <c r="AG243" s="52" t="s">
        <v>517</v>
      </c>
      <c r="AH243" s="53" t="s">
        <v>449</v>
      </c>
      <c r="AI243" s="79"/>
      <c r="AJ243" s="80"/>
      <c r="AK243" s="81"/>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2"/>
      <c r="CL243" s="12"/>
      <c r="CM243" s="82"/>
      <c r="CN243" s="12"/>
      <c r="CO243" s="82"/>
      <c r="CP243" s="12"/>
      <c r="CQ243" s="83">
        <f t="shared" si="30"/>
        <v>0</v>
      </c>
      <c r="CR243" s="84"/>
      <c r="CS243" s="13"/>
      <c r="CT243" s="85"/>
      <c r="CU243" s="86"/>
      <c r="CV243" s="11"/>
      <c r="CW243" s="86"/>
      <c r="CX243" s="84"/>
      <c r="CY243" s="86"/>
    </row>
    <row r="244" spans="1:103" ht="38.25" x14ac:dyDescent="0.2">
      <c r="A244" s="43">
        <v>39898</v>
      </c>
      <c r="B244" s="44" t="s">
        <v>1127</v>
      </c>
      <c r="C244" s="44" t="s">
        <v>95</v>
      </c>
      <c r="D244" s="45" t="s">
        <v>1118</v>
      </c>
      <c r="E244" s="11"/>
      <c r="F244" s="12"/>
      <c r="G244" s="12"/>
      <c r="H244" s="12">
        <v>67</v>
      </c>
      <c r="I244" s="12">
        <v>13</v>
      </c>
      <c r="J244" s="12"/>
      <c r="K244" s="12">
        <v>13</v>
      </c>
      <c r="L244" s="12"/>
      <c r="M244" s="12"/>
      <c r="N244" s="12"/>
      <c r="O244" s="12"/>
      <c r="P244" s="12"/>
      <c r="Q244" s="12"/>
      <c r="R244" s="12"/>
      <c r="S244" s="12"/>
      <c r="T244" s="13"/>
      <c r="U244" s="46"/>
      <c r="V244" s="47"/>
      <c r="W244" s="48">
        <f t="shared" si="25"/>
        <v>0</v>
      </c>
      <c r="X244" s="48">
        <f t="shared" si="26"/>
        <v>0</v>
      </c>
      <c r="Y244" s="48">
        <f t="shared" si="27"/>
        <v>0</v>
      </c>
      <c r="Z244" s="48">
        <f t="shared" si="28"/>
        <v>0</v>
      </c>
      <c r="AA244" s="48"/>
      <c r="AB244" s="48"/>
      <c r="AC244" s="49">
        <f t="shared" si="29"/>
        <v>0</v>
      </c>
      <c r="AD244" s="50">
        <v>0</v>
      </c>
      <c r="AE244" s="47">
        <v>39898</v>
      </c>
      <c r="AF244" s="51" t="s">
        <v>516</v>
      </c>
      <c r="AG244" s="52" t="s">
        <v>517</v>
      </c>
      <c r="AH244" s="53" t="s">
        <v>96</v>
      </c>
      <c r="AI244" s="79"/>
      <c r="AJ244" s="80"/>
      <c r="AK244" s="81"/>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2"/>
      <c r="CL244" s="12"/>
      <c r="CM244" s="82"/>
      <c r="CN244" s="12"/>
      <c r="CO244" s="82"/>
      <c r="CP244" s="12"/>
      <c r="CQ244" s="83">
        <f t="shared" si="30"/>
        <v>0</v>
      </c>
      <c r="CR244" s="84"/>
      <c r="CS244" s="13"/>
      <c r="CT244" s="85"/>
      <c r="CU244" s="86"/>
      <c r="CV244" s="11"/>
      <c r="CW244" s="86"/>
      <c r="CX244" s="84"/>
      <c r="CY244" s="86"/>
    </row>
    <row r="245" spans="1:103" ht="25.5" x14ac:dyDescent="0.2">
      <c r="A245" s="43">
        <v>39898</v>
      </c>
      <c r="B245" s="44" t="s">
        <v>1091</v>
      </c>
      <c r="C245" s="44" t="s">
        <v>1082</v>
      </c>
      <c r="D245" s="45" t="s">
        <v>1118</v>
      </c>
      <c r="E245" s="11"/>
      <c r="F245" s="12"/>
      <c r="G245" s="12"/>
      <c r="H245" s="12">
        <v>25</v>
      </c>
      <c r="I245" s="12">
        <v>5</v>
      </c>
      <c r="J245" s="12"/>
      <c r="K245" s="12">
        <v>5</v>
      </c>
      <c r="L245" s="12"/>
      <c r="M245" s="12"/>
      <c r="N245" s="12"/>
      <c r="O245" s="12"/>
      <c r="P245" s="12"/>
      <c r="Q245" s="12"/>
      <c r="R245" s="12"/>
      <c r="S245" s="12"/>
      <c r="T245" s="13"/>
      <c r="U245" s="46"/>
      <c r="V245" s="47"/>
      <c r="W245" s="48">
        <f t="shared" si="25"/>
        <v>0</v>
      </c>
      <c r="X245" s="48">
        <f t="shared" si="26"/>
        <v>0</v>
      </c>
      <c r="Y245" s="48">
        <f t="shared" si="27"/>
        <v>0</v>
      </c>
      <c r="Z245" s="48">
        <f t="shared" si="28"/>
        <v>0</v>
      </c>
      <c r="AA245" s="48"/>
      <c r="AB245" s="48"/>
      <c r="AC245" s="49">
        <f t="shared" si="29"/>
        <v>0</v>
      </c>
      <c r="AD245" s="50">
        <v>0</v>
      </c>
      <c r="AE245" s="47">
        <v>39876</v>
      </c>
      <c r="AF245" s="51" t="s">
        <v>516</v>
      </c>
      <c r="AG245" s="52" t="s">
        <v>517</v>
      </c>
      <c r="AH245" s="53" t="s">
        <v>443</v>
      </c>
      <c r="AI245" s="79"/>
      <c r="AJ245" s="80"/>
      <c r="AK245" s="81"/>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2"/>
      <c r="CL245" s="12"/>
      <c r="CM245" s="82"/>
      <c r="CN245" s="12"/>
      <c r="CO245" s="82"/>
      <c r="CP245" s="12"/>
      <c r="CQ245" s="83">
        <f t="shared" si="30"/>
        <v>0</v>
      </c>
      <c r="CR245" s="84"/>
      <c r="CS245" s="13"/>
      <c r="CT245" s="85"/>
      <c r="CU245" s="86"/>
      <c r="CV245" s="11"/>
      <c r="CW245" s="86"/>
      <c r="CX245" s="84"/>
      <c r="CY245" s="86"/>
    </row>
    <row r="246" spans="1:103" ht="25.5" x14ac:dyDescent="0.2">
      <c r="A246" s="43">
        <v>39899</v>
      </c>
      <c r="B246" s="44" t="s">
        <v>1226</v>
      </c>
      <c r="C246" s="44" t="s">
        <v>1394</v>
      </c>
      <c r="D246" s="45" t="s">
        <v>1118</v>
      </c>
      <c r="E246" s="11"/>
      <c r="F246" s="12"/>
      <c r="G246" s="12"/>
      <c r="H246" s="12">
        <v>100</v>
      </c>
      <c r="I246" s="12">
        <v>20</v>
      </c>
      <c r="J246" s="12"/>
      <c r="K246" s="12">
        <v>20</v>
      </c>
      <c r="L246" s="12"/>
      <c r="M246" s="12"/>
      <c r="N246" s="12"/>
      <c r="O246" s="12"/>
      <c r="P246" s="12"/>
      <c r="Q246" s="12"/>
      <c r="R246" s="12"/>
      <c r="S246" s="12"/>
      <c r="T246" s="13"/>
      <c r="U246" s="46"/>
      <c r="V246" s="47"/>
      <c r="W246" s="48">
        <f t="shared" si="25"/>
        <v>0</v>
      </c>
      <c r="X246" s="48">
        <f t="shared" si="26"/>
        <v>0</v>
      </c>
      <c r="Y246" s="48">
        <f t="shared" si="27"/>
        <v>0</v>
      </c>
      <c r="Z246" s="48">
        <f t="shared" si="28"/>
        <v>0</v>
      </c>
      <c r="AA246" s="48"/>
      <c r="AB246" s="48"/>
      <c r="AC246" s="49">
        <f t="shared" si="29"/>
        <v>0</v>
      </c>
      <c r="AD246" s="50">
        <v>0</v>
      </c>
      <c r="AE246" s="47">
        <v>39903</v>
      </c>
      <c r="AF246" s="51" t="s">
        <v>516</v>
      </c>
      <c r="AG246" s="52" t="s">
        <v>517</v>
      </c>
      <c r="AH246" s="53" t="s">
        <v>1395</v>
      </c>
      <c r="AI246" s="79"/>
      <c r="AJ246" s="80"/>
      <c r="AK246" s="81"/>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2"/>
      <c r="CL246" s="12"/>
      <c r="CM246" s="82"/>
      <c r="CN246" s="12"/>
      <c r="CO246" s="82"/>
      <c r="CP246" s="12"/>
      <c r="CQ246" s="83">
        <f t="shared" si="30"/>
        <v>0</v>
      </c>
      <c r="CR246" s="84"/>
      <c r="CS246" s="13"/>
      <c r="CT246" s="85"/>
      <c r="CU246" s="86"/>
      <c r="CV246" s="11"/>
      <c r="CW246" s="86"/>
      <c r="CX246" s="84"/>
      <c r="CY246" s="86"/>
    </row>
    <row r="247" spans="1:103" ht="38.25" x14ac:dyDescent="0.2">
      <c r="A247" s="43">
        <v>39899</v>
      </c>
      <c r="B247" s="44" t="s">
        <v>1127</v>
      </c>
      <c r="C247" s="44" t="s">
        <v>1454</v>
      </c>
      <c r="D247" s="45" t="s">
        <v>1118</v>
      </c>
      <c r="E247" s="11"/>
      <c r="F247" s="12"/>
      <c r="G247" s="12"/>
      <c r="H247" s="12"/>
      <c r="I247" s="12"/>
      <c r="J247" s="12"/>
      <c r="K247" s="12"/>
      <c r="L247" s="12"/>
      <c r="M247" s="12"/>
      <c r="N247" s="12"/>
      <c r="O247" s="12"/>
      <c r="P247" s="12"/>
      <c r="Q247" s="12"/>
      <c r="R247" s="12"/>
      <c r="S247" s="12"/>
      <c r="T247" s="13"/>
      <c r="U247" s="46"/>
      <c r="V247" s="47">
        <v>39924</v>
      </c>
      <c r="W247" s="48">
        <f t="shared" si="25"/>
        <v>29700000</v>
      </c>
      <c r="X247" s="48">
        <f t="shared" si="26"/>
        <v>17000000</v>
      </c>
      <c r="Y247" s="48">
        <f t="shared" si="27"/>
        <v>0</v>
      </c>
      <c r="Z247" s="48">
        <f t="shared" si="28"/>
        <v>0</v>
      </c>
      <c r="AA247" s="48"/>
      <c r="AB247" s="48"/>
      <c r="AC247" s="49">
        <f t="shared" si="29"/>
        <v>46700000</v>
      </c>
      <c r="AD247" s="50">
        <v>0</v>
      </c>
      <c r="AE247" s="47">
        <v>39899</v>
      </c>
      <c r="AF247" s="51" t="s">
        <v>1016</v>
      </c>
      <c r="AG247" s="52" t="s">
        <v>565</v>
      </c>
      <c r="AH247" s="53" t="s">
        <v>733</v>
      </c>
      <c r="AI247" s="79"/>
      <c r="AJ247" s="80"/>
      <c r="AK247" s="81"/>
      <c r="AL247" s="80"/>
      <c r="AM247" s="80"/>
      <c r="AN247" s="80"/>
      <c r="AO247" s="80"/>
      <c r="AP247" s="80"/>
      <c r="AQ247" s="80">
        <v>200</v>
      </c>
      <c r="AR247" s="80">
        <f>200*18000</f>
        <v>3600000</v>
      </c>
      <c r="AS247" s="80"/>
      <c r="AT247" s="80"/>
      <c r="AU247" s="80">
        <v>200</v>
      </c>
      <c r="AV247" s="80">
        <f>200*56000</f>
        <v>11200000</v>
      </c>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2">
        <f>120+80</f>
        <v>200</v>
      </c>
      <c r="CL247" s="12">
        <f>120*38500+80*38500</f>
        <v>7700000</v>
      </c>
      <c r="CM247" s="82">
        <f>120+80</f>
        <v>200</v>
      </c>
      <c r="CN247" s="12">
        <f>120*36000+80*36000</f>
        <v>7200000</v>
      </c>
      <c r="CO247" s="82"/>
      <c r="CP247" s="12"/>
      <c r="CQ247" s="83">
        <f t="shared" si="30"/>
        <v>29700000</v>
      </c>
      <c r="CR247" s="84"/>
      <c r="CS247" s="13"/>
      <c r="CT247" s="85">
        <f>120+80</f>
        <v>200</v>
      </c>
      <c r="CU247" s="86">
        <f>120*85000+80*85000</f>
        <v>17000000</v>
      </c>
      <c r="CV247" s="11"/>
      <c r="CW247" s="86"/>
      <c r="CX247" s="84"/>
      <c r="CY247" s="86"/>
    </row>
    <row r="248" spans="1:103" ht="25.5" x14ac:dyDescent="0.2">
      <c r="A248" s="43">
        <v>39899</v>
      </c>
      <c r="B248" s="44" t="s">
        <v>600</v>
      </c>
      <c r="C248" s="44" t="s">
        <v>97</v>
      </c>
      <c r="D248" s="45" t="s">
        <v>1092</v>
      </c>
      <c r="E248" s="11">
        <v>3</v>
      </c>
      <c r="F248" s="12"/>
      <c r="G248" s="12"/>
      <c r="H248" s="12">
        <v>602</v>
      </c>
      <c r="I248" s="12">
        <v>155</v>
      </c>
      <c r="J248" s="12">
        <v>4</v>
      </c>
      <c r="K248" s="12">
        <v>88</v>
      </c>
      <c r="L248" s="12"/>
      <c r="M248" s="12"/>
      <c r="N248" s="12"/>
      <c r="O248" s="12"/>
      <c r="P248" s="12"/>
      <c r="Q248" s="12"/>
      <c r="R248" s="12"/>
      <c r="S248" s="12"/>
      <c r="T248" s="13"/>
      <c r="U248" s="46"/>
      <c r="V248" s="47"/>
      <c r="W248" s="48">
        <f t="shared" si="25"/>
        <v>0</v>
      </c>
      <c r="X248" s="48">
        <f t="shared" si="26"/>
        <v>0</v>
      </c>
      <c r="Y248" s="48">
        <f t="shared" si="27"/>
        <v>0</v>
      </c>
      <c r="Z248" s="48">
        <f t="shared" si="28"/>
        <v>0</v>
      </c>
      <c r="AA248" s="48"/>
      <c r="AB248" s="48"/>
      <c r="AC248" s="49">
        <f t="shared" si="29"/>
        <v>0</v>
      </c>
      <c r="AD248" s="50">
        <v>0</v>
      </c>
      <c r="AE248" s="47">
        <v>39899</v>
      </c>
      <c r="AF248" s="51" t="s">
        <v>516</v>
      </c>
      <c r="AG248" s="52" t="s">
        <v>517</v>
      </c>
      <c r="AH248" s="53" t="s">
        <v>98</v>
      </c>
      <c r="AI248" s="79"/>
      <c r="AJ248" s="80"/>
      <c r="AK248" s="81"/>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2"/>
      <c r="CL248" s="12"/>
      <c r="CM248" s="82"/>
      <c r="CN248" s="12"/>
      <c r="CO248" s="82"/>
      <c r="CP248" s="12"/>
      <c r="CQ248" s="83">
        <f t="shared" si="30"/>
        <v>0</v>
      </c>
      <c r="CR248" s="84"/>
      <c r="CS248" s="13"/>
      <c r="CT248" s="85"/>
      <c r="CU248" s="86"/>
      <c r="CV248" s="11"/>
      <c r="CW248" s="86"/>
      <c r="CX248" s="84"/>
      <c r="CY248" s="86"/>
    </row>
    <row r="249" spans="1:103" ht="25.5" x14ac:dyDescent="0.2">
      <c r="A249" s="43">
        <v>39899</v>
      </c>
      <c r="B249" s="44" t="s">
        <v>600</v>
      </c>
      <c r="C249" s="44" t="s">
        <v>99</v>
      </c>
      <c r="D249" s="45" t="s">
        <v>1092</v>
      </c>
      <c r="E249" s="11">
        <v>1</v>
      </c>
      <c r="F249" s="12"/>
      <c r="G249" s="12"/>
      <c r="H249" s="12">
        <v>490</v>
      </c>
      <c r="I249" s="12">
        <v>120</v>
      </c>
      <c r="J249" s="12">
        <v>15</v>
      </c>
      <c r="K249" s="12">
        <v>105</v>
      </c>
      <c r="L249" s="12"/>
      <c r="M249" s="12"/>
      <c r="N249" s="12"/>
      <c r="O249" s="12"/>
      <c r="P249" s="12"/>
      <c r="Q249" s="12"/>
      <c r="R249" s="12"/>
      <c r="S249" s="12"/>
      <c r="T249" s="13"/>
      <c r="U249" s="46"/>
      <c r="V249" s="47"/>
      <c r="W249" s="48">
        <f t="shared" si="25"/>
        <v>0</v>
      </c>
      <c r="X249" s="48">
        <f t="shared" si="26"/>
        <v>0</v>
      </c>
      <c r="Y249" s="48">
        <f t="shared" si="27"/>
        <v>0</v>
      </c>
      <c r="Z249" s="48">
        <f t="shared" si="28"/>
        <v>0</v>
      </c>
      <c r="AA249" s="48"/>
      <c r="AB249" s="48"/>
      <c r="AC249" s="49">
        <f t="shared" si="29"/>
        <v>0</v>
      </c>
      <c r="AD249" s="50">
        <v>0</v>
      </c>
      <c r="AE249" s="47">
        <v>39899</v>
      </c>
      <c r="AF249" s="51" t="s">
        <v>516</v>
      </c>
      <c r="AG249" s="52" t="s">
        <v>517</v>
      </c>
      <c r="AH249" s="53" t="s">
        <v>100</v>
      </c>
      <c r="AI249" s="79"/>
      <c r="AJ249" s="80"/>
      <c r="AK249" s="81"/>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2"/>
      <c r="CL249" s="12"/>
      <c r="CM249" s="82"/>
      <c r="CN249" s="12"/>
      <c r="CO249" s="82"/>
      <c r="CP249" s="12"/>
      <c r="CQ249" s="83">
        <f t="shared" si="30"/>
        <v>0</v>
      </c>
      <c r="CR249" s="84"/>
      <c r="CS249" s="13"/>
      <c r="CT249" s="85"/>
      <c r="CU249" s="86"/>
      <c r="CV249" s="11"/>
      <c r="CW249" s="86"/>
      <c r="CX249" s="84"/>
      <c r="CY249" s="86"/>
    </row>
    <row r="250" spans="1:103" ht="38.25" x14ac:dyDescent="0.2">
      <c r="A250" s="43">
        <v>39899</v>
      </c>
      <c r="B250" s="44" t="s">
        <v>600</v>
      </c>
      <c r="C250" s="44" t="s">
        <v>101</v>
      </c>
      <c r="D250" s="45" t="s">
        <v>1092</v>
      </c>
      <c r="E250" s="11"/>
      <c r="F250" s="12"/>
      <c r="G250" s="12"/>
      <c r="H250" s="12"/>
      <c r="I250" s="12"/>
      <c r="J250" s="12"/>
      <c r="K250" s="12"/>
      <c r="L250" s="12"/>
      <c r="M250" s="12"/>
      <c r="N250" s="12"/>
      <c r="O250" s="12"/>
      <c r="P250" s="12"/>
      <c r="Q250" s="12"/>
      <c r="R250" s="12"/>
      <c r="S250" s="12"/>
      <c r="T250" s="13">
        <v>19</v>
      </c>
      <c r="U250" s="46" t="s">
        <v>102</v>
      </c>
      <c r="V250" s="47"/>
      <c r="W250" s="48">
        <f t="shared" si="25"/>
        <v>0</v>
      </c>
      <c r="X250" s="48">
        <f t="shared" si="26"/>
        <v>0</v>
      </c>
      <c r="Y250" s="48">
        <f t="shared" si="27"/>
        <v>0</v>
      </c>
      <c r="Z250" s="48">
        <f t="shared" si="28"/>
        <v>0</v>
      </c>
      <c r="AA250" s="48"/>
      <c r="AB250" s="48"/>
      <c r="AC250" s="49">
        <f t="shared" si="29"/>
        <v>0</v>
      </c>
      <c r="AD250" s="50">
        <v>0</v>
      </c>
      <c r="AE250" s="47">
        <v>39902</v>
      </c>
      <c r="AF250" s="51" t="s">
        <v>516</v>
      </c>
      <c r="AG250" s="52" t="s">
        <v>517</v>
      </c>
      <c r="AH250" s="53" t="s">
        <v>103</v>
      </c>
      <c r="AI250" s="79"/>
      <c r="AJ250" s="80"/>
      <c r="AK250" s="81"/>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2"/>
      <c r="CL250" s="12"/>
      <c r="CM250" s="82"/>
      <c r="CN250" s="12"/>
      <c r="CO250" s="82"/>
      <c r="CP250" s="12"/>
      <c r="CQ250" s="83">
        <f t="shared" si="30"/>
        <v>0</v>
      </c>
      <c r="CR250" s="84"/>
      <c r="CS250" s="13"/>
      <c r="CT250" s="85"/>
      <c r="CU250" s="86"/>
      <c r="CV250" s="11"/>
      <c r="CW250" s="86"/>
      <c r="CX250" s="84"/>
      <c r="CY250" s="86"/>
    </row>
    <row r="251" spans="1:103" ht="25.5" x14ac:dyDescent="0.2">
      <c r="A251" s="43">
        <v>39899</v>
      </c>
      <c r="B251" s="44" t="s">
        <v>600</v>
      </c>
      <c r="C251" s="44" t="s">
        <v>104</v>
      </c>
      <c r="D251" s="45" t="s">
        <v>1092</v>
      </c>
      <c r="E251" s="11"/>
      <c r="F251" s="12"/>
      <c r="G251" s="12"/>
      <c r="H251" s="12">
        <v>35</v>
      </c>
      <c r="I251" s="12">
        <v>7</v>
      </c>
      <c r="J251" s="12"/>
      <c r="K251" s="12">
        <v>7</v>
      </c>
      <c r="L251" s="12"/>
      <c r="M251" s="12"/>
      <c r="N251" s="12"/>
      <c r="O251" s="12"/>
      <c r="P251" s="12"/>
      <c r="Q251" s="12"/>
      <c r="R251" s="12"/>
      <c r="S251" s="12"/>
      <c r="T251" s="13"/>
      <c r="U251" s="46"/>
      <c r="V251" s="47"/>
      <c r="W251" s="48">
        <f t="shared" si="25"/>
        <v>0</v>
      </c>
      <c r="X251" s="48">
        <f t="shared" si="26"/>
        <v>0</v>
      </c>
      <c r="Y251" s="48">
        <f t="shared" si="27"/>
        <v>0</v>
      </c>
      <c r="Z251" s="48">
        <f t="shared" si="28"/>
        <v>0</v>
      </c>
      <c r="AA251" s="48"/>
      <c r="AB251" s="48"/>
      <c r="AC251" s="49">
        <f t="shared" si="29"/>
        <v>0</v>
      </c>
      <c r="AD251" s="50">
        <v>0</v>
      </c>
      <c r="AE251" s="47">
        <v>39902</v>
      </c>
      <c r="AF251" s="51" t="s">
        <v>516</v>
      </c>
      <c r="AG251" s="52" t="s">
        <v>517</v>
      </c>
      <c r="AH251" s="53" t="s">
        <v>105</v>
      </c>
      <c r="AI251" s="79"/>
      <c r="AJ251" s="80"/>
      <c r="AK251" s="81"/>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2"/>
      <c r="CL251" s="12"/>
      <c r="CM251" s="82"/>
      <c r="CN251" s="12"/>
      <c r="CO251" s="82"/>
      <c r="CP251" s="12"/>
      <c r="CQ251" s="83">
        <f t="shared" si="30"/>
        <v>0</v>
      </c>
      <c r="CR251" s="84"/>
      <c r="CS251" s="13"/>
      <c r="CT251" s="85"/>
      <c r="CU251" s="86"/>
      <c r="CV251" s="11"/>
      <c r="CW251" s="86"/>
      <c r="CX251" s="84"/>
      <c r="CY251" s="86"/>
    </row>
    <row r="252" spans="1:103" ht="25.5" x14ac:dyDescent="0.2">
      <c r="A252" s="43">
        <v>39899</v>
      </c>
      <c r="B252" s="44" t="s">
        <v>1136</v>
      </c>
      <c r="C252" s="44" t="s">
        <v>307</v>
      </c>
      <c r="D252" s="45" t="s">
        <v>1092</v>
      </c>
      <c r="E252" s="11"/>
      <c r="F252" s="12"/>
      <c r="G252" s="12"/>
      <c r="H252" s="12">
        <v>68</v>
      </c>
      <c r="I252" s="12">
        <v>17</v>
      </c>
      <c r="J252" s="12">
        <v>1</v>
      </c>
      <c r="K252" s="12">
        <v>8</v>
      </c>
      <c r="L252" s="12"/>
      <c r="M252" s="12"/>
      <c r="N252" s="12"/>
      <c r="O252" s="12"/>
      <c r="P252" s="12"/>
      <c r="Q252" s="12"/>
      <c r="R252" s="12"/>
      <c r="S252" s="12"/>
      <c r="T252" s="13"/>
      <c r="U252" s="46"/>
      <c r="V252" s="47"/>
      <c r="W252" s="48">
        <f t="shared" si="25"/>
        <v>0</v>
      </c>
      <c r="X252" s="48">
        <f t="shared" si="26"/>
        <v>0</v>
      </c>
      <c r="Y252" s="48">
        <f t="shared" si="27"/>
        <v>0</v>
      </c>
      <c r="Z252" s="48">
        <f t="shared" si="28"/>
        <v>0</v>
      </c>
      <c r="AA252" s="48"/>
      <c r="AB252" s="48"/>
      <c r="AC252" s="49">
        <f t="shared" si="29"/>
        <v>0</v>
      </c>
      <c r="AD252" s="50">
        <v>0</v>
      </c>
      <c r="AE252" s="47">
        <v>39902</v>
      </c>
      <c r="AF252" s="51" t="s">
        <v>516</v>
      </c>
      <c r="AG252" s="52" t="s">
        <v>517</v>
      </c>
      <c r="AH252" s="53" t="s">
        <v>758</v>
      </c>
      <c r="AI252" s="79"/>
      <c r="AJ252" s="80"/>
      <c r="AK252" s="81"/>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2"/>
      <c r="CL252" s="12"/>
      <c r="CM252" s="82"/>
      <c r="CN252" s="12"/>
      <c r="CO252" s="82"/>
      <c r="CP252" s="12"/>
      <c r="CQ252" s="83">
        <f t="shared" si="30"/>
        <v>0</v>
      </c>
      <c r="CR252" s="84"/>
      <c r="CS252" s="13"/>
      <c r="CT252" s="85"/>
      <c r="CU252" s="86"/>
      <c r="CV252" s="11"/>
      <c r="CW252" s="86"/>
      <c r="CX252" s="84"/>
      <c r="CY252" s="86"/>
    </row>
    <row r="253" spans="1:103" ht="25.5" x14ac:dyDescent="0.2">
      <c r="A253" s="43">
        <v>39899</v>
      </c>
      <c r="B253" s="44" t="s">
        <v>481</v>
      </c>
      <c r="C253" s="44" t="s">
        <v>1415</v>
      </c>
      <c r="D253" s="45" t="s">
        <v>1117</v>
      </c>
      <c r="E253" s="11"/>
      <c r="F253" s="12"/>
      <c r="G253" s="12"/>
      <c r="H253" s="12">
        <v>320</v>
      </c>
      <c r="I253" s="12">
        <v>64</v>
      </c>
      <c r="J253" s="12"/>
      <c r="K253" s="12">
        <v>64</v>
      </c>
      <c r="L253" s="12"/>
      <c r="M253" s="12"/>
      <c r="N253" s="12"/>
      <c r="O253" s="12"/>
      <c r="P253" s="12"/>
      <c r="Q253" s="12"/>
      <c r="R253" s="12"/>
      <c r="S253" s="12"/>
      <c r="T253" s="13"/>
      <c r="U253" s="46"/>
      <c r="V253" s="47"/>
      <c r="W253" s="48">
        <f t="shared" si="25"/>
        <v>0</v>
      </c>
      <c r="X253" s="48">
        <f t="shared" si="26"/>
        <v>0</v>
      </c>
      <c r="Y253" s="48">
        <f t="shared" si="27"/>
        <v>0</v>
      </c>
      <c r="Z253" s="48">
        <f t="shared" si="28"/>
        <v>0</v>
      </c>
      <c r="AA253" s="48"/>
      <c r="AB253" s="48"/>
      <c r="AC253" s="49">
        <f t="shared" si="29"/>
        <v>0</v>
      </c>
      <c r="AD253" s="50">
        <v>0</v>
      </c>
      <c r="AE253" s="47">
        <v>39903</v>
      </c>
      <c r="AF253" s="51" t="s">
        <v>516</v>
      </c>
      <c r="AG253" s="52" t="s">
        <v>517</v>
      </c>
      <c r="AH253" s="53" t="s">
        <v>1412</v>
      </c>
      <c r="AI253" s="79"/>
      <c r="AJ253" s="80"/>
      <c r="AK253" s="81"/>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2"/>
      <c r="CL253" s="12"/>
      <c r="CM253" s="82"/>
      <c r="CN253" s="12"/>
      <c r="CO253" s="82"/>
      <c r="CP253" s="12"/>
      <c r="CQ253" s="83">
        <f t="shared" si="30"/>
        <v>0</v>
      </c>
      <c r="CR253" s="84"/>
      <c r="CS253" s="13"/>
      <c r="CT253" s="85"/>
      <c r="CU253" s="86"/>
      <c r="CV253" s="11"/>
      <c r="CW253" s="86"/>
      <c r="CX253" s="84"/>
      <c r="CY253" s="86"/>
    </row>
    <row r="254" spans="1:103" ht="12.75" x14ac:dyDescent="0.2">
      <c r="A254" s="43">
        <v>39899</v>
      </c>
      <c r="B254" s="44" t="s">
        <v>481</v>
      </c>
      <c r="C254" s="44" t="s">
        <v>1416</v>
      </c>
      <c r="D254" s="45" t="s">
        <v>1117</v>
      </c>
      <c r="E254" s="11"/>
      <c r="F254" s="12"/>
      <c r="G254" s="12"/>
      <c r="H254" s="12">
        <f>40*5</f>
        <v>200</v>
      </c>
      <c r="I254" s="12">
        <v>40</v>
      </c>
      <c r="J254" s="12"/>
      <c r="K254" s="12">
        <v>40</v>
      </c>
      <c r="L254" s="12"/>
      <c r="M254" s="12"/>
      <c r="N254" s="12"/>
      <c r="O254" s="12"/>
      <c r="P254" s="12"/>
      <c r="Q254" s="12"/>
      <c r="R254" s="12"/>
      <c r="S254" s="12"/>
      <c r="T254" s="13"/>
      <c r="U254" s="46"/>
      <c r="V254" s="47">
        <v>39927</v>
      </c>
      <c r="W254" s="48">
        <f t="shared" si="25"/>
        <v>3100000</v>
      </c>
      <c r="X254" s="48">
        <f t="shared" si="26"/>
        <v>4250000</v>
      </c>
      <c r="Y254" s="48">
        <f t="shared" si="27"/>
        <v>10395000</v>
      </c>
      <c r="Z254" s="48">
        <f t="shared" si="28"/>
        <v>0</v>
      </c>
      <c r="AA254" s="48"/>
      <c r="AB254" s="48"/>
      <c r="AC254" s="49">
        <f t="shared" si="29"/>
        <v>17745000</v>
      </c>
      <c r="AD254" s="50">
        <v>0</v>
      </c>
      <c r="AE254" s="47">
        <v>39903</v>
      </c>
      <c r="AF254" s="51" t="s">
        <v>1016</v>
      </c>
      <c r="AG254" s="52" t="s">
        <v>565</v>
      </c>
      <c r="AH254" s="53" t="s">
        <v>1412</v>
      </c>
      <c r="AI254" s="79"/>
      <c r="AJ254" s="80"/>
      <c r="AK254" s="81"/>
      <c r="AL254" s="80"/>
      <c r="AM254" s="80"/>
      <c r="AN254" s="80"/>
      <c r="AO254" s="80"/>
      <c r="AP254" s="80"/>
      <c r="AQ254" s="80"/>
      <c r="AR254" s="80"/>
      <c r="AS254" s="80"/>
      <c r="AT254" s="80"/>
      <c r="AU254" s="80">
        <v>40</v>
      </c>
      <c r="AV254" s="80">
        <f>40*56000</f>
        <v>2240000</v>
      </c>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v>40</v>
      </c>
      <c r="CF254" s="80">
        <f>40*21500</f>
        <v>860000</v>
      </c>
      <c r="CG254" s="80"/>
      <c r="CH254" s="80"/>
      <c r="CI254" s="80"/>
      <c r="CJ254" s="80"/>
      <c r="CK254" s="82"/>
      <c r="CL254" s="12"/>
      <c r="CM254" s="82"/>
      <c r="CN254" s="12"/>
      <c r="CO254" s="82"/>
      <c r="CP254" s="12"/>
      <c r="CQ254" s="83">
        <f t="shared" si="30"/>
        <v>3100000</v>
      </c>
      <c r="CR254" s="84"/>
      <c r="CS254" s="13"/>
      <c r="CT254" s="85">
        <v>50</v>
      </c>
      <c r="CU254" s="86">
        <f>50*85000</f>
        <v>4250000</v>
      </c>
      <c r="CV254" s="11"/>
      <c r="CW254" s="86"/>
      <c r="CX254" s="84">
        <f>190+210</f>
        <v>400</v>
      </c>
      <c r="CY254" s="86">
        <f>190*21000+210*30500</f>
        <v>10395000</v>
      </c>
    </row>
    <row r="255" spans="1:103" ht="25.5" x14ac:dyDescent="0.2">
      <c r="A255" s="43">
        <v>39899</v>
      </c>
      <c r="B255" s="44" t="s">
        <v>481</v>
      </c>
      <c r="C255" s="44" t="s">
        <v>1417</v>
      </c>
      <c r="D255" s="45" t="s">
        <v>1118</v>
      </c>
      <c r="E255" s="11"/>
      <c r="F255" s="12"/>
      <c r="G255" s="12"/>
      <c r="H255" s="12">
        <v>35</v>
      </c>
      <c r="I255" s="12">
        <v>7</v>
      </c>
      <c r="J255" s="12"/>
      <c r="K255" s="12">
        <v>7</v>
      </c>
      <c r="L255" s="12"/>
      <c r="M255" s="12"/>
      <c r="N255" s="12"/>
      <c r="O255" s="12"/>
      <c r="P255" s="12"/>
      <c r="Q255" s="12"/>
      <c r="R255" s="12"/>
      <c r="S255" s="12"/>
      <c r="T255" s="13"/>
      <c r="U255" s="46"/>
      <c r="V255" s="47"/>
      <c r="W255" s="48">
        <f t="shared" si="25"/>
        <v>0</v>
      </c>
      <c r="X255" s="48">
        <f t="shared" si="26"/>
        <v>0</v>
      </c>
      <c r="Y255" s="48">
        <f t="shared" si="27"/>
        <v>0</v>
      </c>
      <c r="Z255" s="48">
        <f t="shared" si="28"/>
        <v>0</v>
      </c>
      <c r="AA255" s="48"/>
      <c r="AB255" s="48"/>
      <c r="AC255" s="49">
        <f t="shared" si="29"/>
        <v>0</v>
      </c>
      <c r="AD255" s="50">
        <v>0</v>
      </c>
      <c r="AE255" s="47">
        <v>39903</v>
      </c>
      <c r="AF255" s="51" t="s">
        <v>516</v>
      </c>
      <c r="AG255" s="52" t="s">
        <v>517</v>
      </c>
      <c r="AH255" s="53" t="s">
        <v>1412</v>
      </c>
      <c r="AI255" s="79"/>
      <c r="AJ255" s="80"/>
      <c r="AK255" s="81"/>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2"/>
      <c r="CL255" s="12"/>
      <c r="CM255" s="82"/>
      <c r="CN255" s="12"/>
      <c r="CO255" s="82"/>
      <c r="CP255" s="12"/>
      <c r="CQ255" s="83">
        <f t="shared" si="30"/>
        <v>0</v>
      </c>
      <c r="CR255" s="84"/>
      <c r="CS255" s="13"/>
      <c r="CT255" s="85"/>
      <c r="CU255" s="86"/>
      <c r="CV255" s="11"/>
      <c r="CW255" s="86"/>
      <c r="CX255" s="84"/>
      <c r="CY255" s="86"/>
    </row>
    <row r="256" spans="1:103" ht="38.25" x14ac:dyDescent="0.2">
      <c r="A256" s="43">
        <v>39899</v>
      </c>
      <c r="B256" s="44" t="s">
        <v>1091</v>
      </c>
      <c r="C256" s="44" t="s">
        <v>126</v>
      </c>
      <c r="D256" s="45" t="s">
        <v>1116</v>
      </c>
      <c r="E256" s="11"/>
      <c r="F256" s="12"/>
      <c r="G256" s="12"/>
      <c r="H256" s="12">
        <v>4</v>
      </c>
      <c r="I256" s="12">
        <v>1</v>
      </c>
      <c r="J256" s="12">
        <v>1</v>
      </c>
      <c r="K256" s="12"/>
      <c r="L256" s="12"/>
      <c r="M256" s="12"/>
      <c r="N256" s="12"/>
      <c r="O256" s="12"/>
      <c r="P256" s="12"/>
      <c r="Q256" s="12"/>
      <c r="R256" s="12"/>
      <c r="S256" s="12"/>
      <c r="T256" s="13"/>
      <c r="U256" s="46"/>
      <c r="V256" s="47"/>
      <c r="W256" s="48">
        <f t="shared" si="25"/>
        <v>0</v>
      </c>
      <c r="X256" s="48">
        <f t="shared" si="26"/>
        <v>0</v>
      </c>
      <c r="Y256" s="48">
        <f t="shared" si="27"/>
        <v>0</v>
      </c>
      <c r="Z256" s="48">
        <f t="shared" si="28"/>
        <v>0</v>
      </c>
      <c r="AA256" s="48"/>
      <c r="AB256" s="48"/>
      <c r="AC256" s="49">
        <f t="shared" si="29"/>
        <v>0</v>
      </c>
      <c r="AD256" s="50">
        <v>0</v>
      </c>
      <c r="AE256" s="47">
        <v>39902</v>
      </c>
      <c r="AF256" s="51" t="s">
        <v>516</v>
      </c>
      <c r="AG256" s="52" t="s">
        <v>517</v>
      </c>
      <c r="AH256" s="53" t="s">
        <v>107</v>
      </c>
      <c r="AI256" s="79"/>
      <c r="AJ256" s="80"/>
      <c r="AK256" s="81"/>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2"/>
      <c r="CL256" s="12"/>
      <c r="CM256" s="82"/>
      <c r="CN256" s="12"/>
      <c r="CO256" s="82"/>
      <c r="CP256" s="12"/>
      <c r="CQ256" s="83">
        <f t="shared" si="30"/>
        <v>0</v>
      </c>
      <c r="CR256" s="84"/>
      <c r="CS256" s="13"/>
      <c r="CT256" s="85"/>
      <c r="CU256" s="86"/>
      <c r="CV256" s="11"/>
      <c r="CW256" s="86"/>
      <c r="CX256" s="84"/>
      <c r="CY256" s="86"/>
    </row>
    <row r="257" spans="1:103" ht="76.5" x14ac:dyDescent="0.2">
      <c r="A257" s="43">
        <v>39899</v>
      </c>
      <c r="B257" s="44" t="s">
        <v>1350</v>
      </c>
      <c r="C257" s="44" t="s">
        <v>1414</v>
      </c>
      <c r="D257" s="45" t="s">
        <v>1118</v>
      </c>
      <c r="E257" s="11"/>
      <c r="F257" s="12"/>
      <c r="G257" s="12"/>
      <c r="H257" s="12">
        <f>311*5</f>
        <v>1555</v>
      </c>
      <c r="I257" s="12">
        <v>311</v>
      </c>
      <c r="J257" s="12"/>
      <c r="K257" s="12">
        <v>311</v>
      </c>
      <c r="L257" s="12"/>
      <c r="M257" s="12"/>
      <c r="N257" s="12"/>
      <c r="O257" s="12"/>
      <c r="P257" s="12"/>
      <c r="Q257" s="12"/>
      <c r="R257" s="12"/>
      <c r="S257" s="12"/>
      <c r="T257" s="13"/>
      <c r="U257" s="46"/>
      <c r="V257" s="47"/>
      <c r="W257" s="48">
        <f t="shared" si="25"/>
        <v>0</v>
      </c>
      <c r="X257" s="48">
        <f t="shared" si="26"/>
        <v>0</v>
      </c>
      <c r="Y257" s="48">
        <f t="shared" si="27"/>
        <v>0</v>
      </c>
      <c r="Z257" s="48">
        <f t="shared" si="28"/>
        <v>0</v>
      </c>
      <c r="AA257" s="48"/>
      <c r="AB257" s="48"/>
      <c r="AC257" s="49">
        <f t="shared" si="29"/>
        <v>0</v>
      </c>
      <c r="AD257" s="50">
        <v>0</v>
      </c>
      <c r="AE257" s="47">
        <v>39903</v>
      </c>
      <c r="AF257" s="51" t="s">
        <v>1016</v>
      </c>
      <c r="AG257" s="52" t="s">
        <v>565</v>
      </c>
      <c r="AH257" s="53" t="s">
        <v>338</v>
      </c>
      <c r="AI257" s="79"/>
      <c r="AJ257" s="80"/>
      <c r="AK257" s="81"/>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2"/>
      <c r="CL257" s="12"/>
      <c r="CM257" s="82"/>
      <c r="CN257" s="12"/>
      <c r="CO257" s="82"/>
      <c r="CP257" s="12"/>
      <c r="CQ257" s="83">
        <f t="shared" si="30"/>
        <v>0</v>
      </c>
      <c r="CR257" s="84"/>
      <c r="CS257" s="13"/>
      <c r="CT257" s="85"/>
      <c r="CU257" s="86"/>
      <c r="CV257" s="11"/>
      <c r="CW257" s="86"/>
      <c r="CX257" s="84"/>
      <c r="CY257" s="86"/>
    </row>
    <row r="258" spans="1:103" ht="38.25" x14ac:dyDescent="0.2">
      <c r="A258" s="43">
        <v>39900</v>
      </c>
      <c r="B258" s="44" t="s">
        <v>1127</v>
      </c>
      <c r="C258" s="44" t="s">
        <v>800</v>
      </c>
      <c r="D258" s="45" t="s">
        <v>1116</v>
      </c>
      <c r="E258" s="11"/>
      <c r="F258" s="12"/>
      <c r="G258" s="12"/>
      <c r="H258" s="12">
        <v>4</v>
      </c>
      <c r="I258" s="12">
        <v>1</v>
      </c>
      <c r="J258" s="12">
        <v>1</v>
      </c>
      <c r="K258" s="12"/>
      <c r="L258" s="12"/>
      <c r="M258" s="12"/>
      <c r="N258" s="12"/>
      <c r="O258" s="12"/>
      <c r="P258" s="12"/>
      <c r="Q258" s="12"/>
      <c r="R258" s="12"/>
      <c r="S258" s="12"/>
      <c r="T258" s="13"/>
      <c r="U258" s="46"/>
      <c r="V258" s="47"/>
      <c r="W258" s="48">
        <f t="shared" si="25"/>
        <v>0</v>
      </c>
      <c r="X258" s="48">
        <f t="shared" si="26"/>
        <v>0</v>
      </c>
      <c r="Y258" s="48">
        <f t="shared" si="27"/>
        <v>0</v>
      </c>
      <c r="Z258" s="48">
        <f t="shared" si="28"/>
        <v>0</v>
      </c>
      <c r="AA258" s="48"/>
      <c r="AB258" s="48"/>
      <c r="AC258" s="49">
        <f t="shared" si="29"/>
        <v>0</v>
      </c>
      <c r="AD258" s="50">
        <v>0</v>
      </c>
      <c r="AE258" s="47">
        <v>39902</v>
      </c>
      <c r="AF258" s="51" t="s">
        <v>516</v>
      </c>
      <c r="AG258" s="52" t="s">
        <v>517</v>
      </c>
      <c r="AH258" s="53" t="s">
        <v>106</v>
      </c>
      <c r="AI258" s="79"/>
      <c r="AJ258" s="80"/>
      <c r="AK258" s="81"/>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2"/>
      <c r="CL258" s="12"/>
      <c r="CM258" s="82"/>
      <c r="CN258" s="12"/>
      <c r="CO258" s="82"/>
      <c r="CP258" s="12"/>
      <c r="CQ258" s="83">
        <f t="shared" si="30"/>
        <v>0</v>
      </c>
      <c r="CR258" s="84"/>
      <c r="CS258" s="13"/>
      <c r="CT258" s="85"/>
      <c r="CU258" s="86"/>
      <c r="CV258" s="11"/>
      <c r="CW258" s="86"/>
      <c r="CX258" s="84"/>
      <c r="CY258" s="86"/>
    </row>
    <row r="259" spans="1:103" ht="25.5" x14ac:dyDescent="0.2">
      <c r="A259" s="43">
        <v>39900</v>
      </c>
      <c r="B259" s="44" t="s">
        <v>600</v>
      </c>
      <c r="C259" s="44" t="s">
        <v>109</v>
      </c>
      <c r="D259" s="45" t="s">
        <v>1118</v>
      </c>
      <c r="E259" s="11">
        <v>5</v>
      </c>
      <c r="F259" s="12"/>
      <c r="G259" s="12"/>
      <c r="H259" s="12">
        <v>200</v>
      </c>
      <c r="I259" s="12">
        <f>46+17</f>
        <v>63</v>
      </c>
      <c r="J259" s="12">
        <v>17</v>
      </c>
      <c r="K259" s="12">
        <v>46</v>
      </c>
      <c r="L259" s="12"/>
      <c r="M259" s="12"/>
      <c r="N259" s="12"/>
      <c r="O259" s="12"/>
      <c r="P259" s="12"/>
      <c r="Q259" s="12"/>
      <c r="R259" s="12"/>
      <c r="S259" s="12"/>
      <c r="T259" s="13"/>
      <c r="U259" s="46"/>
      <c r="V259" s="47"/>
      <c r="W259" s="48">
        <f t="shared" ref="W259:W322" si="31">CQ259</f>
        <v>0</v>
      </c>
      <c r="X259" s="48">
        <f t="shared" ref="X259:X322" si="32">CU259</f>
        <v>0</v>
      </c>
      <c r="Y259" s="48">
        <f t="shared" ref="Y259:Y322" si="33">CW259+CY259</f>
        <v>0</v>
      </c>
      <c r="Z259" s="48">
        <f t="shared" ref="Z259:Z322" si="34">CS259</f>
        <v>0</v>
      </c>
      <c r="AA259" s="48"/>
      <c r="AB259" s="48"/>
      <c r="AC259" s="49">
        <f t="shared" ref="AC259:AC322" si="35">W259+X259+Y259+Z259+AA259+AB259</f>
        <v>0</v>
      </c>
      <c r="AD259" s="50">
        <v>0</v>
      </c>
      <c r="AE259" s="47">
        <v>39902</v>
      </c>
      <c r="AF259" s="51" t="s">
        <v>516</v>
      </c>
      <c r="AG259" s="52" t="s">
        <v>517</v>
      </c>
      <c r="AH259" s="53" t="s">
        <v>142</v>
      </c>
      <c r="AI259" s="79"/>
      <c r="AJ259" s="80"/>
      <c r="AK259" s="81"/>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2"/>
      <c r="CL259" s="12"/>
      <c r="CM259" s="82"/>
      <c r="CN259" s="12"/>
      <c r="CO259" s="82"/>
      <c r="CP259" s="12"/>
      <c r="CQ259" s="83">
        <f t="shared" ref="CQ259:CQ322" si="36">AJ259+AL259+AN259+AP259+AR259+AT259+AV259+AX259+AZ259+BB259+BD259+BF259+BH259+BJ259+BL259+BN259+BP259+BR259+BT259+BV259+BX259+BZ259+CB259+CD259+CF259+CH259+CJ259+CL259+CN259+CP259</f>
        <v>0</v>
      </c>
      <c r="CR259" s="84"/>
      <c r="CS259" s="13"/>
      <c r="CT259" s="85"/>
      <c r="CU259" s="86"/>
      <c r="CV259" s="11"/>
      <c r="CW259" s="86"/>
      <c r="CX259" s="84"/>
      <c r="CY259" s="86"/>
    </row>
    <row r="260" spans="1:103" ht="51" x14ac:dyDescent="0.2">
      <c r="A260" s="43">
        <v>39900</v>
      </c>
      <c r="B260" s="44" t="s">
        <v>600</v>
      </c>
      <c r="C260" s="44" t="s">
        <v>143</v>
      </c>
      <c r="D260" s="45" t="s">
        <v>1118</v>
      </c>
      <c r="E260" s="11"/>
      <c r="F260" s="12"/>
      <c r="G260" s="12"/>
      <c r="H260" s="12">
        <v>50</v>
      </c>
      <c r="I260" s="12">
        <v>10</v>
      </c>
      <c r="J260" s="12"/>
      <c r="K260" s="12">
        <v>10</v>
      </c>
      <c r="L260" s="12"/>
      <c r="M260" s="12"/>
      <c r="N260" s="12"/>
      <c r="O260" s="12">
        <v>1</v>
      </c>
      <c r="P260" s="12"/>
      <c r="Q260" s="12"/>
      <c r="R260" s="12"/>
      <c r="S260" s="12"/>
      <c r="T260" s="13"/>
      <c r="U260" s="46"/>
      <c r="V260" s="47"/>
      <c r="W260" s="48">
        <f t="shared" si="31"/>
        <v>0</v>
      </c>
      <c r="X260" s="48">
        <f t="shared" si="32"/>
        <v>0</v>
      </c>
      <c r="Y260" s="48">
        <f t="shared" si="33"/>
        <v>0</v>
      </c>
      <c r="Z260" s="48">
        <f t="shared" si="34"/>
        <v>0</v>
      </c>
      <c r="AA260" s="48"/>
      <c r="AB260" s="48"/>
      <c r="AC260" s="49">
        <f t="shared" si="35"/>
        <v>0</v>
      </c>
      <c r="AD260" s="50">
        <v>0</v>
      </c>
      <c r="AE260" s="47">
        <v>39902</v>
      </c>
      <c r="AF260" s="51" t="s">
        <v>516</v>
      </c>
      <c r="AG260" s="52" t="s">
        <v>517</v>
      </c>
      <c r="AH260" s="53" t="s">
        <v>358</v>
      </c>
      <c r="AI260" s="79"/>
      <c r="AJ260" s="80"/>
      <c r="AK260" s="81"/>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2"/>
      <c r="CL260" s="12"/>
      <c r="CM260" s="82"/>
      <c r="CN260" s="12"/>
      <c r="CO260" s="82"/>
      <c r="CP260" s="12"/>
      <c r="CQ260" s="83">
        <f t="shared" si="36"/>
        <v>0</v>
      </c>
      <c r="CR260" s="84"/>
      <c r="CS260" s="13"/>
      <c r="CT260" s="85"/>
      <c r="CU260" s="86"/>
      <c r="CV260" s="11"/>
      <c r="CW260" s="86"/>
      <c r="CX260" s="84"/>
      <c r="CY260" s="86"/>
    </row>
    <row r="261" spans="1:103" ht="38.25" x14ac:dyDescent="0.2">
      <c r="A261" s="43">
        <v>39900</v>
      </c>
      <c r="B261" s="44" t="s">
        <v>1066</v>
      </c>
      <c r="C261" s="44" t="s">
        <v>273</v>
      </c>
      <c r="D261" s="45" t="s">
        <v>1092</v>
      </c>
      <c r="E261" s="11">
        <v>2</v>
      </c>
      <c r="F261" s="12"/>
      <c r="G261" s="12"/>
      <c r="H261" s="12"/>
      <c r="I261" s="12"/>
      <c r="J261" s="12"/>
      <c r="K261" s="12"/>
      <c r="L261" s="12"/>
      <c r="M261" s="12"/>
      <c r="N261" s="12"/>
      <c r="O261" s="12"/>
      <c r="P261" s="12"/>
      <c r="Q261" s="12"/>
      <c r="R261" s="12"/>
      <c r="S261" s="12"/>
      <c r="T261" s="13"/>
      <c r="U261" s="46"/>
      <c r="V261" s="47"/>
      <c r="W261" s="48">
        <f t="shared" si="31"/>
        <v>0</v>
      </c>
      <c r="X261" s="48">
        <f t="shared" si="32"/>
        <v>0</v>
      </c>
      <c r="Y261" s="48">
        <f t="shared" si="33"/>
        <v>0</v>
      </c>
      <c r="Z261" s="48">
        <f t="shared" si="34"/>
        <v>0</v>
      </c>
      <c r="AA261" s="48"/>
      <c r="AB261" s="48"/>
      <c r="AC261" s="49">
        <f t="shared" si="35"/>
        <v>0</v>
      </c>
      <c r="AD261" s="50">
        <v>0</v>
      </c>
      <c r="AE261" s="47">
        <v>39903</v>
      </c>
      <c r="AF261" s="51" t="s">
        <v>516</v>
      </c>
      <c r="AG261" s="52" t="s">
        <v>517</v>
      </c>
      <c r="AH261" s="53" t="s">
        <v>1424</v>
      </c>
      <c r="AI261" s="79"/>
      <c r="AJ261" s="80"/>
      <c r="AK261" s="81"/>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2"/>
      <c r="CL261" s="12"/>
      <c r="CM261" s="82"/>
      <c r="CN261" s="12"/>
      <c r="CO261" s="82"/>
      <c r="CP261" s="12"/>
      <c r="CQ261" s="83">
        <f t="shared" si="36"/>
        <v>0</v>
      </c>
      <c r="CR261" s="84"/>
      <c r="CS261" s="13"/>
      <c r="CT261" s="85"/>
      <c r="CU261" s="86"/>
      <c r="CV261" s="11"/>
      <c r="CW261" s="86"/>
      <c r="CX261" s="84"/>
      <c r="CY261" s="86"/>
    </row>
    <row r="262" spans="1:103" ht="38.25" x14ac:dyDescent="0.2">
      <c r="A262" s="43">
        <v>39900</v>
      </c>
      <c r="B262" s="44" t="s">
        <v>1114</v>
      </c>
      <c r="C262" s="44" t="s">
        <v>1413</v>
      </c>
      <c r="D262" s="45" t="s">
        <v>1117</v>
      </c>
      <c r="E262" s="11"/>
      <c r="F262" s="12"/>
      <c r="G262" s="12"/>
      <c r="H262" s="12">
        <v>90</v>
      </c>
      <c r="I262" s="12">
        <v>18</v>
      </c>
      <c r="J262" s="12"/>
      <c r="K262" s="12">
        <v>18</v>
      </c>
      <c r="L262" s="12"/>
      <c r="M262" s="12"/>
      <c r="N262" s="12"/>
      <c r="O262" s="12"/>
      <c r="P262" s="12"/>
      <c r="Q262" s="12"/>
      <c r="R262" s="12"/>
      <c r="S262" s="12"/>
      <c r="T262" s="13"/>
      <c r="U262" s="46"/>
      <c r="V262" s="47"/>
      <c r="W262" s="48">
        <f t="shared" si="31"/>
        <v>0</v>
      </c>
      <c r="X262" s="48">
        <f t="shared" si="32"/>
        <v>0</v>
      </c>
      <c r="Y262" s="48">
        <f t="shared" si="33"/>
        <v>0</v>
      </c>
      <c r="Z262" s="48">
        <f t="shared" si="34"/>
        <v>0</v>
      </c>
      <c r="AA262" s="48"/>
      <c r="AB262" s="48"/>
      <c r="AC262" s="49">
        <f t="shared" si="35"/>
        <v>0</v>
      </c>
      <c r="AD262" s="50">
        <v>0</v>
      </c>
      <c r="AE262" s="47">
        <v>39903</v>
      </c>
      <c r="AF262" s="51" t="s">
        <v>516</v>
      </c>
      <c r="AG262" s="52" t="s">
        <v>517</v>
      </c>
      <c r="AH262" s="53" t="s">
        <v>1412</v>
      </c>
      <c r="AI262" s="79"/>
      <c r="AJ262" s="80"/>
      <c r="AK262" s="81"/>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2"/>
      <c r="CL262" s="12"/>
      <c r="CM262" s="82"/>
      <c r="CN262" s="12"/>
      <c r="CO262" s="82"/>
      <c r="CP262" s="12"/>
      <c r="CQ262" s="83">
        <f t="shared" si="36"/>
        <v>0</v>
      </c>
      <c r="CR262" s="84"/>
      <c r="CS262" s="13"/>
      <c r="CT262" s="85"/>
      <c r="CU262" s="86"/>
      <c r="CV262" s="11"/>
      <c r="CW262" s="86"/>
      <c r="CX262" s="84"/>
      <c r="CY262" s="86"/>
    </row>
    <row r="263" spans="1:103" ht="76.5" x14ac:dyDescent="0.2">
      <c r="A263" s="43">
        <v>39900</v>
      </c>
      <c r="B263" s="44" t="s">
        <v>1091</v>
      </c>
      <c r="C263" s="44" t="s">
        <v>126</v>
      </c>
      <c r="D263" s="45" t="s">
        <v>1118</v>
      </c>
      <c r="E263" s="11"/>
      <c r="F263" s="12"/>
      <c r="G263" s="12"/>
      <c r="H263" s="12">
        <v>296</v>
      </c>
      <c r="I263" s="12">
        <v>60</v>
      </c>
      <c r="J263" s="12">
        <v>1</v>
      </c>
      <c r="K263" s="12">
        <v>3</v>
      </c>
      <c r="L263" s="12">
        <v>1</v>
      </c>
      <c r="M263" s="12">
        <v>1</v>
      </c>
      <c r="N263" s="12"/>
      <c r="O263" s="12">
        <v>1</v>
      </c>
      <c r="P263" s="12"/>
      <c r="Q263" s="12"/>
      <c r="R263" s="12"/>
      <c r="S263" s="12"/>
      <c r="T263" s="13"/>
      <c r="U263" s="46"/>
      <c r="V263" s="47"/>
      <c r="W263" s="48">
        <f t="shared" si="31"/>
        <v>0</v>
      </c>
      <c r="X263" s="48">
        <f t="shared" si="32"/>
        <v>0</v>
      </c>
      <c r="Y263" s="48">
        <f t="shared" si="33"/>
        <v>0</v>
      </c>
      <c r="Z263" s="48">
        <f t="shared" si="34"/>
        <v>0</v>
      </c>
      <c r="AA263" s="48"/>
      <c r="AB263" s="48"/>
      <c r="AC263" s="49">
        <f t="shared" si="35"/>
        <v>0</v>
      </c>
      <c r="AD263" s="50">
        <v>0</v>
      </c>
      <c r="AE263" s="47">
        <v>39902</v>
      </c>
      <c r="AF263" s="51" t="s">
        <v>516</v>
      </c>
      <c r="AG263" s="52" t="s">
        <v>517</v>
      </c>
      <c r="AH263" s="53" t="s">
        <v>605</v>
      </c>
      <c r="AI263" s="79"/>
      <c r="AJ263" s="80"/>
      <c r="AK263" s="81"/>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2"/>
      <c r="CL263" s="12"/>
      <c r="CM263" s="82"/>
      <c r="CN263" s="12"/>
      <c r="CO263" s="82"/>
      <c r="CP263" s="12"/>
      <c r="CQ263" s="83">
        <f t="shared" si="36"/>
        <v>0</v>
      </c>
      <c r="CR263" s="84"/>
      <c r="CS263" s="13"/>
      <c r="CT263" s="85"/>
      <c r="CU263" s="86"/>
      <c r="CV263" s="11"/>
      <c r="CW263" s="86"/>
      <c r="CX263" s="84"/>
      <c r="CY263" s="86"/>
    </row>
    <row r="264" spans="1:103" ht="25.5" x14ac:dyDescent="0.2">
      <c r="A264" s="43">
        <v>39900</v>
      </c>
      <c r="B264" s="44" t="s">
        <v>1091</v>
      </c>
      <c r="C264" s="44" t="s">
        <v>80</v>
      </c>
      <c r="D264" s="45" t="s">
        <v>1092</v>
      </c>
      <c r="E264" s="11">
        <v>1</v>
      </c>
      <c r="F264" s="12"/>
      <c r="G264" s="12"/>
      <c r="H264" s="12"/>
      <c r="I264" s="12"/>
      <c r="J264" s="12"/>
      <c r="K264" s="12"/>
      <c r="L264" s="12">
        <v>1</v>
      </c>
      <c r="M264" s="12"/>
      <c r="N264" s="12"/>
      <c r="O264" s="12"/>
      <c r="P264" s="12"/>
      <c r="Q264" s="12"/>
      <c r="R264" s="12"/>
      <c r="S264" s="12"/>
      <c r="T264" s="13"/>
      <c r="U264" s="46"/>
      <c r="V264" s="47"/>
      <c r="W264" s="48">
        <f t="shared" si="31"/>
        <v>0</v>
      </c>
      <c r="X264" s="48">
        <f t="shared" si="32"/>
        <v>0</v>
      </c>
      <c r="Y264" s="48">
        <f t="shared" si="33"/>
        <v>0</v>
      </c>
      <c r="Z264" s="48">
        <f t="shared" si="34"/>
        <v>0</v>
      </c>
      <c r="AA264" s="48"/>
      <c r="AB264" s="48"/>
      <c r="AC264" s="49">
        <f t="shared" si="35"/>
        <v>0</v>
      </c>
      <c r="AD264" s="50">
        <v>0</v>
      </c>
      <c r="AE264" s="47">
        <v>39902</v>
      </c>
      <c r="AF264" s="51" t="s">
        <v>516</v>
      </c>
      <c r="AG264" s="52" t="s">
        <v>517</v>
      </c>
      <c r="AH264" s="53" t="s">
        <v>108</v>
      </c>
      <c r="AI264" s="79"/>
      <c r="AJ264" s="80"/>
      <c r="AK264" s="81"/>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2"/>
      <c r="CL264" s="12"/>
      <c r="CM264" s="82"/>
      <c r="CN264" s="12"/>
      <c r="CO264" s="82"/>
      <c r="CP264" s="12"/>
      <c r="CQ264" s="83">
        <f t="shared" si="36"/>
        <v>0</v>
      </c>
      <c r="CR264" s="84"/>
      <c r="CS264" s="13"/>
      <c r="CT264" s="85"/>
      <c r="CU264" s="86"/>
      <c r="CV264" s="11"/>
      <c r="CW264" s="86"/>
      <c r="CX264" s="84"/>
      <c r="CY264" s="86"/>
    </row>
    <row r="265" spans="1:103" ht="25.5" x14ac:dyDescent="0.2">
      <c r="A265" s="43">
        <v>39901</v>
      </c>
      <c r="B265" s="44" t="s">
        <v>1226</v>
      </c>
      <c r="C265" s="44" t="s">
        <v>1396</v>
      </c>
      <c r="D265" s="45" t="s">
        <v>1070</v>
      </c>
      <c r="E265" s="11">
        <v>1</v>
      </c>
      <c r="F265" s="12">
        <v>5</v>
      </c>
      <c r="G265" s="12"/>
      <c r="H265" s="12"/>
      <c r="I265" s="12"/>
      <c r="J265" s="12"/>
      <c r="K265" s="12"/>
      <c r="L265" s="12"/>
      <c r="M265" s="12"/>
      <c r="N265" s="12"/>
      <c r="O265" s="12"/>
      <c r="P265" s="12"/>
      <c r="Q265" s="12"/>
      <c r="R265" s="12"/>
      <c r="S265" s="12"/>
      <c r="T265" s="13"/>
      <c r="U265" s="46"/>
      <c r="V265" s="47"/>
      <c r="W265" s="48">
        <f t="shared" si="31"/>
        <v>0</v>
      </c>
      <c r="X265" s="48">
        <f t="shared" si="32"/>
        <v>0</v>
      </c>
      <c r="Y265" s="48">
        <f t="shared" si="33"/>
        <v>0</v>
      </c>
      <c r="Z265" s="48">
        <f t="shared" si="34"/>
        <v>0</v>
      </c>
      <c r="AA265" s="48"/>
      <c r="AB265" s="48"/>
      <c r="AC265" s="49">
        <f t="shared" si="35"/>
        <v>0</v>
      </c>
      <c r="AD265" s="50">
        <v>0</v>
      </c>
      <c r="AE265" s="47">
        <v>39903</v>
      </c>
      <c r="AF265" s="51" t="s">
        <v>516</v>
      </c>
      <c r="AG265" s="52" t="s">
        <v>517</v>
      </c>
      <c r="AH265" s="53" t="s">
        <v>313</v>
      </c>
      <c r="AI265" s="79"/>
      <c r="AJ265" s="80"/>
      <c r="AK265" s="81"/>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2"/>
      <c r="CL265" s="12"/>
      <c r="CM265" s="82"/>
      <c r="CN265" s="12"/>
      <c r="CO265" s="82"/>
      <c r="CP265" s="12"/>
      <c r="CQ265" s="83">
        <f t="shared" si="36"/>
        <v>0</v>
      </c>
      <c r="CR265" s="84"/>
      <c r="CS265" s="13"/>
      <c r="CT265" s="85"/>
      <c r="CU265" s="86"/>
      <c r="CV265" s="11"/>
      <c r="CW265" s="86"/>
      <c r="CX265" s="84"/>
      <c r="CY265" s="86"/>
    </row>
    <row r="266" spans="1:103" ht="38.25" x14ac:dyDescent="0.2">
      <c r="A266" s="43">
        <v>39901</v>
      </c>
      <c r="B266" s="44" t="s">
        <v>688</v>
      </c>
      <c r="C266" s="44" t="s">
        <v>363</v>
      </c>
      <c r="D266" s="45" t="s">
        <v>1118</v>
      </c>
      <c r="E266" s="11"/>
      <c r="F266" s="12"/>
      <c r="G266" s="12"/>
      <c r="H266" s="12">
        <v>655</v>
      </c>
      <c r="I266" s="12">
        <v>131</v>
      </c>
      <c r="J266" s="12"/>
      <c r="K266" s="12">
        <v>131</v>
      </c>
      <c r="L266" s="12"/>
      <c r="M266" s="12"/>
      <c r="N266" s="12"/>
      <c r="O266" s="12"/>
      <c r="P266" s="12"/>
      <c r="Q266" s="12"/>
      <c r="R266" s="12"/>
      <c r="S266" s="12"/>
      <c r="T266" s="13"/>
      <c r="U266" s="46"/>
      <c r="V266" s="47"/>
      <c r="W266" s="48">
        <f t="shared" si="31"/>
        <v>0</v>
      </c>
      <c r="X266" s="48">
        <f t="shared" si="32"/>
        <v>0</v>
      </c>
      <c r="Y266" s="48">
        <f t="shared" si="33"/>
        <v>0</v>
      </c>
      <c r="Z266" s="48">
        <f t="shared" si="34"/>
        <v>0</v>
      </c>
      <c r="AA266" s="48"/>
      <c r="AB266" s="48"/>
      <c r="AC266" s="49">
        <f t="shared" si="35"/>
        <v>0</v>
      </c>
      <c r="AD266" s="50">
        <v>0</v>
      </c>
      <c r="AE266" s="47">
        <v>39902</v>
      </c>
      <c r="AF266" s="51" t="s">
        <v>516</v>
      </c>
      <c r="AG266" s="52" t="s">
        <v>517</v>
      </c>
      <c r="AH266" s="53" t="s">
        <v>532</v>
      </c>
      <c r="AI266" s="79"/>
      <c r="AJ266" s="80"/>
      <c r="AK266" s="81"/>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2"/>
      <c r="CL266" s="12"/>
      <c r="CM266" s="82"/>
      <c r="CN266" s="12"/>
      <c r="CO266" s="82"/>
      <c r="CP266" s="12"/>
      <c r="CQ266" s="83">
        <f t="shared" si="36"/>
        <v>0</v>
      </c>
      <c r="CR266" s="84"/>
      <c r="CS266" s="13"/>
      <c r="CT266" s="85"/>
      <c r="CU266" s="86"/>
      <c r="CV266" s="11"/>
      <c r="CW266" s="86"/>
      <c r="CX266" s="84"/>
      <c r="CY266" s="86"/>
    </row>
    <row r="267" spans="1:103" ht="102" x14ac:dyDescent="0.2">
      <c r="A267" s="43">
        <v>39901</v>
      </c>
      <c r="B267" s="44" t="s">
        <v>600</v>
      </c>
      <c r="C267" s="44" t="s">
        <v>1425</v>
      </c>
      <c r="D267" s="45" t="s">
        <v>1092</v>
      </c>
      <c r="E267" s="11"/>
      <c r="F267" s="12">
        <v>1</v>
      </c>
      <c r="G267" s="12"/>
      <c r="H267" s="12">
        <v>37</v>
      </c>
      <c r="I267" s="12">
        <v>8</v>
      </c>
      <c r="J267" s="12"/>
      <c r="K267" s="12">
        <v>8</v>
      </c>
      <c r="L267" s="12">
        <v>1</v>
      </c>
      <c r="M267" s="12"/>
      <c r="N267" s="12"/>
      <c r="O267" s="12"/>
      <c r="P267" s="12"/>
      <c r="Q267" s="12"/>
      <c r="R267" s="12"/>
      <c r="S267" s="12"/>
      <c r="T267" s="13"/>
      <c r="U267" s="46"/>
      <c r="V267" s="47">
        <v>39948</v>
      </c>
      <c r="W267" s="48">
        <f t="shared" si="31"/>
        <v>0</v>
      </c>
      <c r="X267" s="48">
        <f t="shared" si="32"/>
        <v>0</v>
      </c>
      <c r="Y267" s="48">
        <f t="shared" si="33"/>
        <v>0</v>
      </c>
      <c r="Z267" s="48">
        <f t="shared" si="34"/>
        <v>0</v>
      </c>
      <c r="AA267" s="48"/>
      <c r="AB267" s="48">
        <v>69996189</v>
      </c>
      <c r="AC267" s="49">
        <f t="shared" si="35"/>
        <v>69996189</v>
      </c>
      <c r="AD267" s="50">
        <v>0</v>
      </c>
      <c r="AE267" s="47">
        <v>39903</v>
      </c>
      <c r="AF267" s="51" t="s">
        <v>1016</v>
      </c>
      <c r="AG267" s="52" t="s">
        <v>565</v>
      </c>
      <c r="AH267" s="53" t="s">
        <v>837</v>
      </c>
      <c r="AI267" s="79"/>
      <c r="AJ267" s="80"/>
      <c r="AK267" s="81"/>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2"/>
      <c r="CL267" s="12"/>
      <c r="CM267" s="82"/>
      <c r="CN267" s="12"/>
      <c r="CO267" s="82"/>
      <c r="CP267" s="12"/>
      <c r="CQ267" s="83">
        <f t="shared" si="36"/>
        <v>0</v>
      </c>
      <c r="CR267" s="84"/>
      <c r="CS267" s="13"/>
      <c r="CT267" s="85"/>
      <c r="CU267" s="86"/>
      <c r="CV267" s="11"/>
      <c r="CW267" s="86"/>
      <c r="CX267" s="84"/>
      <c r="CY267" s="86"/>
    </row>
    <row r="268" spans="1:103" ht="25.5" x14ac:dyDescent="0.2">
      <c r="A268" s="43">
        <v>39901</v>
      </c>
      <c r="B268" s="44" t="s">
        <v>781</v>
      </c>
      <c r="C268" s="44" t="s">
        <v>1399</v>
      </c>
      <c r="D268" s="45" t="s">
        <v>1117</v>
      </c>
      <c r="E268" s="11"/>
      <c r="F268" s="12"/>
      <c r="G268" s="12"/>
      <c r="H268" s="12">
        <v>210</v>
      </c>
      <c r="I268" s="12">
        <v>42</v>
      </c>
      <c r="J268" s="12"/>
      <c r="K268" s="12">
        <v>32</v>
      </c>
      <c r="L268" s="12"/>
      <c r="M268" s="12"/>
      <c r="N268" s="12"/>
      <c r="O268" s="12"/>
      <c r="P268" s="12"/>
      <c r="Q268" s="12"/>
      <c r="R268" s="12"/>
      <c r="S268" s="12"/>
      <c r="T268" s="13"/>
      <c r="U268" s="46"/>
      <c r="V268" s="47"/>
      <c r="W268" s="48">
        <f t="shared" si="31"/>
        <v>0</v>
      </c>
      <c r="X268" s="48">
        <f t="shared" si="32"/>
        <v>0</v>
      </c>
      <c r="Y268" s="48">
        <f t="shared" si="33"/>
        <v>0</v>
      </c>
      <c r="Z268" s="48">
        <f t="shared" si="34"/>
        <v>0</v>
      </c>
      <c r="AA268" s="48"/>
      <c r="AB268" s="48"/>
      <c r="AC268" s="49">
        <f t="shared" si="35"/>
        <v>0</v>
      </c>
      <c r="AD268" s="50">
        <v>0</v>
      </c>
      <c r="AE268" s="47">
        <v>39903</v>
      </c>
      <c r="AF268" s="51" t="s">
        <v>516</v>
      </c>
      <c r="AG268" s="52" t="s">
        <v>517</v>
      </c>
      <c r="AH268" s="53" t="s">
        <v>1412</v>
      </c>
      <c r="AI268" s="79"/>
      <c r="AJ268" s="80"/>
      <c r="AK268" s="81"/>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2"/>
      <c r="CL268" s="12"/>
      <c r="CM268" s="82"/>
      <c r="CN268" s="12"/>
      <c r="CO268" s="82"/>
      <c r="CP268" s="12"/>
      <c r="CQ268" s="83">
        <f t="shared" si="36"/>
        <v>0</v>
      </c>
      <c r="CR268" s="84"/>
      <c r="CS268" s="13"/>
      <c r="CT268" s="85"/>
      <c r="CU268" s="86"/>
      <c r="CV268" s="11"/>
      <c r="CW268" s="86"/>
      <c r="CX268" s="84"/>
      <c r="CY268" s="86"/>
    </row>
    <row r="269" spans="1:103" ht="63.75" x14ac:dyDescent="0.2">
      <c r="A269" s="43">
        <v>39901</v>
      </c>
      <c r="B269" s="44" t="s">
        <v>1066</v>
      </c>
      <c r="C269" s="44" t="s">
        <v>1454</v>
      </c>
      <c r="D269" s="45" t="s">
        <v>1092</v>
      </c>
      <c r="E269" s="11"/>
      <c r="F269" s="12"/>
      <c r="G269" s="12"/>
      <c r="H269" s="12"/>
      <c r="I269" s="12"/>
      <c r="J269" s="12"/>
      <c r="K269" s="12"/>
      <c r="L269" s="12"/>
      <c r="M269" s="12"/>
      <c r="N269" s="12"/>
      <c r="O269" s="12"/>
      <c r="P269" s="12"/>
      <c r="Q269" s="12"/>
      <c r="R269" s="12"/>
      <c r="S269" s="12"/>
      <c r="T269" s="13"/>
      <c r="U269" s="46"/>
      <c r="V269" s="47"/>
      <c r="W269" s="48">
        <f t="shared" si="31"/>
        <v>0</v>
      </c>
      <c r="X269" s="48">
        <f t="shared" si="32"/>
        <v>0</v>
      </c>
      <c r="Y269" s="48">
        <f t="shared" si="33"/>
        <v>0</v>
      </c>
      <c r="Z269" s="48">
        <f t="shared" si="34"/>
        <v>0</v>
      </c>
      <c r="AA269" s="48"/>
      <c r="AB269" s="48"/>
      <c r="AC269" s="49">
        <f t="shared" si="35"/>
        <v>0</v>
      </c>
      <c r="AD269" s="50">
        <v>0</v>
      </c>
      <c r="AE269" s="47">
        <v>39902</v>
      </c>
      <c r="AF269" s="51" t="s">
        <v>516</v>
      </c>
      <c r="AG269" s="52" t="s">
        <v>517</v>
      </c>
      <c r="AH269" s="53" t="s">
        <v>361</v>
      </c>
      <c r="AI269" s="79"/>
      <c r="AJ269" s="80"/>
      <c r="AK269" s="81"/>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2"/>
      <c r="CL269" s="12"/>
      <c r="CM269" s="82"/>
      <c r="CN269" s="12"/>
      <c r="CO269" s="82"/>
      <c r="CP269" s="12"/>
      <c r="CQ269" s="83">
        <f t="shared" si="36"/>
        <v>0</v>
      </c>
      <c r="CR269" s="84"/>
      <c r="CS269" s="13"/>
      <c r="CT269" s="85"/>
      <c r="CU269" s="86"/>
      <c r="CV269" s="11"/>
      <c r="CW269" s="86"/>
      <c r="CX269" s="84"/>
      <c r="CY269" s="86"/>
    </row>
    <row r="270" spans="1:103" ht="25.5" x14ac:dyDescent="0.2">
      <c r="A270" s="43">
        <v>39901</v>
      </c>
      <c r="B270" s="44" t="s">
        <v>1066</v>
      </c>
      <c r="C270" s="44" t="s">
        <v>945</v>
      </c>
      <c r="D270" s="45" t="s">
        <v>1092</v>
      </c>
      <c r="E270" s="11"/>
      <c r="F270" s="12">
        <v>2</v>
      </c>
      <c r="G270" s="12"/>
      <c r="H270" s="12">
        <v>162</v>
      </c>
      <c r="I270" s="12">
        <v>33</v>
      </c>
      <c r="J270" s="12">
        <v>33</v>
      </c>
      <c r="K270" s="12"/>
      <c r="L270" s="12"/>
      <c r="M270" s="12"/>
      <c r="N270" s="12"/>
      <c r="O270" s="12"/>
      <c r="P270" s="12"/>
      <c r="Q270" s="12"/>
      <c r="R270" s="12"/>
      <c r="S270" s="12"/>
      <c r="T270" s="13"/>
      <c r="U270" s="46"/>
      <c r="V270" s="47"/>
      <c r="W270" s="48">
        <f t="shared" si="31"/>
        <v>0</v>
      </c>
      <c r="X270" s="48">
        <f t="shared" si="32"/>
        <v>0</v>
      </c>
      <c r="Y270" s="48">
        <f t="shared" si="33"/>
        <v>0</v>
      </c>
      <c r="Z270" s="48">
        <f t="shared" si="34"/>
        <v>0</v>
      </c>
      <c r="AA270" s="48"/>
      <c r="AB270" s="48"/>
      <c r="AC270" s="49">
        <f t="shared" si="35"/>
        <v>0</v>
      </c>
      <c r="AD270" s="50">
        <v>0</v>
      </c>
      <c r="AE270" s="47">
        <v>39902</v>
      </c>
      <c r="AF270" s="51" t="s">
        <v>516</v>
      </c>
      <c r="AG270" s="52" t="s">
        <v>517</v>
      </c>
      <c r="AH270" s="53" t="s">
        <v>1281</v>
      </c>
      <c r="AI270" s="79"/>
      <c r="AJ270" s="80"/>
      <c r="AK270" s="81"/>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2"/>
      <c r="CL270" s="12"/>
      <c r="CM270" s="82"/>
      <c r="CN270" s="12"/>
      <c r="CO270" s="82"/>
      <c r="CP270" s="12"/>
      <c r="CQ270" s="83">
        <f t="shared" si="36"/>
        <v>0</v>
      </c>
      <c r="CR270" s="84"/>
      <c r="CS270" s="13"/>
      <c r="CT270" s="85"/>
      <c r="CU270" s="86"/>
      <c r="CV270" s="11"/>
      <c r="CW270" s="86"/>
      <c r="CX270" s="84"/>
      <c r="CY270" s="86"/>
    </row>
    <row r="271" spans="1:103" ht="25.5" x14ac:dyDescent="0.2">
      <c r="A271" s="43">
        <v>39901</v>
      </c>
      <c r="B271" s="44" t="s">
        <v>1066</v>
      </c>
      <c r="C271" s="44" t="s">
        <v>359</v>
      </c>
      <c r="D271" s="45" t="s">
        <v>1092</v>
      </c>
      <c r="E271" s="11"/>
      <c r="F271" s="12"/>
      <c r="G271" s="12"/>
      <c r="H271" s="12">
        <v>30</v>
      </c>
      <c r="I271" s="12">
        <v>6</v>
      </c>
      <c r="J271" s="12">
        <v>6</v>
      </c>
      <c r="K271" s="12"/>
      <c r="L271" s="12"/>
      <c r="M271" s="12"/>
      <c r="N271" s="12"/>
      <c r="O271" s="12"/>
      <c r="P271" s="12"/>
      <c r="Q271" s="12"/>
      <c r="R271" s="12"/>
      <c r="S271" s="12"/>
      <c r="T271" s="13"/>
      <c r="U271" s="46"/>
      <c r="V271" s="47"/>
      <c r="W271" s="48">
        <f t="shared" si="31"/>
        <v>0</v>
      </c>
      <c r="X271" s="48">
        <f t="shared" si="32"/>
        <v>0</v>
      </c>
      <c r="Y271" s="48">
        <f t="shared" si="33"/>
        <v>0</v>
      </c>
      <c r="Z271" s="48">
        <f t="shared" si="34"/>
        <v>0</v>
      </c>
      <c r="AA271" s="48"/>
      <c r="AB271" s="48"/>
      <c r="AC271" s="49">
        <f t="shared" si="35"/>
        <v>0</v>
      </c>
      <c r="AD271" s="50">
        <v>0</v>
      </c>
      <c r="AE271" s="47">
        <v>39902</v>
      </c>
      <c r="AF271" s="51" t="s">
        <v>516</v>
      </c>
      <c r="AG271" s="52" t="s">
        <v>517</v>
      </c>
      <c r="AH271" s="53" t="s">
        <v>1281</v>
      </c>
      <c r="AI271" s="79"/>
      <c r="AJ271" s="80"/>
      <c r="AK271" s="81"/>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2"/>
      <c r="CL271" s="12"/>
      <c r="CM271" s="82"/>
      <c r="CN271" s="12"/>
      <c r="CO271" s="82"/>
      <c r="CP271" s="12"/>
      <c r="CQ271" s="83">
        <f t="shared" si="36"/>
        <v>0</v>
      </c>
      <c r="CR271" s="84"/>
      <c r="CS271" s="13"/>
      <c r="CT271" s="85"/>
      <c r="CU271" s="86"/>
      <c r="CV271" s="11"/>
      <c r="CW271" s="86"/>
      <c r="CX271" s="84"/>
      <c r="CY271" s="86"/>
    </row>
    <row r="272" spans="1:103" ht="25.5" x14ac:dyDescent="0.2">
      <c r="A272" s="43">
        <v>39901</v>
      </c>
      <c r="B272" s="44" t="s">
        <v>1066</v>
      </c>
      <c r="C272" s="44" t="s">
        <v>360</v>
      </c>
      <c r="D272" s="45" t="s">
        <v>1092</v>
      </c>
      <c r="E272" s="11"/>
      <c r="F272" s="12"/>
      <c r="G272" s="12"/>
      <c r="H272" s="12">
        <v>37</v>
      </c>
      <c r="I272" s="12">
        <v>11</v>
      </c>
      <c r="J272" s="12">
        <v>1</v>
      </c>
      <c r="K272" s="12">
        <v>10</v>
      </c>
      <c r="L272" s="12"/>
      <c r="M272" s="12"/>
      <c r="N272" s="12"/>
      <c r="O272" s="12">
        <v>1</v>
      </c>
      <c r="P272" s="12"/>
      <c r="Q272" s="12"/>
      <c r="R272" s="12"/>
      <c r="S272" s="12"/>
      <c r="T272" s="13"/>
      <c r="U272" s="46"/>
      <c r="V272" s="47"/>
      <c r="W272" s="48">
        <f t="shared" si="31"/>
        <v>0</v>
      </c>
      <c r="X272" s="48">
        <f t="shared" si="32"/>
        <v>0</v>
      </c>
      <c r="Y272" s="48">
        <f t="shared" si="33"/>
        <v>0</v>
      </c>
      <c r="Z272" s="48">
        <f t="shared" si="34"/>
        <v>0</v>
      </c>
      <c r="AA272" s="48"/>
      <c r="AB272" s="48"/>
      <c r="AC272" s="49">
        <f t="shared" si="35"/>
        <v>0</v>
      </c>
      <c r="AD272" s="50">
        <v>0</v>
      </c>
      <c r="AE272" s="47">
        <v>39902</v>
      </c>
      <c r="AF272" s="51" t="s">
        <v>516</v>
      </c>
      <c r="AG272" s="52" t="s">
        <v>517</v>
      </c>
      <c r="AH272" s="53" t="s">
        <v>1281</v>
      </c>
      <c r="AI272" s="79"/>
      <c r="AJ272" s="80"/>
      <c r="AK272" s="81"/>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2"/>
      <c r="CL272" s="12"/>
      <c r="CM272" s="82"/>
      <c r="CN272" s="12"/>
      <c r="CO272" s="82"/>
      <c r="CP272" s="12"/>
      <c r="CQ272" s="83">
        <f t="shared" si="36"/>
        <v>0</v>
      </c>
      <c r="CR272" s="84"/>
      <c r="CS272" s="13"/>
      <c r="CT272" s="85"/>
      <c r="CU272" s="86"/>
      <c r="CV272" s="11"/>
      <c r="CW272" s="86"/>
      <c r="CX272" s="84"/>
      <c r="CY272" s="86"/>
    </row>
    <row r="273" spans="1:103" ht="25.5" x14ac:dyDescent="0.2">
      <c r="A273" s="43">
        <v>39901</v>
      </c>
      <c r="B273" s="44" t="s">
        <v>1066</v>
      </c>
      <c r="C273" s="44" t="s">
        <v>596</v>
      </c>
      <c r="D273" s="45" t="s">
        <v>1092</v>
      </c>
      <c r="E273" s="11"/>
      <c r="F273" s="12"/>
      <c r="G273" s="12"/>
      <c r="H273" s="12">
        <v>250</v>
      </c>
      <c r="I273" s="12">
        <v>50</v>
      </c>
      <c r="J273" s="12"/>
      <c r="K273" s="12">
        <v>50</v>
      </c>
      <c r="L273" s="12"/>
      <c r="M273" s="12"/>
      <c r="N273" s="12"/>
      <c r="O273" s="12">
        <v>1</v>
      </c>
      <c r="P273" s="12"/>
      <c r="Q273" s="12"/>
      <c r="R273" s="12"/>
      <c r="S273" s="12"/>
      <c r="T273" s="13"/>
      <c r="U273" s="46"/>
      <c r="V273" s="47"/>
      <c r="W273" s="48">
        <f t="shared" si="31"/>
        <v>0</v>
      </c>
      <c r="X273" s="48">
        <f t="shared" si="32"/>
        <v>0</v>
      </c>
      <c r="Y273" s="48">
        <f t="shared" si="33"/>
        <v>0</v>
      </c>
      <c r="Z273" s="48">
        <f t="shared" si="34"/>
        <v>0</v>
      </c>
      <c r="AA273" s="48"/>
      <c r="AB273" s="48"/>
      <c r="AC273" s="49">
        <f t="shared" si="35"/>
        <v>0</v>
      </c>
      <c r="AD273" s="50">
        <v>0</v>
      </c>
      <c r="AE273" s="47">
        <v>39902</v>
      </c>
      <c r="AF273" s="51" t="s">
        <v>516</v>
      </c>
      <c r="AG273" s="52" t="s">
        <v>517</v>
      </c>
      <c r="AH273" s="53" t="s">
        <v>1281</v>
      </c>
      <c r="AI273" s="79"/>
      <c r="AJ273" s="80"/>
      <c r="AK273" s="81"/>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2"/>
      <c r="CL273" s="12"/>
      <c r="CM273" s="82"/>
      <c r="CN273" s="12"/>
      <c r="CO273" s="82"/>
      <c r="CP273" s="12"/>
      <c r="CQ273" s="83">
        <f t="shared" si="36"/>
        <v>0</v>
      </c>
      <c r="CR273" s="84"/>
      <c r="CS273" s="13"/>
      <c r="CT273" s="85"/>
      <c r="CU273" s="86"/>
      <c r="CV273" s="11"/>
      <c r="CW273" s="86"/>
      <c r="CX273" s="84"/>
      <c r="CY273" s="86"/>
    </row>
    <row r="274" spans="1:103" ht="25.5" x14ac:dyDescent="0.2">
      <c r="A274" s="43">
        <v>39901</v>
      </c>
      <c r="B274" s="44" t="s">
        <v>1066</v>
      </c>
      <c r="C274" s="44" t="s">
        <v>273</v>
      </c>
      <c r="D274" s="45" t="s">
        <v>1118</v>
      </c>
      <c r="E274" s="11"/>
      <c r="F274" s="12"/>
      <c r="G274" s="12"/>
      <c r="H274" s="12">
        <v>310</v>
      </c>
      <c r="I274" s="12">
        <v>62</v>
      </c>
      <c r="J274" s="12"/>
      <c r="K274" s="12">
        <v>62</v>
      </c>
      <c r="L274" s="12"/>
      <c r="M274" s="12"/>
      <c r="N274" s="12"/>
      <c r="O274" s="12"/>
      <c r="P274" s="12"/>
      <c r="Q274" s="12"/>
      <c r="R274" s="12"/>
      <c r="S274" s="12"/>
      <c r="T274" s="13"/>
      <c r="U274" s="46"/>
      <c r="V274" s="47"/>
      <c r="W274" s="48">
        <f t="shared" si="31"/>
        <v>0</v>
      </c>
      <c r="X274" s="48">
        <f t="shared" si="32"/>
        <v>0</v>
      </c>
      <c r="Y274" s="48">
        <f t="shared" si="33"/>
        <v>0</v>
      </c>
      <c r="Z274" s="48">
        <f t="shared" si="34"/>
        <v>0</v>
      </c>
      <c r="AA274" s="48"/>
      <c r="AB274" s="48"/>
      <c r="AC274" s="49">
        <f t="shared" si="35"/>
        <v>0</v>
      </c>
      <c r="AD274" s="50">
        <v>0</v>
      </c>
      <c r="AE274" s="47">
        <v>39903</v>
      </c>
      <c r="AF274" s="51" t="s">
        <v>516</v>
      </c>
      <c r="AG274" s="52" t="s">
        <v>517</v>
      </c>
      <c r="AH274" s="53" t="s">
        <v>1398</v>
      </c>
      <c r="AI274" s="79"/>
      <c r="AJ274" s="80"/>
      <c r="AK274" s="81"/>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2"/>
      <c r="CL274" s="12"/>
      <c r="CM274" s="82"/>
      <c r="CN274" s="12"/>
      <c r="CO274" s="82"/>
      <c r="CP274" s="12"/>
      <c r="CQ274" s="83">
        <f t="shared" si="36"/>
        <v>0</v>
      </c>
      <c r="CR274" s="84"/>
      <c r="CS274" s="13"/>
      <c r="CT274" s="85"/>
      <c r="CU274" s="86"/>
      <c r="CV274" s="11"/>
      <c r="CW274" s="86"/>
      <c r="CX274" s="84"/>
      <c r="CY274" s="86"/>
    </row>
    <row r="275" spans="1:103" ht="25.5" x14ac:dyDescent="0.2">
      <c r="A275" s="43">
        <v>39901</v>
      </c>
      <c r="B275" s="44" t="s">
        <v>1091</v>
      </c>
      <c r="C275" s="44" t="s">
        <v>288</v>
      </c>
      <c r="D275" s="45" t="s">
        <v>1118</v>
      </c>
      <c r="E275" s="11"/>
      <c r="F275" s="12"/>
      <c r="G275" s="12"/>
      <c r="H275" s="12">
        <v>27</v>
      </c>
      <c r="I275" s="12">
        <v>5</v>
      </c>
      <c r="J275" s="12"/>
      <c r="K275" s="12">
        <v>5</v>
      </c>
      <c r="L275" s="12"/>
      <c r="M275" s="12"/>
      <c r="N275" s="12"/>
      <c r="O275" s="12"/>
      <c r="P275" s="12"/>
      <c r="Q275" s="12"/>
      <c r="R275" s="12"/>
      <c r="S275" s="12"/>
      <c r="T275" s="13"/>
      <c r="U275" s="46"/>
      <c r="V275" s="47"/>
      <c r="W275" s="48">
        <f t="shared" si="31"/>
        <v>0</v>
      </c>
      <c r="X275" s="48">
        <f t="shared" si="32"/>
        <v>0</v>
      </c>
      <c r="Y275" s="48">
        <f t="shared" si="33"/>
        <v>0</v>
      </c>
      <c r="Z275" s="48">
        <f t="shared" si="34"/>
        <v>0</v>
      </c>
      <c r="AA275" s="48"/>
      <c r="AB275" s="48"/>
      <c r="AC275" s="49">
        <f t="shared" si="35"/>
        <v>0</v>
      </c>
      <c r="AD275" s="50">
        <v>0</v>
      </c>
      <c r="AE275" s="47">
        <v>39903</v>
      </c>
      <c r="AF275" s="51" t="s">
        <v>516</v>
      </c>
      <c r="AG275" s="52" t="s">
        <v>517</v>
      </c>
      <c r="AH275" s="53" t="s">
        <v>1397</v>
      </c>
      <c r="AI275" s="79"/>
      <c r="AJ275" s="80"/>
      <c r="AK275" s="81"/>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2"/>
      <c r="CL275" s="12"/>
      <c r="CM275" s="82"/>
      <c r="CN275" s="12"/>
      <c r="CO275" s="82"/>
      <c r="CP275" s="12"/>
      <c r="CQ275" s="83">
        <f t="shared" si="36"/>
        <v>0</v>
      </c>
      <c r="CR275" s="84"/>
      <c r="CS275" s="13"/>
      <c r="CT275" s="85"/>
      <c r="CU275" s="86"/>
      <c r="CV275" s="11"/>
      <c r="CW275" s="86"/>
      <c r="CX275" s="84"/>
      <c r="CY275" s="86"/>
    </row>
    <row r="276" spans="1:103" ht="25.5" x14ac:dyDescent="0.2">
      <c r="A276" s="60">
        <v>39902</v>
      </c>
      <c r="B276" s="61" t="s">
        <v>625</v>
      </c>
      <c r="C276" s="61" t="s">
        <v>1454</v>
      </c>
      <c r="D276" s="62" t="s">
        <v>1118</v>
      </c>
      <c r="E276" s="11"/>
      <c r="F276" s="12"/>
      <c r="G276" s="12"/>
      <c r="H276" s="12"/>
      <c r="I276" s="12"/>
      <c r="J276" s="12"/>
      <c r="K276" s="12"/>
      <c r="L276" s="12"/>
      <c r="M276" s="12"/>
      <c r="N276" s="12"/>
      <c r="O276" s="12"/>
      <c r="P276" s="12"/>
      <c r="Q276" s="12"/>
      <c r="R276" s="12"/>
      <c r="S276" s="12"/>
      <c r="T276" s="13"/>
      <c r="U276" s="46"/>
      <c r="V276" s="47">
        <v>39926</v>
      </c>
      <c r="W276" s="48">
        <f t="shared" si="31"/>
        <v>0</v>
      </c>
      <c r="X276" s="48">
        <f t="shared" si="32"/>
        <v>85000000</v>
      </c>
      <c r="Y276" s="48">
        <f t="shared" si="33"/>
        <v>0</v>
      </c>
      <c r="Z276" s="48">
        <f t="shared" si="34"/>
        <v>0</v>
      </c>
      <c r="AA276" s="48"/>
      <c r="AB276" s="48"/>
      <c r="AC276" s="49">
        <f t="shared" si="35"/>
        <v>85000000</v>
      </c>
      <c r="AD276" s="50">
        <v>0</v>
      </c>
      <c r="AE276" s="47">
        <v>39902</v>
      </c>
      <c r="AF276" s="51" t="s">
        <v>1016</v>
      </c>
      <c r="AG276" s="52" t="s">
        <v>565</v>
      </c>
      <c r="AH276" s="53" t="s">
        <v>182</v>
      </c>
      <c r="AI276" s="79"/>
      <c r="AJ276" s="80"/>
      <c r="AK276" s="81"/>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2"/>
      <c r="CL276" s="12"/>
      <c r="CM276" s="82"/>
      <c r="CN276" s="12"/>
      <c r="CO276" s="82"/>
      <c r="CP276" s="12"/>
      <c r="CQ276" s="83">
        <f t="shared" si="36"/>
        <v>0</v>
      </c>
      <c r="CR276" s="84"/>
      <c r="CS276" s="13"/>
      <c r="CT276" s="85">
        <v>1000</v>
      </c>
      <c r="CU276" s="86">
        <f>1000*85000</f>
        <v>85000000</v>
      </c>
      <c r="CV276" s="11"/>
      <c r="CW276" s="86"/>
      <c r="CX276" s="84"/>
      <c r="CY276" s="86"/>
    </row>
    <row r="277" spans="1:103" ht="25.5" x14ac:dyDescent="0.2">
      <c r="A277" s="43">
        <v>39902</v>
      </c>
      <c r="B277" s="44" t="s">
        <v>1067</v>
      </c>
      <c r="C277" s="44" t="s">
        <v>1346</v>
      </c>
      <c r="D277" s="45" t="s">
        <v>1118</v>
      </c>
      <c r="E277" s="11"/>
      <c r="F277" s="12"/>
      <c r="G277" s="12"/>
      <c r="H277" s="12"/>
      <c r="I277" s="12"/>
      <c r="J277" s="12"/>
      <c r="K277" s="12"/>
      <c r="L277" s="12"/>
      <c r="M277" s="12"/>
      <c r="N277" s="12"/>
      <c r="O277" s="12"/>
      <c r="P277" s="12"/>
      <c r="Q277" s="12"/>
      <c r="R277" s="12"/>
      <c r="S277" s="12"/>
      <c r="T277" s="13"/>
      <c r="U277" s="46"/>
      <c r="V277" s="47">
        <v>39927</v>
      </c>
      <c r="W277" s="48">
        <f t="shared" si="31"/>
        <v>0</v>
      </c>
      <c r="X277" s="48">
        <f t="shared" si="32"/>
        <v>0</v>
      </c>
      <c r="Y277" s="48">
        <f t="shared" si="33"/>
        <v>0</v>
      </c>
      <c r="Z277" s="48">
        <f t="shared" si="34"/>
        <v>90016000</v>
      </c>
      <c r="AA277" s="48"/>
      <c r="AB277" s="48"/>
      <c r="AC277" s="49">
        <f t="shared" si="35"/>
        <v>90016000</v>
      </c>
      <c r="AD277" s="50">
        <v>0</v>
      </c>
      <c r="AE277" s="47">
        <v>39902</v>
      </c>
      <c r="AF277" s="51" t="s">
        <v>1016</v>
      </c>
      <c r="AG277" s="52" t="s">
        <v>565</v>
      </c>
      <c r="AH277" s="53" t="s">
        <v>488</v>
      </c>
      <c r="AI277" s="79"/>
      <c r="AJ277" s="80"/>
      <c r="AK277" s="81"/>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2"/>
      <c r="CL277" s="12"/>
      <c r="CM277" s="82"/>
      <c r="CN277" s="12"/>
      <c r="CO277" s="82"/>
      <c r="CP277" s="12"/>
      <c r="CQ277" s="83">
        <f t="shared" si="36"/>
        <v>0</v>
      </c>
      <c r="CR277" s="84">
        <f>50000+500000</f>
        <v>550000</v>
      </c>
      <c r="CS277" s="13">
        <f>50000*900.16+50000*900.16</f>
        <v>90016000</v>
      </c>
      <c r="CT277" s="85"/>
      <c r="CU277" s="86"/>
      <c r="CV277" s="11"/>
      <c r="CW277" s="86"/>
      <c r="CX277" s="84"/>
      <c r="CY277" s="86"/>
    </row>
    <row r="278" spans="1:103" ht="38.25" x14ac:dyDescent="0.2">
      <c r="A278" s="43">
        <v>39902</v>
      </c>
      <c r="B278" s="44" t="s">
        <v>904</v>
      </c>
      <c r="C278" s="44" t="s">
        <v>1004</v>
      </c>
      <c r="D278" s="45" t="s">
        <v>1116</v>
      </c>
      <c r="E278" s="11"/>
      <c r="F278" s="12"/>
      <c r="G278" s="12"/>
      <c r="H278" s="12">
        <v>10</v>
      </c>
      <c r="I278" s="12">
        <v>2</v>
      </c>
      <c r="J278" s="12"/>
      <c r="K278" s="12">
        <v>2</v>
      </c>
      <c r="L278" s="12"/>
      <c r="M278" s="12"/>
      <c r="N278" s="12"/>
      <c r="O278" s="12"/>
      <c r="P278" s="12"/>
      <c r="Q278" s="12"/>
      <c r="R278" s="12"/>
      <c r="S278" s="12"/>
      <c r="T278" s="13"/>
      <c r="U278" s="46"/>
      <c r="V278" s="47"/>
      <c r="W278" s="48">
        <f t="shared" si="31"/>
        <v>0</v>
      </c>
      <c r="X278" s="48">
        <f t="shared" si="32"/>
        <v>0</v>
      </c>
      <c r="Y278" s="48">
        <f t="shared" si="33"/>
        <v>0</v>
      </c>
      <c r="Z278" s="48">
        <f t="shared" si="34"/>
        <v>0</v>
      </c>
      <c r="AA278" s="48"/>
      <c r="AB278" s="48"/>
      <c r="AC278" s="49">
        <f t="shared" si="35"/>
        <v>0</v>
      </c>
      <c r="AD278" s="50">
        <v>0</v>
      </c>
      <c r="AE278" s="47">
        <v>39903</v>
      </c>
      <c r="AF278" s="51" t="s">
        <v>516</v>
      </c>
      <c r="AG278" s="52" t="s">
        <v>517</v>
      </c>
      <c r="AH278" s="53" t="s">
        <v>1412</v>
      </c>
      <c r="AI278" s="79"/>
      <c r="AJ278" s="80"/>
      <c r="AK278" s="81"/>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2"/>
      <c r="CL278" s="12"/>
      <c r="CM278" s="82"/>
      <c r="CN278" s="12"/>
      <c r="CO278" s="82"/>
      <c r="CP278" s="12"/>
      <c r="CQ278" s="83">
        <f t="shared" si="36"/>
        <v>0</v>
      </c>
      <c r="CR278" s="84"/>
      <c r="CS278" s="13"/>
      <c r="CT278" s="85"/>
      <c r="CU278" s="86"/>
      <c r="CV278" s="11"/>
      <c r="CW278" s="86"/>
      <c r="CX278" s="84"/>
      <c r="CY278" s="86"/>
    </row>
    <row r="279" spans="1:103" ht="38.25" x14ac:dyDescent="0.2">
      <c r="A279" s="43">
        <v>39902</v>
      </c>
      <c r="B279" s="44" t="s">
        <v>1224</v>
      </c>
      <c r="C279" s="44" t="s">
        <v>1079</v>
      </c>
      <c r="D279" s="45" t="s">
        <v>1118</v>
      </c>
      <c r="E279" s="11"/>
      <c r="F279" s="12"/>
      <c r="G279" s="12"/>
      <c r="H279" s="12">
        <f>300*5</f>
        <v>1500</v>
      </c>
      <c r="I279" s="12">
        <v>300</v>
      </c>
      <c r="J279" s="12"/>
      <c r="K279" s="12">
        <v>300</v>
      </c>
      <c r="L279" s="12"/>
      <c r="M279" s="12"/>
      <c r="N279" s="12"/>
      <c r="O279" s="12">
        <v>1</v>
      </c>
      <c r="P279" s="12"/>
      <c r="Q279" s="12"/>
      <c r="R279" s="12"/>
      <c r="S279" s="12"/>
      <c r="T279" s="13"/>
      <c r="U279" s="46"/>
      <c r="V279" s="47">
        <v>39944</v>
      </c>
      <c r="W279" s="48">
        <f t="shared" si="31"/>
        <v>47348000</v>
      </c>
      <c r="X279" s="48">
        <f t="shared" si="32"/>
        <v>11560000</v>
      </c>
      <c r="Y279" s="48">
        <f t="shared" si="33"/>
        <v>0</v>
      </c>
      <c r="Z279" s="48">
        <f t="shared" si="34"/>
        <v>0</v>
      </c>
      <c r="AA279" s="48"/>
      <c r="AB279" s="48"/>
      <c r="AC279" s="49">
        <f t="shared" si="35"/>
        <v>58908000</v>
      </c>
      <c r="AD279" s="50">
        <v>0</v>
      </c>
      <c r="AE279" s="47">
        <v>39903</v>
      </c>
      <c r="AF279" s="51" t="s">
        <v>1016</v>
      </c>
      <c r="AG279" s="52" t="s">
        <v>565</v>
      </c>
      <c r="AH279" s="53" t="s">
        <v>160</v>
      </c>
      <c r="AI279" s="79"/>
      <c r="AJ279" s="80"/>
      <c r="AK279" s="81"/>
      <c r="AL279" s="80"/>
      <c r="AM279" s="80"/>
      <c r="AN279" s="80"/>
      <c r="AO279" s="80"/>
      <c r="AP279" s="80"/>
      <c r="AQ279" s="80">
        <v>536</v>
      </c>
      <c r="AR279" s="80">
        <f>536*18000</f>
        <v>9648000</v>
      </c>
      <c r="AS279" s="80"/>
      <c r="AT279" s="80"/>
      <c r="AU279" s="80">
        <v>536</v>
      </c>
      <c r="AV279" s="80">
        <f>536*56000</f>
        <v>30016000</v>
      </c>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2">
        <v>136</v>
      </c>
      <c r="CL279" s="12">
        <f>136*38500</f>
        <v>5236000</v>
      </c>
      <c r="CM279" s="82">
        <v>68</v>
      </c>
      <c r="CN279" s="12">
        <f>68*36000</f>
        <v>2448000</v>
      </c>
      <c r="CO279" s="82"/>
      <c r="CP279" s="12"/>
      <c r="CQ279" s="83">
        <f t="shared" si="36"/>
        <v>47348000</v>
      </c>
      <c r="CR279" s="84"/>
      <c r="CS279" s="13"/>
      <c r="CT279" s="85">
        <v>136</v>
      </c>
      <c r="CU279" s="86">
        <f>136*85000</f>
        <v>11560000</v>
      </c>
      <c r="CV279" s="11"/>
      <c r="CW279" s="86"/>
      <c r="CX279" s="84"/>
      <c r="CY279" s="86"/>
    </row>
    <row r="280" spans="1:103" ht="25.5" x14ac:dyDescent="0.2">
      <c r="A280" s="43">
        <v>39902</v>
      </c>
      <c r="B280" s="44" t="s">
        <v>688</v>
      </c>
      <c r="C280" s="44" t="s">
        <v>1454</v>
      </c>
      <c r="D280" s="45" t="s">
        <v>1118</v>
      </c>
      <c r="E280" s="11"/>
      <c r="F280" s="12"/>
      <c r="G280" s="12"/>
      <c r="H280" s="12"/>
      <c r="I280" s="12"/>
      <c r="J280" s="12"/>
      <c r="K280" s="12"/>
      <c r="L280" s="12"/>
      <c r="M280" s="12"/>
      <c r="N280" s="12"/>
      <c r="O280" s="12"/>
      <c r="P280" s="12"/>
      <c r="Q280" s="12"/>
      <c r="R280" s="12"/>
      <c r="S280" s="12"/>
      <c r="T280" s="13"/>
      <c r="U280" s="46"/>
      <c r="V280" s="47">
        <v>39927</v>
      </c>
      <c r="W280" s="48">
        <f t="shared" si="31"/>
        <v>0</v>
      </c>
      <c r="X280" s="48">
        <f t="shared" si="32"/>
        <v>0</v>
      </c>
      <c r="Y280" s="48">
        <f t="shared" si="33"/>
        <v>0</v>
      </c>
      <c r="Z280" s="48">
        <f t="shared" si="34"/>
        <v>135024000</v>
      </c>
      <c r="AA280" s="48"/>
      <c r="AB280" s="48"/>
      <c r="AC280" s="49">
        <f t="shared" si="35"/>
        <v>135024000</v>
      </c>
      <c r="AD280" s="50">
        <v>0</v>
      </c>
      <c r="AE280" s="47">
        <v>39903</v>
      </c>
      <c r="AF280" s="51" t="s">
        <v>1016</v>
      </c>
      <c r="AG280" s="52" t="s">
        <v>565</v>
      </c>
      <c r="AH280" s="53" t="s">
        <v>1260</v>
      </c>
      <c r="AI280" s="79"/>
      <c r="AJ280" s="80"/>
      <c r="AK280" s="81"/>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2"/>
      <c r="CL280" s="12"/>
      <c r="CM280" s="82"/>
      <c r="CN280" s="12"/>
      <c r="CO280" s="82"/>
      <c r="CP280" s="12"/>
      <c r="CQ280" s="83">
        <f t="shared" si="36"/>
        <v>0</v>
      </c>
      <c r="CR280" s="84">
        <f>50000+100000</f>
        <v>150000</v>
      </c>
      <c r="CS280" s="13">
        <f>50000*900.16+100000*900.16</f>
        <v>135024000</v>
      </c>
      <c r="CT280" s="85"/>
      <c r="CU280" s="86"/>
      <c r="CV280" s="11"/>
      <c r="CW280" s="86"/>
      <c r="CX280" s="84"/>
      <c r="CY280" s="86"/>
    </row>
    <row r="281" spans="1:103" ht="25.5" x14ac:dyDescent="0.2">
      <c r="A281" s="43">
        <v>39902</v>
      </c>
      <c r="B281" s="44" t="s">
        <v>1127</v>
      </c>
      <c r="C281" s="44" t="s">
        <v>1458</v>
      </c>
      <c r="D281" s="45" t="s">
        <v>1092</v>
      </c>
      <c r="E281" s="11"/>
      <c r="F281" s="12"/>
      <c r="G281" s="12"/>
      <c r="H281" s="12">
        <f>85*5</f>
        <v>425</v>
      </c>
      <c r="I281" s="12">
        <v>85</v>
      </c>
      <c r="J281" s="12"/>
      <c r="K281" s="12">
        <v>85</v>
      </c>
      <c r="L281" s="12"/>
      <c r="M281" s="12"/>
      <c r="N281" s="12"/>
      <c r="O281" s="12"/>
      <c r="P281" s="12"/>
      <c r="Q281" s="12"/>
      <c r="R281" s="12"/>
      <c r="S281" s="12"/>
      <c r="T281" s="13"/>
      <c r="U281" s="46"/>
      <c r="V281" s="47"/>
      <c r="W281" s="48">
        <f t="shared" si="31"/>
        <v>0</v>
      </c>
      <c r="X281" s="48">
        <f t="shared" si="32"/>
        <v>0</v>
      </c>
      <c r="Y281" s="48">
        <f t="shared" si="33"/>
        <v>0</v>
      </c>
      <c r="Z281" s="48">
        <f t="shared" si="34"/>
        <v>0</v>
      </c>
      <c r="AA281" s="48"/>
      <c r="AB281" s="48"/>
      <c r="AC281" s="49">
        <f t="shared" si="35"/>
        <v>0</v>
      </c>
      <c r="AD281" s="50">
        <v>0</v>
      </c>
      <c r="AE281" s="47">
        <v>39903</v>
      </c>
      <c r="AF281" s="51" t="s">
        <v>516</v>
      </c>
      <c r="AG281" s="52" t="s">
        <v>517</v>
      </c>
      <c r="AH281" s="53" t="s">
        <v>1464</v>
      </c>
      <c r="AI281" s="79"/>
      <c r="AJ281" s="80"/>
      <c r="AK281" s="81"/>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2"/>
      <c r="CL281" s="12"/>
      <c r="CM281" s="82"/>
      <c r="CN281" s="12"/>
      <c r="CO281" s="82"/>
      <c r="CP281" s="12"/>
      <c r="CQ281" s="83">
        <f t="shared" si="36"/>
        <v>0</v>
      </c>
      <c r="CR281" s="84"/>
      <c r="CS281" s="13"/>
      <c r="CT281" s="85"/>
      <c r="CU281" s="86"/>
      <c r="CV281" s="11"/>
      <c r="CW281" s="86"/>
      <c r="CX281" s="84"/>
      <c r="CY281" s="86"/>
    </row>
    <row r="282" spans="1:103" ht="25.5" x14ac:dyDescent="0.2">
      <c r="A282" s="43">
        <v>39902</v>
      </c>
      <c r="B282" s="44" t="s">
        <v>1127</v>
      </c>
      <c r="C282" s="44" t="s">
        <v>186</v>
      </c>
      <c r="D282" s="91" t="s">
        <v>1118</v>
      </c>
      <c r="E282" s="11"/>
      <c r="F282" s="12"/>
      <c r="G282" s="12"/>
      <c r="H282" s="12">
        <v>100</v>
      </c>
      <c r="I282" s="12">
        <v>28</v>
      </c>
      <c r="J282" s="12"/>
      <c r="K282" s="12">
        <v>28</v>
      </c>
      <c r="L282" s="12"/>
      <c r="M282" s="12"/>
      <c r="N282" s="12"/>
      <c r="O282" s="12"/>
      <c r="P282" s="12"/>
      <c r="Q282" s="12"/>
      <c r="R282" s="12"/>
      <c r="S282" s="12"/>
      <c r="T282" s="13"/>
      <c r="U282" s="46"/>
      <c r="V282" s="47"/>
      <c r="W282" s="48">
        <f t="shared" si="31"/>
        <v>0</v>
      </c>
      <c r="X282" s="48">
        <f t="shared" si="32"/>
        <v>0</v>
      </c>
      <c r="Y282" s="48">
        <f t="shared" si="33"/>
        <v>0</v>
      </c>
      <c r="Z282" s="48">
        <f t="shared" si="34"/>
        <v>0</v>
      </c>
      <c r="AA282" s="48"/>
      <c r="AB282" s="48"/>
      <c r="AC282" s="49">
        <f t="shared" si="35"/>
        <v>0</v>
      </c>
      <c r="AD282" s="50">
        <v>0</v>
      </c>
      <c r="AE282" s="47">
        <v>39907</v>
      </c>
      <c r="AF282" s="51" t="s">
        <v>516</v>
      </c>
      <c r="AG282" s="52" t="s">
        <v>517</v>
      </c>
      <c r="AH282" s="53" t="s">
        <v>187</v>
      </c>
      <c r="AI282" s="79"/>
      <c r="AJ282" s="80"/>
      <c r="AK282" s="81"/>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2"/>
      <c r="CL282" s="12"/>
      <c r="CM282" s="82"/>
      <c r="CN282" s="12"/>
      <c r="CO282" s="82"/>
      <c r="CP282" s="12"/>
      <c r="CQ282" s="83">
        <f t="shared" si="36"/>
        <v>0</v>
      </c>
      <c r="CR282" s="84"/>
      <c r="CS282" s="13"/>
      <c r="CT282" s="85"/>
      <c r="CU282" s="86"/>
      <c r="CV282" s="11"/>
      <c r="CW282" s="86"/>
      <c r="CX282" s="84"/>
      <c r="CY282" s="86"/>
    </row>
    <row r="283" spans="1:103" ht="38.25" x14ac:dyDescent="0.2">
      <c r="A283" s="43">
        <v>39902</v>
      </c>
      <c r="B283" s="44" t="s">
        <v>1127</v>
      </c>
      <c r="C283" s="44" t="s">
        <v>295</v>
      </c>
      <c r="D283" s="45" t="s">
        <v>1118</v>
      </c>
      <c r="E283" s="11"/>
      <c r="F283" s="12"/>
      <c r="G283" s="12"/>
      <c r="H283" s="12">
        <f>14*5</f>
        <v>70</v>
      </c>
      <c r="I283" s="12">
        <v>14</v>
      </c>
      <c r="J283" s="12"/>
      <c r="K283" s="12"/>
      <c r="L283" s="12"/>
      <c r="M283" s="12"/>
      <c r="N283" s="12"/>
      <c r="O283" s="12"/>
      <c r="P283" s="12"/>
      <c r="Q283" s="12"/>
      <c r="R283" s="12"/>
      <c r="S283" s="12"/>
      <c r="T283" s="13"/>
      <c r="U283" s="46"/>
      <c r="V283" s="47"/>
      <c r="W283" s="48">
        <f t="shared" si="31"/>
        <v>0</v>
      </c>
      <c r="X283" s="48">
        <f t="shared" si="32"/>
        <v>0</v>
      </c>
      <c r="Y283" s="48">
        <f t="shared" si="33"/>
        <v>0</v>
      </c>
      <c r="Z283" s="48">
        <f t="shared" si="34"/>
        <v>0</v>
      </c>
      <c r="AA283" s="48"/>
      <c r="AB283" s="48"/>
      <c r="AC283" s="49">
        <f t="shared" si="35"/>
        <v>0</v>
      </c>
      <c r="AD283" s="50">
        <v>0</v>
      </c>
      <c r="AE283" s="47">
        <v>39919</v>
      </c>
      <c r="AF283" s="51" t="s">
        <v>516</v>
      </c>
      <c r="AG283" s="52" t="s">
        <v>517</v>
      </c>
      <c r="AH283" s="53" t="s">
        <v>524</v>
      </c>
      <c r="AI283" s="79"/>
      <c r="AJ283" s="80"/>
      <c r="AK283" s="81"/>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2"/>
      <c r="CL283" s="12"/>
      <c r="CM283" s="82"/>
      <c r="CN283" s="12"/>
      <c r="CO283" s="82"/>
      <c r="CP283" s="12"/>
      <c r="CQ283" s="83">
        <f t="shared" si="36"/>
        <v>0</v>
      </c>
      <c r="CR283" s="84"/>
      <c r="CS283" s="13"/>
      <c r="CT283" s="85"/>
      <c r="CU283" s="86"/>
      <c r="CV283" s="11"/>
      <c r="CW283" s="86"/>
      <c r="CX283" s="84"/>
      <c r="CY283" s="86"/>
    </row>
    <row r="284" spans="1:103" ht="25.5" x14ac:dyDescent="0.2">
      <c r="A284" s="43">
        <v>39902</v>
      </c>
      <c r="B284" s="44" t="s">
        <v>1066</v>
      </c>
      <c r="C284" s="44" t="s">
        <v>595</v>
      </c>
      <c r="D284" s="45" t="s">
        <v>1118</v>
      </c>
      <c r="E284" s="11"/>
      <c r="F284" s="12"/>
      <c r="G284" s="12"/>
      <c r="H284" s="12">
        <v>70</v>
      </c>
      <c r="I284" s="12">
        <v>25</v>
      </c>
      <c r="J284" s="12"/>
      <c r="K284" s="12">
        <v>25</v>
      </c>
      <c r="L284" s="12"/>
      <c r="M284" s="12"/>
      <c r="N284" s="12"/>
      <c r="O284" s="12"/>
      <c r="P284" s="12"/>
      <c r="Q284" s="12"/>
      <c r="R284" s="12"/>
      <c r="S284" s="12"/>
      <c r="T284" s="13">
        <v>10</v>
      </c>
      <c r="U284" s="46"/>
      <c r="V284" s="47"/>
      <c r="W284" s="48">
        <f t="shared" si="31"/>
        <v>0</v>
      </c>
      <c r="X284" s="48">
        <f t="shared" si="32"/>
        <v>0</v>
      </c>
      <c r="Y284" s="48">
        <f t="shared" si="33"/>
        <v>0</v>
      </c>
      <c r="Z284" s="48">
        <f t="shared" si="34"/>
        <v>0</v>
      </c>
      <c r="AA284" s="48"/>
      <c r="AB284" s="48"/>
      <c r="AC284" s="49">
        <f t="shared" si="35"/>
        <v>0</v>
      </c>
      <c r="AD284" s="50">
        <v>0</v>
      </c>
      <c r="AE284" s="47">
        <v>39903</v>
      </c>
      <c r="AF284" s="51" t="s">
        <v>516</v>
      </c>
      <c r="AG284" s="52" t="s">
        <v>517</v>
      </c>
      <c r="AH284" s="53" t="s">
        <v>1457</v>
      </c>
      <c r="AI284" s="79"/>
      <c r="AJ284" s="80"/>
      <c r="AK284" s="81"/>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2"/>
      <c r="CL284" s="12"/>
      <c r="CM284" s="82"/>
      <c r="CN284" s="12"/>
      <c r="CO284" s="82"/>
      <c r="CP284" s="12"/>
      <c r="CQ284" s="83">
        <f t="shared" si="36"/>
        <v>0</v>
      </c>
      <c r="CR284" s="84"/>
      <c r="CS284" s="13"/>
      <c r="CT284" s="85"/>
      <c r="CU284" s="86"/>
      <c r="CV284" s="11"/>
      <c r="CW284" s="86"/>
      <c r="CX284" s="84"/>
      <c r="CY284" s="86"/>
    </row>
    <row r="285" spans="1:103" ht="25.5" x14ac:dyDescent="0.2">
      <c r="A285" s="43">
        <v>39902</v>
      </c>
      <c r="B285" s="44" t="s">
        <v>1066</v>
      </c>
      <c r="C285" s="44" t="s">
        <v>1348</v>
      </c>
      <c r="D285" s="45" t="s">
        <v>1461</v>
      </c>
      <c r="E285" s="11">
        <v>6</v>
      </c>
      <c r="F285" s="12"/>
      <c r="G285" s="12"/>
      <c r="H285" s="12"/>
      <c r="I285" s="12"/>
      <c r="J285" s="12"/>
      <c r="K285" s="12"/>
      <c r="L285" s="12"/>
      <c r="M285" s="12"/>
      <c r="N285" s="12"/>
      <c r="O285" s="12"/>
      <c r="P285" s="12"/>
      <c r="Q285" s="12"/>
      <c r="R285" s="12"/>
      <c r="S285" s="12"/>
      <c r="T285" s="13"/>
      <c r="U285" s="46"/>
      <c r="V285" s="47"/>
      <c r="W285" s="48">
        <f t="shared" si="31"/>
        <v>0</v>
      </c>
      <c r="X285" s="48">
        <f t="shared" si="32"/>
        <v>0</v>
      </c>
      <c r="Y285" s="48">
        <f t="shared" si="33"/>
        <v>0</v>
      </c>
      <c r="Z285" s="48">
        <f t="shared" si="34"/>
        <v>0</v>
      </c>
      <c r="AA285" s="48"/>
      <c r="AB285" s="48"/>
      <c r="AC285" s="49">
        <f t="shared" si="35"/>
        <v>0</v>
      </c>
      <c r="AD285" s="50">
        <v>0</v>
      </c>
      <c r="AE285" s="47">
        <v>39903</v>
      </c>
      <c r="AF285" s="51" t="s">
        <v>516</v>
      </c>
      <c r="AG285" s="52" t="s">
        <v>517</v>
      </c>
      <c r="AH285" s="53" t="s">
        <v>1462</v>
      </c>
      <c r="AI285" s="79"/>
      <c r="AJ285" s="80"/>
      <c r="AK285" s="81"/>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2"/>
      <c r="CL285" s="12"/>
      <c r="CM285" s="82"/>
      <c r="CN285" s="12"/>
      <c r="CO285" s="82"/>
      <c r="CP285" s="12"/>
      <c r="CQ285" s="83">
        <f t="shared" si="36"/>
        <v>0</v>
      </c>
      <c r="CR285" s="84"/>
      <c r="CS285" s="13"/>
      <c r="CT285" s="85"/>
      <c r="CU285" s="86"/>
      <c r="CV285" s="11"/>
      <c r="CW285" s="86"/>
      <c r="CX285" s="84"/>
      <c r="CY285" s="86"/>
    </row>
    <row r="286" spans="1:103" ht="38.25" x14ac:dyDescent="0.2">
      <c r="A286" s="43">
        <v>39902</v>
      </c>
      <c r="B286" s="44" t="s">
        <v>1066</v>
      </c>
      <c r="C286" s="44" t="s">
        <v>592</v>
      </c>
      <c r="D286" s="45" t="s">
        <v>1092</v>
      </c>
      <c r="E286" s="11"/>
      <c r="F286" s="12"/>
      <c r="G286" s="12"/>
      <c r="H286" s="12">
        <f>230*5</f>
        <v>1150</v>
      </c>
      <c r="I286" s="12">
        <v>230</v>
      </c>
      <c r="J286" s="12">
        <v>23</v>
      </c>
      <c r="K286" s="12">
        <v>207</v>
      </c>
      <c r="L286" s="12"/>
      <c r="M286" s="12"/>
      <c r="N286" s="12"/>
      <c r="O286" s="12"/>
      <c r="P286" s="12"/>
      <c r="Q286" s="12"/>
      <c r="R286" s="12"/>
      <c r="S286" s="12"/>
      <c r="T286" s="13"/>
      <c r="U286" s="46"/>
      <c r="V286" s="47"/>
      <c r="W286" s="48">
        <f t="shared" si="31"/>
        <v>0</v>
      </c>
      <c r="X286" s="48">
        <f t="shared" si="32"/>
        <v>0</v>
      </c>
      <c r="Y286" s="48">
        <f t="shared" si="33"/>
        <v>0</v>
      </c>
      <c r="Z286" s="48">
        <f t="shared" si="34"/>
        <v>0</v>
      </c>
      <c r="AA286" s="48"/>
      <c r="AB286" s="48"/>
      <c r="AC286" s="49">
        <f t="shared" si="35"/>
        <v>0</v>
      </c>
      <c r="AD286" s="50">
        <v>0</v>
      </c>
      <c r="AE286" s="47">
        <v>39926</v>
      </c>
      <c r="AF286" s="51" t="s">
        <v>516</v>
      </c>
      <c r="AG286" s="52" t="s">
        <v>517</v>
      </c>
      <c r="AH286" s="53" t="s">
        <v>593</v>
      </c>
      <c r="AI286" s="79"/>
      <c r="AJ286" s="80"/>
      <c r="AK286" s="81"/>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2"/>
      <c r="CL286" s="12"/>
      <c r="CM286" s="82"/>
      <c r="CN286" s="12"/>
      <c r="CO286" s="82"/>
      <c r="CP286" s="12"/>
      <c r="CQ286" s="83">
        <f t="shared" si="36"/>
        <v>0</v>
      </c>
      <c r="CR286" s="84"/>
      <c r="CS286" s="13"/>
      <c r="CT286" s="85"/>
      <c r="CU286" s="86"/>
      <c r="CV286" s="11"/>
      <c r="CW286" s="86"/>
      <c r="CX286" s="84"/>
      <c r="CY286" s="86"/>
    </row>
    <row r="287" spans="1:103" ht="76.5" x14ac:dyDescent="0.2">
      <c r="A287" s="43">
        <v>39902</v>
      </c>
      <c r="B287" s="44" t="s">
        <v>1136</v>
      </c>
      <c r="C287" s="44" t="s">
        <v>1327</v>
      </c>
      <c r="D287" s="45" t="s">
        <v>1118</v>
      </c>
      <c r="E287" s="11"/>
      <c r="F287" s="12"/>
      <c r="G287" s="12"/>
      <c r="H287" s="12"/>
      <c r="I287" s="12"/>
      <c r="J287" s="12"/>
      <c r="K287" s="12"/>
      <c r="L287" s="12"/>
      <c r="M287" s="12"/>
      <c r="N287" s="12"/>
      <c r="O287" s="12"/>
      <c r="P287" s="12"/>
      <c r="Q287" s="12"/>
      <c r="R287" s="12"/>
      <c r="S287" s="12"/>
      <c r="T287" s="13"/>
      <c r="U287" s="46"/>
      <c r="V287" s="47"/>
      <c r="W287" s="48">
        <f t="shared" si="31"/>
        <v>0</v>
      </c>
      <c r="X287" s="48">
        <f t="shared" si="32"/>
        <v>0</v>
      </c>
      <c r="Y287" s="48">
        <f t="shared" si="33"/>
        <v>0</v>
      </c>
      <c r="Z287" s="48">
        <f t="shared" si="34"/>
        <v>0</v>
      </c>
      <c r="AA287" s="48"/>
      <c r="AB287" s="48"/>
      <c r="AC287" s="49">
        <f t="shared" si="35"/>
        <v>0</v>
      </c>
      <c r="AD287" s="50">
        <v>0</v>
      </c>
      <c r="AE287" s="47">
        <v>39951</v>
      </c>
      <c r="AF287" s="51" t="s">
        <v>516</v>
      </c>
      <c r="AG287" s="52" t="s">
        <v>517</v>
      </c>
      <c r="AH287" s="53" t="s">
        <v>225</v>
      </c>
      <c r="AI287" s="79"/>
      <c r="AJ287" s="80"/>
      <c r="AK287" s="81"/>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2"/>
      <c r="CL287" s="12"/>
      <c r="CM287" s="82"/>
      <c r="CN287" s="12"/>
      <c r="CO287" s="82"/>
      <c r="CP287" s="12"/>
      <c r="CQ287" s="83">
        <f t="shared" si="36"/>
        <v>0</v>
      </c>
      <c r="CR287" s="84"/>
      <c r="CS287" s="13"/>
      <c r="CT287" s="85"/>
      <c r="CU287" s="86"/>
      <c r="CV287" s="11"/>
      <c r="CW287" s="86"/>
      <c r="CX287" s="84"/>
      <c r="CY287" s="86"/>
    </row>
    <row r="288" spans="1:103" ht="76.5" x14ac:dyDescent="0.2">
      <c r="A288" s="43">
        <v>39902</v>
      </c>
      <c r="B288" s="44" t="s">
        <v>1350</v>
      </c>
      <c r="C288" s="44" t="s">
        <v>1418</v>
      </c>
      <c r="D288" s="45" t="s">
        <v>1117</v>
      </c>
      <c r="E288" s="11"/>
      <c r="F288" s="12">
        <v>4</v>
      </c>
      <c r="G288" s="12"/>
      <c r="H288" s="12">
        <f>14*5</f>
        <v>70</v>
      </c>
      <c r="I288" s="12">
        <v>14</v>
      </c>
      <c r="J288" s="12"/>
      <c r="K288" s="12">
        <v>14</v>
      </c>
      <c r="L288" s="12"/>
      <c r="M288" s="12"/>
      <c r="N288" s="12"/>
      <c r="O288" s="12"/>
      <c r="P288" s="12"/>
      <c r="Q288" s="12"/>
      <c r="R288" s="12">
        <v>1</v>
      </c>
      <c r="S288" s="12"/>
      <c r="T288" s="13"/>
      <c r="U288" s="46"/>
      <c r="V288" s="47"/>
      <c r="W288" s="48">
        <f t="shared" si="31"/>
        <v>0</v>
      </c>
      <c r="X288" s="48">
        <f t="shared" si="32"/>
        <v>0</v>
      </c>
      <c r="Y288" s="48">
        <f t="shared" si="33"/>
        <v>0</v>
      </c>
      <c r="Z288" s="48">
        <f t="shared" si="34"/>
        <v>0</v>
      </c>
      <c r="AA288" s="48"/>
      <c r="AB288" s="48"/>
      <c r="AC288" s="49">
        <f t="shared" si="35"/>
        <v>0</v>
      </c>
      <c r="AD288" s="50">
        <v>0</v>
      </c>
      <c r="AE288" s="47">
        <v>39903</v>
      </c>
      <c r="AF288" s="51" t="s">
        <v>1016</v>
      </c>
      <c r="AG288" s="52" t="s">
        <v>565</v>
      </c>
      <c r="AH288" s="53" t="s">
        <v>339</v>
      </c>
      <c r="AI288" s="79"/>
      <c r="AJ288" s="80"/>
      <c r="AK288" s="81"/>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2"/>
      <c r="CL288" s="12"/>
      <c r="CM288" s="82"/>
      <c r="CN288" s="12"/>
      <c r="CO288" s="82"/>
      <c r="CP288" s="12"/>
      <c r="CQ288" s="83">
        <f t="shared" si="36"/>
        <v>0</v>
      </c>
      <c r="CR288" s="84"/>
      <c r="CS288" s="13"/>
      <c r="CT288" s="85"/>
      <c r="CU288" s="86"/>
      <c r="CV288" s="11"/>
      <c r="CW288" s="86"/>
      <c r="CX288" s="84"/>
      <c r="CY288" s="86"/>
    </row>
    <row r="289" spans="1:103" ht="25.5" x14ac:dyDescent="0.2">
      <c r="A289" s="43">
        <v>39902</v>
      </c>
      <c r="B289" s="44" t="s">
        <v>1350</v>
      </c>
      <c r="C289" s="44" t="s">
        <v>416</v>
      </c>
      <c r="D289" s="45" t="s">
        <v>1117</v>
      </c>
      <c r="E289" s="11"/>
      <c r="F289" s="12"/>
      <c r="G289" s="12"/>
      <c r="H289" s="12">
        <v>40</v>
      </c>
      <c r="I289" s="12">
        <v>8</v>
      </c>
      <c r="J289" s="12"/>
      <c r="K289" s="12">
        <v>8</v>
      </c>
      <c r="L289" s="12"/>
      <c r="M289" s="12"/>
      <c r="N289" s="12"/>
      <c r="O289" s="12"/>
      <c r="P289" s="12"/>
      <c r="Q289" s="12"/>
      <c r="R289" s="12"/>
      <c r="S289" s="12"/>
      <c r="T289" s="13"/>
      <c r="U289" s="46"/>
      <c r="V289" s="47"/>
      <c r="W289" s="48">
        <f t="shared" si="31"/>
        <v>0</v>
      </c>
      <c r="X289" s="48">
        <f t="shared" si="32"/>
        <v>0</v>
      </c>
      <c r="Y289" s="48">
        <f t="shared" si="33"/>
        <v>0</v>
      </c>
      <c r="Z289" s="48">
        <f t="shared" si="34"/>
        <v>0</v>
      </c>
      <c r="AA289" s="48"/>
      <c r="AB289" s="48"/>
      <c r="AC289" s="49">
        <f t="shared" si="35"/>
        <v>0</v>
      </c>
      <c r="AD289" s="50">
        <v>0</v>
      </c>
      <c r="AE289" s="47">
        <v>39903</v>
      </c>
      <c r="AF289" s="51" t="s">
        <v>516</v>
      </c>
      <c r="AG289" s="52" t="s">
        <v>517</v>
      </c>
      <c r="AH289" s="53" t="s">
        <v>1281</v>
      </c>
      <c r="AI289" s="79"/>
      <c r="AJ289" s="80"/>
      <c r="AK289" s="81"/>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2"/>
      <c r="CL289" s="12"/>
      <c r="CM289" s="82"/>
      <c r="CN289" s="12"/>
      <c r="CO289" s="82"/>
      <c r="CP289" s="12"/>
      <c r="CQ289" s="83">
        <f t="shared" si="36"/>
        <v>0</v>
      </c>
      <c r="CR289" s="84"/>
      <c r="CS289" s="13"/>
      <c r="CT289" s="85"/>
      <c r="CU289" s="86"/>
      <c r="CV289" s="11"/>
      <c r="CW289" s="86"/>
      <c r="CX289" s="84"/>
      <c r="CY289" s="86"/>
    </row>
    <row r="290" spans="1:103" ht="89.25" x14ac:dyDescent="0.2">
      <c r="A290" s="43">
        <v>39903</v>
      </c>
      <c r="B290" s="44" t="s">
        <v>300</v>
      </c>
      <c r="C290" s="44" t="s">
        <v>1168</v>
      </c>
      <c r="D290" s="45" t="s">
        <v>1118</v>
      </c>
      <c r="E290" s="11"/>
      <c r="F290" s="12"/>
      <c r="G290" s="12"/>
      <c r="H290" s="12"/>
      <c r="I290" s="12"/>
      <c r="J290" s="12"/>
      <c r="K290" s="12"/>
      <c r="L290" s="12"/>
      <c r="M290" s="12"/>
      <c r="N290" s="12"/>
      <c r="O290" s="12"/>
      <c r="P290" s="12"/>
      <c r="Q290" s="12"/>
      <c r="R290" s="12"/>
      <c r="S290" s="12"/>
      <c r="T290" s="13"/>
      <c r="U290" s="46"/>
      <c r="V290" s="47">
        <v>39930</v>
      </c>
      <c r="W290" s="48">
        <f t="shared" si="31"/>
        <v>0</v>
      </c>
      <c r="X290" s="48">
        <f t="shared" si="32"/>
        <v>0</v>
      </c>
      <c r="Y290" s="48">
        <f t="shared" si="33"/>
        <v>0</v>
      </c>
      <c r="Z290" s="48">
        <f t="shared" si="34"/>
        <v>0</v>
      </c>
      <c r="AA290" s="48"/>
      <c r="AB290" s="48">
        <v>80366850</v>
      </c>
      <c r="AC290" s="49">
        <f t="shared" si="35"/>
        <v>80366850</v>
      </c>
      <c r="AD290" s="50">
        <v>0</v>
      </c>
      <c r="AE290" s="47">
        <v>39903</v>
      </c>
      <c r="AF290" s="51" t="s">
        <v>1016</v>
      </c>
      <c r="AG290" s="52" t="s">
        <v>565</v>
      </c>
      <c r="AH290" s="54" t="s">
        <v>1169</v>
      </c>
      <c r="AI290" s="79"/>
      <c r="AJ290" s="80"/>
      <c r="AK290" s="81"/>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2"/>
      <c r="CL290" s="12"/>
      <c r="CM290" s="82"/>
      <c r="CN290" s="12"/>
      <c r="CO290" s="82"/>
      <c r="CP290" s="12"/>
      <c r="CQ290" s="83">
        <f t="shared" si="36"/>
        <v>0</v>
      </c>
      <c r="CR290" s="84"/>
      <c r="CS290" s="13"/>
      <c r="CT290" s="85"/>
      <c r="CU290" s="86"/>
      <c r="CV290" s="11"/>
      <c r="CW290" s="86"/>
      <c r="CX290" s="84"/>
      <c r="CY290" s="86"/>
    </row>
    <row r="291" spans="1:103" ht="25.5" x14ac:dyDescent="0.2">
      <c r="A291" s="43">
        <v>39903</v>
      </c>
      <c r="B291" s="44" t="s">
        <v>1226</v>
      </c>
      <c r="C291" s="44" t="s">
        <v>1454</v>
      </c>
      <c r="D291" s="45" t="s">
        <v>1231</v>
      </c>
      <c r="E291" s="11"/>
      <c r="F291" s="12"/>
      <c r="G291" s="12"/>
      <c r="H291" s="12"/>
      <c r="I291" s="12"/>
      <c r="J291" s="12"/>
      <c r="K291" s="12"/>
      <c r="L291" s="12"/>
      <c r="M291" s="12"/>
      <c r="N291" s="12"/>
      <c r="O291" s="12"/>
      <c r="P291" s="12"/>
      <c r="Q291" s="12"/>
      <c r="R291" s="12"/>
      <c r="S291" s="12"/>
      <c r="T291" s="13"/>
      <c r="U291" s="46"/>
      <c r="V291" s="47">
        <v>39968</v>
      </c>
      <c r="W291" s="48">
        <f t="shared" si="31"/>
        <v>0</v>
      </c>
      <c r="X291" s="48">
        <f t="shared" si="32"/>
        <v>0</v>
      </c>
      <c r="Y291" s="48">
        <f t="shared" si="33"/>
        <v>0</v>
      </c>
      <c r="Z291" s="48">
        <f t="shared" si="34"/>
        <v>0</v>
      </c>
      <c r="AA291" s="48">
        <f>500*22000</f>
        <v>11000000</v>
      </c>
      <c r="AB291" s="48"/>
      <c r="AC291" s="49">
        <f t="shared" si="35"/>
        <v>11000000</v>
      </c>
      <c r="AD291" s="50">
        <v>0</v>
      </c>
      <c r="AE291" s="47">
        <v>39903</v>
      </c>
      <c r="AF291" s="51" t="s">
        <v>1016</v>
      </c>
      <c r="AG291" s="52" t="s">
        <v>565</v>
      </c>
      <c r="AH291" s="53" t="s">
        <v>540</v>
      </c>
      <c r="AI291" s="79"/>
      <c r="AJ291" s="80"/>
      <c r="AK291" s="81"/>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2"/>
      <c r="CL291" s="12"/>
      <c r="CM291" s="82"/>
      <c r="CN291" s="12"/>
      <c r="CO291" s="82"/>
      <c r="CP291" s="12"/>
      <c r="CQ291" s="83">
        <f t="shared" si="36"/>
        <v>0</v>
      </c>
      <c r="CR291" s="84"/>
      <c r="CS291" s="13"/>
      <c r="CT291" s="85"/>
      <c r="CU291" s="86"/>
      <c r="CV291" s="11"/>
      <c r="CW291" s="86"/>
      <c r="CX291" s="84"/>
      <c r="CY291" s="86"/>
    </row>
    <row r="292" spans="1:103" ht="25.5" x14ac:dyDescent="0.2">
      <c r="A292" s="43">
        <v>39903</v>
      </c>
      <c r="B292" s="44" t="s">
        <v>688</v>
      </c>
      <c r="C292" s="44" t="s">
        <v>1460</v>
      </c>
      <c r="D292" s="45" t="s">
        <v>1117</v>
      </c>
      <c r="E292" s="11"/>
      <c r="F292" s="12"/>
      <c r="G292" s="12"/>
      <c r="H292" s="12">
        <v>24</v>
      </c>
      <c r="I292" s="12">
        <v>5</v>
      </c>
      <c r="J292" s="12">
        <v>5</v>
      </c>
      <c r="K292" s="12"/>
      <c r="L292" s="12"/>
      <c r="M292" s="12"/>
      <c r="N292" s="12"/>
      <c r="O292" s="12"/>
      <c r="P292" s="12"/>
      <c r="Q292" s="12"/>
      <c r="R292" s="12"/>
      <c r="S292" s="12"/>
      <c r="T292" s="13"/>
      <c r="U292" s="46"/>
      <c r="V292" s="47"/>
      <c r="W292" s="48">
        <f t="shared" si="31"/>
        <v>0</v>
      </c>
      <c r="X292" s="48">
        <f t="shared" si="32"/>
        <v>0</v>
      </c>
      <c r="Y292" s="48">
        <f t="shared" si="33"/>
        <v>0</v>
      </c>
      <c r="Z292" s="48">
        <f t="shared" si="34"/>
        <v>0</v>
      </c>
      <c r="AA292" s="48"/>
      <c r="AB292" s="48"/>
      <c r="AC292" s="49">
        <f t="shared" si="35"/>
        <v>0</v>
      </c>
      <c r="AD292" s="50">
        <v>0</v>
      </c>
      <c r="AE292" s="47">
        <v>39903</v>
      </c>
      <c r="AF292" s="51" t="s">
        <v>516</v>
      </c>
      <c r="AG292" s="52" t="s">
        <v>517</v>
      </c>
      <c r="AH292" s="53" t="s">
        <v>1463</v>
      </c>
      <c r="AI292" s="79"/>
      <c r="AJ292" s="80"/>
      <c r="AK292" s="81"/>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2"/>
      <c r="CL292" s="12"/>
      <c r="CM292" s="82"/>
      <c r="CN292" s="12"/>
      <c r="CO292" s="82"/>
      <c r="CP292" s="12"/>
      <c r="CQ292" s="83">
        <f t="shared" si="36"/>
        <v>0</v>
      </c>
      <c r="CR292" s="84"/>
      <c r="CS292" s="13"/>
      <c r="CT292" s="85"/>
      <c r="CU292" s="86"/>
      <c r="CV292" s="11"/>
      <c r="CW292" s="86"/>
      <c r="CX292" s="84"/>
      <c r="CY292" s="86"/>
    </row>
    <row r="293" spans="1:103" ht="38.25" x14ac:dyDescent="0.2">
      <c r="A293" s="43">
        <v>39903</v>
      </c>
      <c r="B293" s="44" t="s">
        <v>1350</v>
      </c>
      <c r="C293" s="44" t="s">
        <v>1419</v>
      </c>
      <c r="D293" s="45" t="s">
        <v>1118</v>
      </c>
      <c r="E293" s="11"/>
      <c r="F293" s="12"/>
      <c r="G293" s="12"/>
      <c r="H293" s="12">
        <v>90</v>
      </c>
      <c r="I293" s="12">
        <v>30</v>
      </c>
      <c r="J293" s="12"/>
      <c r="K293" s="12">
        <v>30</v>
      </c>
      <c r="L293" s="12"/>
      <c r="M293" s="12"/>
      <c r="N293" s="12"/>
      <c r="O293" s="12"/>
      <c r="P293" s="12"/>
      <c r="Q293" s="12"/>
      <c r="R293" s="12"/>
      <c r="S293" s="12"/>
      <c r="T293" s="13"/>
      <c r="U293" s="46"/>
      <c r="V293" s="47"/>
      <c r="W293" s="48">
        <f t="shared" si="31"/>
        <v>0</v>
      </c>
      <c r="X293" s="48">
        <f t="shared" si="32"/>
        <v>0</v>
      </c>
      <c r="Y293" s="48">
        <f t="shared" si="33"/>
        <v>0</v>
      </c>
      <c r="Z293" s="48">
        <f t="shared" si="34"/>
        <v>0</v>
      </c>
      <c r="AA293" s="48"/>
      <c r="AB293" s="48"/>
      <c r="AC293" s="49">
        <f t="shared" si="35"/>
        <v>0</v>
      </c>
      <c r="AD293" s="50">
        <v>0</v>
      </c>
      <c r="AE293" s="47">
        <v>39905</v>
      </c>
      <c r="AF293" s="51" t="s">
        <v>516</v>
      </c>
      <c r="AG293" s="52" t="s">
        <v>517</v>
      </c>
      <c r="AH293" s="53" t="s">
        <v>940</v>
      </c>
      <c r="AI293" s="79"/>
      <c r="AJ293" s="80"/>
      <c r="AK293" s="81"/>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2"/>
      <c r="CL293" s="12"/>
      <c r="CM293" s="82"/>
      <c r="CN293" s="12"/>
      <c r="CO293" s="82"/>
      <c r="CP293" s="12"/>
      <c r="CQ293" s="83">
        <f t="shared" si="36"/>
        <v>0</v>
      </c>
      <c r="CR293" s="84"/>
      <c r="CS293" s="13"/>
      <c r="CT293" s="85"/>
      <c r="CU293" s="86"/>
      <c r="CV293" s="11"/>
      <c r="CW293" s="86"/>
      <c r="CX293" s="84"/>
      <c r="CY293" s="86"/>
    </row>
    <row r="294" spans="1:103" ht="38.25" x14ac:dyDescent="0.2">
      <c r="A294" s="43">
        <v>39903</v>
      </c>
      <c r="B294" s="44" t="s">
        <v>1350</v>
      </c>
      <c r="C294" s="44" t="s">
        <v>286</v>
      </c>
      <c r="D294" s="45" t="s">
        <v>1118</v>
      </c>
      <c r="E294" s="11"/>
      <c r="F294" s="12"/>
      <c r="G294" s="12"/>
      <c r="H294" s="12">
        <v>110</v>
      </c>
      <c r="I294" s="12">
        <v>22</v>
      </c>
      <c r="J294" s="12"/>
      <c r="K294" s="12">
        <v>17</v>
      </c>
      <c r="L294" s="12"/>
      <c r="M294" s="12"/>
      <c r="N294" s="12"/>
      <c r="O294" s="12"/>
      <c r="P294" s="12"/>
      <c r="Q294" s="12"/>
      <c r="R294" s="12"/>
      <c r="S294" s="12"/>
      <c r="T294" s="13"/>
      <c r="U294" s="46"/>
      <c r="V294" s="47"/>
      <c r="W294" s="48">
        <f t="shared" si="31"/>
        <v>0</v>
      </c>
      <c r="X294" s="48">
        <f t="shared" si="32"/>
        <v>0</v>
      </c>
      <c r="Y294" s="48">
        <f t="shared" si="33"/>
        <v>0</v>
      </c>
      <c r="Z294" s="48">
        <f t="shared" si="34"/>
        <v>0</v>
      </c>
      <c r="AA294" s="48"/>
      <c r="AB294" s="48"/>
      <c r="AC294" s="49">
        <f t="shared" si="35"/>
        <v>0</v>
      </c>
      <c r="AD294" s="50">
        <v>0</v>
      </c>
      <c r="AE294" s="47">
        <v>39905</v>
      </c>
      <c r="AF294" s="51" t="s">
        <v>516</v>
      </c>
      <c r="AG294" s="52" t="s">
        <v>517</v>
      </c>
      <c r="AH294" s="53" t="s">
        <v>224</v>
      </c>
      <c r="AI294" s="79"/>
      <c r="AJ294" s="80"/>
      <c r="AK294" s="81"/>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2"/>
      <c r="CL294" s="12"/>
      <c r="CM294" s="82"/>
      <c r="CN294" s="12"/>
      <c r="CO294" s="82"/>
      <c r="CP294" s="12"/>
      <c r="CQ294" s="83">
        <f t="shared" si="36"/>
        <v>0</v>
      </c>
      <c r="CR294" s="84"/>
      <c r="CS294" s="13"/>
      <c r="CT294" s="85"/>
      <c r="CU294" s="86"/>
      <c r="CV294" s="11"/>
      <c r="CW294" s="86"/>
      <c r="CX294" s="84"/>
      <c r="CY294" s="86"/>
    </row>
    <row r="295" spans="1:103" ht="25.5" x14ac:dyDescent="0.2">
      <c r="A295" s="43">
        <v>39904</v>
      </c>
      <c r="B295" s="44" t="s">
        <v>1226</v>
      </c>
      <c r="C295" s="44" t="s">
        <v>1396</v>
      </c>
      <c r="D295" s="45" t="s">
        <v>1118</v>
      </c>
      <c r="E295" s="11"/>
      <c r="F295" s="12"/>
      <c r="G295" s="12"/>
      <c r="H295" s="12">
        <v>110</v>
      </c>
      <c r="I295" s="12">
        <v>22</v>
      </c>
      <c r="J295" s="12"/>
      <c r="K295" s="12">
        <v>22</v>
      </c>
      <c r="L295" s="12"/>
      <c r="M295" s="12"/>
      <c r="N295" s="12"/>
      <c r="O295" s="12"/>
      <c r="P295" s="12"/>
      <c r="Q295" s="12"/>
      <c r="R295" s="12"/>
      <c r="S295" s="12"/>
      <c r="T295" s="13"/>
      <c r="U295" s="46"/>
      <c r="V295" s="47"/>
      <c r="W295" s="48">
        <f t="shared" si="31"/>
        <v>0</v>
      </c>
      <c r="X295" s="48">
        <f t="shared" si="32"/>
        <v>0</v>
      </c>
      <c r="Y295" s="48">
        <f t="shared" si="33"/>
        <v>0</v>
      </c>
      <c r="Z295" s="48">
        <f t="shared" si="34"/>
        <v>0</v>
      </c>
      <c r="AA295" s="48"/>
      <c r="AB295" s="48"/>
      <c r="AC295" s="49">
        <f t="shared" si="35"/>
        <v>0</v>
      </c>
      <c r="AD295" s="50">
        <v>0</v>
      </c>
      <c r="AE295" s="47">
        <v>39905</v>
      </c>
      <c r="AF295" s="51" t="s">
        <v>516</v>
      </c>
      <c r="AG295" s="52" t="s">
        <v>517</v>
      </c>
      <c r="AH295" s="53" t="s">
        <v>552</v>
      </c>
      <c r="AI295" s="79"/>
      <c r="AJ295" s="80"/>
      <c r="AK295" s="81"/>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2"/>
      <c r="CL295" s="12"/>
      <c r="CM295" s="82"/>
      <c r="CN295" s="12"/>
      <c r="CO295" s="82"/>
      <c r="CP295" s="12"/>
      <c r="CQ295" s="83">
        <f t="shared" si="36"/>
        <v>0</v>
      </c>
      <c r="CR295" s="84"/>
      <c r="CS295" s="13"/>
      <c r="CT295" s="85"/>
      <c r="CU295" s="86"/>
      <c r="CV295" s="11"/>
      <c r="CW295" s="86"/>
      <c r="CX295" s="84"/>
      <c r="CY295" s="86"/>
    </row>
    <row r="296" spans="1:103" ht="76.5" x14ac:dyDescent="0.2">
      <c r="A296" s="43">
        <v>39904</v>
      </c>
      <c r="B296" s="44" t="s">
        <v>1226</v>
      </c>
      <c r="C296" s="44" t="s">
        <v>1014</v>
      </c>
      <c r="D296" s="45" t="s">
        <v>1118</v>
      </c>
      <c r="E296" s="11"/>
      <c r="F296" s="12"/>
      <c r="G296" s="12"/>
      <c r="H296" s="12">
        <v>40</v>
      </c>
      <c r="I296" s="12">
        <v>8</v>
      </c>
      <c r="J296" s="12"/>
      <c r="K296" s="12">
        <v>8</v>
      </c>
      <c r="L296" s="12">
        <v>1</v>
      </c>
      <c r="M296" s="12">
        <v>1</v>
      </c>
      <c r="N296" s="12"/>
      <c r="O296" s="12"/>
      <c r="P296" s="12"/>
      <c r="Q296" s="12"/>
      <c r="R296" s="12"/>
      <c r="S296" s="12"/>
      <c r="T296" s="13"/>
      <c r="U296" s="46"/>
      <c r="V296" s="47"/>
      <c r="W296" s="48">
        <f t="shared" si="31"/>
        <v>0</v>
      </c>
      <c r="X296" s="48">
        <f t="shared" si="32"/>
        <v>0</v>
      </c>
      <c r="Y296" s="48">
        <f t="shared" si="33"/>
        <v>0</v>
      </c>
      <c r="Z296" s="48">
        <f t="shared" si="34"/>
        <v>0</v>
      </c>
      <c r="AA296" s="48"/>
      <c r="AB296" s="48"/>
      <c r="AC296" s="49">
        <f t="shared" si="35"/>
        <v>0</v>
      </c>
      <c r="AD296" s="50">
        <v>0</v>
      </c>
      <c r="AE296" s="47">
        <v>39926</v>
      </c>
      <c r="AF296" s="51" t="s">
        <v>516</v>
      </c>
      <c r="AG296" s="52" t="s">
        <v>517</v>
      </c>
      <c r="AH296" s="53" t="s">
        <v>1241</v>
      </c>
      <c r="AI296" s="79"/>
      <c r="AJ296" s="80"/>
      <c r="AK296" s="81"/>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2"/>
      <c r="CL296" s="12"/>
      <c r="CM296" s="82"/>
      <c r="CN296" s="12"/>
      <c r="CO296" s="82"/>
      <c r="CP296" s="12"/>
      <c r="CQ296" s="83">
        <f t="shared" si="36"/>
        <v>0</v>
      </c>
      <c r="CR296" s="84"/>
      <c r="CS296" s="13"/>
      <c r="CT296" s="85"/>
      <c r="CU296" s="86"/>
      <c r="CV296" s="11"/>
      <c r="CW296" s="86"/>
      <c r="CX296" s="84"/>
      <c r="CY296" s="86"/>
    </row>
    <row r="297" spans="1:103" ht="25.5" x14ac:dyDescent="0.2">
      <c r="A297" s="43">
        <v>39904</v>
      </c>
      <c r="B297" s="44" t="s">
        <v>1226</v>
      </c>
      <c r="C297" s="44" t="s">
        <v>249</v>
      </c>
      <c r="D297" s="45" t="s">
        <v>1092</v>
      </c>
      <c r="E297" s="11"/>
      <c r="F297" s="12"/>
      <c r="G297" s="12"/>
      <c r="H297" s="12"/>
      <c r="I297" s="12"/>
      <c r="J297" s="12"/>
      <c r="K297" s="12"/>
      <c r="L297" s="12">
        <v>1</v>
      </c>
      <c r="M297" s="12"/>
      <c r="N297" s="12"/>
      <c r="O297" s="12"/>
      <c r="P297" s="12"/>
      <c r="Q297" s="12"/>
      <c r="R297" s="12"/>
      <c r="S297" s="12"/>
      <c r="T297" s="13"/>
      <c r="U297" s="46"/>
      <c r="V297" s="47"/>
      <c r="W297" s="48">
        <f t="shared" si="31"/>
        <v>0</v>
      </c>
      <c r="X297" s="48">
        <f t="shared" si="32"/>
        <v>0</v>
      </c>
      <c r="Y297" s="48">
        <f t="shared" si="33"/>
        <v>0</v>
      </c>
      <c r="Z297" s="48">
        <f t="shared" si="34"/>
        <v>0</v>
      </c>
      <c r="AA297" s="48"/>
      <c r="AB297" s="48"/>
      <c r="AC297" s="49">
        <f t="shared" si="35"/>
        <v>0</v>
      </c>
      <c r="AD297" s="50">
        <v>0</v>
      </c>
      <c r="AE297" s="47">
        <v>39917</v>
      </c>
      <c r="AF297" s="51" t="s">
        <v>516</v>
      </c>
      <c r="AG297" s="52" t="s">
        <v>517</v>
      </c>
      <c r="AH297" s="53" t="s">
        <v>251</v>
      </c>
      <c r="AI297" s="79"/>
      <c r="AJ297" s="80"/>
      <c r="AK297" s="81"/>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2"/>
      <c r="CL297" s="12"/>
      <c r="CM297" s="82"/>
      <c r="CN297" s="12"/>
      <c r="CO297" s="82"/>
      <c r="CP297" s="12"/>
      <c r="CQ297" s="83">
        <f t="shared" si="36"/>
        <v>0</v>
      </c>
      <c r="CR297" s="84"/>
      <c r="CS297" s="13"/>
      <c r="CT297" s="85"/>
      <c r="CU297" s="86"/>
      <c r="CV297" s="11"/>
      <c r="CW297" s="86"/>
      <c r="CX297" s="84"/>
      <c r="CY297" s="86"/>
    </row>
    <row r="298" spans="1:103" ht="25.5" x14ac:dyDescent="0.2">
      <c r="A298" s="43">
        <v>39904</v>
      </c>
      <c r="B298" s="44" t="s">
        <v>1226</v>
      </c>
      <c r="C298" s="44" t="s">
        <v>250</v>
      </c>
      <c r="D298" s="45" t="s">
        <v>1092</v>
      </c>
      <c r="E298" s="11"/>
      <c r="F298" s="12"/>
      <c r="G298" s="12"/>
      <c r="H298" s="12"/>
      <c r="I298" s="12"/>
      <c r="J298" s="12"/>
      <c r="K298" s="12"/>
      <c r="L298" s="12">
        <v>1</v>
      </c>
      <c r="M298" s="12"/>
      <c r="N298" s="12"/>
      <c r="O298" s="12"/>
      <c r="P298" s="12"/>
      <c r="Q298" s="12"/>
      <c r="R298" s="12"/>
      <c r="S298" s="12"/>
      <c r="T298" s="13"/>
      <c r="U298" s="46"/>
      <c r="V298" s="47"/>
      <c r="W298" s="48">
        <f t="shared" si="31"/>
        <v>0</v>
      </c>
      <c r="X298" s="48">
        <f t="shared" si="32"/>
        <v>0</v>
      </c>
      <c r="Y298" s="48">
        <f t="shared" si="33"/>
        <v>0</v>
      </c>
      <c r="Z298" s="48">
        <f t="shared" si="34"/>
        <v>0</v>
      </c>
      <c r="AA298" s="48"/>
      <c r="AB298" s="48"/>
      <c r="AC298" s="49">
        <f t="shared" si="35"/>
        <v>0</v>
      </c>
      <c r="AD298" s="50">
        <v>0</v>
      </c>
      <c r="AE298" s="47">
        <v>39917</v>
      </c>
      <c r="AF298" s="51" t="s">
        <v>516</v>
      </c>
      <c r="AG298" s="52" t="s">
        <v>517</v>
      </c>
      <c r="AH298" s="53" t="s">
        <v>252</v>
      </c>
      <c r="AI298" s="79"/>
      <c r="AJ298" s="80"/>
      <c r="AK298" s="81"/>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2"/>
      <c r="CL298" s="12"/>
      <c r="CM298" s="82"/>
      <c r="CN298" s="12"/>
      <c r="CO298" s="82"/>
      <c r="CP298" s="12"/>
      <c r="CQ298" s="83">
        <f t="shared" si="36"/>
        <v>0</v>
      </c>
      <c r="CR298" s="84"/>
      <c r="CS298" s="13"/>
      <c r="CT298" s="85"/>
      <c r="CU298" s="86"/>
      <c r="CV298" s="11"/>
      <c r="CW298" s="86"/>
      <c r="CX298" s="84"/>
      <c r="CY298" s="86"/>
    </row>
    <row r="299" spans="1:103" ht="25.5" x14ac:dyDescent="0.2">
      <c r="A299" s="43">
        <v>39904</v>
      </c>
      <c r="B299" s="44" t="s">
        <v>315</v>
      </c>
      <c r="C299" s="44" t="s">
        <v>1079</v>
      </c>
      <c r="D299" s="45" t="s">
        <v>1117</v>
      </c>
      <c r="E299" s="11"/>
      <c r="F299" s="12"/>
      <c r="G299" s="12"/>
      <c r="H299" s="12">
        <v>426</v>
      </c>
      <c r="I299" s="12">
        <v>80</v>
      </c>
      <c r="J299" s="12">
        <v>3</v>
      </c>
      <c r="K299" s="12">
        <v>77</v>
      </c>
      <c r="L299" s="12"/>
      <c r="M299" s="12"/>
      <c r="N299" s="12"/>
      <c r="O299" s="12"/>
      <c r="P299" s="12"/>
      <c r="Q299" s="12"/>
      <c r="R299" s="12"/>
      <c r="S299" s="12"/>
      <c r="T299" s="13"/>
      <c r="U299" s="46"/>
      <c r="V299" s="47"/>
      <c r="W299" s="48">
        <f t="shared" si="31"/>
        <v>0</v>
      </c>
      <c r="X299" s="48">
        <f t="shared" si="32"/>
        <v>0</v>
      </c>
      <c r="Y299" s="48">
        <f t="shared" si="33"/>
        <v>0</v>
      </c>
      <c r="Z299" s="48">
        <f t="shared" si="34"/>
        <v>0</v>
      </c>
      <c r="AA299" s="48"/>
      <c r="AB299" s="48"/>
      <c r="AC299" s="49">
        <f t="shared" si="35"/>
        <v>0</v>
      </c>
      <c r="AD299" s="50">
        <v>0</v>
      </c>
      <c r="AE299" s="47">
        <v>39905</v>
      </c>
      <c r="AF299" s="51" t="s">
        <v>516</v>
      </c>
      <c r="AG299" s="52" t="s">
        <v>517</v>
      </c>
      <c r="AH299" s="53" t="s">
        <v>758</v>
      </c>
      <c r="AI299" s="79"/>
      <c r="AJ299" s="80"/>
      <c r="AK299" s="81"/>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2"/>
      <c r="CL299" s="12"/>
      <c r="CM299" s="82"/>
      <c r="CN299" s="12"/>
      <c r="CO299" s="82"/>
      <c r="CP299" s="12"/>
      <c r="CQ299" s="83">
        <f t="shared" si="36"/>
        <v>0</v>
      </c>
      <c r="CR299" s="84"/>
      <c r="CS299" s="13"/>
      <c r="CT299" s="85"/>
      <c r="CU299" s="86"/>
      <c r="CV299" s="11"/>
      <c r="CW299" s="86"/>
      <c r="CX299" s="84"/>
      <c r="CY299" s="86"/>
    </row>
    <row r="300" spans="1:103" ht="89.25" x14ac:dyDescent="0.2">
      <c r="A300" s="43">
        <v>39904</v>
      </c>
      <c r="B300" s="44" t="s">
        <v>1224</v>
      </c>
      <c r="C300" s="44" t="s">
        <v>300</v>
      </c>
      <c r="D300" s="45" t="s">
        <v>1118</v>
      </c>
      <c r="E300" s="11"/>
      <c r="F300" s="12"/>
      <c r="G300" s="12"/>
      <c r="H300" s="12"/>
      <c r="I300" s="12"/>
      <c r="J300" s="12"/>
      <c r="K300" s="12"/>
      <c r="L300" s="12">
        <v>1</v>
      </c>
      <c r="M300" s="12"/>
      <c r="N300" s="12"/>
      <c r="O300" s="12"/>
      <c r="P300" s="12"/>
      <c r="Q300" s="12"/>
      <c r="R300" s="12"/>
      <c r="S300" s="12"/>
      <c r="T300" s="13"/>
      <c r="U300" s="46"/>
      <c r="V300" s="47"/>
      <c r="W300" s="48">
        <f t="shared" si="31"/>
        <v>0</v>
      </c>
      <c r="X300" s="48">
        <f t="shared" si="32"/>
        <v>0</v>
      </c>
      <c r="Y300" s="48">
        <f t="shared" si="33"/>
        <v>0</v>
      </c>
      <c r="Z300" s="48">
        <f t="shared" si="34"/>
        <v>0</v>
      </c>
      <c r="AA300" s="48"/>
      <c r="AB300" s="48"/>
      <c r="AC300" s="49">
        <f t="shared" si="35"/>
        <v>0</v>
      </c>
      <c r="AD300" s="50">
        <v>0</v>
      </c>
      <c r="AE300" s="47">
        <v>39925</v>
      </c>
      <c r="AF300" s="51" t="s">
        <v>1016</v>
      </c>
      <c r="AG300" s="52" t="s">
        <v>517</v>
      </c>
      <c r="AH300" s="53" t="s">
        <v>838</v>
      </c>
      <c r="AI300" s="79"/>
      <c r="AJ300" s="80"/>
      <c r="AK300" s="81"/>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2"/>
      <c r="CL300" s="12"/>
      <c r="CM300" s="82"/>
      <c r="CN300" s="12"/>
      <c r="CO300" s="82"/>
      <c r="CP300" s="12"/>
      <c r="CQ300" s="83">
        <f t="shared" si="36"/>
        <v>0</v>
      </c>
      <c r="CR300" s="84"/>
      <c r="CS300" s="13"/>
      <c r="CT300" s="85"/>
      <c r="CU300" s="86"/>
      <c r="CV300" s="11"/>
      <c r="CW300" s="86"/>
      <c r="CX300" s="84"/>
      <c r="CY300" s="86"/>
    </row>
    <row r="301" spans="1:103" ht="51" x14ac:dyDescent="0.2">
      <c r="A301" s="43">
        <v>39904</v>
      </c>
      <c r="B301" s="44" t="s">
        <v>1127</v>
      </c>
      <c r="C301" s="44" t="s">
        <v>116</v>
      </c>
      <c r="D301" s="45" t="s">
        <v>1118</v>
      </c>
      <c r="E301" s="11"/>
      <c r="F301" s="12"/>
      <c r="G301" s="12"/>
      <c r="H301" s="12">
        <v>5885</v>
      </c>
      <c r="I301" s="12">
        <v>1177</v>
      </c>
      <c r="J301" s="12">
        <v>2</v>
      </c>
      <c r="K301" s="12">
        <v>1177</v>
      </c>
      <c r="L301" s="12"/>
      <c r="M301" s="12"/>
      <c r="N301" s="12"/>
      <c r="O301" s="12"/>
      <c r="P301" s="12"/>
      <c r="Q301" s="12"/>
      <c r="R301" s="12"/>
      <c r="S301" s="12"/>
      <c r="T301" s="13"/>
      <c r="U301" s="46"/>
      <c r="V301" s="47"/>
      <c r="W301" s="48">
        <f t="shared" si="31"/>
        <v>0</v>
      </c>
      <c r="X301" s="48">
        <f t="shared" si="32"/>
        <v>0</v>
      </c>
      <c r="Y301" s="48">
        <f t="shared" si="33"/>
        <v>0</v>
      </c>
      <c r="Z301" s="48">
        <f t="shared" si="34"/>
        <v>0</v>
      </c>
      <c r="AA301" s="48"/>
      <c r="AB301" s="48"/>
      <c r="AC301" s="49">
        <f t="shared" si="35"/>
        <v>0</v>
      </c>
      <c r="AD301" s="50">
        <v>0</v>
      </c>
      <c r="AE301" s="47">
        <v>39905</v>
      </c>
      <c r="AF301" s="51" t="s">
        <v>516</v>
      </c>
      <c r="AG301" s="52" t="s">
        <v>517</v>
      </c>
      <c r="AH301" s="53" t="s">
        <v>178</v>
      </c>
      <c r="AI301" s="79"/>
      <c r="AJ301" s="80"/>
      <c r="AK301" s="81"/>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2"/>
      <c r="CL301" s="12"/>
      <c r="CM301" s="82"/>
      <c r="CN301" s="12"/>
      <c r="CO301" s="82"/>
      <c r="CP301" s="12"/>
      <c r="CQ301" s="83">
        <f t="shared" si="36"/>
        <v>0</v>
      </c>
      <c r="CR301" s="84"/>
      <c r="CS301" s="13"/>
      <c r="CT301" s="85"/>
      <c r="CU301" s="86"/>
      <c r="CV301" s="11"/>
      <c r="CW301" s="86"/>
      <c r="CX301" s="84"/>
      <c r="CY301" s="86"/>
    </row>
    <row r="302" spans="1:103" ht="25.5" x14ac:dyDescent="0.2">
      <c r="A302" s="43">
        <v>39904</v>
      </c>
      <c r="B302" s="44" t="s">
        <v>600</v>
      </c>
      <c r="C302" s="44" t="s">
        <v>726</v>
      </c>
      <c r="D302" s="45" t="s">
        <v>1092</v>
      </c>
      <c r="E302" s="11"/>
      <c r="F302" s="12"/>
      <c r="G302" s="12"/>
      <c r="H302" s="12">
        <v>40</v>
      </c>
      <c r="I302" s="12">
        <v>8</v>
      </c>
      <c r="J302" s="12"/>
      <c r="K302" s="12">
        <v>8</v>
      </c>
      <c r="L302" s="12"/>
      <c r="M302" s="12"/>
      <c r="N302" s="12"/>
      <c r="O302" s="12"/>
      <c r="P302" s="12"/>
      <c r="Q302" s="12"/>
      <c r="R302" s="12"/>
      <c r="S302" s="12"/>
      <c r="T302" s="13"/>
      <c r="U302" s="46"/>
      <c r="V302" s="47"/>
      <c r="W302" s="48">
        <f t="shared" si="31"/>
        <v>0</v>
      </c>
      <c r="X302" s="48">
        <f t="shared" si="32"/>
        <v>0</v>
      </c>
      <c r="Y302" s="48">
        <f t="shared" si="33"/>
        <v>0</v>
      </c>
      <c r="Z302" s="48">
        <f t="shared" si="34"/>
        <v>0</v>
      </c>
      <c r="AA302" s="48"/>
      <c r="AB302" s="48"/>
      <c r="AC302" s="49">
        <f t="shared" si="35"/>
        <v>0</v>
      </c>
      <c r="AD302" s="50">
        <v>0</v>
      </c>
      <c r="AE302" s="47">
        <v>39907</v>
      </c>
      <c r="AF302" s="51" t="s">
        <v>516</v>
      </c>
      <c r="AG302" s="52" t="s">
        <v>517</v>
      </c>
      <c r="AH302" s="53"/>
      <c r="AI302" s="79"/>
      <c r="AJ302" s="80"/>
      <c r="AK302" s="81"/>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2"/>
      <c r="CL302" s="12"/>
      <c r="CM302" s="82"/>
      <c r="CN302" s="12"/>
      <c r="CO302" s="82"/>
      <c r="CP302" s="12"/>
      <c r="CQ302" s="83">
        <f t="shared" si="36"/>
        <v>0</v>
      </c>
      <c r="CR302" s="84"/>
      <c r="CS302" s="13"/>
      <c r="CT302" s="85"/>
      <c r="CU302" s="86"/>
      <c r="CV302" s="11"/>
      <c r="CW302" s="86"/>
      <c r="CX302" s="84"/>
      <c r="CY302" s="86"/>
    </row>
    <row r="303" spans="1:103" ht="25.5" x14ac:dyDescent="0.2">
      <c r="A303" s="43">
        <v>39904</v>
      </c>
      <c r="B303" s="44" t="s">
        <v>1066</v>
      </c>
      <c r="C303" s="44" t="s">
        <v>273</v>
      </c>
      <c r="D303" s="45" t="s">
        <v>1092</v>
      </c>
      <c r="E303" s="11"/>
      <c r="F303" s="12"/>
      <c r="G303" s="12"/>
      <c r="H303" s="12">
        <v>50</v>
      </c>
      <c r="I303" s="12">
        <v>10</v>
      </c>
      <c r="J303" s="12"/>
      <c r="K303" s="12">
        <v>10</v>
      </c>
      <c r="L303" s="12"/>
      <c r="M303" s="12"/>
      <c r="N303" s="12"/>
      <c r="O303" s="12"/>
      <c r="P303" s="12"/>
      <c r="Q303" s="12"/>
      <c r="R303" s="12"/>
      <c r="S303" s="12"/>
      <c r="T303" s="13"/>
      <c r="U303" s="46"/>
      <c r="V303" s="47"/>
      <c r="W303" s="48">
        <f t="shared" si="31"/>
        <v>0</v>
      </c>
      <c r="X303" s="48">
        <f t="shared" si="32"/>
        <v>0</v>
      </c>
      <c r="Y303" s="48">
        <f t="shared" si="33"/>
        <v>0</v>
      </c>
      <c r="Z303" s="48">
        <f t="shared" si="34"/>
        <v>0</v>
      </c>
      <c r="AA303" s="48"/>
      <c r="AB303" s="48"/>
      <c r="AC303" s="49">
        <f t="shared" si="35"/>
        <v>0</v>
      </c>
      <c r="AD303" s="50">
        <v>0</v>
      </c>
      <c r="AE303" s="47">
        <v>39905</v>
      </c>
      <c r="AF303" s="51" t="s">
        <v>516</v>
      </c>
      <c r="AG303" s="52" t="s">
        <v>517</v>
      </c>
      <c r="AH303" s="53" t="s">
        <v>547</v>
      </c>
      <c r="AI303" s="79"/>
      <c r="AJ303" s="80"/>
      <c r="AK303" s="81"/>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2"/>
      <c r="CL303" s="12"/>
      <c r="CM303" s="82"/>
      <c r="CN303" s="12"/>
      <c r="CO303" s="82"/>
      <c r="CP303" s="12"/>
      <c r="CQ303" s="83">
        <f t="shared" si="36"/>
        <v>0</v>
      </c>
      <c r="CR303" s="84"/>
      <c r="CS303" s="13"/>
      <c r="CT303" s="85"/>
      <c r="CU303" s="86"/>
      <c r="CV303" s="11"/>
      <c r="CW303" s="86"/>
      <c r="CX303" s="84"/>
      <c r="CY303" s="86"/>
    </row>
    <row r="304" spans="1:103" ht="38.25" x14ac:dyDescent="0.2">
      <c r="A304" s="43">
        <v>39904</v>
      </c>
      <c r="B304" s="44" t="s">
        <v>1066</v>
      </c>
      <c r="C304" s="44" t="s">
        <v>359</v>
      </c>
      <c r="D304" s="45" t="s">
        <v>1092</v>
      </c>
      <c r="E304" s="11"/>
      <c r="F304" s="12">
        <v>1</v>
      </c>
      <c r="G304" s="12"/>
      <c r="H304" s="12"/>
      <c r="I304" s="12"/>
      <c r="J304" s="12"/>
      <c r="K304" s="12"/>
      <c r="L304" s="12">
        <v>1</v>
      </c>
      <c r="M304" s="12"/>
      <c r="N304" s="12"/>
      <c r="O304" s="12"/>
      <c r="P304" s="12"/>
      <c r="Q304" s="12"/>
      <c r="R304" s="12"/>
      <c r="S304" s="12"/>
      <c r="T304" s="13"/>
      <c r="U304" s="46"/>
      <c r="V304" s="47"/>
      <c r="W304" s="48">
        <f t="shared" si="31"/>
        <v>0</v>
      </c>
      <c r="X304" s="48">
        <f t="shared" si="32"/>
        <v>0</v>
      </c>
      <c r="Y304" s="48">
        <f t="shared" si="33"/>
        <v>0</v>
      </c>
      <c r="Z304" s="48">
        <f t="shared" si="34"/>
        <v>0</v>
      </c>
      <c r="AA304" s="48"/>
      <c r="AB304" s="48"/>
      <c r="AC304" s="49">
        <f t="shared" si="35"/>
        <v>0</v>
      </c>
      <c r="AD304" s="50">
        <v>0</v>
      </c>
      <c r="AE304" s="47">
        <v>39905</v>
      </c>
      <c r="AF304" s="51" t="s">
        <v>516</v>
      </c>
      <c r="AG304" s="52" t="s">
        <v>517</v>
      </c>
      <c r="AH304" s="53" t="s">
        <v>938</v>
      </c>
      <c r="AI304" s="79"/>
      <c r="AJ304" s="80"/>
      <c r="AK304" s="81"/>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2"/>
      <c r="CL304" s="12"/>
      <c r="CM304" s="82"/>
      <c r="CN304" s="12"/>
      <c r="CO304" s="82"/>
      <c r="CP304" s="12"/>
      <c r="CQ304" s="83">
        <f t="shared" si="36"/>
        <v>0</v>
      </c>
      <c r="CR304" s="84"/>
      <c r="CS304" s="13"/>
      <c r="CT304" s="85"/>
      <c r="CU304" s="86"/>
      <c r="CV304" s="11"/>
      <c r="CW304" s="86"/>
      <c r="CX304" s="84"/>
      <c r="CY304" s="86"/>
    </row>
    <row r="305" spans="1:103" ht="63.75" x14ac:dyDescent="0.2">
      <c r="A305" s="43">
        <v>39904</v>
      </c>
      <c r="B305" s="44" t="s">
        <v>1136</v>
      </c>
      <c r="C305" s="44" t="s">
        <v>307</v>
      </c>
      <c r="D305" s="45" t="s">
        <v>1092</v>
      </c>
      <c r="E305" s="11"/>
      <c r="F305" s="12"/>
      <c r="G305" s="12"/>
      <c r="H305" s="12">
        <f>126*5</f>
        <v>630</v>
      </c>
      <c r="I305" s="12">
        <v>126</v>
      </c>
      <c r="J305" s="12">
        <v>58</v>
      </c>
      <c r="K305" s="12">
        <v>68</v>
      </c>
      <c r="L305" s="12"/>
      <c r="M305" s="12"/>
      <c r="N305" s="12"/>
      <c r="O305" s="12"/>
      <c r="P305" s="12"/>
      <c r="Q305" s="12"/>
      <c r="R305" s="12"/>
      <c r="S305" s="12"/>
      <c r="T305" s="13"/>
      <c r="U305" s="46"/>
      <c r="V305" s="47"/>
      <c r="W305" s="48">
        <f t="shared" si="31"/>
        <v>0</v>
      </c>
      <c r="X305" s="48">
        <f t="shared" si="32"/>
        <v>0</v>
      </c>
      <c r="Y305" s="48">
        <f t="shared" si="33"/>
        <v>0</v>
      </c>
      <c r="Z305" s="48">
        <f t="shared" si="34"/>
        <v>0</v>
      </c>
      <c r="AA305" s="48"/>
      <c r="AB305" s="48"/>
      <c r="AC305" s="49">
        <f t="shared" si="35"/>
        <v>0</v>
      </c>
      <c r="AD305" s="50">
        <v>0</v>
      </c>
      <c r="AE305" s="47">
        <v>39905</v>
      </c>
      <c r="AF305" s="51" t="s">
        <v>516</v>
      </c>
      <c r="AG305" s="52" t="s">
        <v>517</v>
      </c>
      <c r="AH305" s="53" t="s">
        <v>420</v>
      </c>
      <c r="AI305" s="79"/>
      <c r="AJ305" s="80"/>
      <c r="AK305" s="81"/>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2"/>
      <c r="CL305" s="12"/>
      <c r="CM305" s="82"/>
      <c r="CN305" s="12"/>
      <c r="CO305" s="82"/>
      <c r="CP305" s="12"/>
      <c r="CQ305" s="83">
        <f t="shared" si="36"/>
        <v>0</v>
      </c>
      <c r="CR305" s="84"/>
      <c r="CS305" s="13"/>
      <c r="CT305" s="85"/>
      <c r="CU305" s="86"/>
      <c r="CV305" s="11"/>
      <c r="CW305" s="86"/>
      <c r="CX305" s="84"/>
      <c r="CY305" s="86"/>
    </row>
    <row r="306" spans="1:103" ht="76.5" x14ac:dyDescent="0.2">
      <c r="A306" s="43">
        <v>39904</v>
      </c>
      <c r="B306" s="44" t="s">
        <v>481</v>
      </c>
      <c r="C306" s="44" t="s">
        <v>545</v>
      </c>
      <c r="D306" s="45" t="s">
        <v>1092</v>
      </c>
      <c r="E306" s="11"/>
      <c r="F306" s="12"/>
      <c r="G306" s="12"/>
      <c r="H306" s="12"/>
      <c r="I306" s="12"/>
      <c r="J306" s="12"/>
      <c r="K306" s="12"/>
      <c r="L306" s="12">
        <v>4</v>
      </c>
      <c r="M306" s="12"/>
      <c r="N306" s="12"/>
      <c r="O306" s="12"/>
      <c r="P306" s="12"/>
      <c r="Q306" s="12"/>
      <c r="R306" s="12"/>
      <c r="S306" s="12"/>
      <c r="T306" s="13"/>
      <c r="U306" s="46"/>
      <c r="V306" s="47"/>
      <c r="W306" s="48">
        <f t="shared" si="31"/>
        <v>0</v>
      </c>
      <c r="X306" s="48">
        <f t="shared" si="32"/>
        <v>0</v>
      </c>
      <c r="Y306" s="48">
        <f t="shared" si="33"/>
        <v>0</v>
      </c>
      <c r="Z306" s="48">
        <f t="shared" si="34"/>
        <v>0</v>
      </c>
      <c r="AA306" s="48"/>
      <c r="AB306" s="48"/>
      <c r="AC306" s="49">
        <f t="shared" si="35"/>
        <v>0</v>
      </c>
      <c r="AD306" s="50">
        <v>0</v>
      </c>
      <c r="AE306" s="47">
        <v>39923</v>
      </c>
      <c r="AF306" s="51" t="s">
        <v>516</v>
      </c>
      <c r="AG306" s="52" t="s">
        <v>517</v>
      </c>
      <c r="AH306" s="53" t="s">
        <v>546</v>
      </c>
      <c r="AI306" s="79"/>
      <c r="AJ306" s="80"/>
      <c r="AK306" s="81"/>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2"/>
      <c r="CL306" s="12"/>
      <c r="CM306" s="82"/>
      <c r="CN306" s="12"/>
      <c r="CO306" s="82"/>
      <c r="CP306" s="12"/>
      <c r="CQ306" s="83">
        <f t="shared" si="36"/>
        <v>0</v>
      </c>
      <c r="CR306" s="84"/>
      <c r="CS306" s="13"/>
      <c r="CT306" s="85"/>
      <c r="CU306" s="86"/>
      <c r="CV306" s="11"/>
      <c r="CW306" s="86"/>
      <c r="CX306" s="84"/>
      <c r="CY306" s="86"/>
    </row>
    <row r="307" spans="1:103" ht="25.5" x14ac:dyDescent="0.2">
      <c r="A307" s="43">
        <v>39904</v>
      </c>
      <c r="B307" s="44" t="s">
        <v>1114</v>
      </c>
      <c r="C307" s="44" t="s">
        <v>646</v>
      </c>
      <c r="D307" s="45" t="s">
        <v>1118</v>
      </c>
      <c r="E307" s="11"/>
      <c r="F307" s="12"/>
      <c r="G307" s="12"/>
      <c r="H307" s="12">
        <v>138</v>
      </c>
      <c r="I307" s="12">
        <v>28</v>
      </c>
      <c r="J307" s="12"/>
      <c r="K307" s="12">
        <v>28</v>
      </c>
      <c r="L307" s="12"/>
      <c r="M307" s="12"/>
      <c r="N307" s="12"/>
      <c r="O307" s="12"/>
      <c r="P307" s="12"/>
      <c r="Q307" s="12"/>
      <c r="R307" s="12"/>
      <c r="S307" s="12"/>
      <c r="T307" s="13"/>
      <c r="U307" s="46"/>
      <c r="V307" s="47"/>
      <c r="W307" s="48">
        <f t="shared" si="31"/>
        <v>0</v>
      </c>
      <c r="X307" s="48">
        <f t="shared" si="32"/>
        <v>0</v>
      </c>
      <c r="Y307" s="48">
        <f t="shared" si="33"/>
        <v>0</v>
      </c>
      <c r="Z307" s="48">
        <f t="shared" si="34"/>
        <v>0</v>
      </c>
      <c r="AA307" s="48"/>
      <c r="AB307" s="48"/>
      <c r="AC307" s="49">
        <f t="shared" si="35"/>
        <v>0</v>
      </c>
      <c r="AD307" s="50">
        <v>0</v>
      </c>
      <c r="AE307" s="47">
        <v>39905</v>
      </c>
      <c r="AF307" s="51" t="s">
        <v>516</v>
      </c>
      <c r="AG307" s="52" t="s">
        <v>517</v>
      </c>
      <c r="AH307" s="53" t="s">
        <v>939</v>
      </c>
      <c r="AI307" s="79"/>
      <c r="AJ307" s="80"/>
      <c r="AK307" s="81"/>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2"/>
      <c r="CL307" s="12"/>
      <c r="CM307" s="82"/>
      <c r="CN307" s="12"/>
      <c r="CO307" s="82"/>
      <c r="CP307" s="12"/>
      <c r="CQ307" s="83">
        <f t="shared" si="36"/>
        <v>0</v>
      </c>
      <c r="CR307" s="84"/>
      <c r="CS307" s="13"/>
      <c r="CT307" s="85"/>
      <c r="CU307" s="86"/>
      <c r="CV307" s="11"/>
      <c r="CW307" s="86"/>
      <c r="CX307" s="84"/>
      <c r="CY307" s="86"/>
    </row>
    <row r="308" spans="1:103" ht="63.75" x14ac:dyDescent="0.2">
      <c r="A308" s="43">
        <v>39904</v>
      </c>
      <c r="B308" s="44" t="s">
        <v>413</v>
      </c>
      <c r="C308" s="44" t="s">
        <v>514</v>
      </c>
      <c r="D308" s="45" t="s">
        <v>1118</v>
      </c>
      <c r="E308" s="11"/>
      <c r="F308" s="12"/>
      <c r="G308" s="12"/>
      <c r="H308" s="12">
        <f>26*5</f>
        <v>130</v>
      </c>
      <c r="I308" s="12">
        <v>26</v>
      </c>
      <c r="J308" s="12">
        <v>26</v>
      </c>
      <c r="K308" s="12"/>
      <c r="L308" s="12"/>
      <c r="M308" s="12"/>
      <c r="N308" s="12"/>
      <c r="O308" s="12"/>
      <c r="P308" s="12"/>
      <c r="Q308" s="12"/>
      <c r="R308" s="12"/>
      <c r="S308" s="12"/>
      <c r="T308" s="13"/>
      <c r="U308" s="46"/>
      <c r="V308" s="47">
        <v>39959</v>
      </c>
      <c r="W308" s="48">
        <f t="shared" si="31"/>
        <v>0</v>
      </c>
      <c r="X308" s="48">
        <f t="shared" si="32"/>
        <v>0</v>
      </c>
      <c r="Y308" s="48">
        <f t="shared" si="33"/>
        <v>0</v>
      </c>
      <c r="Z308" s="48">
        <f t="shared" si="34"/>
        <v>0</v>
      </c>
      <c r="AA308" s="48"/>
      <c r="AB308" s="48">
        <v>20000000</v>
      </c>
      <c r="AC308" s="49">
        <f t="shared" si="35"/>
        <v>20000000</v>
      </c>
      <c r="AD308" s="50">
        <v>0</v>
      </c>
      <c r="AE308" s="47">
        <v>39923</v>
      </c>
      <c r="AF308" s="51" t="s">
        <v>1016</v>
      </c>
      <c r="AG308" s="52" t="s">
        <v>565</v>
      </c>
      <c r="AH308" s="53" t="s">
        <v>839</v>
      </c>
      <c r="AI308" s="79"/>
      <c r="AJ308" s="80"/>
      <c r="AK308" s="81"/>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2"/>
      <c r="CL308" s="12"/>
      <c r="CM308" s="82"/>
      <c r="CN308" s="12"/>
      <c r="CO308" s="82"/>
      <c r="CP308" s="12"/>
      <c r="CQ308" s="83">
        <f t="shared" si="36"/>
        <v>0</v>
      </c>
      <c r="CR308" s="84"/>
      <c r="CS308" s="13"/>
      <c r="CT308" s="85"/>
      <c r="CU308" s="86"/>
      <c r="CV308" s="11"/>
      <c r="CW308" s="86"/>
      <c r="CX308" s="84"/>
      <c r="CY308" s="86"/>
    </row>
    <row r="309" spans="1:103" ht="38.25" x14ac:dyDescent="0.2">
      <c r="A309" s="43">
        <v>39904</v>
      </c>
      <c r="B309" s="44" t="s">
        <v>1091</v>
      </c>
      <c r="C309" s="44" t="s">
        <v>126</v>
      </c>
      <c r="D309" s="45" t="s">
        <v>1092</v>
      </c>
      <c r="E309" s="11"/>
      <c r="F309" s="12"/>
      <c r="G309" s="12"/>
      <c r="H309" s="12">
        <v>76</v>
      </c>
      <c r="I309" s="12">
        <v>18</v>
      </c>
      <c r="J309" s="12"/>
      <c r="K309" s="12">
        <v>17</v>
      </c>
      <c r="L309" s="12"/>
      <c r="M309" s="12"/>
      <c r="N309" s="12"/>
      <c r="O309" s="12"/>
      <c r="P309" s="12"/>
      <c r="Q309" s="12"/>
      <c r="R309" s="12"/>
      <c r="S309" s="12"/>
      <c r="T309" s="13">
        <v>10</v>
      </c>
      <c r="U309" s="46"/>
      <c r="V309" s="47"/>
      <c r="W309" s="48">
        <f t="shared" si="31"/>
        <v>0</v>
      </c>
      <c r="X309" s="48">
        <f t="shared" si="32"/>
        <v>0</v>
      </c>
      <c r="Y309" s="48">
        <f t="shared" si="33"/>
        <v>0</v>
      </c>
      <c r="Z309" s="48">
        <f t="shared" si="34"/>
        <v>0</v>
      </c>
      <c r="AA309" s="48"/>
      <c r="AB309" s="48"/>
      <c r="AC309" s="49">
        <f t="shared" si="35"/>
        <v>0</v>
      </c>
      <c r="AD309" s="50">
        <v>0</v>
      </c>
      <c r="AE309" s="47">
        <v>39905</v>
      </c>
      <c r="AF309" s="51" t="s">
        <v>516</v>
      </c>
      <c r="AG309" s="52" t="s">
        <v>517</v>
      </c>
      <c r="AH309" s="53" t="s">
        <v>606</v>
      </c>
      <c r="AI309" s="79"/>
      <c r="AJ309" s="80"/>
      <c r="AK309" s="81"/>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2"/>
      <c r="CL309" s="12"/>
      <c r="CM309" s="82"/>
      <c r="CN309" s="12"/>
      <c r="CO309" s="82"/>
      <c r="CP309" s="12"/>
      <c r="CQ309" s="83">
        <f t="shared" si="36"/>
        <v>0</v>
      </c>
      <c r="CR309" s="84"/>
      <c r="CS309" s="13"/>
      <c r="CT309" s="85"/>
      <c r="CU309" s="86"/>
      <c r="CV309" s="11"/>
      <c r="CW309" s="86"/>
      <c r="CX309" s="84"/>
      <c r="CY309" s="86"/>
    </row>
    <row r="310" spans="1:103" ht="38.25" x14ac:dyDescent="0.2">
      <c r="A310" s="43">
        <v>39904</v>
      </c>
      <c r="B310" s="44" t="s">
        <v>1091</v>
      </c>
      <c r="C310" s="44" t="s">
        <v>183</v>
      </c>
      <c r="D310" s="45" t="s">
        <v>1118</v>
      </c>
      <c r="E310" s="11"/>
      <c r="F310" s="12"/>
      <c r="G310" s="12"/>
      <c r="H310" s="12">
        <v>1430</v>
      </c>
      <c r="I310" s="12">
        <v>286</v>
      </c>
      <c r="J310" s="12">
        <v>3</v>
      </c>
      <c r="K310" s="12">
        <v>283</v>
      </c>
      <c r="L310" s="12"/>
      <c r="M310" s="12"/>
      <c r="N310" s="12"/>
      <c r="O310" s="12"/>
      <c r="P310" s="12"/>
      <c r="Q310" s="12"/>
      <c r="R310" s="12"/>
      <c r="S310" s="12"/>
      <c r="T310" s="13"/>
      <c r="U310" s="46"/>
      <c r="V310" s="47"/>
      <c r="W310" s="48">
        <f t="shared" si="31"/>
        <v>0</v>
      </c>
      <c r="X310" s="48">
        <f t="shared" si="32"/>
        <v>0</v>
      </c>
      <c r="Y310" s="48">
        <f t="shared" si="33"/>
        <v>0</v>
      </c>
      <c r="Z310" s="48">
        <f t="shared" si="34"/>
        <v>0</v>
      </c>
      <c r="AA310" s="48"/>
      <c r="AB310" s="48"/>
      <c r="AC310" s="49">
        <f t="shared" si="35"/>
        <v>0</v>
      </c>
      <c r="AD310" s="50">
        <v>0</v>
      </c>
      <c r="AE310" s="47">
        <v>39907</v>
      </c>
      <c r="AF310" s="51" t="s">
        <v>516</v>
      </c>
      <c r="AG310" s="52" t="s">
        <v>517</v>
      </c>
      <c r="AH310" s="53" t="s">
        <v>184</v>
      </c>
      <c r="AI310" s="79"/>
      <c r="AJ310" s="80"/>
      <c r="AK310" s="81"/>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2"/>
      <c r="CL310" s="12"/>
      <c r="CM310" s="82"/>
      <c r="CN310" s="12"/>
      <c r="CO310" s="82"/>
      <c r="CP310" s="12"/>
      <c r="CQ310" s="83">
        <f t="shared" si="36"/>
        <v>0</v>
      </c>
      <c r="CR310" s="84"/>
      <c r="CS310" s="13"/>
      <c r="CT310" s="85"/>
      <c r="CU310" s="86"/>
      <c r="CV310" s="11"/>
      <c r="CW310" s="86"/>
      <c r="CX310" s="84"/>
      <c r="CY310" s="86"/>
    </row>
    <row r="311" spans="1:103" ht="25.5" x14ac:dyDescent="0.2">
      <c r="A311" s="43">
        <v>39904</v>
      </c>
      <c r="B311" s="44" t="s">
        <v>1350</v>
      </c>
      <c r="C311" s="44" t="s">
        <v>1340</v>
      </c>
      <c r="D311" s="45" t="s">
        <v>1118</v>
      </c>
      <c r="E311" s="11"/>
      <c r="F311" s="12"/>
      <c r="G311" s="12"/>
      <c r="H311" s="12">
        <f>400*5</f>
        <v>2000</v>
      </c>
      <c r="I311" s="12">
        <v>400</v>
      </c>
      <c r="J311" s="12"/>
      <c r="K311" s="12">
        <v>400</v>
      </c>
      <c r="L311" s="12"/>
      <c r="M311" s="12"/>
      <c r="N311" s="12"/>
      <c r="O311" s="12"/>
      <c r="P311" s="12"/>
      <c r="Q311" s="12"/>
      <c r="R311" s="12"/>
      <c r="S311" s="12"/>
      <c r="T311" s="13"/>
      <c r="U311" s="46"/>
      <c r="V311" s="47"/>
      <c r="W311" s="48">
        <f t="shared" si="31"/>
        <v>0</v>
      </c>
      <c r="X311" s="48">
        <f t="shared" si="32"/>
        <v>0</v>
      </c>
      <c r="Y311" s="48">
        <f t="shared" si="33"/>
        <v>0</v>
      </c>
      <c r="Z311" s="48">
        <f t="shared" si="34"/>
        <v>0</v>
      </c>
      <c r="AA311" s="48"/>
      <c r="AB311" s="48"/>
      <c r="AC311" s="49">
        <f t="shared" si="35"/>
        <v>0</v>
      </c>
      <c r="AD311" s="50">
        <v>0</v>
      </c>
      <c r="AE311" s="47">
        <v>39905</v>
      </c>
      <c r="AF311" s="51" t="s">
        <v>1016</v>
      </c>
      <c r="AG311" s="52" t="s">
        <v>565</v>
      </c>
      <c r="AH311" s="53" t="s">
        <v>340</v>
      </c>
      <c r="AI311" s="79"/>
      <c r="AJ311" s="80"/>
      <c r="AK311" s="81"/>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2"/>
      <c r="CL311" s="12"/>
      <c r="CM311" s="82"/>
      <c r="CN311" s="12"/>
      <c r="CO311" s="82"/>
      <c r="CP311" s="12"/>
      <c r="CQ311" s="83">
        <f t="shared" si="36"/>
        <v>0</v>
      </c>
      <c r="CR311" s="84"/>
      <c r="CS311" s="13"/>
      <c r="CT311" s="85"/>
      <c r="CU311" s="86"/>
      <c r="CV311" s="11"/>
      <c r="CW311" s="86"/>
      <c r="CX311" s="84"/>
      <c r="CY311" s="86"/>
    </row>
    <row r="312" spans="1:103" ht="25.5" x14ac:dyDescent="0.2">
      <c r="A312" s="43">
        <v>39905</v>
      </c>
      <c r="B312" s="44" t="s">
        <v>1127</v>
      </c>
      <c r="C312" s="44" t="s">
        <v>550</v>
      </c>
      <c r="D312" s="45" t="s">
        <v>1118</v>
      </c>
      <c r="E312" s="11"/>
      <c r="F312" s="12"/>
      <c r="G312" s="12"/>
      <c r="H312" s="12">
        <v>150</v>
      </c>
      <c r="I312" s="12">
        <v>30</v>
      </c>
      <c r="J312" s="12"/>
      <c r="K312" s="12">
        <v>30</v>
      </c>
      <c r="L312" s="12"/>
      <c r="M312" s="12"/>
      <c r="N312" s="12"/>
      <c r="O312" s="12"/>
      <c r="P312" s="12"/>
      <c r="Q312" s="12"/>
      <c r="R312" s="12"/>
      <c r="S312" s="12"/>
      <c r="T312" s="13"/>
      <c r="U312" s="46"/>
      <c r="V312" s="47"/>
      <c r="W312" s="48">
        <f t="shared" si="31"/>
        <v>0</v>
      </c>
      <c r="X312" s="48">
        <f t="shared" si="32"/>
        <v>0</v>
      </c>
      <c r="Y312" s="48">
        <f t="shared" si="33"/>
        <v>0</v>
      </c>
      <c r="Z312" s="48">
        <f t="shared" si="34"/>
        <v>0</v>
      </c>
      <c r="AA312" s="48"/>
      <c r="AB312" s="48"/>
      <c r="AC312" s="49">
        <f t="shared" si="35"/>
        <v>0</v>
      </c>
      <c r="AD312" s="50">
        <v>0</v>
      </c>
      <c r="AE312" s="47">
        <v>39905</v>
      </c>
      <c r="AF312" s="51" t="s">
        <v>516</v>
      </c>
      <c r="AG312" s="52" t="s">
        <v>517</v>
      </c>
      <c r="AH312" s="53" t="s">
        <v>553</v>
      </c>
      <c r="AI312" s="79"/>
      <c r="AJ312" s="80"/>
      <c r="AK312" s="81"/>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2"/>
      <c r="CL312" s="12"/>
      <c r="CM312" s="82"/>
      <c r="CN312" s="12"/>
      <c r="CO312" s="82"/>
      <c r="CP312" s="12"/>
      <c r="CQ312" s="83">
        <f t="shared" si="36"/>
        <v>0</v>
      </c>
      <c r="CR312" s="84"/>
      <c r="CS312" s="13"/>
      <c r="CT312" s="85"/>
      <c r="CU312" s="86"/>
      <c r="CV312" s="11"/>
      <c r="CW312" s="86"/>
      <c r="CX312" s="84"/>
      <c r="CY312" s="86"/>
    </row>
    <row r="313" spans="1:103" ht="25.5" x14ac:dyDescent="0.2">
      <c r="A313" s="43">
        <v>39905</v>
      </c>
      <c r="B313" s="44" t="s">
        <v>1127</v>
      </c>
      <c r="C313" s="44" t="s">
        <v>551</v>
      </c>
      <c r="D313" s="45" t="s">
        <v>1092</v>
      </c>
      <c r="E313" s="11"/>
      <c r="F313" s="12"/>
      <c r="G313" s="12"/>
      <c r="H313" s="12">
        <v>15</v>
      </c>
      <c r="I313" s="12">
        <v>3</v>
      </c>
      <c r="J313" s="12">
        <v>1</v>
      </c>
      <c r="K313" s="12">
        <v>2</v>
      </c>
      <c r="L313" s="12"/>
      <c r="M313" s="12"/>
      <c r="N313" s="12"/>
      <c r="O313" s="12"/>
      <c r="P313" s="12"/>
      <c r="Q313" s="12"/>
      <c r="R313" s="12"/>
      <c r="S313" s="12"/>
      <c r="T313" s="13"/>
      <c r="U313" s="46"/>
      <c r="V313" s="47"/>
      <c r="W313" s="48">
        <f t="shared" si="31"/>
        <v>0</v>
      </c>
      <c r="X313" s="48">
        <f t="shared" si="32"/>
        <v>0</v>
      </c>
      <c r="Y313" s="48">
        <f t="shared" si="33"/>
        <v>0</v>
      </c>
      <c r="Z313" s="48">
        <f t="shared" si="34"/>
        <v>0</v>
      </c>
      <c r="AA313" s="48"/>
      <c r="AB313" s="48"/>
      <c r="AC313" s="49">
        <f t="shared" si="35"/>
        <v>0</v>
      </c>
      <c r="AD313" s="50">
        <v>0</v>
      </c>
      <c r="AE313" s="47">
        <v>39905</v>
      </c>
      <c r="AF313" s="51" t="s">
        <v>516</v>
      </c>
      <c r="AG313" s="52" t="s">
        <v>517</v>
      </c>
      <c r="AH313" s="53" t="s">
        <v>1281</v>
      </c>
      <c r="AI313" s="79"/>
      <c r="AJ313" s="80"/>
      <c r="AK313" s="81"/>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2"/>
      <c r="CL313" s="12"/>
      <c r="CM313" s="82"/>
      <c r="CN313" s="12"/>
      <c r="CO313" s="82"/>
      <c r="CP313" s="12"/>
      <c r="CQ313" s="83">
        <f t="shared" si="36"/>
        <v>0</v>
      </c>
      <c r="CR313" s="84"/>
      <c r="CS313" s="13"/>
      <c r="CT313" s="85"/>
      <c r="CU313" s="86"/>
      <c r="CV313" s="11"/>
      <c r="CW313" s="86"/>
      <c r="CX313" s="84"/>
      <c r="CY313" s="86"/>
    </row>
    <row r="314" spans="1:103" ht="25.5" x14ac:dyDescent="0.2">
      <c r="A314" s="43">
        <v>39905</v>
      </c>
      <c r="B314" s="44" t="s">
        <v>1127</v>
      </c>
      <c r="C314" s="44" t="s">
        <v>554</v>
      </c>
      <c r="D314" s="45" t="s">
        <v>1092</v>
      </c>
      <c r="E314" s="11"/>
      <c r="F314" s="12"/>
      <c r="G314" s="12"/>
      <c r="H314" s="12">
        <v>25</v>
      </c>
      <c r="I314" s="12">
        <v>5</v>
      </c>
      <c r="J314" s="12"/>
      <c r="K314" s="12">
        <v>5</v>
      </c>
      <c r="L314" s="12"/>
      <c r="M314" s="12"/>
      <c r="N314" s="12"/>
      <c r="O314" s="12"/>
      <c r="P314" s="12"/>
      <c r="Q314" s="12"/>
      <c r="R314" s="12"/>
      <c r="S314" s="12"/>
      <c r="T314" s="13"/>
      <c r="U314" s="46"/>
      <c r="V314" s="47"/>
      <c r="W314" s="48">
        <f t="shared" si="31"/>
        <v>0</v>
      </c>
      <c r="X314" s="48">
        <f t="shared" si="32"/>
        <v>0</v>
      </c>
      <c r="Y314" s="48">
        <f t="shared" si="33"/>
        <v>0</v>
      </c>
      <c r="Z314" s="48">
        <f t="shared" si="34"/>
        <v>0</v>
      </c>
      <c r="AA314" s="48"/>
      <c r="AB314" s="48"/>
      <c r="AC314" s="49">
        <f t="shared" si="35"/>
        <v>0</v>
      </c>
      <c r="AD314" s="50">
        <v>0</v>
      </c>
      <c r="AE314" s="47">
        <v>39905</v>
      </c>
      <c r="AF314" s="51" t="s">
        <v>516</v>
      </c>
      <c r="AG314" s="52" t="s">
        <v>517</v>
      </c>
      <c r="AH314" s="53" t="s">
        <v>936</v>
      </c>
      <c r="AI314" s="79"/>
      <c r="AJ314" s="80"/>
      <c r="AK314" s="81"/>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2"/>
      <c r="CL314" s="12"/>
      <c r="CM314" s="82"/>
      <c r="CN314" s="12"/>
      <c r="CO314" s="82"/>
      <c r="CP314" s="12"/>
      <c r="CQ314" s="83">
        <f t="shared" si="36"/>
        <v>0</v>
      </c>
      <c r="CR314" s="84"/>
      <c r="CS314" s="13"/>
      <c r="CT314" s="85"/>
      <c r="CU314" s="86"/>
      <c r="CV314" s="11"/>
      <c r="CW314" s="86"/>
      <c r="CX314" s="84"/>
      <c r="CY314" s="86"/>
    </row>
    <row r="315" spans="1:103" ht="25.5" x14ac:dyDescent="0.2">
      <c r="A315" s="43">
        <v>39905</v>
      </c>
      <c r="B315" s="44" t="s">
        <v>1127</v>
      </c>
      <c r="C315" s="44" t="s">
        <v>768</v>
      </c>
      <c r="D315" s="45" t="s">
        <v>1118</v>
      </c>
      <c r="E315" s="11"/>
      <c r="F315" s="12"/>
      <c r="G315" s="12"/>
      <c r="H315" s="12">
        <f>118*5</f>
        <v>590</v>
      </c>
      <c r="I315" s="12">
        <v>118</v>
      </c>
      <c r="J315" s="12"/>
      <c r="K315" s="12">
        <v>118</v>
      </c>
      <c r="L315" s="12"/>
      <c r="M315" s="12"/>
      <c r="N315" s="12"/>
      <c r="O315" s="12"/>
      <c r="P315" s="12"/>
      <c r="Q315" s="12"/>
      <c r="R315" s="12"/>
      <c r="S315" s="12"/>
      <c r="T315" s="13"/>
      <c r="U315" s="46"/>
      <c r="V315" s="47"/>
      <c r="W315" s="48">
        <f t="shared" si="31"/>
        <v>0</v>
      </c>
      <c r="X315" s="48">
        <f t="shared" si="32"/>
        <v>0</v>
      </c>
      <c r="Y315" s="48">
        <f t="shared" si="33"/>
        <v>0</v>
      </c>
      <c r="Z315" s="48">
        <f t="shared" si="34"/>
        <v>0</v>
      </c>
      <c r="AA315" s="48"/>
      <c r="AB315" s="48"/>
      <c r="AC315" s="49">
        <f t="shared" si="35"/>
        <v>0</v>
      </c>
      <c r="AD315" s="50">
        <v>0</v>
      </c>
      <c r="AE315" s="47">
        <v>39906</v>
      </c>
      <c r="AF315" s="51" t="s">
        <v>516</v>
      </c>
      <c r="AG315" s="52" t="s">
        <v>517</v>
      </c>
      <c r="AH315" s="53" t="s">
        <v>179</v>
      </c>
      <c r="AI315" s="79"/>
      <c r="AJ315" s="80"/>
      <c r="AK315" s="81"/>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2"/>
      <c r="CL315" s="12"/>
      <c r="CM315" s="82"/>
      <c r="CN315" s="12"/>
      <c r="CO315" s="82"/>
      <c r="CP315" s="12"/>
      <c r="CQ315" s="83">
        <f t="shared" si="36"/>
        <v>0</v>
      </c>
      <c r="CR315" s="84"/>
      <c r="CS315" s="13"/>
      <c r="CT315" s="85"/>
      <c r="CU315" s="86"/>
      <c r="CV315" s="11"/>
      <c r="CW315" s="86"/>
      <c r="CX315" s="84"/>
      <c r="CY315" s="86"/>
    </row>
    <row r="316" spans="1:103" ht="38.25" x14ac:dyDescent="0.2">
      <c r="A316" s="43">
        <v>39905</v>
      </c>
      <c r="B316" s="44" t="s">
        <v>1127</v>
      </c>
      <c r="C316" s="44" t="s">
        <v>180</v>
      </c>
      <c r="D316" s="45" t="s">
        <v>1118</v>
      </c>
      <c r="E316" s="11"/>
      <c r="F316" s="12"/>
      <c r="G316" s="12"/>
      <c r="H316" s="12">
        <v>170</v>
      </c>
      <c r="I316" s="12">
        <v>34</v>
      </c>
      <c r="J316" s="12"/>
      <c r="K316" s="12">
        <v>34</v>
      </c>
      <c r="L316" s="12"/>
      <c r="M316" s="12"/>
      <c r="N316" s="12"/>
      <c r="O316" s="12"/>
      <c r="P316" s="12"/>
      <c r="Q316" s="12"/>
      <c r="R316" s="12"/>
      <c r="S316" s="12"/>
      <c r="T316" s="13"/>
      <c r="U316" s="46"/>
      <c r="V316" s="47"/>
      <c r="W316" s="48">
        <f t="shared" si="31"/>
        <v>0</v>
      </c>
      <c r="X316" s="48">
        <f t="shared" si="32"/>
        <v>0</v>
      </c>
      <c r="Y316" s="48">
        <f t="shared" si="33"/>
        <v>0</v>
      </c>
      <c r="Z316" s="48">
        <f t="shared" si="34"/>
        <v>0</v>
      </c>
      <c r="AA316" s="48"/>
      <c r="AB316" s="48"/>
      <c r="AC316" s="49">
        <f t="shared" si="35"/>
        <v>0</v>
      </c>
      <c r="AD316" s="50">
        <v>0</v>
      </c>
      <c r="AE316" s="47">
        <v>39906</v>
      </c>
      <c r="AF316" s="51" t="s">
        <v>516</v>
      </c>
      <c r="AG316" s="52" t="s">
        <v>517</v>
      </c>
      <c r="AH316" s="53" t="s">
        <v>181</v>
      </c>
      <c r="AI316" s="79"/>
      <c r="AJ316" s="80"/>
      <c r="AK316" s="81"/>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2"/>
      <c r="CL316" s="12"/>
      <c r="CM316" s="82"/>
      <c r="CN316" s="12"/>
      <c r="CO316" s="82"/>
      <c r="CP316" s="12"/>
      <c r="CQ316" s="83">
        <f t="shared" si="36"/>
        <v>0</v>
      </c>
      <c r="CR316" s="84"/>
      <c r="CS316" s="13"/>
      <c r="CT316" s="85"/>
      <c r="CU316" s="86"/>
      <c r="CV316" s="11"/>
      <c r="CW316" s="86"/>
      <c r="CX316" s="84"/>
      <c r="CY316" s="86"/>
    </row>
    <row r="317" spans="1:103" ht="25.5" x14ac:dyDescent="0.2">
      <c r="A317" s="43">
        <v>39905</v>
      </c>
      <c r="B317" s="44" t="s">
        <v>1127</v>
      </c>
      <c r="C317" s="44" t="s">
        <v>539</v>
      </c>
      <c r="D317" s="45" t="s">
        <v>1118</v>
      </c>
      <c r="E317" s="11"/>
      <c r="F317" s="12"/>
      <c r="G317" s="12"/>
      <c r="H317" s="12">
        <f>34*5</f>
        <v>170</v>
      </c>
      <c r="I317" s="12">
        <v>34</v>
      </c>
      <c r="J317" s="12"/>
      <c r="K317" s="12">
        <v>34</v>
      </c>
      <c r="L317" s="12"/>
      <c r="M317" s="12"/>
      <c r="N317" s="12"/>
      <c r="O317" s="12"/>
      <c r="P317" s="12"/>
      <c r="Q317" s="12"/>
      <c r="R317" s="12"/>
      <c r="S317" s="12"/>
      <c r="T317" s="13"/>
      <c r="U317" s="46"/>
      <c r="V317" s="47"/>
      <c r="W317" s="48">
        <f t="shared" si="31"/>
        <v>0</v>
      </c>
      <c r="X317" s="48">
        <f t="shared" si="32"/>
        <v>0</v>
      </c>
      <c r="Y317" s="48">
        <f t="shared" si="33"/>
        <v>0</v>
      </c>
      <c r="Z317" s="48">
        <f t="shared" si="34"/>
        <v>0</v>
      </c>
      <c r="AA317" s="48"/>
      <c r="AB317" s="48"/>
      <c r="AC317" s="49">
        <f t="shared" si="35"/>
        <v>0</v>
      </c>
      <c r="AD317" s="50">
        <v>0</v>
      </c>
      <c r="AE317" s="47">
        <v>39966</v>
      </c>
      <c r="AF317" s="51" t="s">
        <v>516</v>
      </c>
      <c r="AG317" s="52" t="s">
        <v>517</v>
      </c>
      <c r="AH317" s="53" t="s">
        <v>1056</v>
      </c>
      <c r="AI317" s="79"/>
      <c r="AJ317" s="80"/>
      <c r="AK317" s="81"/>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2"/>
      <c r="CL317" s="12"/>
      <c r="CM317" s="82"/>
      <c r="CN317" s="12"/>
      <c r="CO317" s="82"/>
      <c r="CP317" s="12"/>
      <c r="CQ317" s="83">
        <f t="shared" si="36"/>
        <v>0</v>
      </c>
      <c r="CR317" s="84"/>
      <c r="CS317" s="13"/>
      <c r="CT317" s="85"/>
      <c r="CU317" s="86"/>
      <c r="CV317" s="11"/>
      <c r="CW317" s="86"/>
      <c r="CX317" s="84"/>
      <c r="CY317" s="86"/>
    </row>
    <row r="318" spans="1:103" ht="25.5" x14ac:dyDescent="0.2">
      <c r="A318" s="43">
        <v>39905</v>
      </c>
      <c r="B318" s="44" t="s">
        <v>600</v>
      </c>
      <c r="C318" s="44" t="s">
        <v>727</v>
      </c>
      <c r="D318" s="45" t="s">
        <v>1092</v>
      </c>
      <c r="E318" s="11"/>
      <c r="F318" s="12"/>
      <c r="G318" s="12"/>
      <c r="H318" s="12">
        <v>25</v>
      </c>
      <c r="I318" s="12">
        <v>5</v>
      </c>
      <c r="J318" s="12"/>
      <c r="K318" s="12">
        <v>5</v>
      </c>
      <c r="L318" s="12"/>
      <c r="M318" s="12"/>
      <c r="N318" s="12"/>
      <c r="O318" s="12"/>
      <c r="P318" s="12"/>
      <c r="Q318" s="12"/>
      <c r="R318" s="12"/>
      <c r="S318" s="12"/>
      <c r="T318" s="13"/>
      <c r="U318" s="46"/>
      <c r="V318" s="47"/>
      <c r="W318" s="48">
        <f t="shared" si="31"/>
        <v>0</v>
      </c>
      <c r="X318" s="48">
        <f t="shared" si="32"/>
        <v>0</v>
      </c>
      <c r="Y318" s="48">
        <f t="shared" si="33"/>
        <v>0</v>
      </c>
      <c r="Z318" s="48">
        <f t="shared" si="34"/>
        <v>0</v>
      </c>
      <c r="AA318" s="48"/>
      <c r="AB318" s="48"/>
      <c r="AC318" s="49">
        <f t="shared" si="35"/>
        <v>0</v>
      </c>
      <c r="AD318" s="50">
        <v>0</v>
      </c>
      <c r="AE318" s="47">
        <v>39907</v>
      </c>
      <c r="AF318" s="51" t="s">
        <v>516</v>
      </c>
      <c r="AG318" s="52" t="s">
        <v>517</v>
      </c>
      <c r="AH318" s="53"/>
      <c r="AI318" s="79"/>
      <c r="AJ318" s="80"/>
      <c r="AK318" s="81"/>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2"/>
      <c r="CL318" s="12"/>
      <c r="CM318" s="82"/>
      <c r="CN318" s="12"/>
      <c r="CO318" s="82"/>
      <c r="CP318" s="12"/>
      <c r="CQ318" s="83">
        <f t="shared" si="36"/>
        <v>0</v>
      </c>
      <c r="CR318" s="84"/>
      <c r="CS318" s="13"/>
      <c r="CT318" s="85"/>
      <c r="CU318" s="86"/>
      <c r="CV318" s="11"/>
      <c r="CW318" s="86"/>
      <c r="CX318" s="84"/>
      <c r="CY318" s="86"/>
    </row>
    <row r="319" spans="1:103" ht="102" x14ac:dyDescent="0.2">
      <c r="A319" s="43">
        <v>39905</v>
      </c>
      <c r="B319" s="44" t="s">
        <v>600</v>
      </c>
      <c r="C319" s="44" t="s">
        <v>376</v>
      </c>
      <c r="D319" s="45" t="s">
        <v>1118</v>
      </c>
      <c r="E319" s="11"/>
      <c r="F319" s="12"/>
      <c r="G319" s="12"/>
      <c r="H319" s="12"/>
      <c r="I319" s="12"/>
      <c r="J319" s="12"/>
      <c r="K319" s="12"/>
      <c r="L319" s="12">
        <v>15</v>
      </c>
      <c r="M319" s="12"/>
      <c r="N319" s="12"/>
      <c r="O319" s="12"/>
      <c r="P319" s="12"/>
      <c r="Q319" s="12"/>
      <c r="R319" s="12">
        <v>1</v>
      </c>
      <c r="S319" s="12"/>
      <c r="T319" s="13"/>
      <c r="U319" s="46"/>
      <c r="V319" s="47"/>
      <c r="W319" s="48">
        <f t="shared" si="31"/>
        <v>0</v>
      </c>
      <c r="X319" s="48">
        <f t="shared" si="32"/>
        <v>0</v>
      </c>
      <c r="Y319" s="48">
        <f t="shared" si="33"/>
        <v>0</v>
      </c>
      <c r="Z319" s="48">
        <f t="shared" si="34"/>
        <v>0</v>
      </c>
      <c r="AA319" s="48"/>
      <c r="AB319" s="48">
        <v>69993777</v>
      </c>
      <c r="AC319" s="49">
        <f t="shared" si="35"/>
        <v>69993777</v>
      </c>
      <c r="AD319" s="50">
        <v>0</v>
      </c>
      <c r="AE319" s="47">
        <v>39905</v>
      </c>
      <c r="AF319" s="51" t="s">
        <v>1016</v>
      </c>
      <c r="AG319" s="52" t="s">
        <v>565</v>
      </c>
      <c r="AH319" s="53" t="s">
        <v>840</v>
      </c>
      <c r="AI319" s="79" t="s">
        <v>1119</v>
      </c>
      <c r="AJ319" s="80"/>
      <c r="AK319" s="81"/>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2"/>
      <c r="CL319" s="12"/>
      <c r="CM319" s="82"/>
      <c r="CN319" s="12"/>
      <c r="CO319" s="82"/>
      <c r="CP319" s="12"/>
      <c r="CQ319" s="83">
        <f t="shared" si="36"/>
        <v>0</v>
      </c>
      <c r="CR319" s="84"/>
      <c r="CS319" s="13"/>
      <c r="CT319" s="85"/>
      <c r="CU319" s="86"/>
      <c r="CV319" s="11"/>
      <c r="CW319" s="86"/>
      <c r="CX319" s="84"/>
      <c r="CY319" s="86"/>
    </row>
    <row r="320" spans="1:103" ht="25.5" x14ac:dyDescent="0.2">
      <c r="A320" s="43">
        <v>39905</v>
      </c>
      <c r="B320" s="44" t="s">
        <v>1114</v>
      </c>
      <c r="C320" s="44" t="s">
        <v>560</v>
      </c>
      <c r="D320" s="45" t="s">
        <v>1092</v>
      </c>
      <c r="E320" s="11"/>
      <c r="F320" s="12"/>
      <c r="G320" s="12"/>
      <c r="H320" s="12">
        <v>15</v>
      </c>
      <c r="I320" s="12">
        <v>3</v>
      </c>
      <c r="J320" s="12"/>
      <c r="K320" s="12">
        <v>3</v>
      </c>
      <c r="L320" s="12"/>
      <c r="M320" s="12"/>
      <c r="N320" s="12"/>
      <c r="O320" s="12"/>
      <c r="P320" s="12"/>
      <c r="Q320" s="12"/>
      <c r="R320" s="12"/>
      <c r="S320" s="12"/>
      <c r="T320" s="13"/>
      <c r="U320" s="46"/>
      <c r="V320" s="47"/>
      <c r="W320" s="48">
        <f t="shared" si="31"/>
        <v>0</v>
      </c>
      <c r="X320" s="48">
        <f t="shared" si="32"/>
        <v>0</v>
      </c>
      <c r="Y320" s="48">
        <f t="shared" si="33"/>
        <v>0</v>
      </c>
      <c r="Z320" s="48">
        <f t="shared" si="34"/>
        <v>0</v>
      </c>
      <c r="AA320" s="48"/>
      <c r="AB320" s="48"/>
      <c r="AC320" s="49">
        <f t="shared" si="35"/>
        <v>0</v>
      </c>
      <c r="AD320" s="50">
        <v>0</v>
      </c>
      <c r="AE320" s="47">
        <v>39905</v>
      </c>
      <c r="AF320" s="51" t="s">
        <v>516</v>
      </c>
      <c r="AG320" s="52" t="s">
        <v>517</v>
      </c>
      <c r="AH320" s="53" t="s">
        <v>937</v>
      </c>
      <c r="AI320" s="79"/>
      <c r="AJ320" s="80"/>
      <c r="AK320" s="81"/>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2"/>
      <c r="CL320" s="12"/>
      <c r="CM320" s="82"/>
      <c r="CN320" s="12"/>
      <c r="CO320" s="82"/>
      <c r="CP320" s="12"/>
      <c r="CQ320" s="83">
        <f t="shared" si="36"/>
        <v>0</v>
      </c>
      <c r="CR320" s="84"/>
      <c r="CS320" s="13"/>
      <c r="CT320" s="85"/>
      <c r="CU320" s="86"/>
      <c r="CV320" s="11"/>
      <c r="CW320" s="86"/>
      <c r="CX320" s="84"/>
      <c r="CY320" s="86"/>
    </row>
    <row r="321" spans="1:103" ht="51" x14ac:dyDescent="0.2">
      <c r="A321" s="43">
        <v>39905</v>
      </c>
      <c r="B321" s="44" t="s">
        <v>1091</v>
      </c>
      <c r="C321" s="44" t="s">
        <v>1454</v>
      </c>
      <c r="D321" s="45" t="s">
        <v>1118</v>
      </c>
      <c r="E321" s="11"/>
      <c r="F321" s="12"/>
      <c r="G321" s="12"/>
      <c r="H321" s="12"/>
      <c r="I321" s="12"/>
      <c r="J321" s="12"/>
      <c r="K321" s="12"/>
      <c r="L321" s="12"/>
      <c r="M321" s="12"/>
      <c r="N321" s="12"/>
      <c r="O321" s="12"/>
      <c r="P321" s="12"/>
      <c r="Q321" s="12"/>
      <c r="R321" s="12"/>
      <c r="S321" s="12"/>
      <c r="T321" s="13"/>
      <c r="U321" s="46"/>
      <c r="V321" s="47">
        <v>39924</v>
      </c>
      <c r="W321" s="48">
        <f t="shared" si="31"/>
        <v>87150000</v>
      </c>
      <c r="X321" s="48">
        <f t="shared" si="32"/>
        <v>68000000</v>
      </c>
      <c r="Y321" s="48">
        <f t="shared" si="33"/>
        <v>0</v>
      </c>
      <c r="Z321" s="48">
        <f t="shared" si="34"/>
        <v>0</v>
      </c>
      <c r="AA321" s="48">
        <f>836000+836000</f>
        <v>1672000</v>
      </c>
      <c r="AB321" s="48"/>
      <c r="AC321" s="49">
        <f t="shared" si="35"/>
        <v>156822000</v>
      </c>
      <c r="AD321" s="50">
        <v>0</v>
      </c>
      <c r="AE321" s="47">
        <v>39905</v>
      </c>
      <c r="AF321" s="51" t="s">
        <v>1016</v>
      </c>
      <c r="AG321" s="52" t="s">
        <v>565</v>
      </c>
      <c r="AH321" s="53" t="s">
        <v>841</v>
      </c>
      <c r="AI321" s="79"/>
      <c r="AJ321" s="80"/>
      <c r="AK321" s="81"/>
      <c r="AL321" s="80"/>
      <c r="AM321" s="80"/>
      <c r="AN321" s="80"/>
      <c r="AO321" s="80"/>
      <c r="AP321" s="80"/>
      <c r="AQ321" s="80"/>
      <c r="AR321" s="80"/>
      <c r="AS321" s="80"/>
      <c r="AT321" s="80"/>
      <c r="AU321" s="80">
        <f>150+150</f>
        <v>300</v>
      </c>
      <c r="AV321" s="80">
        <f>150*56000+150*56000</f>
        <v>16800000</v>
      </c>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f>250+250</f>
        <v>500</v>
      </c>
      <c r="CF321" s="80">
        <f>250*21500+250*21500</f>
        <v>10750000</v>
      </c>
      <c r="CG321" s="80"/>
      <c r="CH321" s="80"/>
      <c r="CI321" s="80"/>
      <c r="CJ321" s="80"/>
      <c r="CK321" s="82">
        <f>400+400</f>
        <v>800</v>
      </c>
      <c r="CL321" s="12">
        <f>400*38500+400*38500</f>
        <v>30800000</v>
      </c>
      <c r="CM321" s="82">
        <f>400+400</f>
        <v>800</v>
      </c>
      <c r="CN321" s="12">
        <f>400*36000+400*36000</f>
        <v>28800000</v>
      </c>
      <c r="CO321" s="82"/>
      <c r="CP321" s="12"/>
      <c r="CQ321" s="83">
        <f t="shared" si="36"/>
        <v>87150000</v>
      </c>
      <c r="CR321" s="84"/>
      <c r="CS321" s="13"/>
      <c r="CT321" s="85">
        <f>400+400</f>
        <v>800</v>
      </c>
      <c r="CU321" s="86">
        <f>400*85000+400*85000</f>
        <v>68000000</v>
      </c>
      <c r="CV321" s="11"/>
      <c r="CW321" s="86"/>
      <c r="CX321" s="84"/>
      <c r="CY321" s="86"/>
    </row>
    <row r="322" spans="1:103" ht="38.25" x14ac:dyDescent="0.2">
      <c r="A322" s="43">
        <v>39906</v>
      </c>
      <c r="B322" s="44" t="s">
        <v>300</v>
      </c>
      <c r="C322" s="44" t="s">
        <v>61</v>
      </c>
      <c r="D322" s="45" t="s">
        <v>1116</v>
      </c>
      <c r="E322" s="11"/>
      <c r="F322" s="12"/>
      <c r="G322" s="12"/>
      <c r="H322" s="12">
        <v>18</v>
      </c>
      <c r="I322" s="12">
        <v>3</v>
      </c>
      <c r="J322" s="12"/>
      <c r="K322" s="12">
        <v>3</v>
      </c>
      <c r="L322" s="12"/>
      <c r="M322" s="12"/>
      <c r="N322" s="12"/>
      <c r="O322" s="12"/>
      <c r="P322" s="12"/>
      <c r="Q322" s="12"/>
      <c r="R322" s="12"/>
      <c r="S322" s="12"/>
      <c r="T322" s="13"/>
      <c r="U322" s="46"/>
      <c r="V322" s="47"/>
      <c r="W322" s="48">
        <f t="shared" si="31"/>
        <v>0</v>
      </c>
      <c r="X322" s="48">
        <f t="shared" si="32"/>
        <v>0</v>
      </c>
      <c r="Y322" s="48">
        <f t="shared" si="33"/>
        <v>0</v>
      </c>
      <c r="Z322" s="48">
        <f t="shared" si="34"/>
        <v>0</v>
      </c>
      <c r="AA322" s="48"/>
      <c r="AB322" s="48"/>
      <c r="AC322" s="49">
        <f t="shared" si="35"/>
        <v>0</v>
      </c>
      <c r="AD322" s="50">
        <v>0</v>
      </c>
      <c r="AE322" s="47">
        <v>39916</v>
      </c>
      <c r="AF322" s="51" t="s">
        <v>516</v>
      </c>
      <c r="AG322" s="52" t="s">
        <v>517</v>
      </c>
      <c r="AH322" s="53" t="s">
        <v>1225</v>
      </c>
      <c r="AI322" s="79"/>
      <c r="AJ322" s="80"/>
      <c r="AK322" s="81"/>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2"/>
      <c r="CL322" s="12"/>
      <c r="CM322" s="82"/>
      <c r="CN322" s="12"/>
      <c r="CO322" s="82"/>
      <c r="CP322" s="12"/>
      <c r="CQ322" s="83">
        <f t="shared" si="36"/>
        <v>0</v>
      </c>
      <c r="CR322" s="84"/>
      <c r="CS322" s="13"/>
      <c r="CT322" s="85"/>
      <c r="CU322" s="86"/>
      <c r="CV322" s="11"/>
      <c r="CW322" s="86"/>
      <c r="CX322" s="84"/>
      <c r="CY322" s="86"/>
    </row>
    <row r="323" spans="1:103" ht="38.25" x14ac:dyDescent="0.2">
      <c r="A323" s="43">
        <v>39906</v>
      </c>
      <c r="B323" s="44" t="s">
        <v>1094</v>
      </c>
      <c r="C323" s="44" t="s">
        <v>185</v>
      </c>
      <c r="D323" s="45" t="s">
        <v>1116</v>
      </c>
      <c r="E323" s="11"/>
      <c r="F323" s="12"/>
      <c r="G323" s="12"/>
      <c r="H323" s="12">
        <v>14</v>
      </c>
      <c r="I323" s="12">
        <v>6</v>
      </c>
      <c r="J323" s="12">
        <v>3</v>
      </c>
      <c r="K323" s="12">
        <v>3</v>
      </c>
      <c r="L323" s="12"/>
      <c r="M323" s="12"/>
      <c r="N323" s="12"/>
      <c r="O323" s="12"/>
      <c r="P323" s="12"/>
      <c r="Q323" s="12"/>
      <c r="R323" s="12"/>
      <c r="S323" s="12"/>
      <c r="T323" s="13"/>
      <c r="U323" s="46"/>
      <c r="V323" s="47"/>
      <c r="W323" s="48">
        <f t="shared" ref="W323:W386" si="37">CQ323</f>
        <v>0</v>
      </c>
      <c r="X323" s="48">
        <f t="shared" ref="X323:X386" si="38">CU323</f>
        <v>0</v>
      </c>
      <c r="Y323" s="48">
        <f t="shared" ref="Y323:Y386" si="39">CW323+CY323</f>
        <v>0</v>
      </c>
      <c r="Z323" s="48">
        <f t="shared" ref="Z323:Z386" si="40">CS323</f>
        <v>0</v>
      </c>
      <c r="AA323" s="48"/>
      <c r="AB323" s="48"/>
      <c r="AC323" s="49">
        <f t="shared" ref="AC323:AC386" si="41">W323+X323+Y323+Z323+AA323+AB323</f>
        <v>0</v>
      </c>
      <c r="AD323" s="50">
        <v>0</v>
      </c>
      <c r="AE323" s="47">
        <v>39908</v>
      </c>
      <c r="AF323" s="51" t="s">
        <v>516</v>
      </c>
      <c r="AG323" s="52" t="s">
        <v>517</v>
      </c>
      <c r="AH323" s="53"/>
      <c r="AI323" s="79"/>
      <c r="AJ323" s="80"/>
      <c r="AK323" s="81"/>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2"/>
      <c r="CL323" s="12"/>
      <c r="CM323" s="82"/>
      <c r="CN323" s="12"/>
      <c r="CO323" s="82"/>
      <c r="CP323" s="12"/>
      <c r="CQ323" s="83">
        <f t="shared" ref="CQ323:CQ386" si="42">AJ323+AL323+AN323+AP323+AR323+AT323+AV323+AX323+AZ323+BB323+BD323+BF323+BH323+BJ323+BL323+BN323+BP323+BR323+BT323+BV323+BX323+BZ323+CB323+CD323+CF323+CH323+CJ323+CL323+CN323+CP323</f>
        <v>0</v>
      </c>
      <c r="CR323" s="84"/>
      <c r="CS323" s="13"/>
      <c r="CT323" s="85"/>
      <c r="CU323" s="86"/>
      <c r="CV323" s="11"/>
      <c r="CW323" s="86"/>
      <c r="CX323" s="84"/>
      <c r="CY323" s="86"/>
    </row>
    <row r="324" spans="1:103" ht="25.5" x14ac:dyDescent="0.2">
      <c r="A324" s="43">
        <v>39906</v>
      </c>
      <c r="B324" s="44" t="s">
        <v>481</v>
      </c>
      <c r="C324" s="44" t="s">
        <v>188</v>
      </c>
      <c r="D324" s="45" t="s">
        <v>1117</v>
      </c>
      <c r="E324" s="11"/>
      <c r="F324" s="12"/>
      <c r="G324" s="12"/>
      <c r="H324" s="12">
        <v>40</v>
      </c>
      <c r="I324" s="12">
        <v>10</v>
      </c>
      <c r="J324" s="12"/>
      <c r="K324" s="12">
        <v>10</v>
      </c>
      <c r="L324" s="12"/>
      <c r="M324" s="12"/>
      <c r="N324" s="12"/>
      <c r="O324" s="12"/>
      <c r="P324" s="12"/>
      <c r="Q324" s="12"/>
      <c r="R324" s="12"/>
      <c r="S324" s="12"/>
      <c r="T324" s="13"/>
      <c r="U324" s="46"/>
      <c r="V324" s="47"/>
      <c r="W324" s="48">
        <f t="shared" si="37"/>
        <v>0</v>
      </c>
      <c r="X324" s="48">
        <f t="shared" si="38"/>
        <v>0</v>
      </c>
      <c r="Y324" s="48">
        <f t="shared" si="39"/>
        <v>0</v>
      </c>
      <c r="Z324" s="48">
        <f t="shared" si="40"/>
        <v>0</v>
      </c>
      <c r="AA324" s="48"/>
      <c r="AB324" s="48"/>
      <c r="AC324" s="49">
        <f t="shared" si="41"/>
        <v>0</v>
      </c>
      <c r="AD324" s="50">
        <v>0</v>
      </c>
      <c r="AE324" s="47">
        <v>39908</v>
      </c>
      <c r="AF324" s="51" t="s">
        <v>516</v>
      </c>
      <c r="AG324" s="52" t="s">
        <v>517</v>
      </c>
      <c r="AH324" s="53" t="s">
        <v>189</v>
      </c>
      <c r="AI324" s="79"/>
      <c r="AJ324" s="80"/>
      <c r="AK324" s="81"/>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2"/>
      <c r="CL324" s="12"/>
      <c r="CM324" s="82"/>
      <c r="CN324" s="12"/>
      <c r="CO324" s="82"/>
      <c r="CP324" s="12"/>
      <c r="CQ324" s="83">
        <f t="shared" si="42"/>
        <v>0</v>
      </c>
      <c r="CR324" s="84"/>
      <c r="CS324" s="13"/>
      <c r="CT324" s="85"/>
      <c r="CU324" s="86"/>
      <c r="CV324" s="11"/>
      <c r="CW324" s="86"/>
      <c r="CX324" s="84"/>
      <c r="CY324" s="86"/>
    </row>
    <row r="325" spans="1:103" ht="25.5" x14ac:dyDescent="0.2">
      <c r="A325" s="43">
        <v>39906</v>
      </c>
      <c r="B325" s="44" t="s">
        <v>481</v>
      </c>
      <c r="C325" s="44" t="s">
        <v>190</v>
      </c>
      <c r="D325" s="45" t="s">
        <v>1117</v>
      </c>
      <c r="E325" s="11"/>
      <c r="F325" s="12"/>
      <c r="G325" s="12"/>
      <c r="H325" s="12">
        <v>30</v>
      </c>
      <c r="I325" s="12">
        <v>6</v>
      </c>
      <c r="J325" s="12"/>
      <c r="K325" s="12">
        <v>6</v>
      </c>
      <c r="L325" s="12"/>
      <c r="M325" s="12"/>
      <c r="N325" s="12"/>
      <c r="O325" s="12"/>
      <c r="P325" s="12"/>
      <c r="Q325" s="12"/>
      <c r="R325" s="12"/>
      <c r="S325" s="12"/>
      <c r="T325" s="13"/>
      <c r="U325" s="46"/>
      <c r="V325" s="47"/>
      <c r="W325" s="48">
        <f t="shared" si="37"/>
        <v>0</v>
      </c>
      <c r="X325" s="48">
        <f t="shared" si="38"/>
        <v>0</v>
      </c>
      <c r="Y325" s="48">
        <f t="shared" si="39"/>
        <v>0</v>
      </c>
      <c r="Z325" s="48">
        <f t="shared" si="40"/>
        <v>0</v>
      </c>
      <c r="AA325" s="48"/>
      <c r="AB325" s="48"/>
      <c r="AC325" s="49">
        <f t="shared" si="41"/>
        <v>0</v>
      </c>
      <c r="AD325" s="50">
        <v>0</v>
      </c>
      <c r="AE325" s="47">
        <v>39908</v>
      </c>
      <c r="AF325" s="51" t="s">
        <v>516</v>
      </c>
      <c r="AG325" s="52" t="s">
        <v>517</v>
      </c>
      <c r="AH325" s="53" t="s">
        <v>191</v>
      </c>
      <c r="AI325" s="79"/>
      <c r="AJ325" s="80"/>
      <c r="AK325" s="81"/>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2"/>
      <c r="CL325" s="12"/>
      <c r="CM325" s="82"/>
      <c r="CN325" s="12"/>
      <c r="CO325" s="82"/>
      <c r="CP325" s="12"/>
      <c r="CQ325" s="83">
        <f t="shared" si="42"/>
        <v>0</v>
      </c>
      <c r="CR325" s="84"/>
      <c r="CS325" s="13"/>
      <c r="CT325" s="85"/>
      <c r="CU325" s="86"/>
      <c r="CV325" s="11"/>
      <c r="CW325" s="86"/>
      <c r="CX325" s="84"/>
      <c r="CY325" s="86"/>
    </row>
    <row r="326" spans="1:103" ht="165.75" x14ac:dyDescent="0.2">
      <c r="A326" s="43">
        <v>39906</v>
      </c>
      <c r="B326" s="44" t="s">
        <v>1091</v>
      </c>
      <c r="C326" s="44" t="s">
        <v>489</v>
      </c>
      <c r="D326" s="45" t="s">
        <v>1118</v>
      </c>
      <c r="E326" s="11"/>
      <c r="F326" s="12"/>
      <c r="G326" s="12"/>
      <c r="H326" s="12">
        <v>40</v>
      </c>
      <c r="I326" s="12">
        <v>9</v>
      </c>
      <c r="J326" s="12">
        <v>8</v>
      </c>
      <c r="K326" s="12">
        <v>1</v>
      </c>
      <c r="L326" s="12">
        <v>6</v>
      </c>
      <c r="M326" s="12">
        <v>1</v>
      </c>
      <c r="N326" s="12"/>
      <c r="O326" s="12"/>
      <c r="P326" s="12"/>
      <c r="Q326" s="12"/>
      <c r="R326" s="12">
        <v>1</v>
      </c>
      <c r="S326" s="12"/>
      <c r="T326" s="13"/>
      <c r="U326" s="46" t="s">
        <v>597</v>
      </c>
      <c r="V326" s="47">
        <v>39927</v>
      </c>
      <c r="W326" s="48">
        <f t="shared" si="37"/>
        <v>0</v>
      </c>
      <c r="X326" s="48">
        <f t="shared" si="38"/>
        <v>0</v>
      </c>
      <c r="Y326" s="48">
        <f t="shared" si="39"/>
        <v>0</v>
      </c>
      <c r="Z326" s="48">
        <f t="shared" si="40"/>
        <v>0</v>
      </c>
      <c r="AA326" s="48"/>
      <c r="AB326" s="48">
        <v>155448300</v>
      </c>
      <c r="AC326" s="49">
        <f t="shared" si="41"/>
        <v>155448300</v>
      </c>
      <c r="AD326" s="50">
        <v>0</v>
      </c>
      <c r="AE326" s="47">
        <v>39919</v>
      </c>
      <c r="AF326" s="51" t="s">
        <v>1016</v>
      </c>
      <c r="AG326" s="52" t="s">
        <v>565</v>
      </c>
      <c r="AH326" s="53" t="s">
        <v>842</v>
      </c>
      <c r="AI326" s="79"/>
      <c r="AJ326" s="80"/>
      <c r="AK326" s="81"/>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2"/>
      <c r="CL326" s="12"/>
      <c r="CM326" s="82"/>
      <c r="CN326" s="12"/>
      <c r="CO326" s="82"/>
      <c r="CP326" s="12"/>
      <c r="CQ326" s="83">
        <f t="shared" si="42"/>
        <v>0</v>
      </c>
      <c r="CR326" s="84"/>
      <c r="CS326" s="13"/>
      <c r="CT326" s="85"/>
      <c r="CU326" s="86"/>
      <c r="CV326" s="11"/>
      <c r="CW326" s="86"/>
      <c r="CX326" s="84"/>
      <c r="CY326" s="86"/>
    </row>
    <row r="327" spans="1:103" ht="25.5" x14ac:dyDescent="0.2">
      <c r="A327" s="43">
        <v>39907</v>
      </c>
      <c r="B327" s="44" t="s">
        <v>625</v>
      </c>
      <c r="C327" s="44" t="s">
        <v>192</v>
      </c>
      <c r="D327" s="45" t="s">
        <v>1092</v>
      </c>
      <c r="E327" s="11"/>
      <c r="F327" s="12"/>
      <c r="G327" s="12"/>
      <c r="H327" s="12">
        <v>50</v>
      </c>
      <c r="I327" s="12">
        <v>10</v>
      </c>
      <c r="J327" s="12">
        <v>2</v>
      </c>
      <c r="K327" s="12">
        <v>8</v>
      </c>
      <c r="L327" s="12">
        <v>1</v>
      </c>
      <c r="M327" s="12">
        <v>2</v>
      </c>
      <c r="N327" s="12"/>
      <c r="O327" s="12"/>
      <c r="P327" s="12"/>
      <c r="Q327" s="12"/>
      <c r="R327" s="12"/>
      <c r="S327" s="12"/>
      <c r="T327" s="13"/>
      <c r="U327" s="46"/>
      <c r="V327" s="47"/>
      <c r="W327" s="48">
        <f t="shared" si="37"/>
        <v>0</v>
      </c>
      <c r="X327" s="48">
        <f t="shared" si="38"/>
        <v>0</v>
      </c>
      <c r="Y327" s="48">
        <f t="shared" si="39"/>
        <v>0</v>
      </c>
      <c r="Z327" s="48">
        <f t="shared" si="40"/>
        <v>0</v>
      </c>
      <c r="AA327" s="48"/>
      <c r="AB327" s="48"/>
      <c r="AC327" s="49">
        <f t="shared" si="41"/>
        <v>0</v>
      </c>
      <c r="AD327" s="50">
        <v>0</v>
      </c>
      <c r="AE327" s="47">
        <v>39908</v>
      </c>
      <c r="AF327" s="51" t="s">
        <v>516</v>
      </c>
      <c r="AG327" s="52" t="s">
        <v>517</v>
      </c>
      <c r="AH327" s="53" t="s">
        <v>567</v>
      </c>
      <c r="AI327" s="79"/>
      <c r="AJ327" s="80"/>
      <c r="AK327" s="81"/>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2"/>
      <c r="CL327" s="12"/>
      <c r="CM327" s="82"/>
      <c r="CN327" s="12"/>
      <c r="CO327" s="82"/>
      <c r="CP327" s="12"/>
      <c r="CQ327" s="83">
        <f t="shared" si="42"/>
        <v>0</v>
      </c>
      <c r="CR327" s="84"/>
      <c r="CS327" s="13"/>
      <c r="CT327" s="85"/>
      <c r="CU327" s="86"/>
      <c r="CV327" s="11"/>
      <c r="CW327" s="86"/>
      <c r="CX327" s="84"/>
      <c r="CY327" s="86"/>
    </row>
    <row r="328" spans="1:103" ht="25.5" x14ac:dyDescent="0.2">
      <c r="A328" s="43">
        <v>39907</v>
      </c>
      <c r="B328" s="44" t="s">
        <v>625</v>
      </c>
      <c r="C328" s="44" t="s">
        <v>412</v>
      </c>
      <c r="D328" s="45" t="s">
        <v>1118</v>
      </c>
      <c r="E328" s="11"/>
      <c r="F328" s="12"/>
      <c r="G328" s="12"/>
      <c r="H328" s="12"/>
      <c r="I328" s="12"/>
      <c r="J328" s="12"/>
      <c r="K328" s="12"/>
      <c r="L328" s="12"/>
      <c r="M328" s="12"/>
      <c r="N328" s="12"/>
      <c r="O328" s="12"/>
      <c r="P328" s="12"/>
      <c r="Q328" s="12"/>
      <c r="R328" s="12"/>
      <c r="S328" s="12"/>
      <c r="T328" s="13"/>
      <c r="U328" s="46"/>
      <c r="V328" s="47"/>
      <c r="W328" s="48">
        <f t="shared" si="37"/>
        <v>0</v>
      </c>
      <c r="X328" s="48">
        <f t="shared" si="38"/>
        <v>0</v>
      </c>
      <c r="Y328" s="48">
        <f t="shared" si="39"/>
        <v>0</v>
      </c>
      <c r="Z328" s="48">
        <f t="shared" si="40"/>
        <v>0</v>
      </c>
      <c r="AA328" s="48"/>
      <c r="AB328" s="48"/>
      <c r="AC328" s="49">
        <f t="shared" si="41"/>
        <v>0</v>
      </c>
      <c r="AD328" s="50">
        <v>0</v>
      </c>
      <c r="AE328" s="47">
        <v>39908</v>
      </c>
      <c r="AF328" s="51" t="s">
        <v>516</v>
      </c>
      <c r="AG328" s="52" t="s">
        <v>517</v>
      </c>
      <c r="AH328" s="53" t="s">
        <v>568</v>
      </c>
      <c r="AI328" s="79"/>
      <c r="AJ328" s="80"/>
      <c r="AK328" s="81"/>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2"/>
      <c r="CL328" s="12"/>
      <c r="CM328" s="82"/>
      <c r="CN328" s="12"/>
      <c r="CO328" s="82"/>
      <c r="CP328" s="12"/>
      <c r="CQ328" s="83">
        <f t="shared" si="42"/>
        <v>0</v>
      </c>
      <c r="CR328" s="84"/>
      <c r="CS328" s="13"/>
      <c r="CT328" s="85"/>
      <c r="CU328" s="86"/>
      <c r="CV328" s="11"/>
      <c r="CW328" s="86"/>
      <c r="CX328" s="84"/>
      <c r="CY328" s="86"/>
    </row>
    <row r="329" spans="1:103" ht="25.5" x14ac:dyDescent="0.2">
      <c r="A329" s="43">
        <v>39907</v>
      </c>
      <c r="B329" s="44" t="s">
        <v>625</v>
      </c>
      <c r="C329" s="44" t="s">
        <v>1051</v>
      </c>
      <c r="D329" s="45" t="s">
        <v>1118</v>
      </c>
      <c r="E329" s="11">
        <v>2</v>
      </c>
      <c r="F329" s="12"/>
      <c r="G329" s="12"/>
      <c r="H329" s="12">
        <v>265</v>
      </c>
      <c r="I329" s="12">
        <v>53</v>
      </c>
      <c r="J329" s="12">
        <v>3</v>
      </c>
      <c r="K329" s="12">
        <v>50</v>
      </c>
      <c r="L329" s="12"/>
      <c r="M329" s="12"/>
      <c r="N329" s="12"/>
      <c r="O329" s="12"/>
      <c r="P329" s="12"/>
      <c r="Q329" s="12"/>
      <c r="R329" s="12"/>
      <c r="S329" s="12"/>
      <c r="T329" s="13"/>
      <c r="U329" s="46"/>
      <c r="V329" s="47"/>
      <c r="W329" s="48">
        <f t="shared" si="37"/>
        <v>0</v>
      </c>
      <c r="X329" s="48">
        <f t="shared" si="38"/>
        <v>0</v>
      </c>
      <c r="Y329" s="48">
        <f t="shared" si="39"/>
        <v>0</v>
      </c>
      <c r="Z329" s="48">
        <f t="shared" si="40"/>
        <v>0</v>
      </c>
      <c r="AA329" s="48"/>
      <c r="AB329" s="48"/>
      <c r="AC329" s="49">
        <f t="shared" si="41"/>
        <v>0</v>
      </c>
      <c r="AD329" s="50">
        <v>0</v>
      </c>
      <c r="AE329" s="47">
        <v>39908</v>
      </c>
      <c r="AF329" s="51" t="s">
        <v>516</v>
      </c>
      <c r="AG329" s="52" t="s">
        <v>517</v>
      </c>
      <c r="AH329" s="53" t="s">
        <v>569</v>
      </c>
      <c r="AI329" s="79"/>
      <c r="AJ329" s="80"/>
      <c r="AK329" s="81"/>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2"/>
      <c r="CL329" s="12"/>
      <c r="CM329" s="82"/>
      <c r="CN329" s="12"/>
      <c r="CO329" s="82"/>
      <c r="CP329" s="12"/>
      <c r="CQ329" s="83">
        <f t="shared" si="42"/>
        <v>0</v>
      </c>
      <c r="CR329" s="84"/>
      <c r="CS329" s="13"/>
      <c r="CT329" s="85"/>
      <c r="CU329" s="86"/>
      <c r="CV329" s="11"/>
      <c r="CW329" s="86"/>
      <c r="CX329" s="84"/>
      <c r="CY329" s="86"/>
    </row>
    <row r="330" spans="1:103" ht="25.5" x14ac:dyDescent="0.2">
      <c r="A330" s="43">
        <v>39907</v>
      </c>
      <c r="B330" s="44" t="s">
        <v>625</v>
      </c>
      <c r="C330" s="44" t="s">
        <v>732</v>
      </c>
      <c r="D330" s="45" t="s">
        <v>1092</v>
      </c>
      <c r="E330" s="11"/>
      <c r="F330" s="12"/>
      <c r="G330" s="12"/>
      <c r="H330" s="12">
        <v>40</v>
      </c>
      <c r="I330" s="12">
        <v>8</v>
      </c>
      <c r="J330" s="12"/>
      <c r="K330" s="12">
        <v>8</v>
      </c>
      <c r="L330" s="12"/>
      <c r="M330" s="12"/>
      <c r="N330" s="12"/>
      <c r="O330" s="12"/>
      <c r="P330" s="12"/>
      <c r="Q330" s="12"/>
      <c r="R330" s="12"/>
      <c r="S330" s="12"/>
      <c r="T330" s="13"/>
      <c r="U330" s="46"/>
      <c r="V330" s="47"/>
      <c r="W330" s="48">
        <f t="shared" si="37"/>
        <v>0</v>
      </c>
      <c r="X330" s="48">
        <f t="shared" si="38"/>
        <v>0</v>
      </c>
      <c r="Y330" s="48">
        <f t="shared" si="39"/>
        <v>0</v>
      </c>
      <c r="Z330" s="48">
        <f t="shared" si="40"/>
        <v>0</v>
      </c>
      <c r="AA330" s="48"/>
      <c r="AB330" s="48"/>
      <c r="AC330" s="49">
        <f t="shared" si="41"/>
        <v>0</v>
      </c>
      <c r="AD330" s="50">
        <v>0</v>
      </c>
      <c r="AE330" s="47">
        <v>39908</v>
      </c>
      <c r="AF330" s="51" t="s">
        <v>516</v>
      </c>
      <c r="AG330" s="52" t="s">
        <v>517</v>
      </c>
      <c r="AH330" s="53"/>
      <c r="AI330" s="79"/>
      <c r="AJ330" s="80"/>
      <c r="AK330" s="81"/>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2"/>
      <c r="CL330" s="12"/>
      <c r="CM330" s="82"/>
      <c r="CN330" s="12"/>
      <c r="CO330" s="82"/>
      <c r="CP330" s="12"/>
      <c r="CQ330" s="83">
        <f t="shared" si="42"/>
        <v>0</v>
      </c>
      <c r="CR330" s="84"/>
      <c r="CS330" s="13"/>
      <c r="CT330" s="85"/>
      <c r="CU330" s="86"/>
      <c r="CV330" s="11"/>
      <c r="CW330" s="86"/>
      <c r="CX330" s="84"/>
      <c r="CY330" s="86"/>
    </row>
    <row r="331" spans="1:103" ht="25.5" x14ac:dyDescent="0.2">
      <c r="A331" s="43">
        <v>39907</v>
      </c>
      <c r="B331" s="44" t="s">
        <v>904</v>
      </c>
      <c r="C331" s="44" t="s">
        <v>720</v>
      </c>
      <c r="D331" s="45" t="s">
        <v>1118</v>
      </c>
      <c r="E331" s="11"/>
      <c r="F331" s="12"/>
      <c r="G331" s="12"/>
      <c r="H331" s="12">
        <v>250</v>
      </c>
      <c r="I331" s="12">
        <v>50</v>
      </c>
      <c r="J331" s="12"/>
      <c r="K331" s="12">
        <v>50</v>
      </c>
      <c r="L331" s="12"/>
      <c r="M331" s="12"/>
      <c r="N331" s="12"/>
      <c r="O331" s="12"/>
      <c r="P331" s="12"/>
      <c r="Q331" s="12"/>
      <c r="R331" s="12"/>
      <c r="S331" s="12"/>
      <c r="T331" s="13"/>
      <c r="U331" s="46"/>
      <c r="V331" s="47"/>
      <c r="W331" s="48">
        <f t="shared" si="37"/>
        <v>0</v>
      </c>
      <c r="X331" s="48">
        <f t="shared" si="38"/>
        <v>0</v>
      </c>
      <c r="Y331" s="48">
        <f t="shared" si="39"/>
        <v>0</v>
      </c>
      <c r="Z331" s="48">
        <f t="shared" si="40"/>
        <v>0</v>
      </c>
      <c r="AA331" s="48"/>
      <c r="AB331" s="48"/>
      <c r="AC331" s="49">
        <f t="shared" si="41"/>
        <v>0</v>
      </c>
      <c r="AD331" s="50">
        <v>0</v>
      </c>
      <c r="AE331" s="47">
        <v>39908</v>
      </c>
      <c r="AF331" s="51" t="s">
        <v>516</v>
      </c>
      <c r="AG331" s="52" t="s">
        <v>517</v>
      </c>
      <c r="AH331" s="53" t="s">
        <v>721</v>
      </c>
      <c r="AI331" s="79"/>
      <c r="AJ331" s="80"/>
      <c r="AK331" s="81"/>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2"/>
      <c r="CL331" s="12"/>
      <c r="CM331" s="82"/>
      <c r="CN331" s="12"/>
      <c r="CO331" s="82"/>
      <c r="CP331" s="12"/>
      <c r="CQ331" s="83">
        <f t="shared" si="42"/>
        <v>0</v>
      </c>
      <c r="CR331" s="84"/>
      <c r="CS331" s="13"/>
      <c r="CT331" s="85"/>
      <c r="CU331" s="86"/>
      <c r="CV331" s="11"/>
      <c r="CW331" s="86"/>
      <c r="CX331" s="84"/>
      <c r="CY331" s="86"/>
    </row>
    <row r="332" spans="1:103" ht="38.25" x14ac:dyDescent="0.2">
      <c r="A332" s="43">
        <v>39907</v>
      </c>
      <c r="B332" s="44" t="s">
        <v>904</v>
      </c>
      <c r="C332" s="44" t="s">
        <v>722</v>
      </c>
      <c r="D332" s="45" t="s">
        <v>1117</v>
      </c>
      <c r="E332" s="11"/>
      <c r="F332" s="12"/>
      <c r="G332" s="12"/>
      <c r="H332" s="12">
        <v>225</v>
      </c>
      <c r="I332" s="12">
        <v>53</v>
      </c>
      <c r="J332" s="12"/>
      <c r="K332" s="12">
        <v>53</v>
      </c>
      <c r="L332" s="12"/>
      <c r="M332" s="12"/>
      <c r="N332" s="12"/>
      <c r="O332" s="12"/>
      <c r="P332" s="12"/>
      <c r="Q332" s="12">
        <v>1</v>
      </c>
      <c r="R332" s="12">
        <v>2</v>
      </c>
      <c r="S332" s="12">
        <v>2</v>
      </c>
      <c r="T332" s="13"/>
      <c r="U332" s="46"/>
      <c r="V332" s="47"/>
      <c r="W332" s="48">
        <f t="shared" si="37"/>
        <v>0</v>
      </c>
      <c r="X332" s="48">
        <f t="shared" si="38"/>
        <v>0</v>
      </c>
      <c r="Y332" s="48">
        <f t="shared" si="39"/>
        <v>0</v>
      </c>
      <c r="Z332" s="48">
        <f t="shared" si="40"/>
        <v>0</v>
      </c>
      <c r="AA332" s="48"/>
      <c r="AB332" s="48"/>
      <c r="AC332" s="49">
        <f t="shared" si="41"/>
        <v>0</v>
      </c>
      <c r="AD332" s="50">
        <v>0</v>
      </c>
      <c r="AE332" s="47">
        <v>39908</v>
      </c>
      <c r="AF332" s="51" t="s">
        <v>516</v>
      </c>
      <c r="AG332" s="52" t="s">
        <v>517</v>
      </c>
      <c r="AH332" s="53" t="s">
        <v>723</v>
      </c>
      <c r="AI332" s="79"/>
      <c r="AJ332" s="80"/>
      <c r="AK332" s="81"/>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2"/>
      <c r="CL332" s="12"/>
      <c r="CM332" s="82"/>
      <c r="CN332" s="12"/>
      <c r="CO332" s="82"/>
      <c r="CP332" s="12"/>
      <c r="CQ332" s="83">
        <f t="shared" si="42"/>
        <v>0</v>
      </c>
      <c r="CR332" s="84"/>
      <c r="CS332" s="13"/>
      <c r="CT332" s="85"/>
      <c r="CU332" s="86"/>
      <c r="CV332" s="11"/>
      <c r="CW332" s="86"/>
      <c r="CX332" s="84"/>
      <c r="CY332" s="86"/>
    </row>
    <row r="333" spans="1:103" ht="38.25" x14ac:dyDescent="0.2">
      <c r="A333" s="43">
        <v>39907</v>
      </c>
      <c r="B333" s="44" t="s">
        <v>600</v>
      </c>
      <c r="C333" s="44" t="s">
        <v>728</v>
      </c>
      <c r="D333" s="45" t="s">
        <v>1118</v>
      </c>
      <c r="E333" s="11"/>
      <c r="F333" s="12"/>
      <c r="G333" s="12"/>
      <c r="H333" s="12">
        <v>35</v>
      </c>
      <c r="I333" s="12">
        <v>7</v>
      </c>
      <c r="J333" s="12"/>
      <c r="K333" s="12">
        <v>7</v>
      </c>
      <c r="L333" s="12"/>
      <c r="M333" s="12"/>
      <c r="N333" s="12"/>
      <c r="O333" s="12"/>
      <c r="P333" s="12"/>
      <c r="Q333" s="12"/>
      <c r="R333" s="12"/>
      <c r="S333" s="12"/>
      <c r="T333" s="13">
        <v>72</v>
      </c>
      <c r="U333" s="46" t="s">
        <v>730</v>
      </c>
      <c r="V333" s="47"/>
      <c r="W333" s="48">
        <f t="shared" si="37"/>
        <v>0</v>
      </c>
      <c r="X333" s="48">
        <f t="shared" si="38"/>
        <v>0</v>
      </c>
      <c r="Y333" s="48">
        <f t="shared" si="39"/>
        <v>0</v>
      </c>
      <c r="Z333" s="48">
        <f t="shared" si="40"/>
        <v>0</v>
      </c>
      <c r="AA333" s="48"/>
      <c r="AB333" s="48"/>
      <c r="AC333" s="49">
        <f t="shared" si="41"/>
        <v>0</v>
      </c>
      <c r="AD333" s="50">
        <v>0</v>
      </c>
      <c r="AE333" s="47">
        <v>39908</v>
      </c>
      <c r="AF333" s="51" t="s">
        <v>516</v>
      </c>
      <c r="AG333" s="52" t="s">
        <v>517</v>
      </c>
      <c r="AH333" s="53" t="s">
        <v>729</v>
      </c>
      <c r="AI333" s="79"/>
      <c r="AJ333" s="80"/>
      <c r="AK333" s="81"/>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2"/>
      <c r="CL333" s="12"/>
      <c r="CM333" s="82"/>
      <c r="CN333" s="12"/>
      <c r="CO333" s="82"/>
      <c r="CP333" s="12"/>
      <c r="CQ333" s="83">
        <f t="shared" si="42"/>
        <v>0</v>
      </c>
      <c r="CR333" s="84"/>
      <c r="CS333" s="13"/>
      <c r="CT333" s="85"/>
      <c r="CU333" s="86"/>
      <c r="CV333" s="11"/>
      <c r="CW333" s="86"/>
      <c r="CX333" s="84"/>
      <c r="CY333" s="86"/>
    </row>
    <row r="334" spans="1:103" ht="25.5" x14ac:dyDescent="0.2">
      <c r="A334" s="43">
        <v>39907</v>
      </c>
      <c r="B334" s="44" t="s">
        <v>600</v>
      </c>
      <c r="C334" s="44" t="s">
        <v>241</v>
      </c>
      <c r="D334" s="45" t="s">
        <v>1118</v>
      </c>
      <c r="E334" s="11"/>
      <c r="F334" s="12"/>
      <c r="G334" s="12"/>
      <c r="H334" s="12">
        <v>355</v>
      </c>
      <c r="I334" s="12">
        <v>71</v>
      </c>
      <c r="J334" s="12">
        <v>21</v>
      </c>
      <c r="K334" s="12">
        <v>50</v>
      </c>
      <c r="L334" s="12"/>
      <c r="M334" s="12"/>
      <c r="N334" s="12"/>
      <c r="O334" s="12"/>
      <c r="P334" s="12"/>
      <c r="Q334" s="12"/>
      <c r="R334" s="12"/>
      <c r="S334" s="12"/>
      <c r="T334" s="13"/>
      <c r="U334" s="46"/>
      <c r="V334" s="47"/>
      <c r="W334" s="48">
        <f t="shared" si="37"/>
        <v>0</v>
      </c>
      <c r="X334" s="48">
        <f t="shared" si="38"/>
        <v>0</v>
      </c>
      <c r="Y334" s="48">
        <f t="shared" si="39"/>
        <v>0</v>
      </c>
      <c r="Z334" s="48">
        <f t="shared" si="40"/>
        <v>0</v>
      </c>
      <c r="AA334" s="48"/>
      <c r="AB334" s="48"/>
      <c r="AC334" s="49">
        <f t="shared" si="41"/>
        <v>0</v>
      </c>
      <c r="AD334" s="50">
        <v>0</v>
      </c>
      <c r="AE334" s="47">
        <v>39908</v>
      </c>
      <c r="AF334" s="51" t="s">
        <v>1016</v>
      </c>
      <c r="AG334" s="52" t="s">
        <v>565</v>
      </c>
      <c r="AH334" s="53" t="s">
        <v>170</v>
      </c>
      <c r="AI334" s="79"/>
      <c r="AJ334" s="80"/>
      <c r="AK334" s="81"/>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2"/>
      <c r="CL334" s="12"/>
      <c r="CM334" s="82"/>
      <c r="CN334" s="12"/>
      <c r="CO334" s="82"/>
      <c r="CP334" s="12"/>
      <c r="CQ334" s="83">
        <f t="shared" si="42"/>
        <v>0</v>
      </c>
      <c r="CR334" s="84"/>
      <c r="CS334" s="13"/>
      <c r="CT334" s="85"/>
      <c r="CU334" s="86"/>
      <c r="CV334" s="11"/>
      <c r="CW334" s="86"/>
      <c r="CX334" s="84"/>
      <c r="CY334" s="86"/>
    </row>
    <row r="335" spans="1:103" ht="25.5" x14ac:dyDescent="0.2">
      <c r="A335" s="43">
        <v>39907</v>
      </c>
      <c r="B335" s="44" t="s">
        <v>600</v>
      </c>
      <c r="C335" s="44" t="s">
        <v>731</v>
      </c>
      <c r="D335" s="45" t="s">
        <v>1092</v>
      </c>
      <c r="E335" s="11"/>
      <c r="F335" s="12"/>
      <c r="G335" s="12"/>
      <c r="H335" s="12">
        <v>40</v>
      </c>
      <c r="I335" s="12">
        <v>8</v>
      </c>
      <c r="J335" s="12"/>
      <c r="K335" s="12">
        <v>8</v>
      </c>
      <c r="L335" s="12"/>
      <c r="M335" s="12"/>
      <c r="N335" s="12"/>
      <c r="O335" s="12"/>
      <c r="P335" s="12"/>
      <c r="Q335" s="12"/>
      <c r="R335" s="12"/>
      <c r="S335" s="12"/>
      <c r="T335" s="13"/>
      <c r="U335" s="46"/>
      <c r="V335" s="47"/>
      <c r="W335" s="48">
        <f t="shared" si="37"/>
        <v>0</v>
      </c>
      <c r="X335" s="48">
        <f t="shared" si="38"/>
        <v>0</v>
      </c>
      <c r="Y335" s="48">
        <f t="shared" si="39"/>
        <v>0</v>
      </c>
      <c r="Z335" s="48">
        <f t="shared" si="40"/>
        <v>0</v>
      </c>
      <c r="AA335" s="48"/>
      <c r="AB335" s="48"/>
      <c r="AC335" s="49">
        <f t="shared" si="41"/>
        <v>0</v>
      </c>
      <c r="AD335" s="50">
        <v>0</v>
      </c>
      <c r="AE335" s="47">
        <v>39908</v>
      </c>
      <c r="AF335" s="51" t="s">
        <v>516</v>
      </c>
      <c r="AG335" s="52" t="s">
        <v>517</v>
      </c>
      <c r="AH335" s="53"/>
      <c r="AI335" s="79"/>
      <c r="AJ335" s="80"/>
      <c r="AK335" s="81"/>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2"/>
      <c r="CL335" s="12"/>
      <c r="CM335" s="82"/>
      <c r="CN335" s="12"/>
      <c r="CO335" s="82"/>
      <c r="CP335" s="12"/>
      <c r="CQ335" s="83">
        <f t="shared" si="42"/>
        <v>0</v>
      </c>
      <c r="CR335" s="84"/>
      <c r="CS335" s="13"/>
      <c r="CT335" s="85"/>
      <c r="CU335" s="86"/>
      <c r="CV335" s="11"/>
      <c r="CW335" s="86"/>
      <c r="CX335" s="84"/>
      <c r="CY335" s="86"/>
    </row>
    <row r="336" spans="1:103" ht="38.25" x14ac:dyDescent="0.2">
      <c r="A336" s="43">
        <v>39908</v>
      </c>
      <c r="B336" s="44" t="s">
        <v>625</v>
      </c>
      <c r="C336" s="44" t="s">
        <v>1051</v>
      </c>
      <c r="D336" s="45" t="s">
        <v>1116</v>
      </c>
      <c r="E336" s="11"/>
      <c r="F336" s="12"/>
      <c r="G336" s="12"/>
      <c r="H336" s="12"/>
      <c r="I336" s="12"/>
      <c r="J336" s="12"/>
      <c r="K336" s="12"/>
      <c r="L336" s="12"/>
      <c r="M336" s="12"/>
      <c r="N336" s="12"/>
      <c r="O336" s="12"/>
      <c r="P336" s="12"/>
      <c r="Q336" s="12"/>
      <c r="R336" s="12"/>
      <c r="S336" s="12">
        <v>1</v>
      </c>
      <c r="T336" s="13"/>
      <c r="U336" s="46"/>
      <c r="V336" s="47"/>
      <c r="W336" s="48">
        <f t="shared" si="37"/>
        <v>0</v>
      </c>
      <c r="X336" s="48">
        <f t="shared" si="38"/>
        <v>0</v>
      </c>
      <c r="Y336" s="48">
        <f t="shared" si="39"/>
        <v>0</v>
      </c>
      <c r="Z336" s="48">
        <f t="shared" si="40"/>
        <v>0</v>
      </c>
      <c r="AA336" s="48"/>
      <c r="AB336" s="48"/>
      <c r="AC336" s="49">
        <f t="shared" si="41"/>
        <v>0</v>
      </c>
      <c r="AD336" s="50">
        <v>0</v>
      </c>
      <c r="AE336" s="47">
        <v>39908</v>
      </c>
      <c r="AF336" s="51" t="s">
        <v>516</v>
      </c>
      <c r="AG336" s="52" t="s">
        <v>517</v>
      </c>
      <c r="AH336" s="53" t="s">
        <v>889</v>
      </c>
      <c r="AI336" s="79"/>
      <c r="AJ336" s="80"/>
      <c r="AK336" s="81"/>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2"/>
      <c r="CL336" s="12"/>
      <c r="CM336" s="82"/>
      <c r="CN336" s="12"/>
      <c r="CO336" s="82"/>
      <c r="CP336" s="12"/>
      <c r="CQ336" s="83">
        <f t="shared" si="42"/>
        <v>0</v>
      </c>
      <c r="CR336" s="84"/>
      <c r="CS336" s="13"/>
      <c r="CT336" s="85"/>
      <c r="CU336" s="86"/>
      <c r="CV336" s="11"/>
      <c r="CW336" s="86"/>
      <c r="CX336" s="84"/>
      <c r="CY336" s="86"/>
    </row>
    <row r="337" spans="1:103" ht="12.75" x14ac:dyDescent="0.2">
      <c r="A337" s="43">
        <v>39908</v>
      </c>
      <c r="B337" s="44" t="s">
        <v>1224</v>
      </c>
      <c r="C337" s="44" t="s">
        <v>1274</v>
      </c>
      <c r="D337" s="45" t="s">
        <v>1117</v>
      </c>
      <c r="E337" s="11"/>
      <c r="F337" s="12"/>
      <c r="G337" s="12"/>
      <c r="H337" s="12">
        <f>64*5</f>
        <v>320</v>
      </c>
      <c r="I337" s="12">
        <v>64</v>
      </c>
      <c r="J337" s="12"/>
      <c r="K337" s="12">
        <v>64</v>
      </c>
      <c r="L337" s="12"/>
      <c r="M337" s="12"/>
      <c r="N337" s="12"/>
      <c r="O337" s="12"/>
      <c r="P337" s="12"/>
      <c r="Q337" s="12"/>
      <c r="R337" s="12"/>
      <c r="S337" s="12"/>
      <c r="T337" s="13"/>
      <c r="U337" s="46"/>
      <c r="V337" s="47">
        <v>39944</v>
      </c>
      <c r="W337" s="48">
        <f t="shared" si="37"/>
        <v>38020000</v>
      </c>
      <c r="X337" s="48">
        <f t="shared" si="38"/>
        <v>25500000</v>
      </c>
      <c r="Y337" s="48">
        <f t="shared" si="39"/>
        <v>0</v>
      </c>
      <c r="Z337" s="48">
        <f t="shared" si="40"/>
        <v>0</v>
      </c>
      <c r="AA337" s="48"/>
      <c r="AB337" s="48"/>
      <c r="AC337" s="49">
        <f t="shared" si="41"/>
        <v>63520000</v>
      </c>
      <c r="AD337" s="50">
        <v>0</v>
      </c>
      <c r="AE337" s="47">
        <v>39908</v>
      </c>
      <c r="AF337" s="51" t="s">
        <v>1016</v>
      </c>
      <c r="AG337" s="52" t="s">
        <v>565</v>
      </c>
      <c r="AH337" s="53" t="s">
        <v>725</v>
      </c>
      <c r="AI337" s="79"/>
      <c r="AJ337" s="80"/>
      <c r="AK337" s="81"/>
      <c r="AL337" s="80"/>
      <c r="AM337" s="80"/>
      <c r="AN337" s="80"/>
      <c r="AO337" s="80"/>
      <c r="AP337" s="80"/>
      <c r="AQ337" s="80">
        <v>300</v>
      </c>
      <c r="AR337" s="80">
        <f>300*18000</f>
        <v>5400000</v>
      </c>
      <c r="AS337" s="80"/>
      <c r="AT337" s="80"/>
      <c r="AU337" s="80">
        <v>400</v>
      </c>
      <c r="AV337" s="80">
        <f>400*56000</f>
        <v>22400000</v>
      </c>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2">
        <v>200</v>
      </c>
      <c r="CL337" s="12">
        <f>200*38500</f>
        <v>7700000</v>
      </c>
      <c r="CM337" s="82">
        <v>70</v>
      </c>
      <c r="CN337" s="12">
        <f>70*36000</f>
        <v>2520000</v>
      </c>
      <c r="CO337" s="82"/>
      <c r="CP337" s="12"/>
      <c r="CQ337" s="83">
        <f t="shared" si="42"/>
        <v>38020000</v>
      </c>
      <c r="CR337" s="84"/>
      <c r="CS337" s="13"/>
      <c r="CT337" s="85">
        <v>300</v>
      </c>
      <c r="CU337" s="86">
        <f>300*85000</f>
        <v>25500000</v>
      </c>
      <c r="CV337" s="11"/>
      <c r="CW337" s="86"/>
      <c r="CX337" s="84"/>
      <c r="CY337" s="86"/>
    </row>
    <row r="338" spans="1:103" ht="25.5" x14ac:dyDescent="0.2">
      <c r="A338" s="43">
        <v>39908</v>
      </c>
      <c r="B338" s="44" t="s">
        <v>1127</v>
      </c>
      <c r="C338" s="44" t="s">
        <v>724</v>
      </c>
      <c r="D338" s="45" t="s">
        <v>1092</v>
      </c>
      <c r="E338" s="11"/>
      <c r="F338" s="12"/>
      <c r="G338" s="12"/>
      <c r="H338" s="12">
        <v>125</v>
      </c>
      <c r="I338" s="12">
        <v>25</v>
      </c>
      <c r="J338" s="12"/>
      <c r="K338" s="12">
        <v>19</v>
      </c>
      <c r="L338" s="12"/>
      <c r="M338" s="12"/>
      <c r="N338" s="12"/>
      <c r="O338" s="12"/>
      <c r="P338" s="12"/>
      <c r="Q338" s="12"/>
      <c r="R338" s="12"/>
      <c r="S338" s="12"/>
      <c r="T338" s="13"/>
      <c r="U338" s="46"/>
      <c r="V338" s="47"/>
      <c r="W338" s="48">
        <f t="shared" si="37"/>
        <v>0</v>
      </c>
      <c r="X338" s="48">
        <f t="shared" si="38"/>
        <v>0</v>
      </c>
      <c r="Y338" s="48">
        <f t="shared" si="39"/>
        <v>0</v>
      </c>
      <c r="Z338" s="48">
        <f t="shared" si="40"/>
        <v>0</v>
      </c>
      <c r="AA338" s="48"/>
      <c r="AB338" s="48"/>
      <c r="AC338" s="49">
        <f t="shared" si="41"/>
        <v>0</v>
      </c>
      <c r="AD338" s="50">
        <v>0</v>
      </c>
      <c r="AE338" s="47">
        <v>39908</v>
      </c>
      <c r="AF338" s="51" t="s">
        <v>516</v>
      </c>
      <c r="AG338" s="52" t="s">
        <v>517</v>
      </c>
      <c r="AH338" s="53"/>
      <c r="AI338" s="79"/>
      <c r="AJ338" s="80"/>
      <c r="AK338" s="81"/>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2"/>
      <c r="CL338" s="12"/>
      <c r="CM338" s="82"/>
      <c r="CN338" s="12"/>
      <c r="CO338" s="82"/>
      <c r="CP338" s="12"/>
      <c r="CQ338" s="83">
        <f t="shared" si="42"/>
        <v>0</v>
      </c>
      <c r="CR338" s="84"/>
      <c r="CS338" s="13"/>
      <c r="CT338" s="85"/>
      <c r="CU338" s="86"/>
      <c r="CV338" s="11"/>
      <c r="CW338" s="86"/>
      <c r="CX338" s="84"/>
      <c r="CY338" s="86"/>
    </row>
    <row r="339" spans="1:103" ht="38.25" x14ac:dyDescent="0.2">
      <c r="A339" s="43">
        <v>39908</v>
      </c>
      <c r="B339" s="44" t="s">
        <v>1350</v>
      </c>
      <c r="C339" s="44" t="s">
        <v>890</v>
      </c>
      <c r="D339" s="45" t="s">
        <v>1116</v>
      </c>
      <c r="E339" s="11"/>
      <c r="F339" s="12"/>
      <c r="G339" s="12"/>
      <c r="H339" s="12">
        <v>35</v>
      </c>
      <c r="I339" s="12">
        <v>7</v>
      </c>
      <c r="J339" s="12">
        <v>3</v>
      </c>
      <c r="K339" s="12">
        <v>4</v>
      </c>
      <c r="L339" s="12"/>
      <c r="M339" s="12"/>
      <c r="N339" s="12"/>
      <c r="O339" s="12"/>
      <c r="P339" s="12"/>
      <c r="Q339" s="12"/>
      <c r="R339" s="12"/>
      <c r="S339" s="12"/>
      <c r="T339" s="13"/>
      <c r="U339" s="46"/>
      <c r="V339" s="47"/>
      <c r="W339" s="48">
        <f t="shared" si="37"/>
        <v>0</v>
      </c>
      <c r="X339" s="48">
        <f t="shared" si="38"/>
        <v>0</v>
      </c>
      <c r="Y339" s="48">
        <f t="shared" si="39"/>
        <v>0</v>
      </c>
      <c r="Z339" s="48">
        <f t="shared" si="40"/>
        <v>0</v>
      </c>
      <c r="AA339" s="48"/>
      <c r="AB339" s="48"/>
      <c r="AC339" s="49">
        <f t="shared" si="41"/>
        <v>0</v>
      </c>
      <c r="AD339" s="50">
        <v>0</v>
      </c>
      <c r="AE339" s="47">
        <v>39908</v>
      </c>
      <c r="AF339" s="51" t="s">
        <v>516</v>
      </c>
      <c r="AG339" s="52" t="s">
        <v>517</v>
      </c>
      <c r="AH339" s="53" t="s">
        <v>719</v>
      </c>
      <c r="AI339" s="79"/>
      <c r="AJ339" s="80"/>
      <c r="AK339" s="81"/>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2"/>
      <c r="CL339" s="12"/>
      <c r="CM339" s="82"/>
      <c r="CN339" s="12"/>
      <c r="CO339" s="82"/>
      <c r="CP339" s="12"/>
      <c r="CQ339" s="83">
        <f t="shared" si="42"/>
        <v>0</v>
      </c>
      <c r="CR339" s="84"/>
      <c r="CS339" s="13"/>
      <c r="CT339" s="85"/>
      <c r="CU339" s="86"/>
      <c r="CV339" s="11"/>
      <c r="CW339" s="86"/>
      <c r="CX339" s="84"/>
      <c r="CY339" s="86"/>
    </row>
    <row r="340" spans="1:103" ht="25.5" x14ac:dyDescent="0.2">
      <c r="A340" s="43">
        <v>39909</v>
      </c>
      <c r="B340" s="44" t="s">
        <v>600</v>
      </c>
      <c r="C340" s="44" t="s">
        <v>1454</v>
      </c>
      <c r="D340" s="45" t="s">
        <v>1118</v>
      </c>
      <c r="E340" s="11"/>
      <c r="F340" s="12"/>
      <c r="G340" s="12"/>
      <c r="H340" s="12"/>
      <c r="I340" s="12"/>
      <c r="J340" s="12"/>
      <c r="K340" s="12"/>
      <c r="L340" s="12"/>
      <c r="M340" s="12"/>
      <c r="N340" s="12"/>
      <c r="O340" s="12"/>
      <c r="P340" s="12"/>
      <c r="Q340" s="12"/>
      <c r="R340" s="12"/>
      <c r="S340" s="12"/>
      <c r="T340" s="13"/>
      <c r="U340" s="46"/>
      <c r="V340" s="47">
        <v>39939</v>
      </c>
      <c r="W340" s="48">
        <f t="shared" si="37"/>
        <v>87850000</v>
      </c>
      <c r="X340" s="48">
        <f t="shared" si="38"/>
        <v>31000000</v>
      </c>
      <c r="Y340" s="48">
        <f t="shared" si="39"/>
        <v>0</v>
      </c>
      <c r="Z340" s="48">
        <f t="shared" si="40"/>
        <v>0</v>
      </c>
      <c r="AA340" s="48"/>
      <c r="AB340" s="48"/>
      <c r="AC340" s="49">
        <f t="shared" si="41"/>
        <v>118850000</v>
      </c>
      <c r="AD340" s="50">
        <v>0</v>
      </c>
      <c r="AE340" s="47">
        <v>39909</v>
      </c>
      <c r="AF340" s="51" t="s">
        <v>1016</v>
      </c>
      <c r="AG340" s="52" t="s">
        <v>565</v>
      </c>
      <c r="AH340" s="53" t="s">
        <v>980</v>
      </c>
      <c r="AI340" s="79"/>
      <c r="AJ340" s="80"/>
      <c r="AK340" s="81"/>
      <c r="AL340" s="80"/>
      <c r="AM340" s="80"/>
      <c r="AN340" s="80"/>
      <c r="AO340" s="80"/>
      <c r="AP340" s="80"/>
      <c r="AQ340" s="80"/>
      <c r="AR340" s="80"/>
      <c r="AS340" s="80">
        <v>500</v>
      </c>
      <c r="AT340" s="80">
        <f>500*24000</f>
        <v>12000000</v>
      </c>
      <c r="AU340" s="80">
        <v>500</v>
      </c>
      <c r="AV340" s="80">
        <f>500*48000</f>
        <v>24000000</v>
      </c>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v>500</v>
      </c>
      <c r="CD340" s="80">
        <f>500*27000</f>
        <v>13500000</v>
      </c>
      <c r="CE340" s="80"/>
      <c r="CF340" s="80"/>
      <c r="CG340" s="80"/>
      <c r="CH340" s="80"/>
      <c r="CI340" s="80"/>
      <c r="CJ340" s="80"/>
      <c r="CK340" s="82">
        <v>500</v>
      </c>
      <c r="CL340" s="12">
        <f>500*38000</f>
        <v>19000000</v>
      </c>
      <c r="CM340" s="82">
        <v>500</v>
      </c>
      <c r="CN340" s="12">
        <f>500*38700</f>
        <v>19350000</v>
      </c>
      <c r="CO340" s="82"/>
      <c r="CP340" s="12"/>
      <c r="CQ340" s="83">
        <f t="shared" si="42"/>
        <v>87850000</v>
      </c>
      <c r="CR340" s="84"/>
      <c r="CS340" s="13"/>
      <c r="CT340" s="85">
        <v>500</v>
      </c>
      <c r="CU340" s="86">
        <f>500*62000</f>
        <v>31000000</v>
      </c>
      <c r="CV340" s="11"/>
      <c r="CW340" s="86"/>
      <c r="CX340" s="84"/>
      <c r="CY340" s="86"/>
    </row>
    <row r="341" spans="1:103" ht="114.75" x14ac:dyDescent="0.2">
      <c r="A341" s="43">
        <v>39909</v>
      </c>
      <c r="B341" s="44" t="s">
        <v>1136</v>
      </c>
      <c r="C341" s="44" t="s">
        <v>771</v>
      </c>
      <c r="D341" s="45" t="s">
        <v>1118</v>
      </c>
      <c r="E341" s="11"/>
      <c r="F341" s="12"/>
      <c r="G341" s="12"/>
      <c r="H341" s="12">
        <f>19*5</f>
        <v>95</v>
      </c>
      <c r="I341" s="12">
        <v>19</v>
      </c>
      <c r="J341" s="12"/>
      <c r="K341" s="12"/>
      <c r="L341" s="12"/>
      <c r="M341" s="12"/>
      <c r="N341" s="12"/>
      <c r="O341" s="12"/>
      <c r="P341" s="12"/>
      <c r="Q341" s="12"/>
      <c r="R341" s="12"/>
      <c r="S341" s="12"/>
      <c r="T341" s="13"/>
      <c r="U341" s="46" t="s">
        <v>773</v>
      </c>
      <c r="V341" s="47"/>
      <c r="W341" s="48">
        <f t="shared" si="37"/>
        <v>0</v>
      </c>
      <c r="X341" s="48">
        <f t="shared" si="38"/>
        <v>0</v>
      </c>
      <c r="Y341" s="48">
        <f t="shared" si="39"/>
        <v>0</v>
      </c>
      <c r="Z341" s="48">
        <f t="shared" si="40"/>
        <v>0</v>
      </c>
      <c r="AA341" s="48"/>
      <c r="AB341" s="48"/>
      <c r="AC341" s="49">
        <f t="shared" si="41"/>
        <v>0</v>
      </c>
      <c r="AD341" s="50">
        <v>0</v>
      </c>
      <c r="AE341" s="47">
        <v>39972</v>
      </c>
      <c r="AF341" s="51" t="s">
        <v>516</v>
      </c>
      <c r="AG341" s="52" t="s">
        <v>517</v>
      </c>
      <c r="AH341" s="53" t="s">
        <v>772</v>
      </c>
      <c r="AI341" s="79"/>
      <c r="AJ341" s="80"/>
      <c r="AK341" s="81"/>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2"/>
      <c r="CL341" s="12"/>
      <c r="CM341" s="82"/>
      <c r="CN341" s="12"/>
      <c r="CO341" s="82"/>
      <c r="CP341" s="12"/>
      <c r="CQ341" s="83">
        <f t="shared" si="42"/>
        <v>0</v>
      </c>
      <c r="CR341" s="84"/>
      <c r="CS341" s="13"/>
      <c r="CT341" s="85"/>
      <c r="CU341" s="86"/>
      <c r="CV341" s="11"/>
      <c r="CW341" s="86"/>
      <c r="CX341" s="84"/>
      <c r="CY341" s="86"/>
    </row>
    <row r="342" spans="1:103" ht="25.5" x14ac:dyDescent="0.2">
      <c r="A342" s="43">
        <v>39910</v>
      </c>
      <c r="B342" s="44" t="s">
        <v>625</v>
      </c>
      <c r="C342" s="44" t="s">
        <v>734</v>
      </c>
      <c r="D342" s="45" t="s">
        <v>1118</v>
      </c>
      <c r="E342" s="11"/>
      <c r="F342" s="12"/>
      <c r="G342" s="12"/>
      <c r="H342" s="12">
        <v>400</v>
      </c>
      <c r="I342" s="12">
        <v>80</v>
      </c>
      <c r="J342" s="12"/>
      <c r="K342" s="12">
        <v>80</v>
      </c>
      <c r="L342" s="12"/>
      <c r="M342" s="12"/>
      <c r="N342" s="12"/>
      <c r="O342" s="12"/>
      <c r="P342" s="12"/>
      <c r="Q342" s="12"/>
      <c r="R342" s="12"/>
      <c r="S342" s="12"/>
      <c r="T342" s="13"/>
      <c r="U342" s="46"/>
      <c r="V342" s="47"/>
      <c r="W342" s="48">
        <f t="shared" si="37"/>
        <v>0</v>
      </c>
      <c r="X342" s="48">
        <f t="shared" si="38"/>
        <v>0</v>
      </c>
      <c r="Y342" s="48">
        <f t="shared" si="39"/>
        <v>0</v>
      </c>
      <c r="Z342" s="48">
        <f t="shared" si="40"/>
        <v>0</v>
      </c>
      <c r="AA342" s="48"/>
      <c r="AB342" s="48"/>
      <c r="AC342" s="49">
        <f t="shared" si="41"/>
        <v>0</v>
      </c>
      <c r="AD342" s="50">
        <v>0</v>
      </c>
      <c r="AE342" s="47">
        <v>39911</v>
      </c>
      <c r="AF342" s="51" t="s">
        <v>516</v>
      </c>
      <c r="AG342" s="52" t="s">
        <v>517</v>
      </c>
      <c r="AH342" s="53" t="s">
        <v>844</v>
      </c>
      <c r="AI342" s="79"/>
      <c r="AJ342" s="80"/>
      <c r="AK342" s="81"/>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2"/>
      <c r="CL342" s="12"/>
      <c r="CM342" s="82"/>
      <c r="CN342" s="12"/>
      <c r="CO342" s="82"/>
      <c r="CP342" s="12"/>
      <c r="CQ342" s="83">
        <f t="shared" si="42"/>
        <v>0</v>
      </c>
      <c r="CR342" s="84"/>
      <c r="CS342" s="13"/>
      <c r="CT342" s="85"/>
      <c r="CU342" s="86"/>
      <c r="CV342" s="11"/>
      <c r="CW342" s="86"/>
      <c r="CX342" s="84"/>
      <c r="CY342" s="86"/>
    </row>
    <row r="343" spans="1:103" ht="38.25" x14ac:dyDescent="0.2">
      <c r="A343" s="43">
        <v>39910</v>
      </c>
      <c r="B343" s="44" t="s">
        <v>1226</v>
      </c>
      <c r="C343" s="44" t="s">
        <v>865</v>
      </c>
      <c r="D343" s="45" t="s">
        <v>1116</v>
      </c>
      <c r="E343" s="11"/>
      <c r="F343" s="12">
        <v>1</v>
      </c>
      <c r="G343" s="12"/>
      <c r="H343" s="12">
        <v>5</v>
      </c>
      <c r="I343" s="12">
        <v>1</v>
      </c>
      <c r="J343" s="12"/>
      <c r="K343" s="12">
        <v>1</v>
      </c>
      <c r="L343" s="12"/>
      <c r="M343" s="12"/>
      <c r="N343" s="12"/>
      <c r="O343" s="12"/>
      <c r="P343" s="12"/>
      <c r="Q343" s="12"/>
      <c r="R343" s="12"/>
      <c r="S343" s="12"/>
      <c r="T343" s="13"/>
      <c r="U343" s="46"/>
      <c r="V343" s="47"/>
      <c r="W343" s="48">
        <f t="shared" si="37"/>
        <v>0</v>
      </c>
      <c r="X343" s="48">
        <f t="shared" si="38"/>
        <v>0</v>
      </c>
      <c r="Y343" s="48">
        <f t="shared" si="39"/>
        <v>0</v>
      </c>
      <c r="Z343" s="48">
        <f t="shared" si="40"/>
        <v>0</v>
      </c>
      <c r="AA343" s="48"/>
      <c r="AB343" s="48"/>
      <c r="AC343" s="49">
        <f t="shared" si="41"/>
        <v>0</v>
      </c>
      <c r="AD343" s="50">
        <v>0</v>
      </c>
      <c r="AE343" s="47">
        <v>39911</v>
      </c>
      <c r="AF343" s="51" t="s">
        <v>516</v>
      </c>
      <c r="AG343" s="52" t="s">
        <v>517</v>
      </c>
      <c r="AH343" s="53" t="s">
        <v>317</v>
      </c>
      <c r="AI343" s="79"/>
      <c r="AJ343" s="80"/>
      <c r="AK343" s="81"/>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2"/>
      <c r="CL343" s="12"/>
      <c r="CM343" s="82"/>
      <c r="CN343" s="12"/>
      <c r="CO343" s="82"/>
      <c r="CP343" s="12"/>
      <c r="CQ343" s="83">
        <f t="shared" si="42"/>
        <v>0</v>
      </c>
      <c r="CR343" s="84"/>
      <c r="CS343" s="13"/>
      <c r="CT343" s="85"/>
      <c r="CU343" s="86"/>
      <c r="CV343" s="11"/>
      <c r="CW343" s="86"/>
      <c r="CX343" s="84"/>
      <c r="CY343" s="86"/>
    </row>
    <row r="344" spans="1:103" ht="25.5" x14ac:dyDescent="0.2">
      <c r="A344" s="43">
        <v>39910</v>
      </c>
      <c r="B344" s="44" t="s">
        <v>904</v>
      </c>
      <c r="C344" s="44" t="s">
        <v>1004</v>
      </c>
      <c r="D344" s="45" t="s">
        <v>1092</v>
      </c>
      <c r="E344" s="11"/>
      <c r="F344" s="12"/>
      <c r="G344" s="12"/>
      <c r="H344" s="12">
        <v>15</v>
      </c>
      <c r="I344" s="12">
        <v>3</v>
      </c>
      <c r="J344" s="12">
        <v>1</v>
      </c>
      <c r="K344" s="12">
        <v>2</v>
      </c>
      <c r="L344" s="12"/>
      <c r="M344" s="12"/>
      <c r="N344" s="12"/>
      <c r="O344" s="12"/>
      <c r="P344" s="12"/>
      <c r="Q344" s="12"/>
      <c r="R344" s="12"/>
      <c r="S344" s="12"/>
      <c r="T344" s="13"/>
      <c r="U344" s="46"/>
      <c r="V344" s="47"/>
      <c r="W344" s="48">
        <f t="shared" si="37"/>
        <v>0</v>
      </c>
      <c r="X344" s="48">
        <f t="shared" si="38"/>
        <v>0</v>
      </c>
      <c r="Y344" s="48">
        <f t="shared" si="39"/>
        <v>0</v>
      </c>
      <c r="Z344" s="48">
        <f t="shared" si="40"/>
        <v>0</v>
      </c>
      <c r="AA344" s="48"/>
      <c r="AB344" s="48"/>
      <c r="AC344" s="49">
        <f t="shared" si="41"/>
        <v>0</v>
      </c>
      <c r="AD344" s="50">
        <v>0</v>
      </c>
      <c r="AE344" s="47">
        <v>39911</v>
      </c>
      <c r="AF344" s="51" t="s">
        <v>516</v>
      </c>
      <c r="AG344" s="52" t="s">
        <v>517</v>
      </c>
      <c r="AH344" s="53" t="s">
        <v>864</v>
      </c>
      <c r="AI344" s="79"/>
      <c r="AJ344" s="80"/>
      <c r="AK344" s="81"/>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2"/>
      <c r="CL344" s="12"/>
      <c r="CM344" s="82"/>
      <c r="CN344" s="12"/>
      <c r="CO344" s="82"/>
      <c r="CP344" s="12"/>
      <c r="CQ344" s="83">
        <f t="shared" si="42"/>
        <v>0</v>
      </c>
      <c r="CR344" s="84"/>
      <c r="CS344" s="13"/>
      <c r="CT344" s="85"/>
      <c r="CU344" s="86"/>
      <c r="CV344" s="11"/>
      <c r="CW344" s="86"/>
      <c r="CX344" s="84"/>
      <c r="CY344" s="86"/>
    </row>
    <row r="345" spans="1:103" ht="25.5" x14ac:dyDescent="0.2">
      <c r="A345" s="43">
        <v>39910</v>
      </c>
      <c r="B345" s="44" t="s">
        <v>1224</v>
      </c>
      <c r="C345" s="44" t="s">
        <v>866</v>
      </c>
      <c r="D345" s="45" t="s">
        <v>1118</v>
      </c>
      <c r="E345" s="11"/>
      <c r="F345" s="12"/>
      <c r="G345" s="12"/>
      <c r="H345" s="12">
        <v>50</v>
      </c>
      <c r="I345" s="12">
        <v>10</v>
      </c>
      <c r="J345" s="12"/>
      <c r="K345" s="12">
        <v>10</v>
      </c>
      <c r="L345" s="12"/>
      <c r="M345" s="12"/>
      <c r="N345" s="12"/>
      <c r="O345" s="12"/>
      <c r="P345" s="12"/>
      <c r="Q345" s="12"/>
      <c r="R345" s="12"/>
      <c r="S345" s="12"/>
      <c r="T345" s="13"/>
      <c r="U345" s="46"/>
      <c r="V345" s="47"/>
      <c r="W345" s="48">
        <f t="shared" si="37"/>
        <v>0</v>
      </c>
      <c r="X345" s="48">
        <f t="shared" si="38"/>
        <v>0</v>
      </c>
      <c r="Y345" s="48">
        <f t="shared" si="39"/>
        <v>0</v>
      </c>
      <c r="Z345" s="48">
        <f t="shared" si="40"/>
        <v>0</v>
      </c>
      <c r="AA345" s="48"/>
      <c r="AB345" s="48"/>
      <c r="AC345" s="49">
        <f t="shared" si="41"/>
        <v>0</v>
      </c>
      <c r="AD345" s="50">
        <v>0</v>
      </c>
      <c r="AE345" s="47">
        <v>39911</v>
      </c>
      <c r="AF345" s="51" t="s">
        <v>516</v>
      </c>
      <c r="AG345" s="52" t="s">
        <v>517</v>
      </c>
      <c r="AH345" s="53" t="s">
        <v>518</v>
      </c>
      <c r="AI345" s="79"/>
      <c r="AJ345" s="80"/>
      <c r="AK345" s="81"/>
      <c r="AL345" s="80"/>
      <c r="AM345" s="80"/>
      <c r="AN345" s="80"/>
      <c r="AO345" s="80"/>
      <c r="AP345" s="80"/>
      <c r="AQ345" s="80"/>
      <c r="AR345" s="80"/>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2"/>
      <c r="CL345" s="12"/>
      <c r="CM345" s="82"/>
      <c r="CN345" s="12"/>
      <c r="CO345" s="82"/>
      <c r="CP345" s="12"/>
      <c r="CQ345" s="83">
        <f t="shared" si="42"/>
        <v>0</v>
      </c>
      <c r="CR345" s="84"/>
      <c r="CS345" s="13"/>
      <c r="CT345" s="85"/>
      <c r="CU345" s="86"/>
      <c r="CV345" s="11"/>
      <c r="CW345" s="86"/>
      <c r="CX345" s="84"/>
      <c r="CY345" s="86"/>
    </row>
    <row r="346" spans="1:103" ht="25.5" x14ac:dyDescent="0.2">
      <c r="A346" s="43">
        <v>39910</v>
      </c>
      <c r="B346" s="44" t="s">
        <v>1224</v>
      </c>
      <c r="C346" s="44" t="s">
        <v>867</v>
      </c>
      <c r="D346" s="45" t="s">
        <v>1092</v>
      </c>
      <c r="E346" s="11"/>
      <c r="F346" s="12"/>
      <c r="G346" s="12"/>
      <c r="H346" s="12">
        <v>5</v>
      </c>
      <c r="I346" s="12">
        <v>1</v>
      </c>
      <c r="J346" s="12"/>
      <c r="K346" s="12">
        <v>1</v>
      </c>
      <c r="L346" s="12">
        <v>1</v>
      </c>
      <c r="M346" s="12"/>
      <c r="N346" s="12"/>
      <c r="O346" s="12"/>
      <c r="P346" s="12"/>
      <c r="Q346" s="12"/>
      <c r="R346" s="12"/>
      <c r="S346" s="12"/>
      <c r="T346" s="13"/>
      <c r="U346" s="46"/>
      <c r="V346" s="47"/>
      <c r="W346" s="48">
        <f t="shared" si="37"/>
        <v>0</v>
      </c>
      <c r="X346" s="48">
        <f t="shared" si="38"/>
        <v>0</v>
      </c>
      <c r="Y346" s="48">
        <f t="shared" si="39"/>
        <v>0</v>
      </c>
      <c r="Z346" s="48">
        <f t="shared" si="40"/>
        <v>0</v>
      </c>
      <c r="AA346" s="48"/>
      <c r="AB346" s="48"/>
      <c r="AC346" s="49">
        <f t="shared" si="41"/>
        <v>0</v>
      </c>
      <c r="AD346" s="50">
        <v>0</v>
      </c>
      <c r="AE346" s="47">
        <v>39911</v>
      </c>
      <c r="AF346" s="51" t="s">
        <v>516</v>
      </c>
      <c r="AG346" s="52" t="s">
        <v>517</v>
      </c>
      <c r="AH346" s="53" t="s">
        <v>518</v>
      </c>
      <c r="AI346" s="79"/>
      <c r="AJ346" s="80"/>
      <c r="AK346" s="81"/>
      <c r="AL346" s="80"/>
      <c r="AM346" s="80"/>
      <c r="AN346" s="80"/>
      <c r="AO346" s="80"/>
      <c r="AP346" s="80"/>
      <c r="AQ346" s="80"/>
      <c r="AR346" s="80"/>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2"/>
      <c r="CL346" s="12"/>
      <c r="CM346" s="82"/>
      <c r="CN346" s="12"/>
      <c r="CO346" s="82"/>
      <c r="CP346" s="12"/>
      <c r="CQ346" s="83">
        <f t="shared" si="42"/>
        <v>0</v>
      </c>
      <c r="CR346" s="84"/>
      <c r="CS346" s="13"/>
      <c r="CT346" s="85"/>
      <c r="CU346" s="86"/>
      <c r="CV346" s="11"/>
      <c r="CW346" s="86"/>
      <c r="CX346" s="84"/>
      <c r="CY346" s="86"/>
    </row>
    <row r="347" spans="1:103" ht="140.25" x14ac:dyDescent="0.2">
      <c r="A347" s="43">
        <v>39910</v>
      </c>
      <c r="B347" s="44" t="s">
        <v>781</v>
      </c>
      <c r="C347" s="44" t="s">
        <v>977</v>
      </c>
      <c r="D347" s="45" t="s">
        <v>1118</v>
      </c>
      <c r="E347" s="11"/>
      <c r="F347" s="12"/>
      <c r="G347" s="12"/>
      <c r="H347" s="12">
        <v>771</v>
      </c>
      <c r="I347" s="12">
        <v>172</v>
      </c>
      <c r="J347" s="12"/>
      <c r="K347" s="12">
        <v>172</v>
      </c>
      <c r="L347" s="12"/>
      <c r="M347" s="12"/>
      <c r="N347" s="12"/>
      <c r="O347" s="12"/>
      <c r="P347" s="12"/>
      <c r="Q347" s="12"/>
      <c r="R347" s="12"/>
      <c r="S347" s="12"/>
      <c r="T347" s="13">
        <f>102+100+20</f>
        <v>222</v>
      </c>
      <c r="U347" s="46" t="s">
        <v>978</v>
      </c>
      <c r="V347" s="47"/>
      <c r="W347" s="48">
        <f t="shared" si="37"/>
        <v>0</v>
      </c>
      <c r="X347" s="48">
        <f t="shared" si="38"/>
        <v>0</v>
      </c>
      <c r="Y347" s="48">
        <f t="shared" si="39"/>
        <v>0</v>
      </c>
      <c r="Z347" s="48">
        <f t="shared" si="40"/>
        <v>0</v>
      </c>
      <c r="AA347" s="48"/>
      <c r="AB347" s="48"/>
      <c r="AC347" s="49">
        <f t="shared" si="41"/>
        <v>0</v>
      </c>
      <c r="AD347" s="50">
        <v>0</v>
      </c>
      <c r="AE347" s="47">
        <v>39911</v>
      </c>
      <c r="AF347" s="51" t="s">
        <v>516</v>
      </c>
      <c r="AG347" s="52" t="s">
        <v>517</v>
      </c>
      <c r="AH347" s="53" t="s">
        <v>294</v>
      </c>
      <c r="AI347" s="79"/>
      <c r="AJ347" s="80"/>
      <c r="AK347" s="81"/>
      <c r="AL347" s="80"/>
      <c r="AM347" s="80"/>
      <c r="AN347" s="80"/>
      <c r="AO347" s="80"/>
      <c r="AP347" s="80"/>
      <c r="AQ347" s="80"/>
      <c r="AR347" s="80"/>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2"/>
      <c r="CL347" s="12"/>
      <c r="CM347" s="82"/>
      <c r="CN347" s="12"/>
      <c r="CO347" s="82"/>
      <c r="CP347" s="12"/>
      <c r="CQ347" s="83">
        <f t="shared" si="42"/>
        <v>0</v>
      </c>
      <c r="CR347" s="84"/>
      <c r="CS347" s="13"/>
      <c r="CT347" s="85"/>
      <c r="CU347" s="86"/>
      <c r="CV347" s="11"/>
      <c r="CW347" s="86"/>
      <c r="CX347" s="84"/>
      <c r="CY347" s="86"/>
    </row>
    <row r="348" spans="1:103" ht="12.75" x14ac:dyDescent="0.2">
      <c r="A348" s="43">
        <v>39910</v>
      </c>
      <c r="B348" s="44" t="s">
        <v>1114</v>
      </c>
      <c r="C348" s="44" t="s">
        <v>244</v>
      </c>
      <c r="D348" s="45" t="s">
        <v>1117</v>
      </c>
      <c r="E348" s="11"/>
      <c r="F348" s="12"/>
      <c r="G348" s="12"/>
      <c r="H348" s="12">
        <v>230</v>
      </c>
      <c r="I348" s="12">
        <v>46</v>
      </c>
      <c r="J348" s="12"/>
      <c r="K348" s="12">
        <v>46</v>
      </c>
      <c r="L348" s="12"/>
      <c r="M348" s="12"/>
      <c r="N348" s="12"/>
      <c r="O348" s="12"/>
      <c r="P348" s="12"/>
      <c r="Q348" s="12"/>
      <c r="R348" s="12"/>
      <c r="S348" s="12"/>
      <c r="T348" s="13"/>
      <c r="U348" s="46"/>
      <c r="V348" s="47">
        <v>39927</v>
      </c>
      <c r="W348" s="48">
        <f t="shared" si="37"/>
        <v>0</v>
      </c>
      <c r="X348" s="48">
        <f t="shared" si="38"/>
        <v>0</v>
      </c>
      <c r="Y348" s="48">
        <f t="shared" si="39"/>
        <v>13237500</v>
      </c>
      <c r="Z348" s="48">
        <f t="shared" si="40"/>
        <v>0</v>
      </c>
      <c r="AA348" s="48"/>
      <c r="AB348" s="48"/>
      <c r="AC348" s="49">
        <f t="shared" si="41"/>
        <v>13237500</v>
      </c>
      <c r="AD348" s="50">
        <v>0</v>
      </c>
      <c r="AE348" s="47">
        <v>39917</v>
      </c>
      <c r="AF348" s="51" t="s">
        <v>1016</v>
      </c>
      <c r="AG348" s="52" t="s">
        <v>565</v>
      </c>
      <c r="AH348" s="53" t="s">
        <v>443</v>
      </c>
      <c r="AI348" s="79"/>
      <c r="AJ348" s="80"/>
      <c r="AK348" s="81"/>
      <c r="AL348" s="80"/>
      <c r="AM348" s="80"/>
      <c r="AN348" s="80"/>
      <c r="AO348" s="80"/>
      <c r="AP348" s="80"/>
      <c r="AQ348" s="80"/>
      <c r="AR348" s="80"/>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2"/>
      <c r="CL348" s="12"/>
      <c r="CM348" s="82"/>
      <c r="CN348" s="12"/>
      <c r="CO348" s="82"/>
      <c r="CP348" s="12"/>
      <c r="CQ348" s="83">
        <f t="shared" si="42"/>
        <v>0</v>
      </c>
      <c r="CR348" s="84"/>
      <c r="CS348" s="13"/>
      <c r="CT348" s="85"/>
      <c r="CU348" s="86"/>
      <c r="CV348" s="11"/>
      <c r="CW348" s="86"/>
      <c r="CX348" s="84">
        <f>504+87</f>
        <v>591</v>
      </c>
      <c r="CY348" s="86">
        <f>504*21000+87*30500</f>
        <v>13237500</v>
      </c>
    </row>
    <row r="349" spans="1:103" ht="25.5" x14ac:dyDescent="0.2">
      <c r="A349" s="43">
        <v>39910</v>
      </c>
      <c r="B349" s="44" t="s">
        <v>1091</v>
      </c>
      <c r="C349" s="44" t="s">
        <v>784</v>
      </c>
      <c r="D349" s="45" t="s">
        <v>1092</v>
      </c>
      <c r="E349" s="11"/>
      <c r="F349" s="12">
        <v>2</v>
      </c>
      <c r="G349" s="12"/>
      <c r="H349" s="12">
        <v>20</v>
      </c>
      <c r="I349" s="12">
        <v>4</v>
      </c>
      <c r="J349" s="12">
        <v>1</v>
      </c>
      <c r="K349" s="12">
        <v>3</v>
      </c>
      <c r="L349" s="12"/>
      <c r="M349" s="12"/>
      <c r="N349" s="12"/>
      <c r="O349" s="12"/>
      <c r="P349" s="12"/>
      <c r="Q349" s="12"/>
      <c r="R349" s="12"/>
      <c r="S349" s="12"/>
      <c r="T349" s="13"/>
      <c r="U349" s="46"/>
      <c r="V349" s="47"/>
      <c r="W349" s="48">
        <f t="shared" si="37"/>
        <v>0</v>
      </c>
      <c r="X349" s="48">
        <f t="shared" si="38"/>
        <v>0</v>
      </c>
      <c r="Y349" s="48">
        <f t="shared" si="39"/>
        <v>0</v>
      </c>
      <c r="Z349" s="48">
        <f t="shared" si="40"/>
        <v>0</v>
      </c>
      <c r="AA349" s="48"/>
      <c r="AB349" s="48"/>
      <c r="AC349" s="49">
        <f t="shared" si="41"/>
        <v>0</v>
      </c>
      <c r="AD349" s="50">
        <v>0</v>
      </c>
      <c r="AE349" s="47">
        <v>39911</v>
      </c>
      <c r="AF349" s="51" t="s">
        <v>516</v>
      </c>
      <c r="AG349" s="52" t="s">
        <v>517</v>
      </c>
      <c r="AH349" s="53" t="s">
        <v>860</v>
      </c>
      <c r="AI349" s="79"/>
      <c r="AJ349" s="80"/>
      <c r="AK349" s="81"/>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2"/>
      <c r="CL349" s="12"/>
      <c r="CM349" s="82"/>
      <c r="CN349" s="12"/>
      <c r="CO349" s="82"/>
      <c r="CP349" s="12"/>
      <c r="CQ349" s="83">
        <f t="shared" si="42"/>
        <v>0</v>
      </c>
      <c r="CR349" s="84"/>
      <c r="CS349" s="13"/>
      <c r="CT349" s="85"/>
      <c r="CU349" s="86"/>
      <c r="CV349" s="11"/>
      <c r="CW349" s="86"/>
      <c r="CX349" s="84"/>
      <c r="CY349" s="86"/>
    </row>
    <row r="350" spans="1:103" ht="25.5" x14ac:dyDescent="0.2">
      <c r="A350" s="43">
        <v>39910</v>
      </c>
      <c r="B350" s="44" t="s">
        <v>1091</v>
      </c>
      <c r="C350" s="44" t="s">
        <v>861</v>
      </c>
      <c r="D350" s="45" t="s">
        <v>1118</v>
      </c>
      <c r="E350" s="11">
        <v>1</v>
      </c>
      <c r="F350" s="12">
        <v>1</v>
      </c>
      <c r="G350" s="12"/>
      <c r="H350" s="12"/>
      <c r="I350" s="12"/>
      <c r="J350" s="12"/>
      <c r="K350" s="12"/>
      <c r="L350" s="12">
        <v>1</v>
      </c>
      <c r="M350" s="12"/>
      <c r="N350" s="12"/>
      <c r="O350" s="12"/>
      <c r="P350" s="12"/>
      <c r="Q350" s="12"/>
      <c r="R350" s="12"/>
      <c r="S350" s="12"/>
      <c r="T350" s="13"/>
      <c r="U350" s="46"/>
      <c r="V350" s="47"/>
      <c r="W350" s="48">
        <f t="shared" si="37"/>
        <v>0</v>
      </c>
      <c r="X350" s="48">
        <f t="shared" si="38"/>
        <v>0</v>
      </c>
      <c r="Y350" s="48">
        <f t="shared" si="39"/>
        <v>0</v>
      </c>
      <c r="Z350" s="48">
        <f t="shared" si="40"/>
        <v>0</v>
      </c>
      <c r="AA350" s="48"/>
      <c r="AB350" s="48"/>
      <c r="AC350" s="49">
        <f t="shared" si="41"/>
        <v>0</v>
      </c>
      <c r="AD350" s="50">
        <v>0</v>
      </c>
      <c r="AE350" s="47">
        <v>39911</v>
      </c>
      <c r="AF350" s="51" t="s">
        <v>516</v>
      </c>
      <c r="AG350" s="52" t="s">
        <v>517</v>
      </c>
      <c r="AH350" s="53" t="s">
        <v>862</v>
      </c>
      <c r="AI350" s="79"/>
      <c r="AJ350" s="80"/>
      <c r="AK350" s="81"/>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2"/>
      <c r="CL350" s="12"/>
      <c r="CM350" s="82"/>
      <c r="CN350" s="12"/>
      <c r="CO350" s="82"/>
      <c r="CP350" s="12"/>
      <c r="CQ350" s="83">
        <f t="shared" si="42"/>
        <v>0</v>
      </c>
      <c r="CR350" s="84"/>
      <c r="CS350" s="13"/>
      <c r="CT350" s="85"/>
      <c r="CU350" s="86"/>
      <c r="CV350" s="11"/>
      <c r="CW350" s="86"/>
      <c r="CX350" s="84"/>
      <c r="CY350" s="86"/>
    </row>
    <row r="351" spans="1:103" ht="89.25" x14ac:dyDescent="0.2">
      <c r="A351" s="43">
        <v>39910</v>
      </c>
      <c r="B351" s="44" t="s">
        <v>1091</v>
      </c>
      <c r="C351" s="44" t="s">
        <v>863</v>
      </c>
      <c r="D351" s="45" t="s">
        <v>1118</v>
      </c>
      <c r="E351" s="11"/>
      <c r="F351" s="12"/>
      <c r="G351" s="12"/>
      <c r="H351" s="12">
        <f>79*5</f>
        <v>395</v>
      </c>
      <c r="I351" s="12">
        <v>79</v>
      </c>
      <c r="J351" s="12"/>
      <c r="K351" s="12">
        <v>73</v>
      </c>
      <c r="L351" s="12"/>
      <c r="M351" s="12"/>
      <c r="N351" s="12"/>
      <c r="O351" s="12">
        <v>1</v>
      </c>
      <c r="P351" s="12"/>
      <c r="Q351" s="12"/>
      <c r="R351" s="12"/>
      <c r="S351" s="12"/>
      <c r="T351" s="13"/>
      <c r="U351" s="46"/>
      <c r="V351" s="47"/>
      <c r="W351" s="48">
        <f t="shared" si="37"/>
        <v>0</v>
      </c>
      <c r="X351" s="48">
        <f t="shared" si="38"/>
        <v>0</v>
      </c>
      <c r="Y351" s="48">
        <f t="shared" si="39"/>
        <v>0</v>
      </c>
      <c r="Z351" s="48">
        <f t="shared" si="40"/>
        <v>0</v>
      </c>
      <c r="AA351" s="48"/>
      <c r="AB351" s="48"/>
      <c r="AC351" s="49">
        <f t="shared" si="41"/>
        <v>0</v>
      </c>
      <c r="AD351" s="50">
        <v>0</v>
      </c>
      <c r="AE351" s="47">
        <v>39911</v>
      </c>
      <c r="AF351" s="51" t="s">
        <v>516</v>
      </c>
      <c r="AG351" s="52" t="s">
        <v>517</v>
      </c>
      <c r="AH351" s="53" t="s">
        <v>1262</v>
      </c>
      <c r="AI351" s="79"/>
      <c r="AJ351" s="80"/>
      <c r="AK351" s="81"/>
      <c r="AL351" s="80"/>
      <c r="AM351" s="80"/>
      <c r="AN351" s="80"/>
      <c r="AO351" s="80"/>
      <c r="AP351" s="80"/>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2"/>
      <c r="CL351" s="12"/>
      <c r="CM351" s="82"/>
      <c r="CN351" s="12"/>
      <c r="CO351" s="82"/>
      <c r="CP351" s="12"/>
      <c r="CQ351" s="83">
        <f t="shared" si="42"/>
        <v>0</v>
      </c>
      <c r="CR351" s="84"/>
      <c r="CS351" s="13"/>
      <c r="CT351" s="85"/>
      <c r="CU351" s="86"/>
      <c r="CV351" s="11"/>
      <c r="CW351" s="86"/>
      <c r="CX351" s="84"/>
      <c r="CY351" s="86"/>
    </row>
    <row r="352" spans="1:103" ht="25.5" x14ac:dyDescent="0.2">
      <c r="A352" s="43">
        <v>39911</v>
      </c>
      <c r="B352" s="44" t="s">
        <v>625</v>
      </c>
      <c r="C352" s="44" t="s">
        <v>412</v>
      </c>
      <c r="D352" s="45" t="s">
        <v>1118</v>
      </c>
      <c r="E352" s="11"/>
      <c r="F352" s="12"/>
      <c r="G352" s="12"/>
      <c r="H352" s="12">
        <v>75</v>
      </c>
      <c r="I352" s="12">
        <v>15</v>
      </c>
      <c r="J352" s="12"/>
      <c r="K352" s="12">
        <v>15</v>
      </c>
      <c r="L352" s="12"/>
      <c r="M352" s="12"/>
      <c r="N352" s="12"/>
      <c r="O352" s="12"/>
      <c r="P352" s="12"/>
      <c r="Q352" s="12"/>
      <c r="R352" s="12"/>
      <c r="S352" s="12"/>
      <c r="T352" s="13"/>
      <c r="U352" s="46"/>
      <c r="V352" s="47"/>
      <c r="W352" s="48">
        <f t="shared" si="37"/>
        <v>0</v>
      </c>
      <c r="X352" s="48">
        <f t="shared" si="38"/>
        <v>0</v>
      </c>
      <c r="Y352" s="48">
        <f t="shared" si="39"/>
        <v>0</v>
      </c>
      <c r="Z352" s="48">
        <f t="shared" si="40"/>
        <v>0</v>
      </c>
      <c r="AA352" s="48"/>
      <c r="AB352" s="48"/>
      <c r="AC352" s="49">
        <f t="shared" si="41"/>
        <v>0</v>
      </c>
      <c r="AD352" s="50">
        <v>0</v>
      </c>
      <c r="AE352" s="47">
        <v>39911</v>
      </c>
      <c r="AF352" s="51" t="s">
        <v>516</v>
      </c>
      <c r="AG352" s="52" t="s">
        <v>517</v>
      </c>
      <c r="AH352" s="53" t="s">
        <v>859</v>
      </c>
      <c r="AI352" s="79"/>
      <c r="AJ352" s="80"/>
      <c r="AK352" s="81"/>
      <c r="AL352" s="80"/>
      <c r="AM352" s="80"/>
      <c r="AN352" s="80"/>
      <c r="AO352" s="80"/>
      <c r="AP352" s="80"/>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2"/>
      <c r="CL352" s="12"/>
      <c r="CM352" s="82"/>
      <c r="CN352" s="12"/>
      <c r="CO352" s="82"/>
      <c r="CP352" s="12"/>
      <c r="CQ352" s="83">
        <f t="shared" si="42"/>
        <v>0</v>
      </c>
      <c r="CR352" s="84"/>
      <c r="CS352" s="13"/>
      <c r="CT352" s="85"/>
      <c r="CU352" s="86"/>
      <c r="CV352" s="11"/>
      <c r="CW352" s="86"/>
      <c r="CX352" s="84"/>
      <c r="CY352" s="86"/>
    </row>
    <row r="353" spans="1:103" ht="25.5" x14ac:dyDescent="0.2">
      <c r="A353" s="43">
        <v>39911</v>
      </c>
      <c r="B353" s="44" t="s">
        <v>781</v>
      </c>
      <c r="C353" s="44" t="s">
        <v>868</v>
      </c>
      <c r="D353" s="45" t="s">
        <v>1118</v>
      </c>
      <c r="E353" s="11"/>
      <c r="F353" s="12"/>
      <c r="G353" s="12"/>
      <c r="H353" s="12">
        <v>80</v>
      </c>
      <c r="I353" s="12">
        <v>16</v>
      </c>
      <c r="J353" s="12"/>
      <c r="K353" s="12">
        <v>16</v>
      </c>
      <c r="L353" s="12"/>
      <c r="M353" s="12"/>
      <c r="N353" s="12"/>
      <c r="O353" s="12"/>
      <c r="P353" s="12"/>
      <c r="Q353" s="12"/>
      <c r="R353" s="12"/>
      <c r="S353" s="12"/>
      <c r="T353" s="13"/>
      <c r="U353" s="46"/>
      <c r="V353" s="47"/>
      <c r="W353" s="48">
        <f t="shared" si="37"/>
        <v>0</v>
      </c>
      <c r="X353" s="48">
        <f t="shared" si="38"/>
        <v>0</v>
      </c>
      <c r="Y353" s="48">
        <f t="shared" si="39"/>
        <v>0</v>
      </c>
      <c r="Z353" s="48">
        <f t="shared" si="40"/>
        <v>0</v>
      </c>
      <c r="AA353" s="48"/>
      <c r="AB353" s="48"/>
      <c r="AC353" s="49">
        <f t="shared" si="41"/>
        <v>0</v>
      </c>
      <c r="AD353" s="50">
        <v>0</v>
      </c>
      <c r="AE353" s="47">
        <v>39911</v>
      </c>
      <c r="AF353" s="51" t="s">
        <v>516</v>
      </c>
      <c r="AG353" s="52" t="s">
        <v>517</v>
      </c>
      <c r="AH353" s="53" t="s">
        <v>869</v>
      </c>
      <c r="AI353" s="79"/>
      <c r="AJ353" s="80"/>
      <c r="AK353" s="81"/>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2"/>
      <c r="CL353" s="12"/>
      <c r="CM353" s="82"/>
      <c r="CN353" s="12"/>
      <c r="CO353" s="82"/>
      <c r="CP353" s="12"/>
      <c r="CQ353" s="83">
        <f t="shared" si="42"/>
        <v>0</v>
      </c>
      <c r="CR353" s="84"/>
      <c r="CS353" s="13"/>
      <c r="CT353" s="85"/>
      <c r="CU353" s="86"/>
      <c r="CV353" s="11"/>
      <c r="CW353" s="86"/>
      <c r="CX353" s="84"/>
      <c r="CY353" s="86"/>
    </row>
    <row r="354" spans="1:103" ht="25.5" x14ac:dyDescent="0.2">
      <c r="A354" s="43">
        <v>39911</v>
      </c>
      <c r="B354" s="44" t="s">
        <v>781</v>
      </c>
      <c r="C354" s="44" t="s">
        <v>1399</v>
      </c>
      <c r="D354" s="45" t="s">
        <v>1118</v>
      </c>
      <c r="E354" s="11"/>
      <c r="F354" s="12"/>
      <c r="G354" s="12"/>
      <c r="H354" s="12">
        <v>120</v>
      </c>
      <c r="I354" s="12">
        <v>24</v>
      </c>
      <c r="J354" s="12"/>
      <c r="K354" s="12">
        <v>24</v>
      </c>
      <c r="L354" s="12"/>
      <c r="M354" s="12"/>
      <c r="N354" s="12"/>
      <c r="O354" s="12"/>
      <c r="P354" s="12"/>
      <c r="Q354" s="12"/>
      <c r="R354" s="12"/>
      <c r="S354" s="12"/>
      <c r="T354" s="13"/>
      <c r="U354" s="46"/>
      <c r="V354" s="47"/>
      <c r="W354" s="48">
        <f t="shared" si="37"/>
        <v>0</v>
      </c>
      <c r="X354" s="48">
        <f t="shared" si="38"/>
        <v>0</v>
      </c>
      <c r="Y354" s="48">
        <f t="shared" si="39"/>
        <v>0</v>
      </c>
      <c r="Z354" s="48">
        <f t="shared" si="40"/>
        <v>0</v>
      </c>
      <c r="AA354" s="48"/>
      <c r="AB354" s="48"/>
      <c r="AC354" s="49">
        <f t="shared" si="41"/>
        <v>0</v>
      </c>
      <c r="AD354" s="50">
        <v>0</v>
      </c>
      <c r="AE354" s="47">
        <v>39917</v>
      </c>
      <c r="AF354" s="51" t="s">
        <v>516</v>
      </c>
      <c r="AG354" s="52" t="s">
        <v>517</v>
      </c>
      <c r="AH354" s="53" t="s">
        <v>242</v>
      </c>
      <c r="AI354" s="79"/>
      <c r="AJ354" s="80"/>
      <c r="AK354" s="81"/>
      <c r="AL354" s="80"/>
      <c r="AM354" s="80"/>
      <c r="AN354" s="80"/>
      <c r="AO354" s="80"/>
      <c r="AP354" s="80"/>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0"/>
      <c r="CC354" s="80"/>
      <c r="CD354" s="80"/>
      <c r="CE354" s="80"/>
      <c r="CF354" s="80"/>
      <c r="CG354" s="80"/>
      <c r="CH354" s="80"/>
      <c r="CI354" s="80"/>
      <c r="CJ354" s="80"/>
      <c r="CK354" s="82"/>
      <c r="CL354" s="12"/>
      <c r="CM354" s="82"/>
      <c r="CN354" s="12"/>
      <c r="CO354" s="82"/>
      <c r="CP354" s="12"/>
      <c r="CQ354" s="83">
        <f t="shared" si="42"/>
        <v>0</v>
      </c>
      <c r="CR354" s="84"/>
      <c r="CS354" s="13"/>
      <c r="CT354" s="85"/>
      <c r="CU354" s="86"/>
      <c r="CV354" s="11"/>
      <c r="CW354" s="86"/>
      <c r="CX354" s="84"/>
      <c r="CY354" s="86"/>
    </row>
    <row r="355" spans="1:103" ht="25.5" x14ac:dyDescent="0.2">
      <c r="A355" s="43">
        <v>39911</v>
      </c>
      <c r="B355" s="44" t="s">
        <v>1091</v>
      </c>
      <c r="C355" s="44" t="s">
        <v>288</v>
      </c>
      <c r="D355" s="45" t="s">
        <v>1118</v>
      </c>
      <c r="E355" s="11">
        <v>2</v>
      </c>
      <c r="F355" s="12"/>
      <c r="G355" s="12"/>
      <c r="H355" s="12">
        <v>535</v>
      </c>
      <c r="I355" s="12">
        <v>107</v>
      </c>
      <c r="J355" s="12">
        <v>14</v>
      </c>
      <c r="K355" s="12">
        <v>93</v>
      </c>
      <c r="L355" s="12"/>
      <c r="M355" s="12"/>
      <c r="N355" s="12">
        <v>1</v>
      </c>
      <c r="O355" s="12"/>
      <c r="P355" s="12"/>
      <c r="Q355" s="12"/>
      <c r="R355" s="12"/>
      <c r="S355" s="12"/>
      <c r="T355" s="13"/>
      <c r="U355" s="46"/>
      <c r="V355" s="47"/>
      <c r="W355" s="48">
        <f t="shared" si="37"/>
        <v>0</v>
      </c>
      <c r="X355" s="48">
        <f t="shared" si="38"/>
        <v>0</v>
      </c>
      <c r="Y355" s="48">
        <f t="shared" si="39"/>
        <v>0</v>
      </c>
      <c r="Z355" s="48">
        <f t="shared" si="40"/>
        <v>0</v>
      </c>
      <c r="AA355" s="48"/>
      <c r="AB355" s="48"/>
      <c r="AC355" s="49">
        <f t="shared" si="41"/>
        <v>0</v>
      </c>
      <c r="AD355" s="50">
        <v>0</v>
      </c>
      <c r="AE355" s="47">
        <v>39912</v>
      </c>
      <c r="AF355" s="51" t="s">
        <v>516</v>
      </c>
      <c r="AG355" s="52" t="s">
        <v>517</v>
      </c>
      <c r="AH355" s="53" t="s">
        <v>934</v>
      </c>
      <c r="AI355" s="79"/>
      <c r="AJ355" s="80"/>
      <c r="AK355" s="81"/>
      <c r="AL355" s="80"/>
      <c r="AM355" s="80"/>
      <c r="AN355" s="80"/>
      <c r="AO355" s="80"/>
      <c r="AP355" s="80"/>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0"/>
      <c r="CC355" s="80"/>
      <c r="CD355" s="80"/>
      <c r="CE355" s="80"/>
      <c r="CF355" s="80"/>
      <c r="CG355" s="80"/>
      <c r="CH355" s="80"/>
      <c r="CI355" s="80"/>
      <c r="CJ355" s="80"/>
      <c r="CK355" s="82"/>
      <c r="CL355" s="12"/>
      <c r="CM355" s="82"/>
      <c r="CN355" s="12"/>
      <c r="CO355" s="82"/>
      <c r="CP355" s="12"/>
      <c r="CQ355" s="83">
        <f t="shared" si="42"/>
        <v>0</v>
      </c>
      <c r="CR355" s="84"/>
      <c r="CS355" s="13"/>
      <c r="CT355" s="85"/>
      <c r="CU355" s="86"/>
      <c r="CV355" s="11"/>
      <c r="CW355" s="86"/>
      <c r="CX355" s="84"/>
      <c r="CY355" s="86"/>
    </row>
    <row r="356" spans="1:103" ht="25.5" x14ac:dyDescent="0.2">
      <c r="A356" s="43">
        <v>39912</v>
      </c>
      <c r="B356" s="44" t="s">
        <v>1067</v>
      </c>
      <c r="C356" s="44" t="s">
        <v>1346</v>
      </c>
      <c r="D356" s="45" t="s">
        <v>1117</v>
      </c>
      <c r="E356" s="11"/>
      <c r="F356" s="12"/>
      <c r="G356" s="12"/>
      <c r="H356" s="12">
        <v>10</v>
      </c>
      <c r="I356" s="12">
        <v>2</v>
      </c>
      <c r="J356" s="12"/>
      <c r="K356" s="12">
        <v>2</v>
      </c>
      <c r="L356" s="12"/>
      <c r="M356" s="12"/>
      <c r="N356" s="12"/>
      <c r="O356" s="12"/>
      <c r="P356" s="12"/>
      <c r="Q356" s="12"/>
      <c r="R356" s="12"/>
      <c r="S356" s="12"/>
      <c r="T356" s="13"/>
      <c r="U356" s="46"/>
      <c r="V356" s="47"/>
      <c r="W356" s="48">
        <f t="shared" si="37"/>
        <v>0</v>
      </c>
      <c r="X356" s="48">
        <f t="shared" si="38"/>
        <v>0</v>
      </c>
      <c r="Y356" s="48">
        <f t="shared" si="39"/>
        <v>0</v>
      </c>
      <c r="Z356" s="48">
        <f t="shared" si="40"/>
        <v>0</v>
      </c>
      <c r="AA356" s="48"/>
      <c r="AB356" s="48"/>
      <c r="AC356" s="49">
        <f t="shared" si="41"/>
        <v>0</v>
      </c>
      <c r="AD356" s="50">
        <v>0</v>
      </c>
      <c r="AE356" s="47">
        <v>39912</v>
      </c>
      <c r="AF356" s="51" t="s">
        <v>516</v>
      </c>
      <c r="AG356" s="52" t="s">
        <v>517</v>
      </c>
      <c r="AH356" s="53" t="s">
        <v>870</v>
      </c>
      <c r="AI356" s="79"/>
      <c r="AJ356" s="80"/>
      <c r="AK356" s="81"/>
      <c r="AL356" s="80"/>
      <c r="AM356" s="80"/>
      <c r="AN356" s="80"/>
      <c r="AO356" s="80"/>
      <c r="AP356" s="80"/>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K356" s="82"/>
      <c r="CL356" s="12"/>
      <c r="CM356" s="82"/>
      <c r="CN356" s="12"/>
      <c r="CO356" s="82"/>
      <c r="CP356" s="12"/>
      <c r="CQ356" s="83">
        <f t="shared" si="42"/>
        <v>0</v>
      </c>
      <c r="CR356" s="84"/>
      <c r="CS356" s="13"/>
      <c r="CT356" s="85"/>
      <c r="CU356" s="86"/>
      <c r="CV356" s="11"/>
      <c r="CW356" s="86"/>
      <c r="CX356" s="84"/>
      <c r="CY356" s="86"/>
    </row>
    <row r="357" spans="1:103" ht="38.25" x14ac:dyDescent="0.2">
      <c r="A357" s="43">
        <v>39914</v>
      </c>
      <c r="B357" s="44" t="s">
        <v>625</v>
      </c>
      <c r="C357" s="44" t="s">
        <v>235</v>
      </c>
      <c r="D357" s="45" t="s">
        <v>1117</v>
      </c>
      <c r="E357" s="11"/>
      <c r="F357" s="12"/>
      <c r="G357" s="12"/>
      <c r="H357" s="12">
        <v>500</v>
      </c>
      <c r="I357" s="12">
        <v>100</v>
      </c>
      <c r="J357" s="12"/>
      <c r="K357" s="12">
        <v>100</v>
      </c>
      <c r="L357" s="12"/>
      <c r="M357" s="12"/>
      <c r="N357" s="12"/>
      <c r="O357" s="12"/>
      <c r="P357" s="12"/>
      <c r="Q357" s="12"/>
      <c r="R357" s="12"/>
      <c r="S357" s="12">
        <v>1</v>
      </c>
      <c r="T357" s="13"/>
      <c r="U357" s="46"/>
      <c r="V357" s="47"/>
      <c r="W357" s="48">
        <f t="shared" si="37"/>
        <v>0</v>
      </c>
      <c r="X357" s="48">
        <f t="shared" si="38"/>
        <v>0</v>
      </c>
      <c r="Y357" s="48">
        <f t="shared" si="39"/>
        <v>0</v>
      </c>
      <c r="Z357" s="48">
        <f t="shared" si="40"/>
        <v>0</v>
      </c>
      <c r="AA357" s="48"/>
      <c r="AB357" s="48"/>
      <c r="AC357" s="49">
        <f t="shared" si="41"/>
        <v>0</v>
      </c>
      <c r="AD357" s="50">
        <v>0</v>
      </c>
      <c r="AE357" s="47">
        <v>39916</v>
      </c>
      <c r="AF357" s="51" t="s">
        <v>1016</v>
      </c>
      <c r="AG357" s="52" t="s">
        <v>565</v>
      </c>
      <c r="AH357" s="53" t="s">
        <v>965</v>
      </c>
      <c r="AI357" s="79"/>
      <c r="AJ357" s="80"/>
      <c r="AK357" s="81"/>
      <c r="AL357" s="80"/>
      <c r="AM357" s="80"/>
      <c r="AN357" s="80"/>
      <c r="AO357" s="80"/>
      <c r="AP357" s="80"/>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0"/>
      <c r="CC357" s="80"/>
      <c r="CD357" s="80"/>
      <c r="CE357" s="80"/>
      <c r="CF357" s="80"/>
      <c r="CG357" s="80"/>
      <c r="CH357" s="80"/>
      <c r="CI357" s="80"/>
      <c r="CJ357" s="80"/>
      <c r="CK357" s="82"/>
      <c r="CL357" s="12"/>
      <c r="CM357" s="82"/>
      <c r="CN357" s="12"/>
      <c r="CO357" s="82"/>
      <c r="CP357" s="12"/>
      <c r="CQ357" s="83">
        <f t="shared" si="42"/>
        <v>0</v>
      </c>
      <c r="CR357" s="84"/>
      <c r="CS357" s="13"/>
      <c r="CT357" s="85"/>
      <c r="CU357" s="86"/>
      <c r="CV357" s="11"/>
      <c r="CW357" s="86"/>
      <c r="CX357" s="84"/>
      <c r="CY357" s="86"/>
    </row>
    <row r="358" spans="1:103" ht="63.75" x14ac:dyDescent="0.2">
      <c r="A358" s="43">
        <v>39914</v>
      </c>
      <c r="B358" s="44" t="s">
        <v>625</v>
      </c>
      <c r="C358" s="44" t="s">
        <v>236</v>
      </c>
      <c r="D358" s="45" t="s">
        <v>1117</v>
      </c>
      <c r="E358" s="11"/>
      <c r="F358" s="12"/>
      <c r="G358" s="12"/>
      <c r="H358" s="12">
        <f>522*5</f>
        <v>2610</v>
      </c>
      <c r="I358" s="12">
        <v>522</v>
      </c>
      <c r="J358" s="12"/>
      <c r="K358" s="12">
        <v>522</v>
      </c>
      <c r="L358" s="12"/>
      <c r="M358" s="12"/>
      <c r="N358" s="12"/>
      <c r="O358" s="12"/>
      <c r="P358" s="12"/>
      <c r="Q358" s="12"/>
      <c r="R358" s="12">
        <v>8</v>
      </c>
      <c r="S358" s="12"/>
      <c r="T358" s="13"/>
      <c r="U358" s="46" t="s">
        <v>963</v>
      </c>
      <c r="V358" s="47"/>
      <c r="W358" s="48">
        <f t="shared" si="37"/>
        <v>0</v>
      </c>
      <c r="X358" s="48">
        <f t="shared" si="38"/>
        <v>0</v>
      </c>
      <c r="Y358" s="48">
        <f t="shared" si="39"/>
        <v>0</v>
      </c>
      <c r="Z358" s="48">
        <f t="shared" si="40"/>
        <v>0</v>
      </c>
      <c r="AA358" s="48"/>
      <c r="AB358" s="48"/>
      <c r="AC358" s="49">
        <f t="shared" si="41"/>
        <v>0</v>
      </c>
      <c r="AD358" s="50">
        <v>0</v>
      </c>
      <c r="AE358" s="47">
        <v>39916</v>
      </c>
      <c r="AF358" s="51" t="s">
        <v>1016</v>
      </c>
      <c r="AG358" s="52" t="s">
        <v>565</v>
      </c>
      <c r="AH358" s="53" t="s">
        <v>966</v>
      </c>
      <c r="AI358" s="79"/>
      <c r="AJ358" s="80"/>
      <c r="AK358" s="81"/>
      <c r="AL358" s="80"/>
      <c r="AM358" s="80"/>
      <c r="AN358" s="80"/>
      <c r="AO358" s="80"/>
      <c r="AP358" s="80"/>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2"/>
      <c r="CL358" s="12"/>
      <c r="CM358" s="82"/>
      <c r="CN358" s="12"/>
      <c r="CO358" s="82"/>
      <c r="CP358" s="12"/>
      <c r="CQ358" s="83">
        <f t="shared" si="42"/>
        <v>0</v>
      </c>
      <c r="CR358" s="84"/>
      <c r="CS358" s="13"/>
      <c r="CT358" s="85"/>
      <c r="CU358" s="86"/>
      <c r="CV358" s="11"/>
      <c r="CW358" s="86"/>
      <c r="CX358" s="84"/>
      <c r="CY358" s="86"/>
    </row>
    <row r="359" spans="1:103" ht="51" x14ac:dyDescent="0.2">
      <c r="A359" s="43">
        <v>39914</v>
      </c>
      <c r="B359" s="44" t="s">
        <v>625</v>
      </c>
      <c r="C359" s="44" t="s">
        <v>237</v>
      </c>
      <c r="D359" s="45" t="s">
        <v>1117</v>
      </c>
      <c r="E359" s="11"/>
      <c r="F359" s="12"/>
      <c r="G359" s="12"/>
      <c r="H359" s="12">
        <v>500</v>
      </c>
      <c r="I359" s="12">
        <v>100</v>
      </c>
      <c r="J359" s="12"/>
      <c r="K359" s="12">
        <v>100</v>
      </c>
      <c r="L359" s="12"/>
      <c r="M359" s="12"/>
      <c r="N359" s="12"/>
      <c r="O359" s="12"/>
      <c r="P359" s="12"/>
      <c r="Q359" s="12"/>
      <c r="R359" s="12">
        <v>5</v>
      </c>
      <c r="S359" s="12"/>
      <c r="T359" s="13"/>
      <c r="U359" s="46"/>
      <c r="V359" s="47">
        <v>39966</v>
      </c>
      <c r="W359" s="48">
        <f t="shared" si="37"/>
        <v>11475000</v>
      </c>
      <c r="X359" s="48">
        <f t="shared" si="38"/>
        <v>12750000</v>
      </c>
      <c r="Y359" s="48">
        <f t="shared" si="39"/>
        <v>0</v>
      </c>
      <c r="Z359" s="48">
        <f t="shared" si="40"/>
        <v>0</v>
      </c>
      <c r="AA359" s="48"/>
      <c r="AB359" s="48"/>
      <c r="AC359" s="49">
        <f t="shared" si="41"/>
        <v>24225000</v>
      </c>
      <c r="AD359" s="50">
        <v>0</v>
      </c>
      <c r="AE359" s="47">
        <v>39916</v>
      </c>
      <c r="AF359" s="51" t="s">
        <v>1016</v>
      </c>
      <c r="AG359" s="52" t="s">
        <v>565</v>
      </c>
      <c r="AH359" s="53" t="s">
        <v>967</v>
      </c>
      <c r="AI359" s="79"/>
      <c r="AJ359" s="80"/>
      <c r="AK359" s="81"/>
      <c r="AL359" s="80"/>
      <c r="AM359" s="80"/>
      <c r="AN359" s="80"/>
      <c r="AO359" s="80"/>
      <c r="AP359" s="80"/>
      <c r="AQ359" s="80"/>
      <c r="AR359" s="80"/>
      <c r="AS359" s="80"/>
      <c r="AT359" s="80"/>
      <c r="AU359" s="80">
        <v>100</v>
      </c>
      <c r="AV359" s="80">
        <f>100*56000</f>
        <v>5600000</v>
      </c>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0"/>
      <c r="CC359" s="80"/>
      <c r="CD359" s="80"/>
      <c r="CE359" s="80">
        <v>100</v>
      </c>
      <c r="CF359" s="80">
        <f>100*21500</f>
        <v>2150000</v>
      </c>
      <c r="CG359" s="80"/>
      <c r="CH359" s="80"/>
      <c r="CI359" s="80"/>
      <c r="CJ359" s="80"/>
      <c r="CK359" s="82">
        <v>50</v>
      </c>
      <c r="CL359" s="12">
        <f>50*38500</f>
        <v>1925000</v>
      </c>
      <c r="CM359" s="82">
        <v>50</v>
      </c>
      <c r="CN359" s="12">
        <f>50*36000</f>
        <v>1800000</v>
      </c>
      <c r="CO359" s="82"/>
      <c r="CP359" s="12"/>
      <c r="CQ359" s="83">
        <f t="shared" si="42"/>
        <v>11475000</v>
      </c>
      <c r="CR359" s="84"/>
      <c r="CS359" s="13"/>
      <c r="CT359" s="85">
        <v>150</v>
      </c>
      <c r="CU359" s="86">
        <f>150*85000</f>
        <v>12750000</v>
      </c>
      <c r="CV359" s="11"/>
      <c r="CW359" s="86"/>
      <c r="CX359" s="84"/>
      <c r="CY359" s="86"/>
    </row>
    <row r="360" spans="1:103" ht="38.25" x14ac:dyDescent="0.2">
      <c r="A360" s="43">
        <v>39914</v>
      </c>
      <c r="B360" s="44" t="s">
        <v>625</v>
      </c>
      <c r="C360" s="44" t="s">
        <v>876</v>
      </c>
      <c r="D360" s="45" t="s">
        <v>1117</v>
      </c>
      <c r="E360" s="11"/>
      <c r="F360" s="12"/>
      <c r="G360" s="12"/>
      <c r="H360" s="12">
        <v>170</v>
      </c>
      <c r="I360" s="12">
        <v>34</v>
      </c>
      <c r="J360" s="12">
        <v>7</v>
      </c>
      <c r="K360" s="12">
        <v>24</v>
      </c>
      <c r="L360" s="12"/>
      <c r="M360" s="12"/>
      <c r="N360" s="12"/>
      <c r="O360" s="12">
        <v>1</v>
      </c>
      <c r="P360" s="12"/>
      <c r="Q360" s="12"/>
      <c r="R360" s="12">
        <v>2</v>
      </c>
      <c r="S360" s="12"/>
      <c r="T360" s="13"/>
      <c r="U360" s="46"/>
      <c r="V360" s="47"/>
      <c r="W360" s="48">
        <f t="shared" si="37"/>
        <v>0</v>
      </c>
      <c r="X360" s="48">
        <f t="shared" si="38"/>
        <v>0</v>
      </c>
      <c r="Y360" s="48">
        <f t="shared" si="39"/>
        <v>0</v>
      </c>
      <c r="Z360" s="48">
        <f t="shared" si="40"/>
        <v>0</v>
      </c>
      <c r="AA360" s="48"/>
      <c r="AB360" s="48"/>
      <c r="AC360" s="49">
        <f t="shared" si="41"/>
        <v>0</v>
      </c>
      <c r="AD360" s="50">
        <v>0</v>
      </c>
      <c r="AE360" s="47">
        <v>39916</v>
      </c>
      <c r="AF360" s="51" t="s">
        <v>1016</v>
      </c>
      <c r="AG360" s="52" t="s">
        <v>565</v>
      </c>
      <c r="AH360" s="53" t="s">
        <v>968</v>
      </c>
      <c r="AI360" s="79"/>
      <c r="AJ360" s="80"/>
      <c r="AK360" s="81"/>
      <c r="AL360" s="80"/>
      <c r="AM360" s="80"/>
      <c r="AN360" s="80"/>
      <c r="AO360" s="80"/>
      <c r="AP360" s="80"/>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0"/>
      <c r="CC360" s="80"/>
      <c r="CD360" s="80"/>
      <c r="CE360" s="80"/>
      <c r="CF360" s="80"/>
      <c r="CG360" s="80"/>
      <c r="CH360" s="80"/>
      <c r="CI360" s="80"/>
      <c r="CJ360" s="80"/>
      <c r="CK360" s="82"/>
      <c r="CL360" s="12"/>
      <c r="CM360" s="82"/>
      <c r="CN360" s="12"/>
      <c r="CO360" s="82"/>
      <c r="CP360" s="12"/>
      <c r="CQ360" s="83">
        <f t="shared" si="42"/>
        <v>0</v>
      </c>
      <c r="CR360" s="84"/>
      <c r="CS360" s="13"/>
      <c r="CT360" s="85"/>
      <c r="CU360" s="86"/>
      <c r="CV360" s="11"/>
      <c r="CW360" s="86"/>
      <c r="CX360" s="84"/>
      <c r="CY360" s="86"/>
    </row>
    <row r="361" spans="1:103" ht="38.25" x14ac:dyDescent="0.2">
      <c r="A361" s="43">
        <v>39914</v>
      </c>
      <c r="B361" s="44" t="s">
        <v>625</v>
      </c>
      <c r="C361" s="44" t="s">
        <v>877</v>
      </c>
      <c r="D361" s="45" t="s">
        <v>1117</v>
      </c>
      <c r="E361" s="11"/>
      <c r="F361" s="12"/>
      <c r="G361" s="12"/>
      <c r="H361" s="12">
        <f>110*5</f>
        <v>550</v>
      </c>
      <c r="I361" s="12">
        <v>110</v>
      </c>
      <c r="J361" s="12"/>
      <c r="K361" s="12">
        <v>110</v>
      </c>
      <c r="L361" s="12"/>
      <c r="M361" s="12"/>
      <c r="N361" s="12"/>
      <c r="O361" s="12"/>
      <c r="P361" s="12"/>
      <c r="Q361" s="12"/>
      <c r="R361" s="12"/>
      <c r="S361" s="12"/>
      <c r="T361" s="13"/>
      <c r="U361" s="46"/>
      <c r="V361" s="47"/>
      <c r="W361" s="48">
        <f t="shared" si="37"/>
        <v>0</v>
      </c>
      <c r="X361" s="48">
        <f t="shared" si="38"/>
        <v>0</v>
      </c>
      <c r="Y361" s="48">
        <f t="shared" si="39"/>
        <v>0</v>
      </c>
      <c r="Z361" s="48">
        <f t="shared" si="40"/>
        <v>0</v>
      </c>
      <c r="AA361" s="48"/>
      <c r="AB361" s="48"/>
      <c r="AC361" s="49">
        <f t="shared" si="41"/>
        <v>0</v>
      </c>
      <c r="AD361" s="50">
        <v>0</v>
      </c>
      <c r="AE361" s="47">
        <v>39916</v>
      </c>
      <c r="AF361" s="51" t="s">
        <v>1016</v>
      </c>
      <c r="AG361" s="52" t="s">
        <v>565</v>
      </c>
      <c r="AH361" s="53" t="s">
        <v>951</v>
      </c>
      <c r="AI361" s="79"/>
      <c r="AJ361" s="80"/>
      <c r="AK361" s="81"/>
      <c r="AL361" s="80"/>
      <c r="AM361" s="80"/>
      <c r="AN361" s="80"/>
      <c r="AO361" s="80"/>
      <c r="AP361" s="80"/>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2"/>
      <c r="CL361" s="12"/>
      <c r="CM361" s="82"/>
      <c r="CN361" s="12"/>
      <c r="CO361" s="82"/>
      <c r="CP361" s="12"/>
      <c r="CQ361" s="83">
        <f t="shared" si="42"/>
        <v>0</v>
      </c>
      <c r="CR361" s="84"/>
      <c r="CS361" s="13"/>
      <c r="CT361" s="85"/>
      <c r="CU361" s="86"/>
      <c r="CV361" s="11"/>
      <c r="CW361" s="86"/>
      <c r="CX361" s="84"/>
      <c r="CY361" s="86"/>
    </row>
    <row r="362" spans="1:103" ht="38.25" x14ac:dyDescent="0.2">
      <c r="A362" s="43">
        <v>39914</v>
      </c>
      <c r="B362" s="44" t="s">
        <v>625</v>
      </c>
      <c r="C362" s="44" t="s">
        <v>964</v>
      </c>
      <c r="D362" s="45" t="s">
        <v>1117</v>
      </c>
      <c r="E362" s="11"/>
      <c r="F362" s="12"/>
      <c r="G362" s="12"/>
      <c r="H362" s="12">
        <f>105*5</f>
        <v>525</v>
      </c>
      <c r="I362" s="12">
        <v>105</v>
      </c>
      <c r="J362" s="12"/>
      <c r="K362" s="12">
        <v>105</v>
      </c>
      <c r="L362" s="12"/>
      <c r="M362" s="12"/>
      <c r="N362" s="12"/>
      <c r="O362" s="12"/>
      <c r="P362" s="12"/>
      <c r="Q362" s="12"/>
      <c r="R362" s="12"/>
      <c r="S362" s="12"/>
      <c r="T362" s="13"/>
      <c r="U362" s="46"/>
      <c r="V362" s="47"/>
      <c r="W362" s="48">
        <f t="shared" si="37"/>
        <v>0</v>
      </c>
      <c r="X362" s="48">
        <f t="shared" si="38"/>
        <v>0</v>
      </c>
      <c r="Y362" s="48">
        <f t="shared" si="39"/>
        <v>0</v>
      </c>
      <c r="Z362" s="48">
        <f t="shared" si="40"/>
        <v>0</v>
      </c>
      <c r="AA362" s="48"/>
      <c r="AB362" s="48"/>
      <c r="AC362" s="49">
        <f t="shared" si="41"/>
        <v>0</v>
      </c>
      <c r="AD362" s="50">
        <v>0</v>
      </c>
      <c r="AE362" s="47">
        <v>39917</v>
      </c>
      <c r="AF362" s="51" t="s">
        <v>1016</v>
      </c>
      <c r="AG362" s="52" t="s">
        <v>565</v>
      </c>
      <c r="AH362" s="53" t="s">
        <v>952</v>
      </c>
      <c r="AI362" s="79"/>
      <c r="AJ362" s="80"/>
      <c r="AK362" s="81"/>
      <c r="AL362" s="80"/>
      <c r="AM362" s="80"/>
      <c r="AN362" s="80"/>
      <c r="AO362" s="80"/>
      <c r="AP362" s="80"/>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2"/>
      <c r="CL362" s="12"/>
      <c r="CM362" s="82"/>
      <c r="CN362" s="12"/>
      <c r="CO362" s="82"/>
      <c r="CP362" s="12"/>
      <c r="CQ362" s="83">
        <f t="shared" si="42"/>
        <v>0</v>
      </c>
      <c r="CR362" s="84"/>
      <c r="CS362" s="13"/>
      <c r="CT362" s="85"/>
      <c r="CU362" s="86"/>
      <c r="CV362" s="11"/>
      <c r="CW362" s="86"/>
      <c r="CX362" s="84"/>
      <c r="CY362" s="86"/>
    </row>
    <row r="363" spans="1:103" ht="25.5" x14ac:dyDescent="0.2">
      <c r="A363" s="43">
        <v>39914</v>
      </c>
      <c r="B363" s="44" t="s">
        <v>1224</v>
      </c>
      <c r="C363" s="44" t="s">
        <v>282</v>
      </c>
      <c r="D363" s="45" t="s">
        <v>1118</v>
      </c>
      <c r="E363" s="11"/>
      <c r="F363" s="12"/>
      <c r="G363" s="12"/>
      <c r="H363" s="12">
        <f>60*5</f>
        <v>300</v>
      </c>
      <c r="I363" s="12">
        <v>60</v>
      </c>
      <c r="J363" s="12"/>
      <c r="K363" s="12">
        <v>60</v>
      </c>
      <c r="L363" s="12"/>
      <c r="M363" s="12"/>
      <c r="N363" s="12"/>
      <c r="O363" s="12"/>
      <c r="P363" s="12"/>
      <c r="Q363" s="12"/>
      <c r="R363" s="12"/>
      <c r="S363" s="12"/>
      <c r="T363" s="13"/>
      <c r="U363" s="46"/>
      <c r="V363" s="47"/>
      <c r="W363" s="48">
        <f t="shared" si="37"/>
        <v>0</v>
      </c>
      <c r="X363" s="48">
        <f t="shared" si="38"/>
        <v>0</v>
      </c>
      <c r="Y363" s="48">
        <f t="shared" si="39"/>
        <v>0</v>
      </c>
      <c r="Z363" s="48">
        <f t="shared" si="40"/>
        <v>0</v>
      </c>
      <c r="AA363" s="48"/>
      <c r="AB363" s="48"/>
      <c r="AC363" s="49">
        <f t="shared" si="41"/>
        <v>0</v>
      </c>
      <c r="AD363" s="50">
        <v>0</v>
      </c>
      <c r="AE363" s="47">
        <v>39916</v>
      </c>
      <c r="AF363" s="51" t="s">
        <v>516</v>
      </c>
      <c r="AG363" s="52" t="s">
        <v>517</v>
      </c>
      <c r="AH363" s="53" t="s">
        <v>60</v>
      </c>
      <c r="AI363" s="79"/>
      <c r="AJ363" s="80"/>
      <c r="AK363" s="81"/>
      <c r="AL363" s="80"/>
      <c r="AM363" s="80"/>
      <c r="AN363" s="80"/>
      <c r="AO363" s="80"/>
      <c r="AP363" s="80"/>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0"/>
      <c r="CC363" s="80"/>
      <c r="CD363" s="80"/>
      <c r="CE363" s="80"/>
      <c r="CF363" s="80"/>
      <c r="CG363" s="80"/>
      <c r="CH363" s="80"/>
      <c r="CI363" s="80"/>
      <c r="CJ363" s="80"/>
      <c r="CK363" s="82"/>
      <c r="CL363" s="12"/>
      <c r="CM363" s="82"/>
      <c r="CN363" s="12"/>
      <c r="CO363" s="82"/>
      <c r="CP363" s="12"/>
      <c r="CQ363" s="83">
        <f t="shared" si="42"/>
        <v>0</v>
      </c>
      <c r="CR363" s="84"/>
      <c r="CS363" s="13"/>
      <c r="CT363" s="85"/>
      <c r="CU363" s="86"/>
      <c r="CV363" s="11"/>
      <c r="CW363" s="86"/>
      <c r="CX363" s="84"/>
      <c r="CY363" s="86"/>
    </row>
    <row r="364" spans="1:103" ht="51" x14ac:dyDescent="0.2">
      <c r="A364" s="43">
        <v>39914</v>
      </c>
      <c r="B364" s="44" t="s">
        <v>1224</v>
      </c>
      <c r="C364" s="44" t="s">
        <v>59</v>
      </c>
      <c r="D364" s="45" t="s">
        <v>1117</v>
      </c>
      <c r="E364" s="11"/>
      <c r="F364" s="12"/>
      <c r="G364" s="12"/>
      <c r="H364" s="12">
        <f>174*5</f>
        <v>870</v>
      </c>
      <c r="I364" s="12">
        <v>174</v>
      </c>
      <c r="J364" s="12"/>
      <c r="K364" s="12">
        <v>174</v>
      </c>
      <c r="L364" s="12"/>
      <c r="M364" s="12"/>
      <c r="N364" s="12"/>
      <c r="O364" s="12"/>
      <c r="P364" s="12"/>
      <c r="Q364" s="12"/>
      <c r="R364" s="12"/>
      <c r="S364" s="12"/>
      <c r="T364" s="13"/>
      <c r="U364" s="46"/>
      <c r="V364" s="47"/>
      <c r="W364" s="48">
        <f t="shared" si="37"/>
        <v>0</v>
      </c>
      <c r="X364" s="48">
        <f t="shared" si="38"/>
        <v>0</v>
      </c>
      <c r="Y364" s="48">
        <f t="shared" si="39"/>
        <v>0</v>
      </c>
      <c r="Z364" s="48">
        <f t="shared" si="40"/>
        <v>0</v>
      </c>
      <c r="AA364" s="48"/>
      <c r="AB364" s="48"/>
      <c r="AC364" s="49">
        <f t="shared" si="41"/>
        <v>0</v>
      </c>
      <c r="AD364" s="50">
        <v>0</v>
      </c>
      <c r="AE364" s="47">
        <v>39916</v>
      </c>
      <c r="AF364" s="51" t="s">
        <v>1016</v>
      </c>
      <c r="AG364" s="52" t="s">
        <v>517</v>
      </c>
      <c r="AH364" s="53" t="s">
        <v>0</v>
      </c>
      <c r="AI364" s="79"/>
      <c r="AJ364" s="80"/>
      <c r="AK364" s="81"/>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2"/>
      <c r="CL364" s="12"/>
      <c r="CM364" s="82"/>
      <c r="CN364" s="12"/>
      <c r="CO364" s="82"/>
      <c r="CP364" s="12"/>
      <c r="CQ364" s="83">
        <f t="shared" si="42"/>
        <v>0</v>
      </c>
      <c r="CR364" s="84"/>
      <c r="CS364" s="13"/>
      <c r="CT364" s="85"/>
      <c r="CU364" s="86"/>
      <c r="CV364" s="11"/>
      <c r="CW364" s="86"/>
      <c r="CX364" s="84"/>
      <c r="CY364" s="86"/>
    </row>
    <row r="365" spans="1:103" ht="38.25" x14ac:dyDescent="0.2">
      <c r="A365" s="43">
        <v>39914</v>
      </c>
      <c r="B365" s="44" t="s">
        <v>1127</v>
      </c>
      <c r="C365" s="44" t="s">
        <v>116</v>
      </c>
      <c r="D365" s="45" t="s">
        <v>1070</v>
      </c>
      <c r="E365" s="11"/>
      <c r="F365" s="12">
        <v>5</v>
      </c>
      <c r="G365" s="12"/>
      <c r="H365" s="12"/>
      <c r="I365" s="12"/>
      <c r="J365" s="12"/>
      <c r="K365" s="12"/>
      <c r="L365" s="12"/>
      <c r="M365" s="12"/>
      <c r="N365" s="12"/>
      <c r="O365" s="12"/>
      <c r="P365" s="12"/>
      <c r="Q365" s="12"/>
      <c r="R365" s="12"/>
      <c r="S365" s="12"/>
      <c r="T365" s="13"/>
      <c r="U365" s="46"/>
      <c r="V365" s="47"/>
      <c r="W365" s="48">
        <f t="shared" si="37"/>
        <v>0</v>
      </c>
      <c r="X365" s="48">
        <f t="shared" si="38"/>
        <v>0</v>
      </c>
      <c r="Y365" s="48">
        <f t="shared" si="39"/>
        <v>0</v>
      </c>
      <c r="Z365" s="48">
        <f t="shared" si="40"/>
        <v>0</v>
      </c>
      <c r="AA365" s="48"/>
      <c r="AB365" s="48"/>
      <c r="AC365" s="49">
        <f t="shared" si="41"/>
        <v>0</v>
      </c>
      <c r="AD365" s="50">
        <v>0</v>
      </c>
      <c r="AE365" s="47">
        <v>39915</v>
      </c>
      <c r="AF365" s="51" t="s">
        <v>516</v>
      </c>
      <c r="AG365" s="52" t="s">
        <v>517</v>
      </c>
      <c r="AH365" s="53" t="s">
        <v>228</v>
      </c>
      <c r="AI365" s="79"/>
      <c r="AJ365" s="80"/>
      <c r="AK365" s="81"/>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0"/>
      <c r="CC365" s="80"/>
      <c r="CD365" s="80"/>
      <c r="CE365" s="80"/>
      <c r="CF365" s="80"/>
      <c r="CG365" s="80"/>
      <c r="CH365" s="80"/>
      <c r="CI365" s="80"/>
      <c r="CJ365" s="80"/>
      <c r="CK365" s="82"/>
      <c r="CL365" s="12"/>
      <c r="CM365" s="82"/>
      <c r="CN365" s="12"/>
      <c r="CO365" s="82"/>
      <c r="CP365" s="12"/>
      <c r="CQ365" s="83">
        <f t="shared" si="42"/>
        <v>0</v>
      </c>
      <c r="CR365" s="84"/>
      <c r="CS365" s="13"/>
      <c r="CT365" s="85"/>
      <c r="CU365" s="86"/>
      <c r="CV365" s="11"/>
      <c r="CW365" s="86"/>
      <c r="CX365" s="84"/>
      <c r="CY365" s="86"/>
    </row>
    <row r="366" spans="1:103" ht="25.5" x14ac:dyDescent="0.2">
      <c r="A366" s="43">
        <v>39914</v>
      </c>
      <c r="B366" s="44" t="s">
        <v>600</v>
      </c>
      <c r="C366" s="44" t="s">
        <v>241</v>
      </c>
      <c r="D366" s="45" t="s">
        <v>1092</v>
      </c>
      <c r="E366" s="11"/>
      <c r="F366" s="12"/>
      <c r="G366" s="12"/>
      <c r="H366" s="12">
        <v>35</v>
      </c>
      <c r="I366" s="12">
        <v>7</v>
      </c>
      <c r="J366" s="12">
        <v>2</v>
      </c>
      <c r="K366" s="12">
        <v>5</v>
      </c>
      <c r="L366" s="12"/>
      <c r="M366" s="12"/>
      <c r="N366" s="12"/>
      <c r="O366" s="12"/>
      <c r="P366" s="12"/>
      <c r="Q366" s="12"/>
      <c r="R366" s="12"/>
      <c r="S366" s="12"/>
      <c r="T366" s="13"/>
      <c r="U366" s="46"/>
      <c r="V366" s="47"/>
      <c r="W366" s="48">
        <f t="shared" si="37"/>
        <v>0</v>
      </c>
      <c r="X366" s="48">
        <f t="shared" si="38"/>
        <v>0</v>
      </c>
      <c r="Y366" s="48">
        <f t="shared" si="39"/>
        <v>0</v>
      </c>
      <c r="Z366" s="48">
        <f t="shared" si="40"/>
        <v>0</v>
      </c>
      <c r="AA366" s="48"/>
      <c r="AB366" s="48"/>
      <c r="AC366" s="49">
        <f t="shared" si="41"/>
        <v>0</v>
      </c>
      <c r="AD366" s="50">
        <v>0</v>
      </c>
      <c r="AE366" s="47">
        <v>39917</v>
      </c>
      <c r="AF366" s="51" t="s">
        <v>1016</v>
      </c>
      <c r="AG366" s="52" t="s">
        <v>565</v>
      </c>
      <c r="AH366" s="53" t="s">
        <v>892</v>
      </c>
      <c r="AI366" s="79"/>
      <c r="AJ366" s="80"/>
      <c r="AK366" s="81"/>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0"/>
      <c r="CC366" s="80"/>
      <c r="CD366" s="80"/>
      <c r="CE366" s="80"/>
      <c r="CF366" s="80"/>
      <c r="CG366" s="80"/>
      <c r="CH366" s="80"/>
      <c r="CI366" s="80"/>
      <c r="CJ366" s="80"/>
      <c r="CK366" s="82"/>
      <c r="CL366" s="12"/>
      <c r="CM366" s="82"/>
      <c r="CN366" s="12"/>
      <c r="CO366" s="82"/>
      <c r="CP366" s="12"/>
      <c r="CQ366" s="83">
        <f t="shared" si="42"/>
        <v>0</v>
      </c>
      <c r="CR366" s="84"/>
      <c r="CS366" s="13"/>
      <c r="CT366" s="85"/>
      <c r="CU366" s="86"/>
      <c r="CV366" s="11"/>
      <c r="CW366" s="86"/>
      <c r="CX366" s="84"/>
      <c r="CY366" s="86"/>
    </row>
    <row r="367" spans="1:103" ht="25.5" x14ac:dyDescent="0.2">
      <c r="A367" s="43">
        <v>39914</v>
      </c>
      <c r="B367" s="44" t="s">
        <v>600</v>
      </c>
      <c r="C367" s="44" t="s">
        <v>1425</v>
      </c>
      <c r="D367" s="45" t="s">
        <v>1118</v>
      </c>
      <c r="E367" s="11"/>
      <c r="F367" s="12"/>
      <c r="G367" s="12"/>
      <c r="H367" s="12">
        <v>25</v>
      </c>
      <c r="I367" s="12">
        <v>5</v>
      </c>
      <c r="J367" s="12">
        <v>2</v>
      </c>
      <c r="K367" s="12">
        <v>3</v>
      </c>
      <c r="L367" s="12"/>
      <c r="M367" s="12"/>
      <c r="N367" s="12"/>
      <c r="O367" s="12"/>
      <c r="P367" s="12"/>
      <c r="Q367" s="12"/>
      <c r="R367" s="12"/>
      <c r="S367" s="12"/>
      <c r="T367" s="13"/>
      <c r="U367" s="46"/>
      <c r="V367" s="47"/>
      <c r="W367" s="48">
        <f t="shared" si="37"/>
        <v>0</v>
      </c>
      <c r="X367" s="48">
        <f t="shared" si="38"/>
        <v>0</v>
      </c>
      <c r="Y367" s="48">
        <f t="shared" si="39"/>
        <v>0</v>
      </c>
      <c r="Z367" s="48">
        <f t="shared" si="40"/>
        <v>0</v>
      </c>
      <c r="AA367" s="48"/>
      <c r="AB367" s="48"/>
      <c r="AC367" s="49">
        <f t="shared" si="41"/>
        <v>0</v>
      </c>
      <c r="AD367" s="50">
        <v>0</v>
      </c>
      <c r="AE367" s="47">
        <v>39917</v>
      </c>
      <c r="AF367" s="51" t="s">
        <v>516</v>
      </c>
      <c r="AG367" s="52" t="s">
        <v>517</v>
      </c>
      <c r="AH367" s="53" t="s">
        <v>443</v>
      </c>
      <c r="AI367" s="79"/>
      <c r="AJ367" s="80"/>
      <c r="AK367" s="81"/>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0"/>
      <c r="CC367" s="80"/>
      <c r="CD367" s="80"/>
      <c r="CE367" s="80"/>
      <c r="CF367" s="80"/>
      <c r="CG367" s="80"/>
      <c r="CH367" s="80"/>
      <c r="CI367" s="80"/>
      <c r="CJ367" s="80"/>
      <c r="CK367" s="82"/>
      <c r="CL367" s="12"/>
      <c r="CM367" s="82"/>
      <c r="CN367" s="12"/>
      <c r="CO367" s="82"/>
      <c r="CP367" s="12"/>
      <c r="CQ367" s="83">
        <f t="shared" si="42"/>
        <v>0</v>
      </c>
      <c r="CR367" s="84"/>
      <c r="CS367" s="13"/>
      <c r="CT367" s="85"/>
      <c r="CU367" s="86"/>
      <c r="CV367" s="11"/>
      <c r="CW367" s="86"/>
      <c r="CX367" s="84"/>
      <c r="CY367" s="86"/>
    </row>
    <row r="368" spans="1:103" ht="25.5" x14ac:dyDescent="0.2">
      <c r="A368" s="43">
        <v>39914</v>
      </c>
      <c r="B368" s="44" t="s">
        <v>481</v>
      </c>
      <c r="C368" s="44" t="s">
        <v>243</v>
      </c>
      <c r="D368" s="45" t="s">
        <v>1118</v>
      </c>
      <c r="E368" s="11"/>
      <c r="F368" s="12"/>
      <c r="G368" s="12"/>
      <c r="H368" s="12">
        <v>5</v>
      </c>
      <c r="I368" s="12">
        <v>1</v>
      </c>
      <c r="J368" s="12"/>
      <c r="K368" s="12">
        <v>1</v>
      </c>
      <c r="L368" s="12"/>
      <c r="M368" s="12"/>
      <c r="N368" s="12"/>
      <c r="O368" s="12"/>
      <c r="P368" s="12"/>
      <c r="Q368" s="12"/>
      <c r="R368" s="12"/>
      <c r="S368" s="12"/>
      <c r="T368" s="13"/>
      <c r="U368" s="46"/>
      <c r="V368" s="47"/>
      <c r="W368" s="48">
        <f t="shared" si="37"/>
        <v>0</v>
      </c>
      <c r="X368" s="48">
        <f t="shared" si="38"/>
        <v>0</v>
      </c>
      <c r="Y368" s="48">
        <f t="shared" si="39"/>
        <v>0</v>
      </c>
      <c r="Z368" s="48">
        <f t="shared" si="40"/>
        <v>0</v>
      </c>
      <c r="AA368" s="48"/>
      <c r="AB368" s="48"/>
      <c r="AC368" s="49">
        <f t="shared" si="41"/>
        <v>0</v>
      </c>
      <c r="AD368" s="50">
        <v>0</v>
      </c>
      <c r="AE368" s="47">
        <v>39917</v>
      </c>
      <c r="AF368" s="51" t="s">
        <v>516</v>
      </c>
      <c r="AG368" s="52" t="s">
        <v>517</v>
      </c>
      <c r="AH368" s="53" t="s">
        <v>443</v>
      </c>
      <c r="AI368" s="79"/>
      <c r="AJ368" s="80"/>
      <c r="AK368" s="81"/>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0"/>
      <c r="CC368" s="80"/>
      <c r="CD368" s="80"/>
      <c r="CE368" s="80"/>
      <c r="CF368" s="80"/>
      <c r="CG368" s="80"/>
      <c r="CH368" s="80"/>
      <c r="CI368" s="80"/>
      <c r="CJ368" s="80"/>
      <c r="CK368" s="82"/>
      <c r="CL368" s="12"/>
      <c r="CM368" s="82"/>
      <c r="CN368" s="12"/>
      <c r="CO368" s="82"/>
      <c r="CP368" s="12"/>
      <c r="CQ368" s="83">
        <f t="shared" si="42"/>
        <v>0</v>
      </c>
      <c r="CR368" s="84"/>
      <c r="CS368" s="13"/>
      <c r="CT368" s="85"/>
      <c r="CU368" s="86"/>
      <c r="CV368" s="11"/>
      <c r="CW368" s="86"/>
      <c r="CX368" s="84"/>
      <c r="CY368" s="86"/>
    </row>
    <row r="369" spans="1:103" ht="25.5" x14ac:dyDescent="0.2">
      <c r="A369" s="43">
        <v>39914</v>
      </c>
      <c r="B369" s="44" t="s">
        <v>413</v>
      </c>
      <c r="C369" s="44" t="s">
        <v>514</v>
      </c>
      <c r="D369" s="45" t="s">
        <v>1117</v>
      </c>
      <c r="E369" s="11"/>
      <c r="F369" s="12"/>
      <c r="G369" s="12"/>
      <c r="H369" s="12">
        <f>+I369*5</f>
        <v>125</v>
      </c>
      <c r="I369" s="12">
        <v>25</v>
      </c>
      <c r="J369" s="12">
        <v>1</v>
      </c>
      <c r="K369" s="12">
        <v>4</v>
      </c>
      <c r="L369" s="12"/>
      <c r="M369" s="12"/>
      <c r="N369" s="12"/>
      <c r="O369" s="12"/>
      <c r="P369" s="12"/>
      <c r="Q369" s="12"/>
      <c r="R369" s="12"/>
      <c r="S369" s="12"/>
      <c r="T369" s="13"/>
      <c r="U369" s="46"/>
      <c r="V369" s="47"/>
      <c r="W369" s="48">
        <f t="shared" si="37"/>
        <v>0</v>
      </c>
      <c r="X369" s="48">
        <f t="shared" si="38"/>
        <v>0</v>
      </c>
      <c r="Y369" s="48">
        <f t="shared" si="39"/>
        <v>0</v>
      </c>
      <c r="Z369" s="48">
        <f t="shared" si="40"/>
        <v>0</v>
      </c>
      <c r="AA369" s="48"/>
      <c r="AB369" s="48"/>
      <c r="AC369" s="49">
        <f t="shared" si="41"/>
        <v>0</v>
      </c>
      <c r="AD369" s="50">
        <v>0</v>
      </c>
      <c r="AE369" s="47">
        <v>39917</v>
      </c>
      <c r="AF369" s="51" t="s">
        <v>516</v>
      </c>
      <c r="AG369" s="52" t="s">
        <v>517</v>
      </c>
      <c r="AH369" s="53" t="s">
        <v>443</v>
      </c>
      <c r="AI369" s="79"/>
      <c r="AJ369" s="80"/>
      <c r="AK369" s="81"/>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2"/>
      <c r="CL369" s="12"/>
      <c r="CM369" s="82"/>
      <c r="CN369" s="12"/>
      <c r="CO369" s="82"/>
      <c r="CP369" s="12"/>
      <c r="CQ369" s="83">
        <f t="shared" si="42"/>
        <v>0</v>
      </c>
      <c r="CR369" s="84"/>
      <c r="CS369" s="13"/>
      <c r="CT369" s="85"/>
      <c r="CU369" s="86"/>
      <c r="CV369" s="11"/>
      <c r="CW369" s="86"/>
      <c r="CX369" s="84"/>
      <c r="CY369" s="86"/>
    </row>
    <row r="370" spans="1:103" ht="25.5" x14ac:dyDescent="0.2">
      <c r="A370" s="43">
        <v>39914</v>
      </c>
      <c r="B370" s="44" t="s">
        <v>1091</v>
      </c>
      <c r="C370" s="44" t="s">
        <v>288</v>
      </c>
      <c r="D370" s="45" t="s">
        <v>1092</v>
      </c>
      <c r="E370" s="11"/>
      <c r="F370" s="12">
        <v>2</v>
      </c>
      <c r="G370" s="12"/>
      <c r="H370" s="12">
        <v>5</v>
      </c>
      <c r="I370" s="12">
        <v>1</v>
      </c>
      <c r="J370" s="12">
        <v>1</v>
      </c>
      <c r="K370" s="12"/>
      <c r="L370" s="12"/>
      <c r="M370" s="12"/>
      <c r="N370" s="12"/>
      <c r="O370" s="12"/>
      <c r="P370" s="12"/>
      <c r="Q370" s="12"/>
      <c r="R370" s="12"/>
      <c r="S370" s="12"/>
      <c r="T370" s="13"/>
      <c r="U370" s="46"/>
      <c r="V370" s="47"/>
      <c r="W370" s="48">
        <f t="shared" si="37"/>
        <v>0</v>
      </c>
      <c r="X370" s="48">
        <f t="shared" si="38"/>
        <v>0</v>
      </c>
      <c r="Y370" s="48">
        <f t="shared" si="39"/>
        <v>0</v>
      </c>
      <c r="Z370" s="48">
        <f t="shared" si="40"/>
        <v>0</v>
      </c>
      <c r="AA370" s="48"/>
      <c r="AB370" s="48"/>
      <c r="AC370" s="49">
        <f t="shared" si="41"/>
        <v>0</v>
      </c>
      <c r="AD370" s="50">
        <v>0</v>
      </c>
      <c r="AE370" s="47">
        <v>39915</v>
      </c>
      <c r="AF370" s="51" t="s">
        <v>516</v>
      </c>
      <c r="AG370" s="52" t="s">
        <v>517</v>
      </c>
      <c r="AH370" s="53"/>
      <c r="AI370" s="79"/>
      <c r="AJ370" s="80"/>
      <c r="AK370" s="81"/>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2"/>
      <c r="CL370" s="12"/>
      <c r="CM370" s="82"/>
      <c r="CN370" s="12"/>
      <c r="CO370" s="82"/>
      <c r="CP370" s="12"/>
      <c r="CQ370" s="83">
        <f t="shared" si="42"/>
        <v>0</v>
      </c>
      <c r="CR370" s="84"/>
      <c r="CS370" s="13"/>
      <c r="CT370" s="85"/>
      <c r="CU370" s="86"/>
      <c r="CV370" s="11"/>
      <c r="CW370" s="86"/>
      <c r="CX370" s="84"/>
      <c r="CY370" s="86"/>
    </row>
    <row r="371" spans="1:103" ht="76.5" x14ac:dyDescent="0.2">
      <c r="A371" s="43">
        <v>39914</v>
      </c>
      <c r="B371" s="44" t="s">
        <v>1091</v>
      </c>
      <c r="C371" s="44" t="s">
        <v>1060</v>
      </c>
      <c r="D371" s="45" t="s">
        <v>1117</v>
      </c>
      <c r="E371" s="11"/>
      <c r="F371" s="12"/>
      <c r="G371" s="12"/>
      <c r="H371" s="12">
        <v>500</v>
      </c>
      <c r="I371" s="12">
        <v>100</v>
      </c>
      <c r="J371" s="12">
        <v>1</v>
      </c>
      <c r="K371" s="12">
        <v>99</v>
      </c>
      <c r="L371" s="12"/>
      <c r="M371" s="12"/>
      <c r="N371" s="12"/>
      <c r="O371" s="12"/>
      <c r="P371" s="12"/>
      <c r="Q371" s="12"/>
      <c r="R371" s="12"/>
      <c r="S371" s="12"/>
      <c r="T371" s="13"/>
      <c r="U371" s="46"/>
      <c r="V371" s="47"/>
      <c r="W371" s="48">
        <f t="shared" si="37"/>
        <v>0</v>
      </c>
      <c r="X371" s="48">
        <f t="shared" si="38"/>
        <v>0</v>
      </c>
      <c r="Y371" s="48">
        <f t="shared" si="39"/>
        <v>0</v>
      </c>
      <c r="Z371" s="48">
        <f t="shared" si="40"/>
        <v>0</v>
      </c>
      <c r="AA371" s="48"/>
      <c r="AB371" s="48"/>
      <c r="AC371" s="49">
        <f t="shared" si="41"/>
        <v>0</v>
      </c>
      <c r="AD371" s="50">
        <v>0</v>
      </c>
      <c r="AE371" s="47">
        <v>39916</v>
      </c>
      <c r="AF371" s="51" t="s">
        <v>1016</v>
      </c>
      <c r="AG371" s="52" t="s">
        <v>517</v>
      </c>
      <c r="AH371" s="53" t="s">
        <v>1</v>
      </c>
      <c r="AI371" s="79"/>
      <c r="AJ371" s="80"/>
      <c r="AK371" s="81"/>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2"/>
      <c r="CL371" s="12"/>
      <c r="CM371" s="82"/>
      <c r="CN371" s="12"/>
      <c r="CO371" s="82"/>
      <c r="CP371" s="12"/>
      <c r="CQ371" s="83">
        <f t="shared" si="42"/>
        <v>0</v>
      </c>
      <c r="CR371" s="84"/>
      <c r="CS371" s="13"/>
      <c r="CT371" s="85"/>
      <c r="CU371" s="86"/>
      <c r="CV371" s="11"/>
      <c r="CW371" s="86"/>
      <c r="CX371" s="84"/>
      <c r="CY371" s="86"/>
    </row>
    <row r="372" spans="1:103" ht="25.5" x14ac:dyDescent="0.2">
      <c r="A372" s="43">
        <v>39914</v>
      </c>
      <c r="B372" s="44" t="s">
        <v>1350</v>
      </c>
      <c r="C372" s="44" t="s">
        <v>286</v>
      </c>
      <c r="D372" s="45" t="s">
        <v>1092</v>
      </c>
      <c r="E372" s="11"/>
      <c r="F372" s="12"/>
      <c r="G372" s="12"/>
      <c r="H372" s="12"/>
      <c r="I372" s="12"/>
      <c r="J372" s="12"/>
      <c r="K372" s="12"/>
      <c r="L372" s="12"/>
      <c r="M372" s="12"/>
      <c r="N372" s="12"/>
      <c r="O372" s="12"/>
      <c r="P372" s="12"/>
      <c r="Q372" s="12"/>
      <c r="R372" s="12"/>
      <c r="S372" s="12"/>
      <c r="T372" s="13"/>
      <c r="U372" s="46"/>
      <c r="V372" s="47"/>
      <c r="W372" s="48">
        <f t="shared" si="37"/>
        <v>0</v>
      </c>
      <c r="X372" s="48">
        <f t="shared" si="38"/>
        <v>0</v>
      </c>
      <c r="Y372" s="48">
        <f t="shared" si="39"/>
        <v>0</v>
      </c>
      <c r="Z372" s="48">
        <f t="shared" si="40"/>
        <v>0</v>
      </c>
      <c r="AA372" s="48"/>
      <c r="AB372" s="48"/>
      <c r="AC372" s="49">
        <f t="shared" si="41"/>
        <v>0</v>
      </c>
      <c r="AD372" s="50">
        <v>0</v>
      </c>
      <c r="AE372" s="47">
        <v>39915</v>
      </c>
      <c r="AF372" s="51" t="s">
        <v>516</v>
      </c>
      <c r="AG372" s="52" t="s">
        <v>517</v>
      </c>
      <c r="AH372" s="53" t="s">
        <v>226</v>
      </c>
      <c r="AI372" s="79"/>
      <c r="AJ372" s="80"/>
      <c r="AK372" s="81"/>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2"/>
      <c r="CL372" s="12"/>
      <c r="CM372" s="82"/>
      <c r="CN372" s="12"/>
      <c r="CO372" s="82"/>
      <c r="CP372" s="12"/>
      <c r="CQ372" s="83">
        <f t="shared" si="42"/>
        <v>0</v>
      </c>
      <c r="CR372" s="84"/>
      <c r="CS372" s="13"/>
      <c r="CT372" s="85"/>
      <c r="CU372" s="86"/>
      <c r="CV372" s="11"/>
      <c r="CW372" s="86"/>
      <c r="CX372" s="84"/>
      <c r="CY372" s="86"/>
    </row>
    <row r="373" spans="1:103" ht="114.75" x14ac:dyDescent="0.2">
      <c r="A373" s="43">
        <v>39914</v>
      </c>
      <c r="B373" s="44" t="s">
        <v>1350</v>
      </c>
      <c r="C373" s="44" t="s">
        <v>285</v>
      </c>
      <c r="D373" s="45" t="s">
        <v>1092</v>
      </c>
      <c r="E373" s="11"/>
      <c r="F373" s="12"/>
      <c r="G373" s="12"/>
      <c r="H373" s="12">
        <f>614*5</f>
        <v>3070</v>
      </c>
      <c r="I373" s="12">
        <v>614</v>
      </c>
      <c r="J373" s="12">
        <v>73</v>
      </c>
      <c r="K373" s="12">
        <v>280</v>
      </c>
      <c r="L373" s="12"/>
      <c r="M373" s="12">
        <v>1</v>
      </c>
      <c r="N373" s="12"/>
      <c r="O373" s="12"/>
      <c r="P373" s="12"/>
      <c r="Q373" s="12"/>
      <c r="R373" s="12"/>
      <c r="S373" s="12"/>
      <c r="T373" s="13"/>
      <c r="U373" s="46"/>
      <c r="V373" s="47">
        <v>39946</v>
      </c>
      <c r="W373" s="48">
        <f t="shared" si="37"/>
        <v>108197550</v>
      </c>
      <c r="X373" s="48">
        <f t="shared" si="38"/>
        <v>169998460</v>
      </c>
      <c r="Y373" s="48">
        <f t="shared" si="39"/>
        <v>42000000</v>
      </c>
      <c r="Z373" s="48">
        <f t="shared" si="40"/>
        <v>0</v>
      </c>
      <c r="AA373" s="48"/>
      <c r="AB373" s="48">
        <v>95000000</v>
      </c>
      <c r="AC373" s="49">
        <f t="shared" si="41"/>
        <v>415196010</v>
      </c>
      <c r="AD373" s="50">
        <v>0</v>
      </c>
      <c r="AE373" s="47">
        <v>39915</v>
      </c>
      <c r="AF373" s="51" t="s">
        <v>1016</v>
      </c>
      <c r="AG373" s="52" t="s">
        <v>565</v>
      </c>
      <c r="AH373" s="53" t="s">
        <v>2</v>
      </c>
      <c r="AI373" s="79"/>
      <c r="AJ373" s="80"/>
      <c r="AK373" s="81"/>
      <c r="AL373" s="80"/>
      <c r="AM373" s="80"/>
      <c r="AN373" s="80"/>
      <c r="AO373" s="80"/>
      <c r="AP373" s="80"/>
      <c r="AQ373" s="80"/>
      <c r="AR373" s="80"/>
      <c r="AS373" s="80"/>
      <c r="AT373" s="80"/>
      <c r="AU373" s="80">
        <v>500</v>
      </c>
      <c r="AV373" s="80">
        <f>500*55999.58</f>
        <v>27999790</v>
      </c>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v>1000</v>
      </c>
      <c r="CF373" s="80">
        <f>1000*20998.32</f>
        <v>20998320</v>
      </c>
      <c r="CG373" s="80"/>
      <c r="CH373" s="80"/>
      <c r="CI373" s="80"/>
      <c r="CJ373" s="80"/>
      <c r="CK373" s="82">
        <v>800</v>
      </c>
      <c r="CL373" s="12">
        <f>800*37999.86</f>
        <v>30399888</v>
      </c>
      <c r="CM373" s="82">
        <v>800</v>
      </c>
      <c r="CN373" s="12">
        <f>800*35999.44</f>
        <v>28799552</v>
      </c>
      <c r="CO373" s="82"/>
      <c r="CP373" s="12"/>
      <c r="CQ373" s="83">
        <f t="shared" si="42"/>
        <v>108197550</v>
      </c>
      <c r="CR373" s="84"/>
      <c r="CS373" s="13"/>
      <c r="CT373" s="85">
        <f>1000+1000</f>
        <v>2000</v>
      </c>
      <c r="CU373" s="86">
        <f>1000*84998.46+1000*85000</f>
        <v>169998460</v>
      </c>
      <c r="CV373" s="11"/>
      <c r="CW373" s="86"/>
      <c r="CX373" s="84">
        <v>2000</v>
      </c>
      <c r="CY373" s="86">
        <f>2000*21000</f>
        <v>42000000</v>
      </c>
    </row>
    <row r="374" spans="1:103" ht="25.5" x14ac:dyDescent="0.2">
      <c r="A374" s="43">
        <v>39915</v>
      </c>
      <c r="B374" s="44" t="s">
        <v>1226</v>
      </c>
      <c r="C374" s="44" t="s">
        <v>883</v>
      </c>
      <c r="D374" s="45" t="s">
        <v>1118</v>
      </c>
      <c r="E374" s="11"/>
      <c r="F374" s="12"/>
      <c r="G374" s="12"/>
      <c r="H374" s="12">
        <v>200</v>
      </c>
      <c r="I374" s="12">
        <v>40</v>
      </c>
      <c r="J374" s="12"/>
      <c r="K374" s="12">
        <v>40</v>
      </c>
      <c r="L374" s="12"/>
      <c r="M374" s="12"/>
      <c r="N374" s="12"/>
      <c r="O374" s="12"/>
      <c r="P374" s="12"/>
      <c r="Q374" s="12"/>
      <c r="R374" s="12"/>
      <c r="S374" s="12"/>
      <c r="T374" s="13"/>
      <c r="U374" s="46"/>
      <c r="V374" s="47"/>
      <c r="W374" s="48">
        <f t="shared" si="37"/>
        <v>0</v>
      </c>
      <c r="X374" s="48">
        <f t="shared" si="38"/>
        <v>0</v>
      </c>
      <c r="Y374" s="48">
        <f t="shared" si="39"/>
        <v>0</v>
      </c>
      <c r="Z374" s="48">
        <f t="shared" si="40"/>
        <v>0</v>
      </c>
      <c r="AA374" s="48"/>
      <c r="AB374" s="48"/>
      <c r="AC374" s="49">
        <f t="shared" si="41"/>
        <v>0</v>
      </c>
      <c r="AD374" s="50">
        <v>0</v>
      </c>
      <c r="AE374" s="47">
        <v>39916</v>
      </c>
      <c r="AF374" s="51" t="s">
        <v>516</v>
      </c>
      <c r="AG374" s="52" t="s">
        <v>517</v>
      </c>
      <c r="AH374" s="53" t="s">
        <v>884</v>
      </c>
      <c r="AI374" s="79"/>
      <c r="AJ374" s="80"/>
      <c r="AK374" s="81"/>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0"/>
      <c r="CC374" s="80"/>
      <c r="CD374" s="80"/>
      <c r="CE374" s="80"/>
      <c r="CF374" s="80"/>
      <c r="CG374" s="80"/>
      <c r="CH374" s="80"/>
      <c r="CI374" s="80"/>
      <c r="CJ374" s="80"/>
      <c r="CK374" s="82"/>
      <c r="CL374" s="12"/>
      <c r="CM374" s="82"/>
      <c r="CN374" s="12"/>
      <c r="CO374" s="82"/>
      <c r="CP374" s="12"/>
      <c r="CQ374" s="83">
        <f t="shared" si="42"/>
        <v>0</v>
      </c>
      <c r="CR374" s="84"/>
      <c r="CS374" s="13"/>
      <c r="CT374" s="85"/>
      <c r="CU374" s="86"/>
      <c r="CV374" s="11"/>
      <c r="CW374" s="86"/>
      <c r="CX374" s="84"/>
      <c r="CY374" s="86"/>
    </row>
    <row r="375" spans="1:103" ht="25.5" x14ac:dyDescent="0.2">
      <c r="A375" s="43">
        <v>39915</v>
      </c>
      <c r="B375" s="44" t="s">
        <v>1226</v>
      </c>
      <c r="C375" s="44" t="s">
        <v>885</v>
      </c>
      <c r="D375" s="45" t="s">
        <v>1118</v>
      </c>
      <c r="E375" s="11"/>
      <c r="F375" s="12"/>
      <c r="G375" s="12"/>
      <c r="H375" s="12">
        <v>5</v>
      </c>
      <c r="I375" s="12">
        <v>1</v>
      </c>
      <c r="J375" s="12"/>
      <c r="K375" s="12">
        <v>1</v>
      </c>
      <c r="L375" s="12"/>
      <c r="M375" s="12"/>
      <c r="N375" s="12"/>
      <c r="O375" s="12"/>
      <c r="P375" s="12"/>
      <c r="Q375" s="12"/>
      <c r="R375" s="12"/>
      <c r="S375" s="12"/>
      <c r="T375" s="13"/>
      <c r="U375" s="46"/>
      <c r="V375" s="47"/>
      <c r="W375" s="48">
        <f t="shared" si="37"/>
        <v>0</v>
      </c>
      <c r="X375" s="48">
        <f t="shared" si="38"/>
        <v>0</v>
      </c>
      <c r="Y375" s="48">
        <f t="shared" si="39"/>
        <v>0</v>
      </c>
      <c r="Z375" s="48">
        <f t="shared" si="40"/>
        <v>0</v>
      </c>
      <c r="AA375" s="48"/>
      <c r="AB375" s="48"/>
      <c r="AC375" s="49">
        <f t="shared" si="41"/>
        <v>0</v>
      </c>
      <c r="AD375" s="50">
        <v>0</v>
      </c>
      <c r="AE375" s="47">
        <v>39916</v>
      </c>
      <c r="AF375" s="51" t="s">
        <v>516</v>
      </c>
      <c r="AG375" s="52" t="s">
        <v>517</v>
      </c>
      <c r="AH375" s="53"/>
      <c r="AI375" s="79"/>
      <c r="AJ375" s="80"/>
      <c r="AK375" s="81"/>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2"/>
      <c r="CL375" s="12"/>
      <c r="CM375" s="82"/>
      <c r="CN375" s="12"/>
      <c r="CO375" s="82"/>
      <c r="CP375" s="12"/>
      <c r="CQ375" s="83">
        <f t="shared" si="42"/>
        <v>0</v>
      </c>
      <c r="CR375" s="84"/>
      <c r="CS375" s="13"/>
      <c r="CT375" s="85"/>
      <c r="CU375" s="86"/>
      <c r="CV375" s="11"/>
      <c r="CW375" s="86"/>
      <c r="CX375" s="84"/>
      <c r="CY375" s="86"/>
    </row>
    <row r="376" spans="1:103" ht="38.25" x14ac:dyDescent="0.2">
      <c r="A376" s="43">
        <v>39915</v>
      </c>
      <c r="B376" s="44" t="s">
        <v>1226</v>
      </c>
      <c r="C376" s="44" t="s">
        <v>418</v>
      </c>
      <c r="D376" s="45" t="s">
        <v>1118</v>
      </c>
      <c r="E376" s="11"/>
      <c r="F376" s="12"/>
      <c r="G376" s="12"/>
      <c r="H376" s="12">
        <v>55</v>
      </c>
      <c r="I376" s="12">
        <v>10</v>
      </c>
      <c r="J376" s="12"/>
      <c r="K376" s="12">
        <v>10</v>
      </c>
      <c r="L376" s="12"/>
      <c r="M376" s="12"/>
      <c r="N376" s="12"/>
      <c r="O376" s="12"/>
      <c r="P376" s="12"/>
      <c r="Q376" s="12"/>
      <c r="R376" s="12"/>
      <c r="S376" s="12"/>
      <c r="T376" s="13"/>
      <c r="U376" s="46"/>
      <c r="V376" s="47"/>
      <c r="W376" s="48">
        <f t="shared" si="37"/>
        <v>0</v>
      </c>
      <c r="X376" s="48">
        <f t="shared" si="38"/>
        <v>0</v>
      </c>
      <c r="Y376" s="48">
        <f t="shared" si="39"/>
        <v>0</v>
      </c>
      <c r="Z376" s="48">
        <f t="shared" si="40"/>
        <v>0</v>
      </c>
      <c r="AA376" s="48"/>
      <c r="AB376" s="48"/>
      <c r="AC376" s="49">
        <f t="shared" si="41"/>
        <v>0</v>
      </c>
      <c r="AD376" s="50">
        <v>0</v>
      </c>
      <c r="AE376" s="47">
        <v>39916</v>
      </c>
      <c r="AF376" s="51" t="s">
        <v>516</v>
      </c>
      <c r="AG376" s="52" t="s">
        <v>517</v>
      </c>
      <c r="AH376" s="53" t="s">
        <v>58</v>
      </c>
      <c r="AI376" s="79"/>
      <c r="AJ376" s="80"/>
      <c r="AK376" s="81"/>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0"/>
      <c r="CC376" s="80"/>
      <c r="CD376" s="80"/>
      <c r="CE376" s="80"/>
      <c r="CF376" s="80"/>
      <c r="CG376" s="80"/>
      <c r="CH376" s="80"/>
      <c r="CI376" s="80"/>
      <c r="CJ376" s="80"/>
      <c r="CK376" s="82"/>
      <c r="CL376" s="12"/>
      <c r="CM376" s="82"/>
      <c r="CN376" s="12"/>
      <c r="CO376" s="82"/>
      <c r="CP376" s="12"/>
      <c r="CQ376" s="83">
        <f t="shared" si="42"/>
        <v>0</v>
      </c>
      <c r="CR376" s="84"/>
      <c r="CS376" s="13"/>
      <c r="CT376" s="85"/>
      <c r="CU376" s="86"/>
      <c r="CV376" s="11"/>
      <c r="CW376" s="86"/>
      <c r="CX376" s="84"/>
      <c r="CY376" s="86"/>
    </row>
    <row r="377" spans="1:103" ht="25.5" x14ac:dyDescent="0.2">
      <c r="A377" s="43">
        <v>39915</v>
      </c>
      <c r="B377" s="44" t="s">
        <v>904</v>
      </c>
      <c r="C377" s="44" t="s">
        <v>239</v>
      </c>
      <c r="D377" s="45" t="s">
        <v>1118</v>
      </c>
      <c r="E377" s="11"/>
      <c r="F377" s="12"/>
      <c r="G377" s="12"/>
      <c r="H377" s="12">
        <v>5</v>
      </c>
      <c r="I377" s="12">
        <v>1</v>
      </c>
      <c r="J377" s="12"/>
      <c r="K377" s="12">
        <v>1</v>
      </c>
      <c r="L377" s="12"/>
      <c r="M377" s="12"/>
      <c r="N377" s="12"/>
      <c r="O377" s="12"/>
      <c r="P377" s="12"/>
      <c r="Q377" s="12"/>
      <c r="R377" s="12"/>
      <c r="S377" s="12"/>
      <c r="T377" s="13"/>
      <c r="U377" s="46"/>
      <c r="V377" s="47"/>
      <c r="W377" s="48">
        <f t="shared" si="37"/>
        <v>0</v>
      </c>
      <c r="X377" s="48">
        <f t="shared" si="38"/>
        <v>0</v>
      </c>
      <c r="Y377" s="48">
        <f t="shared" si="39"/>
        <v>0</v>
      </c>
      <c r="Z377" s="48">
        <f t="shared" si="40"/>
        <v>0</v>
      </c>
      <c r="AA377" s="48"/>
      <c r="AB377" s="48"/>
      <c r="AC377" s="49">
        <f t="shared" si="41"/>
        <v>0</v>
      </c>
      <c r="AD377" s="50">
        <v>0</v>
      </c>
      <c r="AE377" s="47">
        <v>39917</v>
      </c>
      <c r="AF377" s="51" t="s">
        <v>516</v>
      </c>
      <c r="AG377" s="52" t="s">
        <v>517</v>
      </c>
      <c r="AH377" s="53" t="s">
        <v>443</v>
      </c>
      <c r="AI377" s="79"/>
      <c r="AJ377" s="80"/>
      <c r="AK377" s="81"/>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0"/>
      <c r="CC377" s="80"/>
      <c r="CD377" s="80"/>
      <c r="CE377" s="80"/>
      <c r="CF377" s="80"/>
      <c r="CG377" s="80"/>
      <c r="CH377" s="80"/>
      <c r="CI377" s="80"/>
      <c r="CJ377" s="80"/>
      <c r="CK377" s="82"/>
      <c r="CL377" s="12"/>
      <c r="CM377" s="82"/>
      <c r="CN377" s="12"/>
      <c r="CO377" s="82"/>
      <c r="CP377" s="12"/>
      <c r="CQ377" s="83">
        <f t="shared" si="42"/>
        <v>0</v>
      </c>
      <c r="CR377" s="84"/>
      <c r="CS377" s="13"/>
      <c r="CT377" s="85"/>
      <c r="CU377" s="86"/>
      <c r="CV377" s="11"/>
      <c r="CW377" s="86"/>
      <c r="CX377" s="84"/>
      <c r="CY377" s="86"/>
    </row>
    <row r="378" spans="1:103" ht="38.25" x14ac:dyDescent="0.2">
      <c r="A378" s="43">
        <v>39915</v>
      </c>
      <c r="B378" s="44" t="s">
        <v>315</v>
      </c>
      <c r="C378" s="44" t="s">
        <v>240</v>
      </c>
      <c r="D378" s="45" t="s">
        <v>1092</v>
      </c>
      <c r="E378" s="11"/>
      <c r="F378" s="12"/>
      <c r="G378" s="12"/>
      <c r="H378" s="12">
        <v>10</v>
      </c>
      <c r="I378" s="12">
        <v>2</v>
      </c>
      <c r="J378" s="12"/>
      <c r="K378" s="12">
        <v>2</v>
      </c>
      <c r="L378" s="12"/>
      <c r="M378" s="12"/>
      <c r="N378" s="12"/>
      <c r="O378" s="12"/>
      <c r="P378" s="12"/>
      <c r="Q378" s="12"/>
      <c r="R378" s="12"/>
      <c r="S378" s="12"/>
      <c r="T378" s="13"/>
      <c r="U378" s="46"/>
      <c r="V378" s="47"/>
      <c r="W378" s="48">
        <f t="shared" si="37"/>
        <v>0</v>
      </c>
      <c r="X378" s="48">
        <f t="shared" si="38"/>
        <v>0</v>
      </c>
      <c r="Y378" s="48">
        <f t="shared" si="39"/>
        <v>0</v>
      </c>
      <c r="Z378" s="48">
        <f t="shared" si="40"/>
        <v>0</v>
      </c>
      <c r="AA378" s="48"/>
      <c r="AB378" s="48"/>
      <c r="AC378" s="49">
        <f t="shared" si="41"/>
        <v>0</v>
      </c>
      <c r="AD378" s="50">
        <v>0</v>
      </c>
      <c r="AE378" s="47">
        <v>39917</v>
      </c>
      <c r="AF378" s="51" t="s">
        <v>516</v>
      </c>
      <c r="AG378" s="52" t="s">
        <v>517</v>
      </c>
      <c r="AH378" s="53" t="s">
        <v>443</v>
      </c>
      <c r="AI378" s="79"/>
      <c r="AJ378" s="80"/>
      <c r="AK378" s="81"/>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2"/>
      <c r="CL378" s="12"/>
      <c r="CM378" s="82"/>
      <c r="CN378" s="12"/>
      <c r="CO378" s="82"/>
      <c r="CP378" s="12"/>
      <c r="CQ378" s="83">
        <f t="shared" si="42"/>
        <v>0</v>
      </c>
      <c r="CR378" s="84"/>
      <c r="CS378" s="13"/>
      <c r="CT378" s="85"/>
      <c r="CU378" s="86"/>
      <c r="CV378" s="11"/>
      <c r="CW378" s="86"/>
      <c r="CX378" s="84"/>
      <c r="CY378" s="86"/>
    </row>
    <row r="379" spans="1:103" ht="51" x14ac:dyDescent="0.2">
      <c r="A379" s="43">
        <v>39915</v>
      </c>
      <c r="B379" s="44" t="s">
        <v>1224</v>
      </c>
      <c r="C379" s="44" t="s">
        <v>230</v>
      </c>
      <c r="D379" s="45" t="s">
        <v>1118</v>
      </c>
      <c r="E379" s="11"/>
      <c r="F379" s="12"/>
      <c r="G379" s="12"/>
      <c r="H379" s="12">
        <v>450</v>
      </c>
      <c r="I379" s="12">
        <v>90</v>
      </c>
      <c r="J379" s="12"/>
      <c r="K379" s="12">
        <v>90</v>
      </c>
      <c r="L379" s="12"/>
      <c r="M379" s="12"/>
      <c r="N379" s="12"/>
      <c r="O379" s="12"/>
      <c r="P379" s="12"/>
      <c r="Q379" s="12"/>
      <c r="R379" s="12"/>
      <c r="S379" s="12"/>
      <c r="T379" s="13"/>
      <c r="U379" s="46"/>
      <c r="V379" s="47">
        <v>39944</v>
      </c>
      <c r="W379" s="48">
        <f t="shared" si="37"/>
        <v>41743500</v>
      </c>
      <c r="X379" s="48">
        <f t="shared" si="38"/>
        <v>13855000</v>
      </c>
      <c r="Y379" s="48">
        <f t="shared" si="39"/>
        <v>0</v>
      </c>
      <c r="Z379" s="48">
        <f t="shared" si="40"/>
        <v>0</v>
      </c>
      <c r="AA379" s="48"/>
      <c r="AB379" s="48"/>
      <c r="AC379" s="49">
        <f t="shared" si="41"/>
        <v>55598500</v>
      </c>
      <c r="AD379" s="50">
        <v>0</v>
      </c>
      <c r="AE379" s="47">
        <v>39915</v>
      </c>
      <c r="AF379" s="51" t="s">
        <v>1016</v>
      </c>
      <c r="AG379" s="52" t="s">
        <v>565</v>
      </c>
      <c r="AH379" s="53" t="s">
        <v>161</v>
      </c>
      <c r="AI379" s="79"/>
      <c r="AJ379" s="80"/>
      <c r="AK379" s="81"/>
      <c r="AL379" s="80"/>
      <c r="AM379" s="80"/>
      <c r="AN379" s="80"/>
      <c r="AO379" s="80"/>
      <c r="AP379" s="80"/>
      <c r="AQ379" s="80">
        <v>400</v>
      </c>
      <c r="AR379" s="80">
        <f>400*18000</f>
        <v>7200000</v>
      </c>
      <c r="AS379" s="80"/>
      <c r="AT379" s="80"/>
      <c r="AU379" s="80">
        <v>400</v>
      </c>
      <c r="AV379" s="80">
        <f>400*56000</f>
        <v>22400000</v>
      </c>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2">
        <v>163</v>
      </c>
      <c r="CL379" s="12">
        <f>163*38500</f>
        <v>6275500</v>
      </c>
      <c r="CM379" s="82">
        <v>163</v>
      </c>
      <c r="CN379" s="12">
        <f>163*36000</f>
        <v>5868000</v>
      </c>
      <c r="CO379" s="82"/>
      <c r="CP379" s="12"/>
      <c r="CQ379" s="83">
        <f t="shared" si="42"/>
        <v>41743500</v>
      </c>
      <c r="CR379" s="84"/>
      <c r="CS379" s="13"/>
      <c r="CT379" s="85">
        <v>163</v>
      </c>
      <c r="CU379" s="86">
        <f>163*85000</f>
        <v>13855000</v>
      </c>
      <c r="CV379" s="11"/>
      <c r="CW379" s="86"/>
      <c r="CX379" s="84"/>
      <c r="CY379" s="86"/>
    </row>
    <row r="380" spans="1:103" ht="25.5" x14ac:dyDescent="0.2">
      <c r="A380" s="43">
        <v>39915</v>
      </c>
      <c r="B380" s="44" t="s">
        <v>1224</v>
      </c>
      <c r="C380" s="44" t="s">
        <v>231</v>
      </c>
      <c r="D380" s="45" t="s">
        <v>134</v>
      </c>
      <c r="E380" s="11">
        <v>1</v>
      </c>
      <c r="F380" s="12"/>
      <c r="G380" s="12"/>
      <c r="H380" s="12"/>
      <c r="I380" s="12"/>
      <c r="J380" s="12"/>
      <c r="K380" s="12"/>
      <c r="L380" s="12"/>
      <c r="M380" s="12"/>
      <c r="N380" s="12"/>
      <c r="O380" s="12"/>
      <c r="P380" s="12"/>
      <c r="Q380" s="12"/>
      <c r="R380" s="12"/>
      <c r="S380" s="12"/>
      <c r="T380" s="13"/>
      <c r="U380" s="46"/>
      <c r="V380" s="47"/>
      <c r="W380" s="48">
        <f t="shared" si="37"/>
        <v>0</v>
      </c>
      <c r="X380" s="48">
        <f t="shared" si="38"/>
        <v>0</v>
      </c>
      <c r="Y380" s="48">
        <f t="shared" si="39"/>
        <v>0</v>
      </c>
      <c r="Z380" s="48">
        <f t="shared" si="40"/>
        <v>0</v>
      </c>
      <c r="AA380" s="48"/>
      <c r="AB380" s="48"/>
      <c r="AC380" s="49">
        <f t="shared" si="41"/>
        <v>0</v>
      </c>
      <c r="AD380" s="50">
        <v>0</v>
      </c>
      <c r="AE380" s="47">
        <v>39915</v>
      </c>
      <c r="AF380" s="51" t="s">
        <v>516</v>
      </c>
      <c r="AG380" s="52" t="s">
        <v>517</v>
      </c>
      <c r="AH380" s="53" t="s">
        <v>313</v>
      </c>
      <c r="AI380" s="79"/>
      <c r="AJ380" s="80"/>
      <c r="AK380" s="81"/>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0"/>
      <c r="CC380" s="80"/>
      <c r="CD380" s="80"/>
      <c r="CE380" s="80"/>
      <c r="CF380" s="80"/>
      <c r="CG380" s="80"/>
      <c r="CH380" s="80"/>
      <c r="CI380" s="80"/>
      <c r="CJ380" s="80"/>
      <c r="CK380" s="82"/>
      <c r="CL380" s="12"/>
      <c r="CM380" s="82"/>
      <c r="CN380" s="12"/>
      <c r="CO380" s="82"/>
      <c r="CP380" s="12"/>
      <c r="CQ380" s="83">
        <f t="shared" si="42"/>
        <v>0</v>
      </c>
      <c r="CR380" s="84"/>
      <c r="CS380" s="13"/>
      <c r="CT380" s="85"/>
      <c r="CU380" s="86"/>
      <c r="CV380" s="11"/>
      <c r="CW380" s="86"/>
      <c r="CX380" s="84"/>
      <c r="CY380" s="86"/>
    </row>
    <row r="381" spans="1:103" ht="25.5" x14ac:dyDescent="0.2">
      <c r="A381" s="43">
        <v>39915</v>
      </c>
      <c r="B381" s="44" t="s">
        <v>1127</v>
      </c>
      <c r="C381" s="44" t="s">
        <v>312</v>
      </c>
      <c r="D381" s="45" t="s">
        <v>1118</v>
      </c>
      <c r="E381" s="11">
        <v>2</v>
      </c>
      <c r="F381" s="12">
        <v>2</v>
      </c>
      <c r="G381" s="12"/>
      <c r="H381" s="12"/>
      <c r="I381" s="12"/>
      <c r="J381" s="12"/>
      <c r="K381" s="12"/>
      <c r="L381" s="12"/>
      <c r="M381" s="12"/>
      <c r="N381" s="12"/>
      <c r="O381" s="12"/>
      <c r="P381" s="12"/>
      <c r="Q381" s="12"/>
      <c r="R381" s="12"/>
      <c r="S381" s="12"/>
      <c r="T381" s="13"/>
      <c r="U381" s="46"/>
      <c r="V381" s="47"/>
      <c r="W381" s="48">
        <f t="shared" si="37"/>
        <v>0</v>
      </c>
      <c r="X381" s="48">
        <f t="shared" si="38"/>
        <v>0</v>
      </c>
      <c r="Y381" s="48">
        <f t="shared" si="39"/>
        <v>0</v>
      </c>
      <c r="Z381" s="48">
        <f t="shared" si="40"/>
        <v>0</v>
      </c>
      <c r="AA381" s="48"/>
      <c r="AB381" s="48"/>
      <c r="AC381" s="49">
        <f t="shared" si="41"/>
        <v>0</v>
      </c>
      <c r="AD381" s="50">
        <v>0</v>
      </c>
      <c r="AE381" s="47">
        <v>39915</v>
      </c>
      <c r="AF381" s="51" t="s">
        <v>516</v>
      </c>
      <c r="AG381" s="52" t="s">
        <v>517</v>
      </c>
      <c r="AH381" s="53" t="s">
        <v>227</v>
      </c>
      <c r="AI381" s="79"/>
      <c r="AJ381" s="80"/>
      <c r="AK381" s="81"/>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2"/>
      <c r="CL381" s="12"/>
      <c r="CM381" s="82"/>
      <c r="CN381" s="12"/>
      <c r="CO381" s="82"/>
      <c r="CP381" s="12"/>
      <c r="CQ381" s="83">
        <f t="shared" si="42"/>
        <v>0</v>
      </c>
      <c r="CR381" s="84"/>
      <c r="CS381" s="13"/>
      <c r="CT381" s="85"/>
      <c r="CU381" s="86"/>
      <c r="CV381" s="11"/>
      <c r="CW381" s="86"/>
      <c r="CX381" s="84"/>
      <c r="CY381" s="86"/>
    </row>
    <row r="382" spans="1:103" ht="25.5" x14ac:dyDescent="0.2">
      <c r="A382" s="43">
        <v>39915</v>
      </c>
      <c r="B382" s="44" t="s">
        <v>1127</v>
      </c>
      <c r="C382" s="44" t="s">
        <v>116</v>
      </c>
      <c r="D382" s="45" t="s">
        <v>1118</v>
      </c>
      <c r="E382" s="11"/>
      <c r="F382" s="12"/>
      <c r="G382" s="12"/>
      <c r="H382" s="12"/>
      <c r="I382" s="12"/>
      <c r="J382" s="12"/>
      <c r="K382" s="12"/>
      <c r="L382" s="12"/>
      <c r="M382" s="12"/>
      <c r="N382" s="12"/>
      <c r="O382" s="12"/>
      <c r="P382" s="12"/>
      <c r="Q382" s="12">
        <v>1</v>
      </c>
      <c r="R382" s="12"/>
      <c r="S382" s="12"/>
      <c r="T382" s="13"/>
      <c r="U382" s="46"/>
      <c r="V382" s="47"/>
      <c r="W382" s="48">
        <f t="shared" si="37"/>
        <v>0</v>
      </c>
      <c r="X382" s="48">
        <f t="shared" si="38"/>
        <v>0</v>
      </c>
      <c r="Y382" s="48">
        <f t="shared" si="39"/>
        <v>0</v>
      </c>
      <c r="Z382" s="48">
        <f t="shared" si="40"/>
        <v>0</v>
      </c>
      <c r="AA382" s="48"/>
      <c r="AB382" s="48"/>
      <c r="AC382" s="49">
        <f t="shared" si="41"/>
        <v>0</v>
      </c>
      <c r="AD382" s="50">
        <v>0</v>
      </c>
      <c r="AE382" s="47">
        <v>39915</v>
      </c>
      <c r="AF382" s="51" t="s">
        <v>516</v>
      </c>
      <c r="AG382" s="52" t="s">
        <v>517</v>
      </c>
      <c r="AH382" s="53" t="s">
        <v>229</v>
      </c>
      <c r="AI382" s="79"/>
      <c r="AJ382" s="80"/>
      <c r="AK382" s="81"/>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2"/>
      <c r="CL382" s="12"/>
      <c r="CM382" s="82"/>
      <c r="CN382" s="12"/>
      <c r="CO382" s="82"/>
      <c r="CP382" s="12"/>
      <c r="CQ382" s="83">
        <f t="shared" si="42"/>
        <v>0</v>
      </c>
      <c r="CR382" s="84"/>
      <c r="CS382" s="13"/>
      <c r="CT382" s="85"/>
      <c r="CU382" s="86"/>
      <c r="CV382" s="11"/>
      <c r="CW382" s="86"/>
      <c r="CX382" s="84"/>
      <c r="CY382" s="86"/>
    </row>
    <row r="383" spans="1:103" ht="25.5" x14ac:dyDescent="0.2">
      <c r="A383" s="43">
        <v>39915</v>
      </c>
      <c r="B383" s="44" t="s">
        <v>1066</v>
      </c>
      <c r="C383" s="44" t="s">
        <v>359</v>
      </c>
      <c r="D383" s="45" t="s">
        <v>1092</v>
      </c>
      <c r="E383" s="11"/>
      <c r="F383" s="12"/>
      <c r="G383" s="12"/>
      <c r="H383" s="12">
        <v>25</v>
      </c>
      <c r="I383" s="12">
        <v>5</v>
      </c>
      <c r="J383" s="12">
        <v>5</v>
      </c>
      <c r="K383" s="12"/>
      <c r="L383" s="12"/>
      <c r="M383" s="12"/>
      <c r="N383" s="12"/>
      <c r="O383" s="12"/>
      <c r="P383" s="12"/>
      <c r="Q383" s="12"/>
      <c r="R383" s="12"/>
      <c r="S383" s="12"/>
      <c r="T383" s="13"/>
      <c r="U383" s="46"/>
      <c r="V383" s="47"/>
      <c r="W383" s="48">
        <f t="shared" si="37"/>
        <v>0</v>
      </c>
      <c r="X383" s="48">
        <f t="shared" si="38"/>
        <v>0</v>
      </c>
      <c r="Y383" s="48">
        <f t="shared" si="39"/>
        <v>0</v>
      </c>
      <c r="Z383" s="48">
        <f t="shared" si="40"/>
        <v>0</v>
      </c>
      <c r="AA383" s="48"/>
      <c r="AB383" s="48"/>
      <c r="AC383" s="49">
        <f t="shared" si="41"/>
        <v>0</v>
      </c>
      <c r="AD383" s="50">
        <v>0</v>
      </c>
      <c r="AE383" s="47">
        <v>39916</v>
      </c>
      <c r="AF383" s="51" t="s">
        <v>516</v>
      </c>
      <c r="AG383" s="52" t="s">
        <v>517</v>
      </c>
      <c r="AH383" s="53" t="s">
        <v>878</v>
      </c>
      <c r="AI383" s="79"/>
      <c r="AJ383" s="80"/>
      <c r="AK383" s="81"/>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0"/>
      <c r="CC383" s="80"/>
      <c r="CD383" s="80"/>
      <c r="CE383" s="80"/>
      <c r="CF383" s="80"/>
      <c r="CG383" s="80"/>
      <c r="CH383" s="80"/>
      <c r="CI383" s="80"/>
      <c r="CJ383" s="80"/>
      <c r="CK383" s="82"/>
      <c r="CL383" s="12"/>
      <c r="CM383" s="82"/>
      <c r="CN383" s="12"/>
      <c r="CO383" s="82"/>
      <c r="CP383" s="12"/>
      <c r="CQ383" s="83">
        <f t="shared" si="42"/>
        <v>0</v>
      </c>
      <c r="CR383" s="84"/>
      <c r="CS383" s="13"/>
      <c r="CT383" s="85"/>
      <c r="CU383" s="86"/>
      <c r="CV383" s="11"/>
      <c r="CW383" s="86"/>
      <c r="CX383" s="84"/>
      <c r="CY383" s="86"/>
    </row>
    <row r="384" spans="1:103" ht="25.5" x14ac:dyDescent="0.2">
      <c r="A384" s="43">
        <v>39915</v>
      </c>
      <c r="B384" s="44" t="s">
        <v>1066</v>
      </c>
      <c r="C384" s="44" t="s">
        <v>879</v>
      </c>
      <c r="D384" s="45" t="s">
        <v>1118</v>
      </c>
      <c r="E384" s="11"/>
      <c r="F384" s="12"/>
      <c r="G384" s="12"/>
      <c r="H384" s="12">
        <v>200</v>
      </c>
      <c r="I384" s="12">
        <v>40</v>
      </c>
      <c r="J384" s="12"/>
      <c r="K384" s="12">
        <v>23</v>
      </c>
      <c r="L384" s="12"/>
      <c r="M384" s="12"/>
      <c r="N384" s="12"/>
      <c r="O384" s="12"/>
      <c r="P384" s="12"/>
      <c r="Q384" s="12"/>
      <c r="R384" s="12"/>
      <c r="S384" s="12"/>
      <c r="T384" s="13"/>
      <c r="U384" s="46"/>
      <c r="V384" s="47"/>
      <c r="W384" s="48">
        <f t="shared" si="37"/>
        <v>0</v>
      </c>
      <c r="X384" s="48">
        <f t="shared" si="38"/>
        <v>0</v>
      </c>
      <c r="Y384" s="48">
        <f t="shared" si="39"/>
        <v>0</v>
      </c>
      <c r="Z384" s="48">
        <f t="shared" si="40"/>
        <v>0</v>
      </c>
      <c r="AA384" s="48"/>
      <c r="AB384" s="48"/>
      <c r="AC384" s="49">
        <f t="shared" si="41"/>
        <v>0</v>
      </c>
      <c r="AD384" s="50">
        <v>0</v>
      </c>
      <c r="AE384" s="47">
        <v>39916</v>
      </c>
      <c r="AF384" s="51" t="s">
        <v>516</v>
      </c>
      <c r="AG384" s="52" t="s">
        <v>517</v>
      </c>
      <c r="AH384" s="53"/>
      <c r="AI384" s="79"/>
      <c r="AJ384" s="80"/>
      <c r="AK384" s="81"/>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0"/>
      <c r="CC384" s="80"/>
      <c r="CD384" s="80"/>
      <c r="CE384" s="80"/>
      <c r="CF384" s="80"/>
      <c r="CG384" s="80"/>
      <c r="CH384" s="80"/>
      <c r="CI384" s="80"/>
      <c r="CJ384" s="80"/>
      <c r="CK384" s="82"/>
      <c r="CL384" s="12"/>
      <c r="CM384" s="82"/>
      <c r="CN384" s="12"/>
      <c r="CO384" s="82"/>
      <c r="CP384" s="12"/>
      <c r="CQ384" s="83">
        <f t="shared" si="42"/>
        <v>0</v>
      </c>
      <c r="CR384" s="84"/>
      <c r="CS384" s="13"/>
      <c r="CT384" s="85"/>
      <c r="CU384" s="86"/>
      <c r="CV384" s="11"/>
      <c r="CW384" s="86"/>
      <c r="CX384" s="84"/>
      <c r="CY384" s="86"/>
    </row>
    <row r="385" spans="1:103" ht="25.5" x14ac:dyDescent="0.2">
      <c r="A385" s="43">
        <v>39915</v>
      </c>
      <c r="B385" s="44" t="s">
        <v>1066</v>
      </c>
      <c r="C385" s="44" t="s">
        <v>880</v>
      </c>
      <c r="D385" s="45" t="s">
        <v>1092</v>
      </c>
      <c r="E385" s="11"/>
      <c r="F385" s="12"/>
      <c r="G385" s="12"/>
      <c r="H385" s="12">
        <v>7</v>
      </c>
      <c r="I385" s="12">
        <v>1</v>
      </c>
      <c r="J385" s="12">
        <v>1</v>
      </c>
      <c r="K385" s="12"/>
      <c r="L385" s="12"/>
      <c r="M385" s="12"/>
      <c r="N385" s="12"/>
      <c r="O385" s="12"/>
      <c r="P385" s="12"/>
      <c r="Q385" s="12"/>
      <c r="R385" s="12"/>
      <c r="S385" s="12"/>
      <c r="T385" s="13"/>
      <c r="U385" s="46"/>
      <c r="V385" s="47"/>
      <c r="W385" s="48">
        <f t="shared" si="37"/>
        <v>0</v>
      </c>
      <c r="X385" s="48">
        <f t="shared" si="38"/>
        <v>0</v>
      </c>
      <c r="Y385" s="48">
        <f t="shared" si="39"/>
        <v>0</v>
      </c>
      <c r="Z385" s="48">
        <f t="shared" si="40"/>
        <v>0</v>
      </c>
      <c r="AA385" s="48"/>
      <c r="AB385" s="48"/>
      <c r="AC385" s="49">
        <f t="shared" si="41"/>
        <v>0</v>
      </c>
      <c r="AD385" s="50">
        <v>0</v>
      </c>
      <c r="AE385" s="47">
        <v>39916</v>
      </c>
      <c r="AF385" s="51" t="s">
        <v>516</v>
      </c>
      <c r="AG385" s="52" t="s">
        <v>517</v>
      </c>
      <c r="AH385" s="53"/>
      <c r="AI385" s="79"/>
      <c r="AJ385" s="80"/>
      <c r="AK385" s="81"/>
      <c r="AL385" s="80"/>
      <c r="AM385" s="80"/>
      <c r="AN385" s="80"/>
      <c r="AO385" s="80"/>
      <c r="AP385" s="80"/>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0"/>
      <c r="CC385" s="80"/>
      <c r="CD385" s="80"/>
      <c r="CE385" s="80"/>
      <c r="CF385" s="80"/>
      <c r="CG385" s="80"/>
      <c r="CH385" s="80"/>
      <c r="CI385" s="80"/>
      <c r="CJ385" s="80"/>
      <c r="CK385" s="82"/>
      <c r="CL385" s="12"/>
      <c r="CM385" s="82"/>
      <c r="CN385" s="12"/>
      <c r="CO385" s="82"/>
      <c r="CP385" s="12"/>
      <c r="CQ385" s="83">
        <f t="shared" si="42"/>
        <v>0</v>
      </c>
      <c r="CR385" s="84"/>
      <c r="CS385" s="13"/>
      <c r="CT385" s="85"/>
      <c r="CU385" s="86"/>
      <c r="CV385" s="11"/>
      <c r="CW385" s="86"/>
      <c r="CX385" s="84"/>
      <c r="CY385" s="86"/>
    </row>
    <row r="386" spans="1:103" ht="25.5" x14ac:dyDescent="0.2">
      <c r="A386" s="43">
        <v>39915</v>
      </c>
      <c r="B386" s="44" t="s">
        <v>1114</v>
      </c>
      <c r="C386" s="44" t="s">
        <v>881</v>
      </c>
      <c r="D386" s="45" t="s">
        <v>1118</v>
      </c>
      <c r="E386" s="11"/>
      <c r="F386" s="12"/>
      <c r="G386" s="12">
        <v>1</v>
      </c>
      <c r="H386" s="12">
        <v>210</v>
      </c>
      <c r="I386" s="12">
        <v>48</v>
      </c>
      <c r="J386" s="12"/>
      <c r="K386" s="12">
        <v>48</v>
      </c>
      <c r="L386" s="12">
        <v>2</v>
      </c>
      <c r="M386" s="12"/>
      <c r="N386" s="12"/>
      <c r="O386" s="12">
        <v>1</v>
      </c>
      <c r="P386" s="12"/>
      <c r="Q386" s="12"/>
      <c r="R386" s="12"/>
      <c r="S386" s="12"/>
      <c r="T386" s="13"/>
      <c r="U386" s="46"/>
      <c r="V386" s="47"/>
      <c r="W386" s="48">
        <f t="shared" si="37"/>
        <v>0</v>
      </c>
      <c r="X386" s="48">
        <f t="shared" si="38"/>
        <v>0</v>
      </c>
      <c r="Y386" s="48">
        <f t="shared" si="39"/>
        <v>0</v>
      </c>
      <c r="Z386" s="48">
        <f t="shared" si="40"/>
        <v>0</v>
      </c>
      <c r="AA386" s="48"/>
      <c r="AB386" s="48"/>
      <c r="AC386" s="49">
        <f t="shared" si="41"/>
        <v>0</v>
      </c>
      <c r="AD386" s="50">
        <v>0</v>
      </c>
      <c r="AE386" s="47">
        <v>39916</v>
      </c>
      <c r="AF386" s="51" t="s">
        <v>516</v>
      </c>
      <c r="AG386" s="52" t="s">
        <v>517</v>
      </c>
      <c r="AH386" s="53" t="s">
        <v>882</v>
      </c>
      <c r="AI386" s="79"/>
      <c r="AJ386" s="80"/>
      <c r="AK386" s="81"/>
      <c r="AL386" s="80"/>
      <c r="AM386" s="80"/>
      <c r="AN386" s="80"/>
      <c r="AO386" s="80"/>
      <c r="AP386" s="80"/>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0"/>
      <c r="CC386" s="80"/>
      <c r="CD386" s="80"/>
      <c r="CE386" s="80"/>
      <c r="CF386" s="80"/>
      <c r="CG386" s="80"/>
      <c r="CH386" s="80"/>
      <c r="CI386" s="80"/>
      <c r="CJ386" s="80"/>
      <c r="CK386" s="82"/>
      <c r="CL386" s="12"/>
      <c r="CM386" s="82"/>
      <c r="CN386" s="12"/>
      <c r="CO386" s="82"/>
      <c r="CP386" s="12"/>
      <c r="CQ386" s="83">
        <f t="shared" si="42"/>
        <v>0</v>
      </c>
      <c r="CR386" s="84"/>
      <c r="CS386" s="13"/>
      <c r="CT386" s="85"/>
      <c r="CU386" s="86"/>
      <c r="CV386" s="11"/>
      <c r="CW386" s="86"/>
      <c r="CX386" s="84"/>
      <c r="CY386" s="86"/>
    </row>
    <row r="387" spans="1:103" ht="25.5" x14ac:dyDescent="0.2">
      <c r="A387" s="43">
        <v>39915</v>
      </c>
      <c r="B387" s="44" t="s">
        <v>1091</v>
      </c>
      <c r="C387" s="44" t="s">
        <v>126</v>
      </c>
      <c r="D387" s="45" t="s">
        <v>1092</v>
      </c>
      <c r="E387" s="11"/>
      <c r="F387" s="12"/>
      <c r="G387" s="12"/>
      <c r="H387" s="12">
        <v>15</v>
      </c>
      <c r="I387" s="12">
        <v>3</v>
      </c>
      <c r="J387" s="12"/>
      <c r="K387" s="12">
        <v>3</v>
      </c>
      <c r="L387" s="12"/>
      <c r="M387" s="12"/>
      <c r="N387" s="12"/>
      <c r="O387" s="12"/>
      <c r="P387" s="12"/>
      <c r="Q387" s="12"/>
      <c r="R387" s="12"/>
      <c r="S387" s="12"/>
      <c r="T387" s="13"/>
      <c r="U387" s="46"/>
      <c r="V387" s="47"/>
      <c r="W387" s="48">
        <f t="shared" ref="W387:W450" si="43">CQ387</f>
        <v>0</v>
      </c>
      <c r="X387" s="48">
        <f t="shared" ref="X387:X450" si="44">CU387</f>
        <v>0</v>
      </c>
      <c r="Y387" s="48">
        <f t="shared" ref="Y387:Y450" si="45">CW387+CY387</f>
        <v>0</v>
      </c>
      <c r="Z387" s="48">
        <f t="shared" ref="Z387:Z450" si="46">CS387</f>
        <v>0</v>
      </c>
      <c r="AA387" s="48"/>
      <c r="AB387" s="48"/>
      <c r="AC387" s="49">
        <f t="shared" ref="AC387:AC450" si="47">W387+X387+Y387+Z387+AA387+AB387</f>
        <v>0</v>
      </c>
      <c r="AD387" s="50">
        <v>0</v>
      </c>
      <c r="AE387" s="47">
        <v>39916</v>
      </c>
      <c r="AF387" s="51" t="s">
        <v>516</v>
      </c>
      <c r="AG387" s="52" t="s">
        <v>517</v>
      </c>
      <c r="AH387" s="53" t="s">
        <v>234</v>
      </c>
      <c r="AI387" s="79"/>
      <c r="AJ387" s="80"/>
      <c r="AK387" s="81"/>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0"/>
      <c r="CC387" s="80"/>
      <c r="CD387" s="80"/>
      <c r="CE387" s="80"/>
      <c r="CF387" s="80"/>
      <c r="CG387" s="80"/>
      <c r="CH387" s="80"/>
      <c r="CI387" s="80"/>
      <c r="CJ387" s="80"/>
      <c r="CK387" s="82"/>
      <c r="CL387" s="12"/>
      <c r="CM387" s="82"/>
      <c r="CN387" s="12"/>
      <c r="CO387" s="82"/>
      <c r="CP387" s="12"/>
      <c r="CQ387" s="83">
        <f t="shared" ref="CQ387:CQ450" si="48">AJ387+AL387+AN387+AP387+AR387+AT387+AV387+AX387+AZ387+BB387+BD387+BF387+BH387+BJ387+BL387+BN387+BP387+BR387+BT387+BV387+BX387+BZ387+CB387+CD387+CF387+CH387+CJ387+CL387+CN387+CP387</f>
        <v>0</v>
      </c>
      <c r="CR387" s="84"/>
      <c r="CS387" s="13"/>
      <c r="CT387" s="85"/>
      <c r="CU387" s="86"/>
      <c r="CV387" s="11"/>
      <c r="CW387" s="86"/>
      <c r="CX387" s="84"/>
      <c r="CY387" s="86"/>
    </row>
    <row r="388" spans="1:103" ht="25.5" x14ac:dyDescent="0.2">
      <c r="A388" s="43">
        <v>39915</v>
      </c>
      <c r="B388" s="44" t="s">
        <v>1350</v>
      </c>
      <c r="C388" s="44" t="s">
        <v>1084</v>
      </c>
      <c r="D388" s="45" t="s">
        <v>1117</v>
      </c>
      <c r="E388" s="11"/>
      <c r="F388" s="12"/>
      <c r="G388" s="12"/>
      <c r="H388" s="12">
        <v>60</v>
      </c>
      <c r="I388" s="12">
        <v>12</v>
      </c>
      <c r="J388" s="12"/>
      <c r="K388" s="12">
        <v>12</v>
      </c>
      <c r="L388" s="12"/>
      <c r="M388" s="12"/>
      <c r="N388" s="12"/>
      <c r="O388" s="12"/>
      <c r="P388" s="12"/>
      <c r="Q388" s="12"/>
      <c r="R388" s="12"/>
      <c r="S388" s="12"/>
      <c r="T388" s="13"/>
      <c r="U388" s="46"/>
      <c r="V388" s="47"/>
      <c r="W388" s="48">
        <f t="shared" si="43"/>
        <v>0</v>
      </c>
      <c r="X388" s="48">
        <f t="shared" si="44"/>
        <v>0</v>
      </c>
      <c r="Y388" s="48">
        <f t="shared" si="45"/>
        <v>0</v>
      </c>
      <c r="Z388" s="48">
        <f t="shared" si="46"/>
        <v>0</v>
      </c>
      <c r="AA388" s="48"/>
      <c r="AB388" s="48"/>
      <c r="AC388" s="49">
        <f t="shared" si="47"/>
        <v>0</v>
      </c>
      <c r="AD388" s="50">
        <v>0</v>
      </c>
      <c r="AE388" s="47">
        <v>39917</v>
      </c>
      <c r="AF388" s="51" t="s">
        <v>516</v>
      </c>
      <c r="AG388" s="52" t="s">
        <v>517</v>
      </c>
      <c r="AH388" s="53" t="s">
        <v>443</v>
      </c>
      <c r="AI388" s="79"/>
      <c r="AJ388" s="80"/>
      <c r="AK388" s="81"/>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2"/>
      <c r="CL388" s="12"/>
      <c r="CM388" s="82"/>
      <c r="CN388" s="12"/>
      <c r="CO388" s="82"/>
      <c r="CP388" s="12"/>
      <c r="CQ388" s="83">
        <f t="shared" si="48"/>
        <v>0</v>
      </c>
      <c r="CR388" s="84"/>
      <c r="CS388" s="13"/>
      <c r="CT388" s="85"/>
      <c r="CU388" s="86"/>
      <c r="CV388" s="11"/>
      <c r="CW388" s="86"/>
      <c r="CX388" s="84"/>
      <c r="CY388" s="86"/>
    </row>
    <row r="389" spans="1:103" ht="38.25" x14ac:dyDescent="0.2">
      <c r="A389" s="43">
        <v>39916</v>
      </c>
      <c r="B389" s="44" t="s">
        <v>625</v>
      </c>
      <c r="C389" s="44" t="s">
        <v>1051</v>
      </c>
      <c r="D389" s="45" t="s">
        <v>1116</v>
      </c>
      <c r="E389" s="11"/>
      <c r="F389" s="12"/>
      <c r="G389" s="12"/>
      <c r="H389" s="12">
        <v>55</v>
      </c>
      <c r="I389" s="12">
        <v>11</v>
      </c>
      <c r="J389" s="12">
        <v>4</v>
      </c>
      <c r="K389" s="12"/>
      <c r="L389" s="12"/>
      <c r="M389" s="12"/>
      <c r="N389" s="12"/>
      <c r="O389" s="12"/>
      <c r="P389" s="12"/>
      <c r="Q389" s="12"/>
      <c r="R389" s="12"/>
      <c r="S389" s="12"/>
      <c r="T389" s="13"/>
      <c r="U389" s="46"/>
      <c r="V389" s="47"/>
      <c r="W389" s="48">
        <f t="shared" si="43"/>
        <v>0</v>
      </c>
      <c r="X389" s="48">
        <f t="shared" si="44"/>
        <v>0</v>
      </c>
      <c r="Y389" s="48">
        <f t="shared" si="45"/>
        <v>0</v>
      </c>
      <c r="Z389" s="48">
        <f t="shared" si="46"/>
        <v>0</v>
      </c>
      <c r="AA389" s="48"/>
      <c r="AB389" s="48"/>
      <c r="AC389" s="49">
        <f t="shared" si="47"/>
        <v>0</v>
      </c>
      <c r="AD389" s="50">
        <v>0</v>
      </c>
      <c r="AE389" s="47">
        <v>39916</v>
      </c>
      <c r="AF389" s="51" t="s">
        <v>516</v>
      </c>
      <c r="AG389" s="52" t="s">
        <v>517</v>
      </c>
      <c r="AH389" s="53" t="s">
        <v>232</v>
      </c>
      <c r="AI389" s="79"/>
      <c r="AJ389" s="80"/>
      <c r="AK389" s="81"/>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0"/>
      <c r="CC389" s="80"/>
      <c r="CD389" s="80"/>
      <c r="CE389" s="80"/>
      <c r="CF389" s="80"/>
      <c r="CG389" s="80"/>
      <c r="CH389" s="80"/>
      <c r="CI389" s="80"/>
      <c r="CJ389" s="80"/>
      <c r="CK389" s="82"/>
      <c r="CL389" s="12"/>
      <c r="CM389" s="82"/>
      <c r="CN389" s="12"/>
      <c r="CO389" s="82"/>
      <c r="CP389" s="12"/>
      <c r="CQ389" s="83">
        <f t="shared" si="48"/>
        <v>0</v>
      </c>
      <c r="CR389" s="84"/>
      <c r="CS389" s="13"/>
      <c r="CT389" s="85"/>
      <c r="CU389" s="86"/>
      <c r="CV389" s="11"/>
      <c r="CW389" s="86"/>
      <c r="CX389" s="84"/>
      <c r="CY389" s="86"/>
    </row>
    <row r="390" spans="1:103" ht="25.5" x14ac:dyDescent="0.2">
      <c r="A390" s="43">
        <v>39916</v>
      </c>
      <c r="B390" s="44" t="s">
        <v>1066</v>
      </c>
      <c r="C390" s="44" t="s">
        <v>874</v>
      </c>
      <c r="D390" s="45" t="s">
        <v>1092</v>
      </c>
      <c r="E390" s="11">
        <v>2</v>
      </c>
      <c r="F390" s="12"/>
      <c r="G390" s="12"/>
      <c r="H390" s="12">
        <v>5</v>
      </c>
      <c r="I390" s="12">
        <v>1</v>
      </c>
      <c r="J390" s="12">
        <v>1</v>
      </c>
      <c r="K390" s="12"/>
      <c r="L390" s="12"/>
      <c r="M390" s="12"/>
      <c r="N390" s="12"/>
      <c r="O390" s="12"/>
      <c r="P390" s="12"/>
      <c r="Q390" s="12"/>
      <c r="R390" s="12"/>
      <c r="S390" s="12"/>
      <c r="T390" s="13"/>
      <c r="U390" s="46"/>
      <c r="V390" s="47"/>
      <c r="W390" s="48">
        <f t="shared" si="43"/>
        <v>0</v>
      </c>
      <c r="X390" s="48">
        <f t="shared" si="44"/>
        <v>0</v>
      </c>
      <c r="Y390" s="48">
        <f t="shared" si="45"/>
        <v>0</v>
      </c>
      <c r="Z390" s="48">
        <f t="shared" si="46"/>
        <v>0</v>
      </c>
      <c r="AA390" s="48"/>
      <c r="AB390" s="48"/>
      <c r="AC390" s="49">
        <f t="shared" si="47"/>
        <v>0</v>
      </c>
      <c r="AD390" s="50">
        <v>0</v>
      </c>
      <c r="AE390" s="47">
        <v>39917</v>
      </c>
      <c r="AF390" s="51" t="s">
        <v>516</v>
      </c>
      <c r="AG390" s="52" t="s">
        <v>517</v>
      </c>
      <c r="AH390" s="53" t="s">
        <v>875</v>
      </c>
      <c r="AI390" s="79"/>
      <c r="AJ390" s="80"/>
      <c r="AK390" s="81"/>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0"/>
      <c r="CC390" s="80"/>
      <c r="CD390" s="80"/>
      <c r="CE390" s="80"/>
      <c r="CF390" s="80"/>
      <c r="CG390" s="80"/>
      <c r="CH390" s="80"/>
      <c r="CI390" s="80"/>
      <c r="CJ390" s="80"/>
      <c r="CK390" s="82"/>
      <c r="CL390" s="12"/>
      <c r="CM390" s="82"/>
      <c r="CN390" s="12"/>
      <c r="CO390" s="82"/>
      <c r="CP390" s="12"/>
      <c r="CQ390" s="83">
        <f t="shared" si="48"/>
        <v>0</v>
      </c>
      <c r="CR390" s="84"/>
      <c r="CS390" s="13"/>
      <c r="CT390" s="85"/>
      <c r="CU390" s="86"/>
      <c r="CV390" s="11"/>
      <c r="CW390" s="86"/>
      <c r="CX390" s="84"/>
      <c r="CY390" s="86"/>
    </row>
    <row r="391" spans="1:103" ht="63.75" x14ac:dyDescent="0.2">
      <c r="A391" s="43">
        <v>39916</v>
      </c>
      <c r="B391" s="44" t="s">
        <v>1350</v>
      </c>
      <c r="C391" s="44" t="s">
        <v>238</v>
      </c>
      <c r="D391" s="45" t="s">
        <v>1118</v>
      </c>
      <c r="E391" s="11"/>
      <c r="F391" s="12"/>
      <c r="G391" s="12"/>
      <c r="H391" s="12"/>
      <c r="I391" s="12"/>
      <c r="J391" s="12"/>
      <c r="K391" s="12"/>
      <c r="L391" s="12"/>
      <c r="M391" s="12"/>
      <c r="N391" s="12"/>
      <c r="O391" s="12"/>
      <c r="P391" s="12"/>
      <c r="Q391" s="12"/>
      <c r="R391" s="12"/>
      <c r="S391" s="12"/>
      <c r="T391" s="13"/>
      <c r="U391" s="46"/>
      <c r="V391" s="47"/>
      <c r="W391" s="48">
        <f t="shared" si="43"/>
        <v>0</v>
      </c>
      <c r="X391" s="48">
        <f t="shared" si="44"/>
        <v>0</v>
      </c>
      <c r="Y391" s="48">
        <f t="shared" si="45"/>
        <v>0</v>
      </c>
      <c r="Z391" s="48">
        <f t="shared" si="46"/>
        <v>0</v>
      </c>
      <c r="AA391" s="48"/>
      <c r="AB391" s="48"/>
      <c r="AC391" s="49">
        <f t="shared" si="47"/>
        <v>0</v>
      </c>
      <c r="AD391" s="50">
        <v>0</v>
      </c>
      <c r="AE391" s="47">
        <v>39917</v>
      </c>
      <c r="AF391" s="51" t="s">
        <v>516</v>
      </c>
      <c r="AG391" s="52" t="s">
        <v>517</v>
      </c>
      <c r="AH391" s="53" t="s">
        <v>873</v>
      </c>
      <c r="AI391" s="79"/>
      <c r="AJ391" s="80"/>
      <c r="AK391" s="81"/>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0"/>
      <c r="CC391" s="80"/>
      <c r="CD391" s="80"/>
      <c r="CE391" s="80"/>
      <c r="CF391" s="80"/>
      <c r="CG391" s="80"/>
      <c r="CH391" s="80"/>
      <c r="CI391" s="80"/>
      <c r="CJ391" s="80"/>
      <c r="CK391" s="82"/>
      <c r="CL391" s="12"/>
      <c r="CM391" s="82"/>
      <c r="CN391" s="12"/>
      <c r="CO391" s="82"/>
      <c r="CP391" s="12"/>
      <c r="CQ391" s="83">
        <f t="shared" si="48"/>
        <v>0</v>
      </c>
      <c r="CR391" s="84"/>
      <c r="CS391" s="13"/>
      <c r="CT391" s="85"/>
      <c r="CU391" s="86"/>
      <c r="CV391" s="11"/>
      <c r="CW391" s="86"/>
      <c r="CX391" s="84"/>
      <c r="CY391" s="86"/>
    </row>
    <row r="392" spans="1:103" ht="102" x14ac:dyDescent="0.2">
      <c r="A392" s="43">
        <v>39916</v>
      </c>
      <c r="B392" s="44" t="s">
        <v>1350</v>
      </c>
      <c r="C392" s="44" t="s">
        <v>195</v>
      </c>
      <c r="D392" s="45" t="s">
        <v>1118</v>
      </c>
      <c r="E392" s="11"/>
      <c r="F392" s="12"/>
      <c r="G392" s="12"/>
      <c r="H392" s="12"/>
      <c r="I392" s="12"/>
      <c r="J392" s="12"/>
      <c r="K392" s="12"/>
      <c r="L392" s="12">
        <v>3</v>
      </c>
      <c r="M392" s="12"/>
      <c r="N392" s="12"/>
      <c r="O392" s="12"/>
      <c r="P392" s="12"/>
      <c r="Q392" s="12"/>
      <c r="R392" s="12"/>
      <c r="S392" s="12"/>
      <c r="T392" s="13"/>
      <c r="U392" s="46"/>
      <c r="V392" s="47"/>
      <c r="W392" s="48">
        <f t="shared" si="43"/>
        <v>0</v>
      </c>
      <c r="X392" s="48">
        <f t="shared" si="44"/>
        <v>0</v>
      </c>
      <c r="Y392" s="48">
        <f t="shared" si="45"/>
        <v>0</v>
      </c>
      <c r="Z392" s="48">
        <f t="shared" si="46"/>
        <v>0</v>
      </c>
      <c r="AA392" s="48"/>
      <c r="AB392" s="48"/>
      <c r="AC392" s="49">
        <f t="shared" si="47"/>
        <v>0</v>
      </c>
      <c r="AD392" s="50">
        <v>0</v>
      </c>
      <c r="AE392" s="47">
        <v>39932</v>
      </c>
      <c r="AF392" s="51" t="s">
        <v>516</v>
      </c>
      <c r="AG392" s="52" t="s">
        <v>517</v>
      </c>
      <c r="AH392" s="53" t="s">
        <v>613</v>
      </c>
      <c r="AI392" s="79"/>
      <c r="AJ392" s="80"/>
      <c r="AK392" s="81"/>
      <c r="AL392" s="80"/>
      <c r="AM392" s="80"/>
      <c r="AN392" s="80"/>
      <c r="AO392" s="80"/>
      <c r="AP392" s="80"/>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80"/>
      <c r="CJ392" s="80"/>
      <c r="CK392" s="82"/>
      <c r="CL392" s="12"/>
      <c r="CM392" s="82"/>
      <c r="CN392" s="12"/>
      <c r="CO392" s="82"/>
      <c r="CP392" s="12"/>
      <c r="CQ392" s="83">
        <f t="shared" si="48"/>
        <v>0</v>
      </c>
      <c r="CR392" s="84"/>
      <c r="CS392" s="13"/>
      <c r="CT392" s="85"/>
      <c r="CU392" s="86"/>
      <c r="CV392" s="11"/>
      <c r="CW392" s="86"/>
      <c r="CX392" s="84"/>
      <c r="CY392" s="86"/>
    </row>
    <row r="393" spans="1:103" ht="38.25" x14ac:dyDescent="0.2">
      <c r="A393" s="43">
        <v>39917</v>
      </c>
      <c r="B393" s="44" t="s">
        <v>625</v>
      </c>
      <c r="C393" s="44" t="s">
        <v>1454</v>
      </c>
      <c r="D393" s="45" t="s">
        <v>1118</v>
      </c>
      <c r="E393" s="11"/>
      <c r="F393" s="12"/>
      <c r="G393" s="12"/>
      <c r="H393" s="12"/>
      <c r="I393" s="12"/>
      <c r="J393" s="12"/>
      <c r="K393" s="12"/>
      <c r="L393" s="12"/>
      <c r="M393" s="12"/>
      <c r="N393" s="12"/>
      <c r="O393" s="12"/>
      <c r="P393" s="12"/>
      <c r="Q393" s="12"/>
      <c r="R393" s="12"/>
      <c r="S393" s="12"/>
      <c r="T393" s="13"/>
      <c r="U393" s="46"/>
      <c r="V393" s="47">
        <v>39944</v>
      </c>
      <c r="W393" s="48">
        <f t="shared" si="43"/>
        <v>0</v>
      </c>
      <c r="X393" s="48">
        <f t="shared" si="44"/>
        <v>0</v>
      </c>
      <c r="Y393" s="48">
        <f t="shared" si="45"/>
        <v>119467530</v>
      </c>
      <c r="Z393" s="48">
        <f t="shared" si="46"/>
        <v>0</v>
      </c>
      <c r="AA393" s="48"/>
      <c r="AB393" s="48"/>
      <c r="AC393" s="49">
        <f t="shared" si="47"/>
        <v>119467530</v>
      </c>
      <c r="AD393" s="50">
        <v>0</v>
      </c>
      <c r="AE393" s="47">
        <v>39917</v>
      </c>
      <c r="AF393" s="51" t="s">
        <v>1016</v>
      </c>
      <c r="AG393" s="52" t="s">
        <v>565</v>
      </c>
      <c r="AH393" s="53" t="s">
        <v>962</v>
      </c>
      <c r="AI393" s="79"/>
      <c r="AJ393" s="80"/>
      <c r="AK393" s="81"/>
      <c r="AL393" s="80"/>
      <c r="AM393" s="80"/>
      <c r="AN393" s="80"/>
      <c r="AO393" s="80"/>
      <c r="AP393" s="80"/>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0"/>
      <c r="CC393" s="80"/>
      <c r="CD393" s="80"/>
      <c r="CE393" s="80"/>
      <c r="CF393" s="80"/>
      <c r="CG393" s="80"/>
      <c r="CH393" s="80"/>
      <c r="CI393" s="80"/>
      <c r="CJ393" s="80"/>
      <c r="CK393" s="82"/>
      <c r="CL393" s="12"/>
      <c r="CM393" s="82"/>
      <c r="CN393" s="12"/>
      <c r="CO393" s="82"/>
      <c r="CP393" s="12"/>
      <c r="CQ393" s="83">
        <f t="shared" si="48"/>
        <v>0</v>
      </c>
      <c r="CR393" s="84"/>
      <c r="CS393" s="13"/>
      <c r="CT393" s="85"/>
      <c r="CU393" s="86"/>
      <c r="CV393" s="11"/>
      <c r="CW393" s="86"/>
      <c r="CX393" s="84">
        <v>5000</v>
      </c>
      <c r="CY393" s="86">
        <v>119467530</v>
      </c>
    </row>
    <row r="394" spans="1:103" ht="25.5" x14ac:dyDescent="0.2">
      <c r="A394" s="43">
        <v>39917</v>
      </c>
      <c r="B394" s="44" t="s">
        <v>1224</v>
      </c>
      <c r="C394" s="44" t="s">
        <v>1465</v>
      </c>
      <c r="D394" s="45" t="s">
        <v>1118</v>
      </c>
      <c r="E394" s="11"/>
      <c r="F394" s="12"/>
      <c r="G394" s="12"/>
      <c r="H394" s="12">
        <v>420</v>
      </c>
      <c r="I394" s="12">
        <v>70</v>
      </c>
      <c r="J394" s="12"/>
      <c r="K394" s="12"/>
      <c r="L394" s="12"/>
      <c r="M394" s="12"/>
      <c r="N394" s="12"/>
      <c r="O394" s="12"/>
      <c r="P394" s="12"/>
      <c r="Q394" s="12"/>
      <c r="R394" s="12"/>
      <c r="S394" s="12"/>
      <c r="T394" s="13"/>
      <c r="U394" s="46"/>
      <c r="V394" s="47">
        <v>39944</v>
      </c>
      <c r="W394" s="48">
        <f t="shared" si="43"/>
        <v>32830000</v>
      </c>
      <c r="X394" s="48">
        <f t="shared" si="44"/>
        <v>11900000</v>
      </c>
      <c r="Y394" s="48">
        <f t="shared" si="45"/>
        <v>0</v>
      </c>
      <c r="Z394" s="48">
        <f t="shared" si="46"/>
        <v>0</v>
      </c>
      <c r="AA394" s="48"/>
      <c r="AB394" s="48"/>
      <c r="AC394" s="49">
        <f t="shared" si="47"/>
        <v>44730000</v>
      </c>
      <c r="AD394" s="50">
        <v>0</v>
      </c>
      <c r="AE394" s="47">
        <v>39931</v>
      </c>
      <c r="AF394" s="51" t="s">
        <v>1016</v>
      </c>
      <c r="AG394" s="52" t="s">
        <v>565</v>
      </c>
      <c r="AH394" s="53" t="s">
        <v>1466</v>
      </c>
      <c r="AI394" s="79"/>
      <c r="AJ394" s="80"/>
      <c r="AK394" s="81"/>
      <c r="AL394" s="80"/>
      <c r="AM394" s="80"/>
      <c r="AN394" s="80"/>
      <c r="AO394" s="80"/>
      <c r="AP394" s="80"/>
      <c r="AQ394" s="80"/>
      <c r="AR394" s="80"/>
      <c r="AS394" s="80"/>
      <c r="AT394" s="80"/>
      <c r="AU394" s="80">
        <v>400</v>
      </c>
      <c r="AV394" s="80">
        <f>400*56000</f>
        <v>22400000</v>
      </c>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0"/>
      <c r="CC394" s="80"/>
      <c r="CD394" s="80"/>
      <c r="CE394" s="80"/>
      <c r="CF394" s="80"/>
      <c r="CG394" s="80"/>
      <c r="CH394" s="80"/>
      <c r="CI394" s="80"/>
      <c r="CJ394" s="80"/>
      <c r="CK394" s="82">
        <v>140</v>
      </c>
      <c r="CL394" s="12">
        <f>140*38500</f>
        <v>5390000</v>
      </c>
      <c r="CM394" s="82">
        <v>140</v>
      </c>
      <c r="CN394" s="12">
        <f>140*36000</f>
        <v>5040000</v>
      </c>
      <c r="CO394" s="82"/>
      <c r="CP394" s="12"/>
      <c r="CQ394" s="83">
        <f t="shared" si="48"/>
        <v>32830000</v>
      </c>
      <c r="CR394" s="84"/>
      <c r="CS394" s="13"/>
      <c r="CT394" s="85">
        <v>140</v>
      </c>
      <c r="CU394" s="86">
        <f>140*85000</f>
        <v>11900000</v>
      </c>
      <c r="CV394" s="11"/>
      <c r="CW394" s="86"/>
      <c r="CX394" s="84"/>
      <c r="CY394" s="86"/>
    </row>
    <row r="395" spans="1:103" ht="25.5" x14ac:dyDescent="0.2">
      <c r="A395" s="43">
        <v>39917</v>
      </c>
      <c r="B395" s="44" t="s">
        <v>1127</v>
      </c>
      <c r="C395" s="44" t="s">
        <v>245</v>
      </c>
      <c r="D395" s="45" t="s">
        <v>1117</v>
      </c>
      <c r="E395" s="11"/>
      <c r="F395" s="12"/>
      <c r="G395" s="12"/>
      <c r="H395" s="12">
        <v>5</v>
      </c>
      <c r="I395" s="12">
        <v>1</v>
      </c>
      <c r="J395" s="12"/>
      <c r="K395" s="12">
        <v>1</v>
      </c>
      <c r="L395" s="12"/>
      <c r="M395" s="12"/>
      <c r="N395" s="12"/>
      <c r="O395" s="12"/>
      <c r="P395" s="12"/>
      <c r="Q395" s="12"/>
      <c r="R395" s="12"/>
      <c r="S395" s="12"/>
      <c r="T395" s="13"/>
      <c r="U395" s="46"/>
      <c r="V395" s="47"/>
      <c r="W395" s="48">
        <f t="shared" si="43"/>
        <v>0</v>
      </c>
      <c r="X395" s="48">
        <f t="shared" si="44"/>
        <v>0</v>
      </c>
      <c r="Y395" s="48">
        <f t="shared" si="45"/>
        <v>0</v>
      </c>
      <c r="Z395" s="48">
        <f t="shared" si="46"/>
        <v>0</v>
      </c>
      <c r="AA395" s="48"/>
      <c r="AB395" s="48"/>
      <c r="AC395" s="49">
        <f t="shared" si="47"/>
        <v>0</v>
      </c>
      <c r="AD395" s="50">
        <v>0</v>
      </c>
      <c r="AE395" s="47">
        <v>39919</v>
      </c>
      <c r="AF395" s="51" t="s">
        <v>516</v>
      </c>
      <c r="AG395" s="52" t="s">
        <v>517</v>
      </c>
      <c r="AH395" s="53"/>
      <c r="AI395" s="79"/>
      <c r="AJ395" s="80"/>
      <c r="AK395" s="81"/>
      <c r="AL395" s="80"/>
      <c r="AM395" s="80"/>
      <c r="AN395" s="80"/>
      <c r="AO395" s="80"/>
      <c r="AP395" s="80"/>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0"/>
      <c r="CC395" s="80"/>
      <c r="CD395" s="80"/>
      <c r="CE395" s="80"/>
      <c r="CF395" s="80"/>
      <c r="CG395" s="80"/>
      <c r="CH395" s="80"/>
      <c r="CI395" s="80"/>
      <c r="CJ395" s="80"/>
      <c r="CK395" s="82"/>
      <c r="CL395" s="12"/>
      <c r="CM395" s="82"/>
      <c r="CN395" s="12"/>
      <c r="CO395" s="82"/>
      <c r="CP395" s="12"/>
      <c r="CQ395" s="83">
        <f t="shared" si="48"/>
        <v>0</v>
      </c>
      <c r="CR395" s="84"/>
      <c r="CS395" s="13"/>
      <c r="CT395" s="85"/>
      <c r="CU395" s="86"/>
      <c r="CV395" s="11"/>
      <c r="CW395" s="86"/>
      <c r="CX395" s="84"/>
      <c r="CY395" s="86"/>
    </row>
    <row r="396" spans="1:103" ht="38.25" x14ac:dyDescent="0.2">
      <c r="A396" s="43">
        <v>39917</v>
      </c>
      <c r="B396" s="44" t="s">
        <v>1127</v>
      </c>
      <c r="C396" s="44" t="s">
        <v>800</v>
      </c>
      <c r="D396" s="45" t="s">
        <v>1070</v>
      </c>
      <c r="E396" s="11">
        <v>1</v>
      </c>
      <c r="F396" s="12">
        <v>4</v>
      </c>
      <c r="G396" s="12"/>
      <c r="H396" s="12"/>
      <c r="I396" s="12"/>
      <c r="J396" s="12"/>
      <c r="K396" s="12"/>
      <c r="L396" s="12"/>
      <c r="M396" s="12"/>
      <c r="N396" s="12"/>
      <c r="O396" s="12"/>
      <c r="P396" s="12"/>
      <c r="Q396" s="12"/>
      <c r="R396" s="12"/>
      <c r="S396" s="12"/>
      <c r="T396" s="13"/>
      <c r="U396" s="46"/>
      <c r="V396" s="47"/>
      <c r="W396" s="48">
        <f t="shared" si="43"/>
        <v>0</v>
      </c>
      <c r="X396" s="48">
        <f t="shared" si="44"/>
        <v>0</v>
      </c>
      <c r="Y396" s="48">
        <f t="shared" si="45"/>
        <v>0</v>
      </c>
      <c r="Z396" s="48">
        <f t="shared" si="46"/>
        <v>0</v>
      </c>
      <c r="AA396" s="48"/>
      <c r="AB396" s="48"/>
      <c r="AC396" s="49">
        <f t="shared" si="47"/>
        <v>0</v>
      </c>
      <c r="AD396" s="50">
        <v>0</v>
      </c>
      <c r="AE396" s="47">
        <v>39919</v>
      </c>
      <c r="AF396" s="51" t="s">
        <v>516</v>
      </c>
      <c r="AG396" s="52" t="s">
        <v>517</v>
      </c>
      <c r="AH396" s="53" t="s">
        <v>971</v>
      </c>
      <c r="AI396" s="79"/>
      <c r="AJ396" s="80"/>
      <c r="AK396" s="81"/>
      <c r="AL396" s="80"/>
      <c r="AM396" s="80"/>
      <c r="AN396" s="80"/>
      <c r="AO396" s="80"/>
      <c r="AP396" s="80"/>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0"/>
      <c r="CC396" s="80"/>
      <c r="CD396" s="80"/>
      <c r="CE396" s="80"/>
      <c r="CF396" s="80"/>
      <c r="CG396" s="80"/>
      <c r="CH396" s="80"/>
      <c r="CI396" s="80"/>
      <c r="CJ396" s="80"/>
      <c r="CK396" s="82"/>
      <c r="CL396" s="12"/>
      <c r="CM396" s="82"/>
      <c r="CN396" s="12"/>
      <c r="CO396" s="82"/>
      <c r="CP396" s="12"/>
      <c r="CQ396" s="83">
        <f t="shared" si="48"/>
        <v>0</v>
      </c>
      <c r="CR396" s="84"/>
      <c r="CS396" s="13"/>
      <c r="CT396" s="85"/>
      <c r="CU396" s="86"/>
      <c r="CV396" s="11"/>
      <c r="CW396" s="86"/>
      <c r="CX396" s="84"/>
      <c r="CY396" s="86"/>
    </row>
    <row r="397" spans="1:103" ht="38.25" x14ac:dyDescent="0.2">
      <c r="A397" s="43">
        <v>39918</v>
      </c>
      <c r="B397" s="44" t="s">
        <v>315</v>
      </c>
      <c r="C397" s="44" t="s">
        <v>1079</v>
      </c>
      <c r="D397" s="45" t="s">
        <v>1118</v>
      </c>
      <c r="E397" s="11"/>
      <c r="F397" s="12"/>
      <c r="G397" s="12"/>
      <c r="H397" s="12">
        <v>127</v>
      </c>
      <c r="I397" s="12">
        <v>27</v>
      </c>
      <c r="J397" s="12"/>
      <c r="K397" s="12">
        <v>27</v>
      </c>
      <c r="L397" s="12"/>
      <c r="M397" s="12"/>
      <c r="N397" s="12"/>
      <c r="O397" s="12"/>
      <c r="P397" s="12"/>
      <c r="Q397" s="12"/>
      <c r="R397" s="12"/>
      <c r="S397" s="12"/>
      <c r="T397" s="13"/>
      <c r="U397" s="46"/>
      <c r="V397" s="47"/>
      <c r="W397" s="48">
        <f t="shared" si="43"/>
        <v>0</v>
      </c>
      <c r="X397" s="48">
        <f t="shared" si="44"/>
        <v>0</v>
      </c>
      <c r="Y397" s="48">
        <f t="shared" si="45"/>
        <v>0</v>
      </c>
      <c r="Z397" s="48">
        <f t="shared" si="46"/>
        <v>0</v>
      </c>
      <c r="AA397" s="48"/>
      <c r="AB397" s="48"/>
      <c r="AC397" s="49">
        <f t="shared" si="47"/>
        <v>0</v>
      </c>
      <c r="AD397" s="50">
        <v>0</v>
      </c>
      <c r="AE397" s="47">
        <v>39919</v>
      </c>
      <c r="AF397" s="51" t="s">
        <v>516</v>
      </c>
      <c r="AG397" s="52" t="s">
        <v>517</v>
      </c>
      <c r="AH397" s="53" t="s">
        <v>973</v>
      </c>
      <c r="AI397" s="79"/>
      <c r="AJ397" s="80"/>
      <c r="AK397" s="81"/>
      <c r="AL397" s="80"/>
      <c r="AM397" s="80"/>
      <c r="AN397" s="80"/>
      <c r="AO397" s="80"/>
      <c r="AP397" s="80"/>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0"/>
      <c r="CC397" s="80"/>
      <c r="CD397" s="80"/>
      <c r="CE397" s="80"/>
      <c r="CF397" s="80"/>
      <c r="CG397" s="80"/>
      <c r="CH397" s="80"/>
      <c r="CI397" s="80"/>
      <c r="CJ397" s="80"/>
      <c r="CK397" s="82"/>
      <c r="CL397" s="12"/>
      <c r="CM397" s="82"/>
      <c r="CN397" s="12"/>
      <c r="CO397" s="82"/>
      <c r="CP397" s="12"/>
      <c r="CQ397" s="83">
        <f t="shared" si="48"/>
        <v>0</v>
      </c>
      <c r="CR397" s="84"/>
      <c r="CS397" s="13"/>
      <c r="CT397" s="85"/>
      <c r="CU397" s="86"/>
      <c r="CV397" s="11"/>
      <c r="CW397" s="86"/>
      <c r="CX397" s="84"/>
      <c r="CY397" s="86"/>
    </row>
    <row r="398" spans="1:103" ht="25.5" x14ac:dyDescent="0.2">
      <c r="A398" s="43">
        <v>39918</v>
      </c>
      <c r="B398" s="44" t="s">
        <v>315</v>
      </c>
      <c r="C398" s="44" t="s">
        <v>974</v>
      </c>
      <c r="D398" s="45" t="s">
        <v>1118</v>
      </c>
      <c r="E398" s="11"/>
      <c r="F398" s="12"/>
      <c r="G398" s="12"/>
      <c r="H398" s="12">
        <v>33</v>
      </c>
      <c r="I398" s="12">
        <v>6</v>
      </c>
      <c r="J398" s="12"/>
      <c r="K398" s="12">
        <v>6</v>
      </c>
      <c r="L398" s="12"/>
      <c r="M398" s="12"/>
      <c r="N398" s="12"/>
      <c r="O398" s="12"/>
      <c r="P398" s="12"/>
      <c r="Q398" s="12"/>
      <c r="R398" s="12"/>
      <c r="S398" s="12"/>
      <c r="T398" s="13"/>
      <c r="U398" s="46"/>
      <c r="V398" s="47"/>
      <c r="W398" s="48">
        <f t="shared" si="43"/>
        <v>0</v>
      </c>
      <c r="X398" s="48">
        <f t="shared" si="44"/>
        <v>0</v>
      </c>
      <c r="Y398" s="48">
        <f t="shared" si="45"/>
        <v>0</v>
      </c>
      <c r="Z398" s="48">
        <f t="shared" si="46"/>
        <v>0</v>
      </c>
      <c r="AA398" s="48"/>
      <c r="AB398" s="48"/>
      <c r="AC398" s="49">
        <f t="shared" si="47"/>
        <v>0</v>
      </c>
      <c r="AD398" s="50">
        <v>0</v>
      </c>
      <c r="AE398" s="47">
        <v>39919</v>
      </c>
      <c r="AF398" s="51" t="s">
        <v>516</v>
      </c>
      <c r="AG398" s="52" t="s">
        <v>517</v>
      </c>
      <c r="AH398" s="53"/>
      <c r="AI398" s="79"/>
      <c r="AJ398" s="80"/>
      <c r="AK398" s="81"/>
      <c r="AL398" s="80"/>
      <c r="AM398" s="80"/>
      <c r="AN398" s="80"/>
      <c r="AO398" s="80"/>
      <c r="AP398" s="80"/>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0"/>
      <c r="CC398" s="80"/>
      <c r="CD398" s="80"/>
      <c r="CE398" s="80"/>
      <c r="CF398" s="80"/>
      <c r="CG398" s="80"/>
      <c r="CH398" s="80"/>
      <c r="CI398" s="80"/>
      <c r="CJ398" s="80"/>
      <c r="CK398" s="82"/>
      <c r="CL398" s="12"/>
      <c r="CM398" s="82"/>
      <c r="CN398" s="12"/>
      <c r="CO398" s="82"/>
      <c r="CP398" s="12"/>
      <c r="CQ398" s="83">
        <f t="shared" si="48"/>
        <v>0</v>
      </c>
      <c r="CR398" s="84"/>
      <c r="CS398" s="13"/>
      <c r="CT398" s="85"/>
      <c r="CU398" s="86"/>
      <c r="CV398" s="11"/>
      <c r="CW398" s="86"/>
      <c r="CX398" s="84"/>
      <c r="CY398" s="86"/>
    </row>
    <row r="399" spans="1:103" ht="76.5" x14ac:dyDescent="0.2">
      <c r="A399" s="43">
        <v>39918</v>
      </c>
      <c r="B399" s="44" t="s">
        <v>315</v>
      </c>
      <c r="C399" s="44" t="s">
        <v>1061</v>
      </c>
      <c r="D399" s="45" t="s">
        <v>1118</v>
      </c>
      <c r="E399" s="11"/>
      <c r="F399" s="12"/>
      <c r="G399" s="12"/>
      <c r="H399" s="12">
        <v>500</v>
      </c>
      <c r="I399" s="12">
        <v>100</v>
      </c>
      <c r="J399" s="12"/>
      <c r="K399" s="12">
        <v>100</v>
      </c>
      <c r="L399" s="12"/>
      <c r="M399" s="12"/>
      <c r="N399" s="12"/>
      <c r="O399" s="12"/>
      <c r="P399" s="12"/>
      <c r="Q399" s="12"/>
      <c r="R399" s="12"/>
      <c r="S399" s="12"/>
      <c r="T399" s="13"/>
      <c r="U399" s="46"/>
      <c r="V399" s="47"/>
      <c r="W399" s="48">
        <f t="shared" si="43"/>
        <v>0</v>
      </c>
      <c r="X399" s="48">
        <f t="shared" si="44"/>
        <v>0</v>
      </c>
      <c r="Y399" s="48">
        <f t="shared" si="45"/>
        <v>0</v>
      </c>
      <c r="Z399" s="48">
        <f t="shared" si="46"/>
        <v>0</v>
      </c>
      <c r="AA399" s="48"/>
      <c r="AB399" s="48"/>
      <c r="AC399" s="49">
        <f t="shared" si="47"/>
        <v>0</v>
      </c>
      <c r="AD399" s="50">
        <v>0</v>
      </c>
      <c r="AE399" s="47">
        <v>39961</v>
      </c>
      <c r="AF399" s="51" t="s">
        <v>1016</v>
      </c>
      <c r="AG399" s="52" t="s">
        <v>517</v>
      </c>
      <c r="AH399" s="53" t="s">
        <v>3</v>
      </c>
      <c r="AI399" s="79"/>
      <c r="AJ399" s="80"/>
      <c r="AK399" s="81"/>
      <c r="AL399" s="80"/>
      <c r="AM399" s="80"/>
      <c r="AN399" s="80"/>
      <c r="AO399" s="80"/>
      <c r="AP399" s="80"/>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0"/>
      <c r="CC399" s="80"/>
      <c r="CD399" s="80"/>
      <c r="CE399" s="80"/>
      <c r="CF399" s="80"/>
      <c r="CG399" s="80"/>
      <c r="CH399" s="80"/>
      <c r="CI399" s="80"/>
      <c r="CJ399" s="80"/>
      <c r="CK399" s="82"/>
      <c r="CL399" s="12"/>
      <c r="CM399" s="82"/>
      <c r="CN399" s="12"/>
      <c r="CO399" s="82"/>
      <c r="CP399" s="12"/>
      <c r="CQ399" s="83">
        <f t="shared" si="48"/>
        <v>0</v>
      </c>
      <c r="CR399" s="84"/>
      <c r="CS399" s="13"/>
      <c r="CT399" s="85"/>
      <c r="CU399" s="86"/>
      <c r="CV399" s="11"/>
      <c r="CW399" s="86"/>
      <c r="CX399" s="84"/>
      <c r="CY399" s="86"/>
    </row>
    <row r="400" spans="1:103" ht="25.5" x14ac:dyDescent="0.2">
      <c r="A400" s="43">
        <v>39918</v>
      </c>
      <c r="B400" s="44" t="s">
        <v>1066</v>
      </c>
      <c r="C400" s="44" t="s">
        <v>975</v>
      </c>
      <c r="D400" s="45" t="s">
        <v>1092</v>
      </c>
      <c r="E400" s="11">
        <v>2</v>
      </c>
      <c r="F400" s="12"/>
      <c r="G400" s="12"/>
      <c r="H400" s="12">
        <v>110</v>
      </c>
      <c r="I400" s="12">
        <v>25</v>
      </c>
      <c r="J400" s="12">
        <v>1</v>
      </c>
      <c r="K400" s="12">
        <v>24</v>
      </c>
      <c r="L400" s="12"/>
      <c r="M400" s="12"/>
      <c r="N400" s="12"/>
      <c r="O400" s="12"/>
      <c r="P400" s="12"/>
      <c r="Q400" s="12"/>
      <c r="R400" s="12"/>
      <c r="S400" s="12"/>
      <c r="T400" s="13"/>
      <c r="U400" s="46"/>
      <c r="V400" s="47"/>
      <c r="W400" s="48">
        <f t="shared" si="43"/>
        <v>0</v>
      </c>
      <c r="X400" s="48">
        <f t="shared" si="44"/>
        <v>0</v>
      </c>
      <c r="Y400" s="48">
        <f t="shared" si="45"/>
        <v>0</v>
      </c>
      <c r="Z400" s="48">
        <f t="shared" si="46"/>
        <v>0</v>
      </c>
      <c r="AA400" s="48"/>
      <c r="AB400" s="48"/>
      <c r="AC400" s="49">
        <f t="shared" si="47"/>
        <v>0</v>
      </c>
      <c r="AD400" s="50">
        <v>0</v>
      </c>
      <c r="AE400" s="47">
        <v>39919</v>
      </c>
      <c r="AF400" s="51" t="s">
        <v>516</v>
      </c>
      <c r="AG400" s="52" t="s">
        <v>517</v>
      </c>
      <c r="AH400" s="53" t="s">
        <v>976</v>
      </c>
      <c r="AI400" s="79"/>
      <c r="AJ400" s="80"/>
      <c r="AK400" s="81"/>
      <c r="AL400" s="80"/>
      <c r="AM400" s="80"/>
      <c r="AN400" s="80"/>
      <c r="AO400" s="80"/>
      <c r="AP400" s="80"/>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0"/>
      <c r="CC400" s="80"/>
      <c r="CD400" s="80"/>
      <c r="CE400" s="80"/>
      <c r="CF400" s="80"/>
      <c r="CG400" s="80"/>
      <c r="CH400" s="80"/>
      <c r="CI400" s="80"/>
      <c r="CJ400" s="80"/>
      <c r="CK400" s="82"/>
      <c r="CL400" s="12"/>
      <c r="CM400" s="82"/>
      <c r="CN400" s="12"/>
      <c r="CO400" s="82"/>
      <c r="CP400" s="12"/>
      <c r="CQ400" s="83">
        <f t="shared" si="48"/>
        <v>0</v>
      </c>
      <c r="CR400" s="84"/>
      <c r="CS400" s="13"/>
      <c r="CT400" s="85"/>
      <c r="CU400" s="86"/>
      <c r="CV400" s="11"/>
      <c r="CW400" s="86"/>
      <c r="CX400" s="84"/>
      <c r="CY400" s="86"/>
    </row>
    <row r="401" spans="1:103" ht="25.5" x14ac:dyDescent="0.2">
      <c r="A401" s="43">
        <v>39918</v>
      </c>
      <c r="B401" s="44" t="s">
        <v>481</v>
      </c>
      <c r="C401" s="44" t="s">
        <v>1417</v>
      </c>
      <c r="D401" s="45" t="s">
        <v>1117</v>
      </c>
      <c r="E401" s="11"/>
      <c r="F401" s="12"/>
      <c r="G401" s="12"/>
      <c r="H401" s="12">
        <v>70</v>
      </c>
      <c r="I401" s="12">
        <v>14</v>
      </c>
      <c r="J401" s="12"/>
      <c r="K401" s="12">
        <v>14</v>
      </c>
      <c r="L401" s="12"/>
      <c r="M401" s="12"/>
      <c r="N401" s="12"/>
      <c r="O401" s="12"/>
      <c r="P401" s="12"/>
      <c r="Q401" s="12"/>
      <c r="R401" s="12"/>
      <c r="S401" s="12"/>
      <c r="T401" s="13"/>
      <c r="U401" s="46"/>
      <c r="V401" s="47"/>
      <c r="W401" s="48">
        <f t="shared" si="43"/>
        <v>0</v>
      </c>
      <c r="X401" s="48">
        <f t="shared" si="44"/>
        <v>0</v>
      </c>
      <c r="Y401" s="48">
        <f t="shared" si="45"/>
        <v>0</v>
      </c>
      <c r="Z401" s="48">
        <f t="shared" si="46"/>
        <v>0</v>
      </c>
      <c r="AA401" s="48"/>
      <c r="AB401" s="48"/>
      <c r="AC401" s="49">
        <f t="shared" si="47"/>
        <v>0</v>
      </c>
      <c r="AD401" s="50">
        <v>0</v>
      </c>
      <c r="AE401" s="47">
        <v>39920</v>
      </c>
      <c r="AF401" s="51" t="s">
        <v>516</v>
      </c>
      <c r="AG401" s="52" t="s">
        <v>517</v>
      </c>
      <c r="AH401" s="53" t="s">
        <v>443</v>
      </c>
      <c r="AI401" s="79"/>
      <c r="AJ401" s="80"/>
      <c r="AK401" s="81"/>
      <c r="AL401" s="80"/>
      <c r="AM401" s="80"/>
      <c r="AN401" s="80"/>
      <c r="AO401" s="80"/>
      <c r="AP401" s="80"/>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0"/>
      <c r="CC401" s="80"/>
      <c r="CD401" s="80"/>
      <c r="CE401" s="80"/>
      <c r="CF401" s="80"/>
      <c r="CG401" s="80"/>
      <c r="CH401" s="80"/>
      <c r="CI401" s="80"/>
      <c r="CJ401" s="80"/>
      <c r="CK401" s="82"/>
      <c r="CL401" s="12"/>
      <c r="CM401" s="82"/>
      <c r="CN401" s="12"/>
      <c r="CO401" s="82"/>
      <c r="CP401" s="12"/>
      <c r="CQ401" s="83">
        <f t="shared" si="48"/>
        <v>0</v>
      </c>
      <c r="CR401" s="84"/>
      <c r="CS401" s="13"/>
      <c r="CT401" s="85"/>
      <c r="CU401" s="86"/>
      <c r="CV401" s="11"/>
      <c r="CW401" s="86"/>
      <c r="CX401" s="84"/>
      <c r="CY401" s="86"/>
    </row>
    <row r="402" spans="1:103" ht="25.5" x14ac:dyDescent="0.2">
      <c r="A402" s="43">
        <v>39918</v>
      </c>
      <c r="B402" s="44" t="s">
        <v>481</v>
      </c>
      <c r="C402" s="44" t="s">
        <v>188</v>
      </c>
      <c r="D402" s="45" t="s">
        <v>1117</v>
      </c>
      <c r="E402" s="11"/>
      <c r="F402" s="12"/>
      <c r="G402" s="12"/>
      <c r="H402" s="12">
        <v>30</v>
      </c>
      <c r="I402" s="12">
        <v>6</v>
      </c>
      <c r="J402" s="12"/>
      <c r="K402" s="12">
        <v>6</v>
      </c>
      <c r="L402" s="12"/>
      <c r="M402" s="12"/>
      <c r="N402" s="12"/>
      <c r="O402" s="12"/>
      <c r="P402" s="12"/>
      <c r="Q402" s="12"/>
      <c r="R402" s="12"/>
      <c r="S402" s="12"/>
      <c r="T402" s="13"/>
      <c r="U402" s="46"/>
      <c r="V402" s="47"/>
      <c r="W402" s="48">
        <f t="shared" si="43"/>
        <v>0</v>
      </c>
      <c r="X402" s="48">
        <f t="shared" si="44"/>
        <v>0</v>
      </c>
      <c r="Y402" s="48">
        <f t="shared" si="45"/>
        <v>0</v>
      </c>
      <c r="Z402" s="48">
        <f t="shared" si="46"/>
        <v>0</v>
      </c>
      <c r="AA402" s="48"/>
      <c r="AB402" s="48"/>
      <c r="AC402" s="49">
        <f t="shared" si="47"/>
        <v>0</v>
      </c>
      <c r="AD402" s="50">
        <v>0</v>
      </c>
      <c r="AE402" s="47">
        <v>39920</v>
      </c>
      <c r="AF402" s="51" t="s">
        <v>516</v>
      </c>
      <c r="AG402" s="52" t="s">
        <v>517</v>
      </c>
      <c r="AH402" s="53" t="s">
        <v>443</v>
      </c>
      <c r="AI402" s="79"/>
      <c r="AJ402" s="80"/>
      <c r="AK402" s="81"/>
      <c r="AL402" s="80"/>
      <c r="AM402" s="80"/>
      <c r="AN402" s="80"/>
      <c r="AO402" s="80"/>
      <c r="AP402" s="80"/>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0"/>
      <c r="CC402" s="80"/>
      <c r="CD402" s="80"/>
      <c r="CE402" s="80"/>
      <c r="CF402" s="80"/>
      <c r="CG402" s="80"/>
      <c r="CH402" s="80"/>
      <c r="CI402" s="80"/>
      <c r="CJ402" s="80"/>
      <c r="CK402" s="82"/>
      <c r="CL402" s="12"/>
      <c r="CM402" s="82"/>
      <c r="CN402" s="12"/>
      <c r="CO402" s="82"/>
      <c r="CP402" s="12"/>
      <c r="CQ402" s="83">
        <f t="shared" si="48"/>
        <v>0</v>
      </c>
      <c r="CR402" s="84"/>
      <c r="CS402" s="13"/>
      <c r="CT402" s="85"/>
      <c r="CU402" s="86"/>
      <c r="CV402" s="11"/>
      <c r="CW402" s="86"/>
      <c r="CX402" s="84"/>
      <c r="CY402" s="86"/>
    </row>
    <row r="403" spans="1:103" ht="25.5" x14ac:dyDescent="0.2">
      <c r="A403" s="43">
        <v>39918</v>
      </c>
      <c r="B403" s="44" t="s">
        <v>1114</v>
      </c>
      <c r="C403" s="44" t="s">
        <v>560</v>
      </c>
      <c r="D403" s="45" t="s">
        <v>1118</v>
      </c>
      <c r="E403" s="11"/>
      <c r="F403" s="12"/>
      <c r="G403" s="12"/>
      <c r="H403" s="12">
        <v>175</v>
      </c>
      <c r="I403" s="12">
        <v>35</v>
      </c>
      <c r="J403" s="12"/>
      <c r="K403" s="12">
        <v>35</v>
      </c>
      <c r="L403" s="12"/>
      <c r="M403" s="12"/>
      <c r="N403" s="12"/>
      <c r="O403" s="12"/>
      <c r="P403" s="12"/>
      <c r="Q403" s="12"/>
      <c r="R403" s="12"/>
      <c r="S403" s="12"/>
      <c r="T403" s="13"/>
      <c r="U403" s="46"/>
      <c r="V403" s="47"/>
      <c r="W403" s="48">
        <f t="shared" si="43"/>
        <v>0</v>
      </c>
      <c r="X403" s="48">
        <f t="shared" si="44"/>
        <v>0</v>
      </c>
      <c r="Y403" s="48">
        <f t="shared" si="45"/>
        <v>0</v>
      </c>
      <c r="Z403" s="48">
        <f t="shared" si="46"/>
        <v>0</v>
      </c>
      <c r="AA403" s="48"/>
      <c r="AB403" s="48"/>
      <c r="AC403" s="49">
        <f t="shared" si="47"/>
        <v>0</v>
      </c>
      <c r="AD403" s="50">
        <v>0</v>
      </c>
      <c r="AE403" s="47">
        <v>39923</v>
      </c>
      <c r="AF403" s="51" t="s">
        <v>516</v>
      </c>
      <c r="AG403" s="52" t="s">
        <v>517</v>
      </c>
      <c r="AH403" s="53" t="s">
        <v>610</v>
      </c>
      <c r="AI403" s="79"/>
      <c r="AJ403" s="80"/>
      <c r="AK403" s="81"/>
      <c r="AL403" s="80"/>
      <c r="AM403" s="80"/>
      <c r="AN403" s="80"/>
      <c r="AO403" s="80"/>
      <c r="AP403" s="80"/>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0"/>
      <c r="CC403" s="80"/>
      <c r="CD403" s="80"/>
      <c r="CE403" s="80"/>
      <c r="CF403" s="80"/>
      <c r="CG403" s="80"/>
      <c r="CH403" s="80"/>
      <c r="CI403" s="80"/>
      <c r="CJ403" s="80"/>
      <c r="CK403" s="82"/>
      <c r="CL403" s="12"/>
      <c r="CM403" s="82"/>
      <c r="CN403" s="12"/>
      <c r="CO403" s="82"/>
      <c r="CP403" s="12"/>
      <c r="CQ403" s="83">
        <f t="shared" si="48"/>
        <v>0</v>
      </c>
      <c r="CR403" s="84"/>
      <c r="CS403" s="13"/>
      <c r="CT403" s="85"/>
      <c r="CU403" s="86"/>
      <c r="CV403" s="11"/>
      <c r="CW403" s="86"/>
      <c r="CX403" s="84"/>
      <c r="CY403" s="86"/>
    </row>
    <row r="404" spans="1:103" ht="25.5" x14ac:dyDescent="0.2">
      <c r="A404" s="43">
        <v>39918</v>
      </c>
      <c r="B404" s="44" t="s">
        <v>1091</v>
      </c>
      <c r="C404" s="44" t="s">
        <v>288</v>
      </c>
      <c r="D404" s="45" t="s">
        <v>1092</v>
      </c>
      <c r="E404" s="11"/>
      <c r="F404" s="12"/>
      <c r="G404" s="12"/>
      <c r="H404" s="12">
        <f>14*5</f>
        <v>70</v>
      </c>
      <c r="I404" s="12">
        <v>14</v>
      </c>
      <c r="J404" s="12">
        <v>2</v>
      </c>
      <c r="K404" s="12">
        <v>12</v>
      </c>
      <c r="L404" s="12"/>
      <c r="M404" s="12"/>
      <c r="N404" s="12"/>
      <c r="O404" s="12"/>
      <c r="P404" s="12"/>
      <c r="Q404" s="12"/>
      <c r="R404" s="12"/>
      <c r="S404" s="12"/>
      <c r="T404" s="13"/>
      <c r="U404" s="46"/>
      <c r="V404" s="47"/>
      <c r="W404" s="48">
        <f t="shared" si="43"/>
        <v>0</v>
      </c>
      <c r="X404" s="48">
        <f t="shared" si="44"/>
        <v>0</v>
      </c>
      <c r="Y404" s="48">
        <f t="shared" si="45"/>
        <v>0</v>
      </c>
      <c r="Z404" s="48">
        <f t="shared" si="46"/>
        <v>0</v>
      </c>
      <c r="AA404" s="48"/>
      <c r="AB404" s="48"/>
      <c r="AC404" s="49">
        <f t="shared" si="47"/>
        <v>0</v>
      </c>
      <c r="AD404" s="50">
        <v>0</v>
      </c>
      <c r="AE404" s="47">
        <v>39919</v>
      </c>
      <c r="AF404" s="51" t="s">
        <v>516</v>
      </c>
      <c r="AG404" s="52" t="s">
        <v>517</v>
      </c>
      <c r="AH404" s="53" t="s">
        <v>972</v>
      </c>
      <c r="AI404" s="79"/>
      <c r="AJ404" s="80"/>
      <c r="AK404" s="81"/>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0"/>
      <c r="CC404" s="80"/>
      <c r="CD404" s="80"/>
      <c r="CE404" s="80"/>
      <c r="CF404" s="80"/>
      <c r="CG404" s="80"/>
      <c r="CH404" s="80"/>
      <c r="CI404" s="80"/>
      <c r="CJ404" s="80"/>
      <c r="CK404" s="82"/>
      <c r="CL404" s="12"/>
      <c r="CM404" s="82"/>
      <c r="CN404" s="12"/>
      <c r="CO404" s="82"/>
      <c r="CP404" s="12"/>
      <c r="CQ404" s="83">
        <f t="shared" si="48"/>
        <v>0</v>
      </c>
      <c r="CR404" s="84"/>
      <c r="CS404" s="13"/>
      <c r="CT404" s="85"/>
      <c r="CU404" s="86"/>
      <c r="CV404" s="11"/>
      <c r="CW404" s="86"/>
      <c r="CX404" s="84"/>
      <c r="CY404" s="86"/>
    </row>
    <row r="405" spans="1:103" ht="89.25" x14ac:dyDescent="0.2">
      <c r="A405" s="43">
        <v>39919</v>
      </c>
      <c r="B405" s="44" t="s">
        <v>1224</v>
      </c>
      <c r="C405" s="44" t="s">
        <v>325</v>
      </c>
      <c r="D405" s="45" t="s">
        <v>1117</v>
      </c>
      <c r="E405" s="11"/>
      <c r="F405" s="12"/>
      <c r="G405" s="12"/>
      <c r="H405" s="12">
        <f>115*5</f>
        <v>575</v>
      </c>
      <c r="I405" s="12">
        <v>115</v>
      </c>
      <c r="J405" s="12"/>
      <c r="K405" s="12">
        <v>115</v>
      </c>
      <c r="L405" s="12"/>
      <c r="M405" s="12"/>
      <c r="N405" s="12"/>
      <c r="O405" s="12"/>
      <c r="P405" s="12"/>
      <c r="Q405" s="12"/>
      <c r="R405" s="12"/>
      <c r="S405" s="12"/>
      <c r="T405" s="13"/>
      <c r="U405" s="46"/>
      <c r="V405" s="47"/>
      <c r="W405" s="48">
        <f t="shared" si="43"/>
        <v>0</v>
      </c>
      <c r="X405" s="48">
        <f t="shared" si="44"/>
        <v>0</v>
      </c>
      <c r="Y405" s="48">
        <f t="shared" si="45"/>
        <v>0</v>
      </c>
      <c r="Z405" s="48">
        <f t="shared" si="46"/>
        <v>0</v>
      </c>
      <c r="AA405" s="48"/>
      <c r="AB405" s="48"/>
      <c r="AC405" s="49">
        <f t="shared" si="47"/>
        <v>0</v>
      </c>
      <c r="AD405" s="50">
        <v>0</v>
      </c>
      <c r="AE405" s="47">
        <v>39920</v>
      </c>
      <c r="AF405" s="51" t="s">
        <v>1016</v>
      </c>
      <c r="AG405" s="52" t="s">
        <v>517</v>
      </c>
      <c r="AH405" s="53" t="s">
        <v>4</v>
      </c>
      <c r="AI405" s="79"/>
      <c r="AJ405" s="80"/>
      <c r="AK405" s="81"/>
      <c r="AL405" s="80"/>
      <c r="AM405" s="80"/>
      <c r="AN405" s="80"/>
      <c r="AO405" s="80"/>
      <c r="AP405" s="80"/>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0"/>
      <c r="CC405" s="80"/>
      <c r="CD405" s="80"/>
      <c r="CE405" s="80"/>
      <c r="CF405" s="80"/>
      <c r="CG405" s="80"/>
      <c r="CH405" s="80"/>
      <c r="CI405" s="80"/>
      <c r="CJ405" s="80"/>
      <c r="CK405" s="82"/>
      <c r="CL405" s="12"/>
      <c r="CM405" s="82"/>
      <c r="CN405" s="12"/>
      <c r="CO405" s="82"/>
      <c r="CP405" s="12"/>
      <c r="CQ405" s="83">
        <f t="shared" si="48"/>
        <v>0</v>
      </c>
      <c r="CR405" s="84"/>
      <c r="CS405" s="13"/>
      <c r="CT405" s="85"/>
      <c r="CU405" s="86"/>
      <c r="CV405" s="11"/>
      <c r="CW405" s="86"/>
      <c r="CX405" s="84"/>
      <c r="CY405" s="86"/>
    </row>
    <row r="406" spans="1:103" ht="63.75" x14ac:dyDescent="0.2">
      <c r="A406" s="43">
        <v>39919</v>
      </c>
      <c r="B406" s="44" t="s">
        <v>1224</v>
      </c>
      <c r="C406" s="44" t="s">
        <v>1045</v>
      </c>
      <c r="D406" s="45" t="s">
        <v>751</v>
      </c>
      <c r="E406" s="11"/>
      <c r="F406" s="12"/>
      <c r="G406" s="12"/>
      <c r="H406" s="12"/>
      <c r="I406" s="12"/>
      <c r="J406" s="12"/>
      <c r="K406" s="12"/>
      <c r="L406" s="12"/>
      <c r="M406" s="12"/>
      <c r="N406" s="12"/>
      <c r="O406" s="12"/>
      <c r="P406" s="12"/>
      <c r="Q406" s="12"/>
      <c r="R406" s="12"/>
      <c r="S406" s="12"/>
      <c r="T406" s="13"/>
      <c r="U406" s="46"/>
      <c r="V406" s="47">
        <v>39926</v>
      </c>
      <c r="W406" s="48">
        <f t="shared" si="43"/>
        <v>0</v>
      </c>
      <c r="X406" s="48">
        <f t="shared" si="44"/>
        <v>0</v>
      </c>
      <c r="Y406" s="48">
        <f t="shared" si="45"/>
        <v>0</v>
      </c>
      <c r="Z406" s="48">
        <f t="shared" si="46"/>
        <v>0</v>
      </c>
      <c r="AA406" s="48">
        <v>13312200</v>
      </c>
      <c r="AB406" s="48"/>
      <c r="AC406" s="49">
        <f t="shared" si="47"/>
        <v>13312200</v>
      </c>
      <c r="AD406" s="50">
        <v>0</v>
      </c>
      <c r="AE406" s="47">
        <v>39919</v>
      </c>
      <c r="AF406" s="51" t="s">
        <v>1016</v>
      </c>
      <c r="AG406" s="52" t="s">
        <v>565</v>
      </c>
      <c r="AH406" s="53" t="s">
        <v>248</v>
      </c>
      <c r="AI406" s="79"/>
      <c r="AJ406" s="80"/>
      <c r="AK406" s="81"/>
      <c r="AL406" s="80"/>
      <c r="AM406" s="80"/>
      <c r="AN406" s="80"/>
      <c r="AO406" s="80"/>
      <c r="AP406" s="80"/>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0"/>
      <c r="CC406" s="80"/>
      <c r="CD406" s="80"/>
      <c r="CE406" s="80"/>
      <c r="CF406" s="80"/>
      <c r="CG406" s="80"/>
      <c r="CH406" s="80"/>
      <c r="CI406" s="80"/>
      <c r="CJ406" s="80"/>
      <c r="CK406" s="82"/>
      <c r="CL406" s="12"/>
      <c r="CM406" s="82"/>
      <c r="CN406" s="12"/>
      <c r="CO406" s="82"/>
      <c r="CP406" s="12"/>
      <c r="CQ406" s="83">
        <f t="shared" si="48"/>
        <v>0</v>
      </c>
      <c r="CR406" s="84"/>
      <c r="CS406" s="13"/>
      <c r="CT406" s="85"/>
      <c r="CU406" s="86"/>
      <c r="CV406" s="11"/>
      <c r="CW406" s="86"/>
      <c r="CX406" s="84"/>
      <c r="CY406" s="86"/>
    </row>
    <row r="407" spans="1:103" ht="114.75" x14ac:dyDescent="0.2">
      <c r="A407" s="43">
        <v>39920</v>
      </c>
      <c r="B407" s="44" t="s">
        <v>300</v>
      </c>
      <c r="C407" s="44" t="s">
        <v>609</v>
      </c>
      <c r="D407" s="45" t="s">
        <v>1117</v>
      </c>
      <c r="E407" s="11"/>
      <c r="F407" s="12">
        <v>3</v>
      </c>
      <c r="G407" s="12"/>
      <c r="H407" s="12">
        <v>599</v>
      </c>
      <c r="I407" s="12">
        <v>140</v>
      </c>
      <c r="J407" s="12"/>
      <c r="K407" s="12">
        <v>129</v>
      </c>
      <c r="L407" s="12"/>
      <c r="M407" s="12"/>
      <c r="N407" s="12"/>
      <c r="O407" s="12"/>
      <c r="P407" s="12"/>
      <c r="Q407" s="12"/>
      <c r="R407" s="12">
        <v>1</v>
      </c>
      <c r="S407" s="12"/>
      <c r="T407" s="13"/>
      <c r="U407" s="46"/>
      <c r="V407" s="47"/>
      <c r="W407" s="48">
        <f t="shared" si="43"/>
        <v>0</v>
      </c>
      <c r="X407" s="48">
        <f t="shared" si="44"/>
        <v>0</v>
      </c>
      <c r="Y407" s="48">
        <f t="shared" si="45"/>
        <v>0</v>
      </c>
      <c r="Z407" s="48">
        <f t="shared" si="46"/>
        <v>0</v>
      </c>
      <c r="AA407" s="48"/>
      <c r="AB407" s="48"/>
      <c r="AC407" s="49">
        <f t="shared" si="47"/>
        <v>0</v>
      </c>
      <c r="AD407" s="50">
        <v>0</v>
      </c>
      <c r="AE407" s="47">
        <v>39923</v>
      </c>
      <c r="AF407" s="51" t="s">
        <v>1016</v>
      </c>
      <c r="AG407" s="52" t="s">
        <v>517</v>
      </c>
      <c r="AH407" s="53" t="s">
        <v>5</v>
      </c>
      <c r="AI407" s="79"/>
      <c r="AJ407" s="80"/>
      <c r="AK407" s="81"/>
      <c r="AL407" s="80"/>
      <c r="AM407" s="80"/>
      <c r="AN407" s="80"/>
      <c r="AO407" s="80"/>
      <c r="AP407" s="80"/>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0"/>
      <c r="CC407" s="80"/>
      <c r="CD407" s="80"/>
      <c r="CE407" s="80"/>
      <c r="CF407" s="80"/>
      <c r="CG407" s="80"/>
      <c r="CH407" s="80"/>
      <c r="CI407" s="80"/>
      <c r="CJ407" s="80"/>
      <c r="CK407" s="82"/>
      <c r="CL407" s="12"/>
      <c r="CM407" s="82"/>
      <c r="CN407" s="12"/>
      <c r="CO407" s="82"/>
      <c r="CP407" s="12"/>
      <c r="CQ407" s="83">
        <f t="shared" si="48"/>
        <v>0</v>
      </c>
      <c r="CR407" s="84"/>
      <c r="CS407" s="13"/>
      <c r="CT407" s="85"/>
      <c r="CU407" s="86"/>
      <c r="CV407" s="11"/>
      <c r="CW407" s="86"/>
      <c r="CX407" s="84"/>
      <c r="CY407" s="86"/>
    </row>
    <row r="408" spans="1:103" ht="25.5" x14ac:dyDescent="0.2">
      <c r="A408" s="43">
        <v>39920</v>
      </c>
      <c r="B408" s="44" t="s">
        <v>688</v>
      </c>
      <c r="C408" s="44" t="s">
        <v>1460</v>
      </c>
      <c r="D408" s="45" t="s">
        <v>1118</v>
      </c>
      <c r="E408" s="11"/>
      <c r="F408" s="12"/>
      <c r="G408" s="12"/>
      <c r="H408" s="12">
        <f>84*5</f>
        <v>420</v>
      </c>
      <c r="I408" s="12">
        <v>84</v>
      </c>
      <c r="J408" s="12"/>
      <c r="K408" s="12">
        <v>84</v>
      </c>
      <c r="L408" s="12"/>
      <c r="M408" s="12"/>
      <c r="N408" s="12"/>
      <c r="O408" s="12"/>
      <c r="P408" s="12"/>
      <c r="Q408" s="12"/>
      <c r="R408" s="12"/>
      <c r="S408" s="12"/>
      <c r="T408" s="13"/>
      <c r="U408" s="46"/>
      <c r="V408" s="47"/>
      <c r="W408" s="48">
        <f t="shared" si="43"/>
        <v>0</v>
      </c>
      <c r="X408" s="48">
        <f t="shared" si="44"/>
        <v>0</v>
      </c>
      <c r="Y408" s="48">
        <f t="shared" si="45"/>
        <v>0</v>
      </c>
      <c r="Z408" s="48">
        <f t="shared" si="46"/>
        <v>0</v>
      </c>
      <c r="AA408" s="48"/>
      <c r="AB408" s="48"/>
      <c r="AC408" s="49">
        <f t="shared" si="47"/>
        <v>0</v>
      </c>
      <c r="AD408" s="50">
        <v>0</v>
      </c>
      <c r="AE408" s="47">
        <v>39923</v>
      </c>
      <c r="AF408" s="51" t="s">
        <v>516</v>
      </c>
      <c r="AG408" s="52" t="s">
        <v>517</v>
      </c>
      <c r="AH408" s="53" t="s">
        <v>608</v>
      </c>
      <c r="AI408" s="79"/>
      <c r="AJ408" s="80"/>
      <c r="AK408" s="81"/>
      <c r="AL408" s="80"/>
      <c r="AM408" s="80"/>
      <c r="AN408" s="80"/>
      <c r="AO408" s="80"/>
      <c r="AP408" s="80"/>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0"/>
      <c r="CC408" s="80"/>
      <c r="CD408" s="80"/>
      <c r="CE408" s="80"/>
      <c r="CF408" s="80"/>
      <c r="CG408" s="80"/>
      <c r="CH408" s="80"/>
      <c r="CI408" s="80"/>
      <c r="CJ408" s="80"/>
      <c r="CK408" s="82"/>
      <c r="CL408" s="12"/>
      <c r="CM408" s="82"/>
      <c r="CN408" s="12"/>
      <c r="CO408" s="82"/>
      <c r="CP408" s="12"/>
      <c r="CQ408" s="83">
        <f t="shared" si="48"/>
        <v>0</v>
      </c>
      <c r="CR408" s="84"/>
      <c r="CS408" s="13"/>
      <c r="CT408" s="85"/>
      <c r="CU408" s="86"/>
      <c r="CV408" s="11"/>
      <c r="CW408" s="86"/>
      <c r="CX408" s="84"/>
      <c r="CY408" s="86"/>
    </row>
    <row r="409" spans="1:103" ht="165.75" x14ac:dyDescent="0.2">
      <c r="A409" s="43">
        <v>39922</v>
      </c>
      <c r="B409" s="44" t="s">
        <v>600</v>
      </c>
      <c r="C409" s="44" t="s">
        <v>607</v>
      </c>
      <c r="D409" s="45" t="s">
        <v>1092</v>
      </c>
      <c r="E409" s="11"/>
      <c r="F409" s="12"/>
      <c r="G409" s="12"/>
      <c r="H409" s="12"/>
      <c r="I409" s="12"/>
      <c r="J409" s="12"/>
      <c r="K409" s="12"/>
      <c r="L409" s="12"/>
      <c r="M409" s="12"/>
      <c r="N409" s="12"/>
      <c r="O409" s="12"/>
      <c r="P409" s="12"/>
      <c r="Q409" s="12"/>
      <c r="R409" s="12"/>
      <c r="S409" s="12"/>
      <c r="T409" s="13"/>
      <c r="U409" s="46"/>
      <c r="V409" s="47">
        <v>39918</v>
      </c>
      <c r="W409" s="48">
        <f t="shared" si="43"/>
        <v>0</v>
      </c>
      <c r="X409" s="48">
        <f t="shared" si="44"/>
        <v>0</v>
      </c>
      <c r="Y409" s="48">
        <f t="shared" si="45"/>
        <v>0</v>
      </c>
      <c r="Z409" s="48">
        <f t="shared" si="46"/>
        <v>0</v>
      </c>
      <c r="AA409" s="48"/>
      <c r="AB409" s="48">
        <v>100000000</v>
      </c>
      <c r="AC409" s="49">
        <f t="shared" si="47"/>
        <v>100000000</v>
      </c>
      <c r="AD409" s="50">
        <v>0</v>
      </c>
      <c r="AE409" s="47">
        <v>39923</v>
      </c>
      <c r="AF409" s="51" t="s">
        <v>1016</v>
      </c>
      <c r="AG409" s="52" t="s">
        <v>565</v>
      </c>
      <c r="AH409" s="53" t="s">
        <v>6</v>
      </c>
      <c r="AI409" s="79"/>
      <c r="AJ409" s="80"/>
      <c r="AK409" s="81"/>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2"/>
      <c r="CL409" s="12"/>
      <c r="CM409" s="82"/>
      <c r="CN409" s="12"/>
      <c r="CO409" s="82"/>
      <c r="CP409" s="12"/>
      <c r="CQ409" s="83">
        <f t="shared" si="48"/>
        <v>0</v>
      </c>
      <c r="CR409" s="84"/>
      <c r="CS409" s="13"/>
      <c r="CT409" s="85"/>
      <c r="CU409" s="86"/>
      <c r="CV409" s="11"/>
      <c r="CW409" s="86"/>
      <c r="CX409" s="84"/>
      <c r="CY409" s="86"/>
    </row>
    <row r="410" spans="1:103" ht="51" x14ac:dyDescent="0.2">
      <c r="A410" s="43">
        <v>39923</v>
      </c>
      <c r="B410" s="44" t="s">
        <v>1097</v>
      </c>
      <c r="C410" s="44" t="s">
        <v>388</v>
      </c>
      <c r="D410" s="45" t="s">
        <v>134</v>
      </c>
      <c r="E410" s="11"/>
      <c r="F410" s="12"/>
      <c r="G410" s="12"/>
      <c r="H410" s="12">
        <f>92*5</f>
        <v>460</v>
      </c>
      <c r="I410" s="12">
        <v>92</v>
      </c>
      <c r="J410" s="12"/>
      <c r="K410" s="12"/>
      <c r="L410" s="12">
        <v>2</v>
      </c>
      <c r="M410" s="12">
        <v>1</v>
      </c>
      <c r="N410" s="12"/>
      <c r="O410" s="12"/>
      <c r="P410" s="12"/>
      <c r="Q410" s="12"/>
      <c r="R410" s="12"/>
      <c r="S410" s="12"/>
      <c r="T410" s="13"/>
      <c r="U410" s="46" t="s">
        <v>389</v>
      </c>
      <c r="V410" s="47">
        <v>40156</v>
      </c>
      <c r="W410" s="48">
        <f t="shared" si="43"/>
        <v>17756000</v>
      </c>
      <c r="X410" s="48">
        <f t="shared" si="44"/>
        <v>16008000</v>
      </c>
      <c r="Y410" s="48">
        <f t="shared" si="45"/>
        <v>0</v>
      </c>
      <c r="Z410" s="48">
        <f t="shared" si="46"/>
        <v>0</v>
      </c>
      <c r="AA410" s="48"/>
      <c r="AB410" s="48"/>
      <c r="AC410" s="49">
        <f t="shared" si="47"/>
        <v>33764000</v>
      </c>
      <c r="AD410" s="50">
        <v>0</v>
      </c>
      <c r="AE410" s="47">
        <v>39938</v>
      </c>
      <c r="AF410" s="51" t="s">
        <v>1016</v>
      </c>
      <c r="AG410" s="52" t="s">
        <v>565</v>
      </c>
      <c r="AH410" s="53" t="s">
        <v>665</v>
      </c>
      <c r="AI410" s="79"/>
      <c r="AJ410" s="80"/>
      <c r="AK410" s="81"/>
      <c r="AL410" s="80"/>
      <c r="AM410" s="80"/>
      <c r="AN410" s="80"/>
      <c r="AO410" s="80"/>
      <c r="AP410" s="80"/>
      <c r="AQ410" s="80"/>
      <c r="AR410" s="80"/>
      <c r="AS410" s="80"/>
      <c r="AT410" s="80"/>
      <c r="AU410" s="80"/>
      <c r="AV410" s="80"/>
      <c r="AW410" s="80">
        <v>184</v>
      </c>
      <c r="AX410" s="80">
        <f>184*58000</f>
        <v>10672000</v>
      </c>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2">
        <v>92</v>
      </c>
      <c r="CL410" s="12">
        <f>92*39000</f>
        <v>3588000</v>
      </c>
      <c r="CM410" s="82">
        <v>92</v>
      </c>
      <c r="CN410" s="12">
        <f>92*38000</f>
        <v>3496000</v>
      </c>
      <c r="CO410" s="82"/>
      <c r="CP410" s="12"/>
      <c r="CQ410" s="83">
        <f t="shared" si="48"/>
        <v>17756000</v>
      </c>
      <c r="CR410" s="84"/>
      <c r="CS410" s="13"/>
      <c r="CT410" s="85">
        <v>184</v>
      </c>
      <c r="CU410" s="86">
        <f>184*87000</f>
        <v>16008000</v>
      </c>
      <c r="CV410" s="11"/>
      <c r="CW410" s="86"/>
      <c r="CX410" s="84"/>
      <c r="CY410" s="86"/>
    </row>
    <row r="411" spans="1:103" ht="25.5" x14ac:dyDescent="0.2">
      <c r="A411" s="43">
        <v>39923</v>
      </c>
      <c r="B411" s="44" t="s">
        <v>481</v>
      </c>
      <c r="C411" s="44" t="s">
        <v>190</v>
      </c>
      <c r="D411" s="45" t="s">
        <v>1117</v>
      </c>
      <c r="E411" s="11"/>
      <c r="F411" s="12"/>
      <c r="G411" s="12"/>
      <c r="H411" s="12">
        <v>90</v>
      </c>
      <c r="I411" s="12">
        <v>18</v>
      </c>
      <c r="J411" s="12"/>
      <c r="K411" s="12">
        <v>18</v>
      </c>
      <c r="L411" s="12"/>
      <c r="M411" s="12"/>
      <c r="N411" s="12"/>
      <c r="O411" s="12"/>
      <c r="P411" s="12"/>
      <c r="Q411" s="12"/>
      <c r="R411" s="12"/>
      <c r="S411" s="12"/>
      <c r="T411" s="13"/>
      <c r="U411" s="46"/>
      <c r="V411" s="47"/>
      <c r="W411" s="48">
        <f t="shared" si="43"/>
        <v>0</v>
      </c>
      <c r="X411" s="48">
        <f t="shared" si="44"/>
        <v>0</v>
      </c>
      <c r="Y411" s="48">
        <f t="shared" si="45"/>
        <v>0</v>
      </c>
      <c r="Z411" s="48">
        <f t="shared" si="46"/>
        <v>0</v>
      </c>
      <c r="AA411" s="48"/>
      <c r="AB411" s="48"/>
      <c r="AC411" s="49">
        <f t="shared" si="47"/>
        <v>0</v>
      </c>
      <c r="AD411" s="50">
        <v>0</v>
      </c>
      <c r="AE411" s="47">
        <v>39930</v>
      </c>
      <c r="AF411" s="51" t="s">
        <v>516</v>
      </c>
      <c r="AG411" s="52" t="s">
        <v>517</v>
      </c>
      <c r="AH411" s="53" t="s">
        <v>544</v>
      </c>
      <c r="AI411" s="79"/>
      <c r="AJ411" s="80"/>
      <c r="AK411" s="81"/>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2"/>
      <c r="CL411" s="12"/>
      <c r="CM411" s="82"/>
      <c r="CN411" s="12"/>
      <c r="CO411" s="82"/>
      <c r="CP411" s="12"/>
      <c r="CQ411" s="83">
        <f t="shared" si="48"/>
        <v>0</v>
      </c>
      <c r="CR411" s="84"/>
      <c r="CS411" s="13"/>
      <c r="CT411" s="85"/>
      <c r="CU411" s="86"/>
      <c r="CV411" s="11"/>
      <c r="CW411" s="86"/>
      <c r="CX411" s="84"/>
      <c r="CY411" s="86"/>
    </row>
    <row r="412" spans="1:103" ht="25.5" x14ac:dyDescent="0.2">
      <c r="A412" s="43">
        <v>39924</v>
      </c>
      <c r="B412" s="44" t="s">
        <v>1097</v>
      </c>
      <c r="C412" s="44" t="s">
        <v>785</v>
      </c>
      <c r="D412" s="45" t="s">
        <v>1095</v>
      </c>
      <c r="E412" s="11">
        <v>8</v>
      </c>
      <c r="F412" s="12">
        <v>5</v>
      </c>
      <c r="G412" s="12"/>
      <c r="H412" s="12"/>
      <c r="I412" s="12"/>
      <c r="J412" s="12"/>
      <c r="K412" s="12"/>
      <c r="L412" s="12"/>
      <c r="M412" s="12"/>
      <c r="N412" s="12"/>
      <c r="O412" s="12"/>
      <c r="P412" s="12"/>
      <c r="Q412" s="12"/>
      <c r="R412" s="12"/>
      <c r="S412" s="12"/>
      <c r="T412" s="13"/>
      <c r="U412" s="46"/>
      <c r="V412" s="47"/>
      <c r="W412" s="48">
        <f t="shared" si="43"/>
        <v>0</v>
      </c>
      <c r="X412" s="48">
        <f t="shared" si="44"/>
        <v>0</v>
      </c>
      <c r="Y412" s="48">
        <f t="shared" si="45"/>
        <v>0</v>
      </c>
      <c r="Z412" s="48">
        <f t="shared" si="46"/>
        <v>0</v>
      </c>
      <c r="AA412" s="48"/>
      <c r="AB412" s="48"/>
      <c r="AC412" s="49">
        <f t="shared" si="47"/>
        <v>0</v>
      </c>
      <c r="AD412" s="50">
        <v>0</v>
      </c>
      <c r="AE412" s="47">
        <v>39924</v>
      </c>
      <c r="AF412" s="51" t="s">
        <v>516</v>
      </c>
      <c r="AG412" s="52" t="s">
        <v>517</v>
      </c>
      <c r="AH412" s="53" t="s">
        <v>91</v>
      </c>
      <c r="AI412" s="79"/>
      <c r="AJ412" s="80"/>
      <c r="AK412" s="81"/>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2"/>
      <c r="CL412" s="12"/>
      <c r="CM412" s="82"/>
      <c r="CN412" s="12"/>
      <c r="CO412" s="82"/>
      <c r="CP412" s="12"/>
      <c r="CQ412" s="83">
        <f t="shared" si="48"/>
        <v>0</v>
      </c>
      <c r="CR412" s="84"/>
      <c r="CS412" s="13"/>
      <c r="CT412" s="85"/>
      <c r="CU412" s="86"/>
      <c r="CV412" s="11"/>
      <c r="CW412" s="86"/>
      <c r="CX412" s="84"/>
      <c r="CY412" s="86"/>
    </row>
    <row r="413" spans="1:103" ht="25.5" x14ac:dyDescent="0.2">
      <c r="A413" s="43">
        <v>39924</v>
      </c>
      <c r="B413" s="44" t="s">
        <v>1127</v>
      </c>
      <c r="C413" s="44" t="s">
        <v>180</v>
      </c>
      <c r="D413" s="45" t="s">
        <v>1092</v>
      </c>
      <c r="E413" s="11"/>
      <c r="F413" s="12"/>
      <c r="G413" s="12"/>
      <c r="H413" s="12">
        <v>450</v>
      </c>
      <c r="I413" s="12">
        <v>90</v>
      </c>
      <c r="J413" s="12"/>
      <c r="K413" s="12">
        <v>90</v>
      </c>
      <c r="L413" s="12"/>
      <c r="M413" s="12"/>
      <c r="N413" s="12"/>
      <c r="O413" s="12"/>
      <c r="P413" s="12"/>
      <c r="Q413" s="12"/>
      <c r="R413" s="12"/>
      <c r="S413" s="12"/>
      <c r="T413" s="13"/>
      <c r="U413" s="46"/>
      <c r="V413" s="47"/>
      <c r="W413" s="48">
        <f t="shared" si="43"/>
        <v>0</v>
      </c>
      <c r="X413" s="48">
        <f t="shared" si="44"/>
        <v>0</v>
      </c>
      <c r="Y413" s="48">
        <f t="shared" si="45"/>
        <v>0</v>
      </c>
      <c r="Z413" s="48">
        <f t="shared" si="46"/>
        <v>0</v>
      </c>
      <c r="AA413" s="48"/>
      <c r="AB413" s="48"/>
      <c r="AC413" s="49">
        <f t="shared" si="47"/>
        <v>0</v>
      </c>
      <c r="AD413" s="50">
        <v>0</v>
      </c>
      <c r="AE413" s="47">
        <v>39925</v>
      </c>
      <c r="AF413" s="51" t="s">
        <v>516</v>
      </c>
      <c r="AG413" s="52" t="s">
        <v>517</v>
      </c>
      <c r="AH413" s="53" t="s">
        <v>313</v>
      </c>
      <c r="AI413" s="79"/>
      <c r="AJ413" s="80"/>
      <c r="AK413" s="81"/>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0"/>
      <c r="CD413" s="80"/>
      <c r="CE413" s="80"/>
      <c r="CF413" s="80"/>
      <c r="CG413" s="80"/>
      <c r="CH413" s="80"/>
      <c r="CI413" s="80"/>
      <c r="CJ413" s="80"/>
      <c r="CK413" s="82"/>
      <c r="CL413" s="12"/>
      <c r="CM413" s="82"/>
      <c r="CN413" s="12"/>
      <c r="CO413" s="82"/>
      <c r="CP413" s="12"/>
      <c r="CQ413" s="83">
        <f t="shared" si="48"/>
        <v>0</v>
      </c>
      <c r="CR413" s="84"/>
      <c r="CS413" s="13"/>
      <c r="CT413" s="85"/>
      <c r="CU413" s="86"/>
      <c r="CV413" s="11"/>
      <c r="CW413" s="86"/>
      <c r="CX413" s="84"/>
      <c r="CY413" s="86"/>
    </row>
    <row r="414" spans="1:103" ht="25.5" x14ac:dyDescent="0.2">
      <c r="A414" s="43">
        <v>39924</v>
      </c>
      <c r="B414" s="44" t="s">
        <v>1127</v>
      </c>
      <c r="C414" s="44" t="s">
        <v>920</v>
      </c>
      <c r="D414" s="45" t="s">
        <v>1092</v>
      </c>
      <c r="E414" s="11"/>
      <c r="F414" s="12"/>
      <c r="G414" s="12"/>
      <c r="H414" s="12">
        <v>80</v>
      </c>
      <c r="I414" s="12">
        <v>16</v>
      </c>
      <c r="J414" s="12"/>
      <c r="K414" s="12">
        <v>16</v>
      </c>
      <c r="L414" s="12"/>
      <c r="M414" s="12"/>
      <c r="N414" s="12"/>
      <c r="O414" s="12"/>
      <c r="P414" s="12"/>
      <c r="Q414" s="12"/>
      <c r="R414" s="12"/>
      <c r="S414" s="12"/>
      <c r="T414" s="13"/>
      <c r="U414" s="46"/>
      <c r="V414" s="47"/>
      <c r="W414" s="48">
        <f t="shared" si="43"/>
        <v>0</v>
      </c>
      <c r="X414" s="48">
        <f t="shared" si="44"/>
        <v>0</v>
      </c>
      <c r="Y414" s="48">
        <f t="shared" si="45"/>
        <v>0</v>
      </c>
      <c r="Z414" s="48">
        <f t="shared" si="46"/>
        <v>0</v>
      </c>
      <c r="AA414" s="48"/>
      <c r="AB414" s="48"/>
      <c r="AC414" s="49">
        <f t="shared" si="47"/>
        <v>0</v>
      </c>
      <c r="AD414" s="50">
        <v>0</v>
      </c>
      <c r="AE414" s="47">
        <v>39930</v>
      </c>
      <c r="AF414" s="51" t="s">
        <v>516</v>
      </c>
      <c r="AG414" s="52" t="s">
        <v>517</v>
      </c>
      <c r="AH414" s="53" t="s">
        <v>544</v>
      </c>
      <c r="AI414" s="79"/>
      <c r="AJ414" s="80"/>
      <c r="AK414" s="81"/>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80"/>
      <c r="CJ414" s="80"/>
      <c r="CK414" s="82"/>
      <c r="CL414" s="12"/>
      <c r="CM414" s="82"/>
      <c r="CN414" s="12"/>
      <c r="CO414" s="82"/>
      <c r="CP414" s="12"/>
      <c r="CQ414" s="83">
        <f t="shared" si="48"/>
        <v>0</v>
      </c>
      <c r="CR414" s="84"/>
      <c r="CS414" s="13"/>
      <c r="CT414" s="85"/>
      <c r="CU414" s="86"/>
      <c r="CV414" s="11"/>
      <c r="CW414" s="86"/>
      <c r="CX414" s="84"/>
      <c r="CY414" s="86"/>
    </row>
    <row r="415" spans="1:103" ht="25.5" x14ac:dyDescent="0.2">
      <c r="A415" s="43">
        <v>39924</v>
      </c>
      <c r="B415" s="44" t="s">
        <v>437</v>
      </c>
      <c r="C415" s="44" t="s">
        <v>164</v>
      </c>
      <c r="D415" s="45" t="s">
        <v>1118</v>
      </c>
      <c r="E415" s="11"/>
      <c r="F415" s="12"/>
      <c r="G415" s="12"/>
      <c r="H415" s="12">
        <f>50*5</f>
        <v>250</v>
      </c>
      <c r="I415" s="12">
        <v>50</v>
      </c>
      <c r="J415" s="12"/>
      <c r="K415" s="12">
        <v>50</v>
      </c>
      <c r="L415" s="12"/>
      <c r="M415" s="12"/>
      <c r="N415" s="12"/>
      <c r="O415" s="12"/>
      <c r="P415" s="12"/>
      <c r="Q415" s="12"/>
      <c r="R415" s="12"/>
      <c r="S415" s="12"/>
      <c r="T415" s="13"/>
      <c r="U415" s="46"/>
      <c r="V415" s="47"/>
      <c r="W415" s="48">
        <f t="shared" si="43"/>
        <v>0</v>
      </c>
      <c r="X415" s="48">
        <f t="shared" si="44"/>
        <v>0</v>
      </c>
      <c r="Y415" s="48">
        <f t="shared" si="45"/>
        <v>0</v>
      </c>
      <c r="Z415" s="48">
        <f t="shared" si="46"/>
        <v>0</v>
      </c>
      <c r="AA415" s="48"/>
      <c r="AB415" s="48"/>
      <c r="AC415" s="49">
        <f t="shared" si="47"/>
        <v>0</v>
      </c>
      <c r="AD415" s="50">
        <v>0</v>
      </c>
      <c r="AE415" s="47">
        <v>39954</v>
      </c>
      <c r="AF415" s="51" t="s">
        <v>516</v>
      </c>
      <c r="AG415" s="52" t="s">
        <v>517</v>
      </c>
      <c r="AH415" s="53" t="s">
        <v>165</v>
      </c>
      <c r="AI415" s="79"/>
      <c r="AJ415" s="80"/>
      <c r="AK415" s="81"/>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2"/>
      <c r="CL415" s="12"/>
      <c r="CM415" s="82"/>
      <c r="CN415" s="12"/>
      <c r="CO415" s="82"/>
      <c r="CP415" s="12"/>
      <c r="CQ415" s="83">
        <f t="shared" si="48"/>
        <v>0</v>
      </c>
      <c r="CR415" s="84"/>
      <c r="CS415" s="13"/>
      <c r="CT415" s="85"/>
      <c r="CU415" s="86"/>
      <c r="CV415" s="11"/>
      <c r="CW415" s="86"/>
      <c r="CX415" s="84"/>
      <c r="CY415" s="86"/>
    </row>
    <row r="416" spans="1:103" ht="25.5" x14ac:dyDescent="0.2">
      <c r="A416" s="43">
        <v>39925</v>
      </c>
      <c r="B416" s="44" t="s">
        <v>1067</v>
      </c>
      <c r="C416" s="44" t="s">
        <v>1076</v>
      </c>
      <c r="D416" s="45" t="s">
        <v>1117</v>
      </c>
      <c r="E416" s="11"/>
      <c r="F416" s="12"/>
      <c r="G416" s="12"/>
      <c r="H416" s="12">
        <v>20</v>
      </c>
      <c r="I416" s="12">
        <v>3</v>
      </c>
      <c r="J416" s="12">
        <v>1</v>
      </c>
      <c r="K416" s="12">
        <v>2</v>
      </c>
      <c r="L416" s="12"/>
      <c r="M416" s="12"/>
      <c r="N416" s="12"/>
      <c r="O416" s="12"/>
      <c r="P416" s="12"/>
      <c r="Q416" s="12"/>
      <c r="R416" s="12"/>
      <c r="S416" s="12"/>
      <c r="T416" s="13"/>
      <c r="U416" s="46"/>
      <c r="V416" s="47"/>
      <c r="W416" s="48">
        <f t="shared" si="43"/>
        <v>0</v>
      </c>
      <c r="X416" s="48">
        <f t="shared" si="44"/>
        <v>0</v>
      </c>
      <c r="Y416" s="48">
        <f t="shared" si="45"/>
        <v>0</v>
      </c>
      <c r="Z416" s="48">
        <f t="shared" si="46"/>
        <v>0</v>
      </c>
      <c r="AA416" s="48"/>
      <c r="AB416" s="48"/>
      <c r="AC416" s="49">
        <f t="shared" si="47"/>
        <v>0</v>
      </c>
      <c r="AD416" s="50">
        <v>0</v>
      </c>
      <c r="AE416" s="47">
        <v>39925</v>
      </c>
      <c r="AF416" s="51" t="s">
        <v>516</v>
      </c>
      <c r="AG416" s="52" t="s">
        <v>517</v>
      </c>
      <c r="AH416" s="53" t="s">
        <v>758</v>
      </c>
      <c r="AI416" s="79"/>
      <c r="AJ416" s="80"/>
      <c r="AK416" s="81"/>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0"/>
      <c r="CD416" s="80"/>
      <c r="CE416" s="80"/>
      <c r="CF416" s="80"/>
      <c r="CG416" s="80"/>
      <c r="CH416" s="80"/>
      <c r="CI416" s="80"/>
      <c r="CJ416" s="80"/>
      <c r="CK416" s="82"/>
      <c r="CL416" s="12"/>
      <c r="CM416" s="82"/>
      <c r="CN416" s="12"/>
      <c r="CO416" s="82"/>
      <c r="CP416" s="12"/>
      <c r="CQ416" s="83">
        <f t="shared" si="48"/>
        <v>0</v>
      </c>
      <c r="CR416" s="84"/>
      <c r="CS416" s="13"/>
      <c r="CT416" s="85"/>
      <c r="CU416" s="86"/>
      <c r="CV416" s="11"/>
      <c r="CW416" s="86"/>
      <c r="CX416" s="84"/>
      <c r="CY416" s="86"/>
    </row>
    <row r="417" spans="1:103" ht="12.75" x14ac:dyDescent="0.2">
      <c r="A417" s="43">
        <v>39925</v>
      </c>
      <c r="B417" s="44" t="s">
        <v>688</v>
      </c>
      <c r="C417" s="44" t="s">
        <v>670</v>
      </c>
      <c r="D417" s="45" t="s">
        <v>1118</v>
      </c>
      <c r="E417" s="11"/>
      <c r="F417" s="12"/>
      <c r="G417" s="12"/>
      <c r="H417" s="12">
        <v>660</v>
      </c>
      <c r="I417" s="12">
        <v>132</v>
      </c>
      <c r="J417" s="12"/>
      <c r="K417" s="12">
        <v>60</v>
      </c>
      <c r="L417" s="12"/>
      <c r="M417" s="12"/>
      <c r="N417" s="12"/>
      <c r="O417" s="12"/>
      <c r="P417" s="12"/>
      <c r="Q417" s="12"/>
      <c r="R417" s="12"/>
      <c r="S417" s="12"/>
      <c r="T417" s="13">
        <v>571</v>
      </c>
      <c r="U417" s="46"/>
      <c r="V417" s="47"/>
      <c r="W417" s="48">
        <f t="shared" si="43"/>
        <v>0</v>
      </c>
      <c r="X417" s="48">
        <f t="shared" si="44"/>
        <v>0</v>
      </c>
      <c r="Y417" s="48">
        <f t="shared" si="45"/>
        <v>0</v>
      </c>
      <c r="Z417" s="48">
        <f t="shared" si="46"/>
        <v>0</v>
      </c>
      <c r="AA417" s="48"/>
      <c r="AB417" s="48"/>
      <c r="AC417" s="49">
        <f t="shared" si="47"/>
        <v>0</v>
      </c>
      <c r="AD417" s="50">
        <v>0</v>
      </c>
      <c r="AE417" s="47">
        <v>39996</v>
      </c>
      <c r="AF417" s="51" t="s">
        <v>1016</v>
      </c>
      <c r="AG417" s="52" t="s">
        <v>565</v>
      </c>
      <c r="AH417" s="53" t="s">
        <v>317</v>
      </c>
      <c r="AI417" s="79"/>
      <c r="AJ417" s="80"/>
      <c r="AK417" s="81"/>
      <c r="AL417" s="80"/>
      <c r="AM417" s="80"/>
      <c r="AN417" s="80"/>
      <c r="AO417" s="80"/>
      <c r="AP417" s="80"/>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0"/>
      <c r="CC417" s="80"/>
      <c r="CD417" s="80"/>
      <c r="CE417" s="80"/>
      <c r="CF417" s="80"/>
      <c r="CG417" s="80"/>
      <c r="CH417" s="80"/>
      <c r="CI417" s="80"/>
      <c r="CJ417" s="80"/>
      <c r="CK417" s="82"/>
      <c r="CL417" s="12"/>
      <c r="CM417" s="82"/>
      <c r="CN417" s="12"/>
      <c r="CO417" s="82"/>
      <c r="CP417" s="12"/>
      <c r="CQ417" s="83">
        <f t="shared" si="48"/>
        <v>0</v>
      </c>
      <c r="CR417" s="84"/>
      <c r="CS417" s="13"/>
      <c r="CT417" s="85"/>
      <c r="CU417" s="86"/>
      <c r="CV417" s="11"/>
      <c r="CW417" s="86"/>
      <c r="CX417" s="84"/>
      <c r="CY417" s="86"/>
    </row>
    <row r="418" spans="1:103" ht="25.5" x14ac:dyDescent="0.2">
      <c r="A418" s="43">
        <v>39925</v>
      </c>
      <c r="B418" s="44" t="s">
        <v>688</v>
      </c>
      <c r="C418" s="44" t="s">
        <v>671</v>
      </c>
      <c r="D418" s="45" t="s">
        <v>1117</v>
      </c>
      <c r="E418" s="11"/>
      <c r="F418" s="12"/>
      <c r="G418" s="12"/>
      <c r="H418" s="12">
        <v>285</v>
      </c>
      <c r="I418" s="12">
        <v>57</v>
      </c>
      <c r="J418" s="12"/>
      <c r="K418" s="12">
        <v>57</v>
      </c>
      <c r="L418" s="12"/>
      <c r="M418" s="12"/>
      <c r="N418" s="12"/>
      <c r="O418" s="12"/>
      <c r="P418" s="12"/>
      <c r="Q418" s="12"/>
      <c r="R418" s="12"/>
      <c r="S418" s="12"/>
      <c r="T418" s="13"/>
      <c r="U418" s="46"/>
      <c r="V418" s="47"/>
      <c r="W418" s="48">
        <f t="shared" si="43"/>
        <v>0</v>
      </c>
      <c r="X418" s="48">
        <f t="shared" si="44"/>
        <v>0</v>
      </c>
      <c r="Y418" s="48">
        <f t="shared" si="45"/>
        <v>0</v>
      </c>
      <c r="Z418" s="48">
        <f t="shared" si="46"/>
        <v>0</v>
      </c>
      <c r="AA418" s="48"/>
      <c r="AB418" s="48"/>
      <c r="AC418" s="49">
        <f t="shared" si="47"/>
        <v>0</v>
      </c>
      <c r="AD418" s="50">
        <v>0</v>
      </c>
      <c r="AE418" s="47">
        <v>39996</v>
      </c>
      <c r="AF418" s="51" t="s">
        <v>1016</v>
      </c>
      <c r="AG418" s="52" t="s">
        <v>565</v>
      </c>
      <c r="AH418" s="53" t="s">
        <v>317</v>
      </c>
      <c r="AI418" s="79"/>
      <c r="AJ418" s="80"/>
      <c r="AK418" s="81"/>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2"/>
      <c r="CL418" s="12"/>
      <c r="CM418" s="82"/>
      <c r="CN418" s="12"/>
      <c r="CO418" s="82"/>
      <c r="CP418" s="12"/>
      <c r="CQ418" s="83">
        <f t="shared" si="48"/>
        <v>0</v>
      </c>
      <c r="CR418" s="84"/>
      <c r="CS418" s="13"/>
      <c r="CT418" s="85"/>
      <c r="CU418" s="86"/>
      <c r="CV418" s="11"/>
      <c r="CW418" s="86"/>
      <c r="CX418" s="84"/>
      <c r="CY418" s="86"/>
    </row>
    <row r="419" spans="1:103" ht="25.5" x14ac:dyDescent="0.2">
      <c r="A419" s="43">
        <v>39925</v>
      </c>
      <c r="B419" s="44" t="s">
        <v>437</v>
      </c>
      <c r="C419" s="44" t="s">
        <v>1013</v>
      </c>
      <c r="D419" s="45" t="s">
        <v>1118</v>
      </c>
      <c r="E419" s="11"/>
      <c r="F419" s="12"/>
      <c r="G419" s="12"/>
      <c r="H419" s="12">
        <v>300</v>
      </c>
      <c r="I419" s="12">
        <v>60</v>
      </c>
      <c r="J419" s="12"/>
      <c r="K419" s="12">
        <v>60</v>
      </c>
      <c r="L419" s="12"/>
      <c r="M419" s="12"/>
      <c r="N419" s="12"/>
      <c r="O419" s="12"/>
      <c r="P419" s="12"/>
      <c r="Q419" s="12"/>
      <c r="R419" s="12"/>
      <c r="S419" s="12"/>
      <c r="T419" s="13"/>
      <c r="U419" s="46"/>
      <c r="V419" s="47"/>
      <c r="W419" s="48">
        <f t="shared" si="43"/>
        <v>0</v>
      </c>
      <c r="X419" s="48">
        <f t="shared" si="44"/>
        <v>0</v>
      </c>
      <c r="Y419" s="48">
        <f t="shared" si="45"/>
        <v>0</v>
      </c>
      <c r="Z419" s="48">
        <f t="shared" si="46"/>
        <v>0</v>
      </c>
      <c r="AA419" s="48"/>
      <c r="AB419" s="48"/>
      <c r="AC419" s="49">
        <f t="shared" si="47"/>
        <v>0</v>
      </c>
      <c r="AD419" s="50">
        <v>0</v>
      </c>
      <c r="AE419" s="47">
        <v>39925</v>
      </c>
      <c r="AF419" s="51" t="s">
        <v>516</v>
      </c>
      <c r="AG419" s="52" t="s">
        <v>517</v>
      </c>
      <c r="AH419" s="53" t="s">
        <v>313</v>
      </c>
      <c r="AI419" s="79"/>
      <c r="AJ419" s="80"/>
      <c r="AK419" s="81"/>
      <c r="AL419" s="80"/>
      <c r="AM419" s="80"/>
      <c r="AN419" s="80"/>
      <c r="AO419" s="80"/>
      <c r="AP419" s="80"/>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2"/>
      <c r="CL419" s="12"/>
      <c r="CM419" s="82"/>
      <c r="CN419" s="12"/>
      <c r="CO419" s="82"/>
      <c r="CP419" s="12"/>
      <c r="CQ419" s="83">
        <f t="shared" si="48"/>
        <v>0</v>
      </c>
      <c r="CR419" s="84"/>
      <c r="CS419" s="13"/>
      <c r="CT419" s="85"/>
      <c r="CU419" s="86"/>
      <c r="CV419" s="11"/>
      <c r="CW419" s="86"/>
      <c r="CX419" s="84"/>
      <c r="CY419" s="86"/>
    </row>
    <row r="420" spans="1:103" ht="25.5" x14ac:dyDescent="0.2">
      <c r="A420" s="43">
        <v>39925</v>
      </c>
      <c r="B420" s="44" t="s">
        <v>437</v>
      </c>
      <c r="C420" s="44" t="s">
        <v>1454</v>
      </c>
      <c r="D420" s="45" t="s">
        <v>1118</v>
      </c>
      <c r="E420" s="11"/>
      <c r="F420" s="12"/>
      <c r="G420" s="12"/>
      <c r="H420" s="12"/>
      <c r="I420" s="12"/>
      <c r="J420" s="12"/>
      <c r="K420" s="12"/>
      <c r="L420" s="12"/>
      <c r="M420" s="12"/>
      <c r="N420" s="12"/>
      <c r="O420" s="12"/>
      <c r="P420" s="12"/>
      <c r="Q420" s="12"/>
      <c r="R420" s="12"/>
      <c r="S420" s="12"/>
      <c r="T420" s="13"/>
      <c r="U420" s="46"/>
      <c r="V420" s="47"/>
      <c r="W420" s="48">
        <f t="shared" si="43"/>
        <v>0</v>
      </c>
      <c r="X420" s="48">
        <f t="shared" si="44"/>
        <v>0</v>
      </c>
      <c r="Y420" s="48">
        <f t="shared" si="45"/>
        <v>0</v>
      </c>
      <c r="Z420" s="48">
        <f t="shared" si="46"/>
        <v>89900000</v>
      </c>
      <c r="AA420" s="48"/>
      <c r="AB420" s="48"/>
      <c r="AC420" s="49">
        <f t="shared" si="47"/>
        <v>89900000</v>
      </c>
      <c r="AD420" s="50">
        <v>0</v>
      </c>
      <c r="AE420" s="47">
        <v>39925</v>
      </c>
      <c r="AF420" s="51" t="s">
        <v>1016</v>
      </c>
      <c r="AG420" s="52" t="s">
        <v>565</v>
      </c>
      <c r="AH420" s="53" t="s">
        <v>886</v>
      </c>
      <c r="AI420" s="79"/>
      <c r="AJ420" s="80"/>
      <c r="AK420" s="81"/>
      <c r="AL420" s="80"/>
      <c r="AM420" s="80"/>
      <c r="AN420" s="80"/>
      <c r="AO420" s="80"/>
      <c r="AP420" s="80"/>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0"/>
      <c r="CC420" s="80"/>
      <c r="CD420" s="80"/>
      <c r="CE420" s="80"/>
      <c r="CF420" s="80"/>
      <c r="CG420" s="80"/>
      <c r="CH420" s="80"/>
      <c r="CI420" s="80"/>
      <c r="CJ420" s="80"/>
      <c r="CK420" s="82"/>
      <c r="CL420" s="12"/>
      <c r="CM420" s="82"/>
      <c r="CN420" s="12"/>
      <c r="CO420" s="82"/>
      <c r="CP420" s="12"/>
      <c r="CQ420" s="83">
        <f t="shared" si="48"/>
        <v>0</v>
      </c>
      <c r="CR420" s="84">
        <v>100000</v>
      </c>
      <c r="CS420" s="13">
        <f>100000*899</f>
        <v>89900000</v>
      </c>
      <c r="CT420" s="85"/>
      <c r="CU420" s="86"/>
      <c r="CV420" s="11"/>
      <c r="CW420" s="86"/>
      <c r="CX420" s="84"/>
      <c r="CY420" s="86"/>
    </row>
    <row r="421" spans="1:103" ht="38.25" x14ac:dyDescent="0.2">
      <c r="A421" s="43">
        <v>39925</v>
      </c>
      <c r="B421" s="44" t="s">
        <v>781</v>
      </c>
      <c r="C421" s="44" t="s">
        <v>1011</v>
      </c>
      <c r="D421" s="45" t="s">
        <v>1117</v>
      </c>
      <c r="E421" s="11">
        <v>1</v>
      </c>
      <c r="F421" s="12">
        <v>12</v>
      </c>
      <c r="G421" s="12"/>
      <c r="H421" s="12"/>
      <c r="I421" s="12"/>
      <c r="J421" s="12"/>
      <c r="K421" s="12"/>
      <c r="L421" s="12"/>
      <c r="M421" s="12"/>
      <c r="N421" s="12"/>
      <c r="O421" s="12"/>
      <c r="P421" s="12"/>
      <c r="Q421" s="12"/>
      <c r="R421" s="12">
        <v>1</v>
      </c>
      <c r="S421" s="12"/>
      <c r="T421" s="13"/>
      <c r="U421" s="46"/>
      <c r="V421" s="47"/>
      <c r="W421" s="48">
        <f t="shared" si="43"/>
        <v>0</v>
      </c>
      <c r="X421" s="48">
        <f t="shared" si="44"/>
        <v>0</v>
      </c>
      <c r="Y421" s="48">
        <f t="shared" si="45"/>
        <v>0</v>
      </c>
      <c r="Z421" s="48">
        <f t="shared" si="46"/>
        <v>0</v>
      </c>
      <c r="AA421" s="48"/>
      <c r="AB421" s="48"/>
      <c r="AC421" s="49">
        <f t="shared" si="47"/>
        <v>0</v>
      </c>
      <c r="AD421" s="50">
        <v>0</v>
      </c>
      <c r="AE421" s="47">
        <v>39925</v>
      </c>
      <c r="AF421" s="51" t="s">
        <v>516</v>
      </c>
      <c r="AG421" s="52" t="s">
        <v>517</v>
      </c>
      <c r="AH421" s="53" t="s">
        <v>1012</v>
      </c>
      <c r="AI421" s="79"/>
      <c r="AJ421" s="80"/>
      <c r="AK421" s="81"/>
      <c r="AL421" s="80"/>
      <c r="AM421" s="80"/>
      <c r="AN421" s="80"/>
      <c r="AO421" s="80"/>
      <c r="AP421" s="80"/>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2"/>
      <c r="CL421" s="12"/>
      <c r="CM421" s="82"/>
      <c r="CN421" s="12"/>
      <c r="CO421" s="82"/>
      <c r="CP421" s="12"/>
      <c r="CQ421" s="83">
        <f t="shared" si="48"/>
        <v>0</v>
      </c>
      <c r="CR421" s="84"/>
      <c r="CS421" s="13"/>
      <c r="CT421" s="85"/>
      <c r="CU421" s="86"/>
      <c r="CV421" s="11"/>
      <c r="CW421" s="86"/>
      <c r="CX421" s="84"/>
      <c r="CY421" s="86"/>
    </row>
    <row r="422" spans="1:103" ht="102" x14ac:dyDescent="0.2">
      <c r="A422" s="43">
        <v>39926</v>
      </c>
      <c r="B422" s="44" t="s">
        <v>1094</v>
      </c>
      <c r="C422" s="44" t="s">
        <v>1010</v>
      </c>
      <c r="D422" s="45" t="s">
        <v>134</v>
      </c>
      <c r="E422" s="11">
        <v>2</v>
      </c>
      <c r="F422" s="12">
        <v>8</v>
      </c>
      <c r="G422" s="12"/>
      <c r="H422" s="12">
        <v>2030</v>
      </c>
      <c r="I422" s="12">
        <v>401</v>
      </c>
      <c r="J422" s="12">
        <v>217</v>
      </c>
      <c r="K422" s="12">
        <v>184</v>
      </c>
      <c r="L422" s="12"/>
      <c r="M422" s="12"/>
      <c r="N422" s="12"/>
      <c r="O422" s="12"/>
      <c r="P422" s="12"/>
      <c r="Q422" s="12"/>
      <c r="R422" s="12"/>
      <c r="S422" s="12"/>
      <c r="T422" s="13"/>
      <c r="U422" s="46" t="s">
        <v>916</v>
      </c>
      <c r="V422" s="47">
        <v>39946</v>
      </c>
      <c r="W422" s="48">
        <f t="shared" si="43"/>
        <v>30666720</v>
      </c>
      <c r="X422" s="48">
        <f t="shared" si="44"/>
        <v>85000000</v>
      </c>
      <c r="Y422" s="48">
        <f t="shared" si="45"/>
        <v>45704000</v>
      </c>
      <c r="Z422" s="48">
        <f t="shared" si="46"/>
        <v>0</v>
      </c>
      <c r="AA422" s="48"/>
      <c r="AB422" s="48"/>
      <c r="AC422" s="49">
        <f t="shared" si="47"/>
        <v>161370720</v>
      </c>
      <c r="AD422" s="50">
        <v>0</v>
      </c>
      <c r="AE422" s="47">
        <v>39925</v>
      </c>
      <c r="AF422" s="51" t="s">
        <v>1016</v>
      </c>
      <c r="AG422" s="52" t="s">
        <v>565</v>
      </c>
      <c r="AH422" s="53" t="s">
        <v>915</v>
      </c>
      <c r="AI422" s="79"/>
      <c r="AJ422" s="80"/>
      <c r="AK422" s="81"/>
      <c r="AL422" s="80"/>
      <c r="AM422" s="80"/>
      <c r="AN422" s="80"/>
      <c r="AO422" s="80"/>
      <c r="AP422" s="80"/>
      <c r="AQ422" s="80"/>
      <c r="AR422" s="80"/>
      <c r="AS422" s="80"/>
      <c r="AT422" s="80"/>
      <c r="AU422" s="80">
        <v>500</v>
      </c>
      <c r="AV422" s="80">
        <f>500*55812.24</f>
        <v>27906120</v>
      </c>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v>5</v>
      </c>
      <c r="BV422" s="80">
        <f>5*552120</f>
        <v>2760600</v>
      </c>
      <c r="BW422" s="80"/>
      <c r="BX422" s="80"/>
      <c r="BY422" s="80"/>
      <c r="BZ422" s="80"/>
      <c r="CA422" s="80"/>
      <c r="CB422" s="80"/>
      <c r="CC422" s="80"/>
      <c r="CD422" s="80"/>
      <c r="CE422" s="80"/>
      <c r="CF422" s="80"/>
      <c r="CG422" s="80"/>
      <c r="CH422" s="80"/>
      <c r="CI422" s="80"/>
      <c r="CJ422" s="80"/>
      <c r="CK422" s="82"/>
      <c r="CL422" s="12"/>
      <c r="CM422" s="82"/>
      <c r="CN422" s="12"/>
      <c r="CO422" s="82"/>
      <c r="CP422" s="12"/>
      <c r="CQ422" s="83">
        <f t="shared" si="48"/>
        <v>30666720</v>
      </c>
      <c r="CR422" s="84"/>
      <c r="CS422" s="13"/>
      <c r="CT422" s="85">
        <v>1000</v>
      </c>
      <c r="CU422" s="86">
        <f>1000*85000</f>
        <v>85000000</v>
      </c>
      <c r="CV422" s="11"/>
      <c r="CW422" s="86"/>
      <c r="CX422" s="84">
        <v>2000</v>
      </c>
      <c r="CY422" s="86">
        <f>2000*22852</f>
        <v>45704000</v>
      </c>
    </row>
    <row r="423" spans="1:103" ht="63.75" x14ac:dyDescent="0.2">
      <c r="A423" s="43">
        <v>39926</v>
      </c>
      <c r="B423" s="44" t="s">
        <v>1127</v>
      </c>
      <c r="C423" s="44" t="s">
        <v>1399</v>
      </c>
      <c r="D423" s="45" t="s">
        <v>1118</v>
      </c>
      <c r="E423" s="11"/>
      <c r="F423" s="12"/>
      <c r="G423" s="12"/>
      <c r="H423" s="12"/>
      <c r="I423" s="12"/>
      <c r="J423" s="12"/>
      <c r="K423" s="12"/>
      <c r="L423" s="12">
        <v>4</v>
      </c>
      <c r="M423" s="12"/>
      <c r="N423" s="12"/>
      <c r="O423" s="12"/>
      <c r="P423" s="12"/>
      <c r="Q423" s="12"/>
      <c r="R423" s="12"/>
      <c r="S423" s="12"/>
      <c r="T423" s="13"/>
      <c r="U423" s="46"/>
      <c r="V423" s="47"/>
      <c r="W423" s="48">
        <f t="shared" si="43"/>
        <v>0</v>
      </c>
      <c r="X423" s="48">
        <f t="shared" si="44"/>
        <v>0</v>
      </c>
      <c r="Y423" s="48">
        <f t="shared" si="45"/>
        <v>0</v>
      </c>
      <c r="Z423" s="48">
        <f t="shared" si="46"/>
        <v>0</v>
      </c>
      <c r="AA423" s="48"/>
      <c r="AB423" s="48"/>
      <c r="AC423" s="49">
        <f t="shared" si="47"/>
        <v>0</v>
      </c>
      <c r="AD423" s="50">
        <v>0</v>
      </c>
      <c r="AE423" s="47">
        <v>39939</v>
      </c>
      <c r="AF423" s="51" t="s">
        <v>1016</v>
      </c>
      <c r="AG423" s="52" t="s">
        <v>517</v>
      </c>
      <c r="AH423" s="53" t="s">
        <v>7</v>
      </c>
      <c r="AI423" s="79"/>
      <c r="AJ423" s="80"/>
      <c r="AK423" s="81"/>
      <c r="AL423" s="80"/>
      <c r="AM423" s="80"/>
      <c r="AN423" s="80"/>
      <c r="AO423" s="80"/>
      <c r="AP423" s="80"/>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0"/>
      <c r="CC423" s="80"/>
      <c r="CD423" s="80"/>
      <c r="CE423" s="80"/>
      <c r="CF423" s="80"/>
      <c r="CG423" s="80"/>
      <c r="CH423" s="80"/>
      <c r="CI423" s="80"/>
      <c r="CJ423" s="80"/>
      <c r="CK423" s="82"/>
      <c r="CL423" s="12"/>
      <c r="CM423" s="82"/>
      <c r="CN423" s="12"/>
      <c r="CO423" s="82"/>
      <c r="CP423" s="12"/>
      <c r="CQ423" s="83">
        <f t="shared" si="48"/>
        <v>0</v>
      </c>
      <c r="CR423" s="84"/>
      <c r="CS423" s="13"/>
      <c r="CT423" s="85"/>
      <c r="CU423" s="86"/>
      <c r="CV423" s="11"/>
      <c r="CW423" s="86"/>
      <c r="CX423" s="84"/>
      <c r="CY423" s="86"/>
    </row>
    <row r="424" spans="1:103" ht="25.5" x14ac:dyDescent="0.2">
      <c r="A424" s="43">
        <v>39926</v>
      </c>
      <c r="B424" s="44" t="s">
        <v>413</v>
      </c>
      <c r="C424" s="44" t="s">
        <v>316</v>
      </c>
      <c r="D424" s="45" t="s">
        <v>1118</v>
      </c>
      <c r="E424" s="11"/>
      <c r="F424" s="12"/>
      <c r="G424" s="12"/>
      <c r="H424" s="12">
        <f t="shared" ref="H424:H443" si="49">+I424*5</f>
        <v>750</v>
      </c>
      <c r="I424" s="12">
        <v>150</v>
      </c>
      <c r="J424" s="12">
        <v>60</v>
      </c>
      <c r="K424" s="12">
        <v>17</v>
      </c>
      <c r="L424" s="12"/>
      <c r="M424" s="12"/>
      <c r="N424" s="12"/>
      <c r="O424" s="12"/>
      <c r="P424" s="12"/>
      <c r="Q424" s="12"/>
      <c r="R424" s="12"/>
      <c r="S424" s="12"/>
      <c r="T424" s="13"/>
      <c r="U424" s="46"/>
      <c r="V424" s="47"/>
      <c r="W424" s="48">
        <f t="shared" si="43"/>
        <v>0</v>
      </c>
      <c r="X424" s="48">
        <f t="shared" si="44"/>
        <v>0</v>
      </c>
      <c r="Y424" s="48">
        <f t="shared" si="45"/>
        <v>0</v>
      </c>
      <c r="Z424" s="48">
        <f t="shared" si="46"/>
        <v>0</v>
      </c>
      <c r="AA424" s="48"/>
      <c r="AB424" s="48"/>
      <c r="AC424" s="49">
        <f t="shared" si="47"/>
        <v>0</v>
      </c>
      <c r="AD424" s="50">
        <v>0</v>
      </c>
      <c r="AE424" s="47">
        <v>39927</v>
      </c>
      <c r="AF424" s="51" t="s">
        <v>1016</v>
      </c>
      <c r="AG424" s="52" t="s">
        <v>565</v>
      </c>
      <c r="AH424" s="53" t="s">
        <v>1257</v>
      </c>
      <c r="AI424" s="79"/>
      <c r="AJ424" s="80"/>
      <c r="AK424" s="81"/>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2"/>
      <c r="CL424" s="12"/>
      <c r="CM424" s="82"/>
      <c r="CN424" s="12"/>
      <c r="CO424" s="82"/>
      <c r="CP424" s="12"/>
      <c r="CQ424" s="83">
        <f t="shared" si="48"/>
        <v>0</v>
      </c>
      <c r="CR424" s="84"/>
      <c r="CS424" s="13"/>
      <c r="CT424" s="85"/>
      <c r="CU424" s="86"/>
      <c r="CV424" s="11"/>
      <c r="CW424" s="86"/>
      <c r="CX424" s="84"/>
      <c r="CY424" s="86"/>
    </row>
    <row r="425" spans="1:103" ht="25.5" x14ac:dyDescent="0.2">
      <c r="A425" s="43">
        <v>39926</v>
      </c>
      <c r="B425" s="44" t="s">
        <v>413</v>
      </c>
      <c r="C425" s="44" t="s">
        <v>1467</v>
      </c>
      <c r="D425" s="45" t="s">
        <v>1118</v>
      </c>
      <c r="E425" s="11"/>
      <c r="F425" s="12"/>
      <c r="G425" s="12"/>
      <c r="H425" s="12">
        <f t="shared" si="49"/>
        <v>1000</v>
      </c>
      <c r="I425" s="12">
        <v>200</v>
      </c>
      <c r="J425" s="12"/>
      <c r="K425" s="12"/>
      <c r="L425" s="12"/>
      <c r="M425" s="12"/>
      <c r="N425" s="12"/>
      <c r="O425" s="12">
        <v>1</v>
      </c>
      <c r="P425" s="12"/>
      <c r="Q425" s="12"/>
      <c r="R425" s="12"/>
      <c r="S425" s="12"/>
      <c r="T425" s="13"/>
      <c r="U425" s="46"/>
      <c r="V425" s="47"/>
      <c r="W425" s="48">
        <f t="shared" si="43"/>
        <v>0</v>
      </c>
      <c r="X425" s="48">
        <f t="shared" si="44"/>
        <v>0</v>
      </c>
      <c r="Y425" s="48">
        <f t="shared" si="45"/>
        <v>0</v>
      </c>
      <c r="Z425" s="48">
        <f t="shared" si="46"/>
        <v>0</v>
      </c>
      <c r="AA425" s="48"/>
      <c r="AB425" s="48"/>
      <c r="AC425" s="49">
        <f t="shared" si="47"/>
        <v>0</v>
      </c>
      <c r="AD425" s="50">
        <v>0</v>
      </c>
      <c r="AE425" s="47">
        <v>39927</v>
      </c>
      <c r="AF425" s="51" t="s">
        <v>1016</v>
      </c>
      <c r="AG425" s="52" t="s">
        <v>565</v>
      </c>
      <c r="AH425" s="53" t="s">
        <v>1257</v>
      </c>
      <c r="AI425" s="79"/>
      <c r="AJ425" s="80"/>
      <c r="AK425" s="81"/>
      <c r="AL425" s="80"/>
      <c r="AM425" s="80"/>
      <c r="AN425" s="80"/>
      <c r="AO425" s="80"/>
      <c r="AP425" s="80"/>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0"/>
      <c r="CC425" s="80"/>
      <c r="CD425" s="80"/>
      <c r="CE425" s="80"/>
      <c r="CF425" s="80"/>
      <c r="CG425" s="80"/>
      <c r="CH425" s="80"/>
      <c r="CI425" s="80"/>
      <c r="CJ425" s="80"/>
      <c r="CK425" s="82"/>
      <c r="CL425" s="12"/>
      <c r="CM425" s="82"/>
      <c r="CN425" s="12"/>
      <c r="CO425" s="82"/>
      <c r="CP425" s="12"/>
      <c r="CQ425" s="83">
        <f t="shared" si="48"/>
        <v>0</v>
      </c>
      <c r="CR425" s="84"/>
      <c r="CS425" s="13"/>
      <c r="CT425" s="85"/>
      <c r="CU425" s="86"/>
      <c r="CV425" s="11"/>
      <c r="CW425" s="86"/>
      <c r="CX425" s="84"/>
      <c r="CY425" s="86"/>
    </row>
    <row r="426" spans="1:103" ht="25.5" x14ac:dyDescent="0.2">
      <c r="A426" s="43">
        <v>39926</v>
      </c>
      <c r="B426" s="44" t="s">
        <v>413</v>
      </c>
      <c r="C426" s="44" t="s">
        <v>1468</v>
      </c>
      <c r="D426" s="45" t="s">
        <v>1118</v>
      </c>
      <c r="E426" s="11"/>
      <c r="F426" s="12"/>
      <c r="G426" s="12"/>
      <c r="H426" s="12">
        <f t="shared" si="49"/>
        <v>150</v>
      </c>
      <c r="I426" s="12">
        <v>30</v>
      </c>
      <c r="J426" s="12"/>
      <c r="K426" s="12">
        <v>30</v>
      </c>
      <c r="L426" s="12"/>
      <c r="M426" s="12"/>
      <c r="N426" s="12"/>
      <c r="O426" s="12"/>
      <c r="P426" s="12"/>
      <c r="Q426" s="12"/>
      <c r="R426" s="12"/>
      <c r="S426" s="12"/>
      <c r="T426" s="13"/>
      <c r="U426" s="46"/>
      <c r="V426" s="47"/>
      <c r="W426" s="48">
        <f t="shared" si="43"/>
        <v>0</v>
      </c>
      <c r="X426" s="48">
        <f t="shared" si="44"/>
        <v>0</v>
      </c>
      <c r="Y426" s="48">
        <f t="shared" si="45"/>
        <v>0</v>
      </c>
      <c r="Z426" s="48">
        <f t="shared" si="46"/>
        <v>0</v>
      </c>
      <c r="AA426" s="48"/>
      <c r="AB426" s="48"/>
      <c r="AC426" s="49">
        <f t="shared" si="47"/>
        <v>0</v>
      </c>
      <c r="AD426" s="50">
        <v>0</v>
      </c>
      <c r="AE426" s="47">
        <v>39927</v>
      </c>
      <c r="AF426" s="51" t="s">
        <v>1016</v>
      </c>
      <c r="AG426" s="52" t="s">
        <v>565</v>
      </c>
      <c r="AH426" s="53" t="s">
        <v>1257</v>
      </c>
      <c r="AI426" s="79"/>
      <c r="AJ426" s="80"/>
      <c r="AK426" s="81"/>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2"/>
      <c r="CL426" s="12"/>
      <c r="CM426" s="82"/>
      <c r="CN426" s="12"/>
      <c r="CO426" s="82"/>
      <c r="CP426" s="12"/>
      <c r="CQ426" s="83">
        <f t="shared" si="48"/>
        <v>0</v>
      </c>
      <c r="CR426" s="84"/>
      <c r="CS426" s="13"/>
      <c r="CT426" s="85"/>
      <c r="CU426" s="86"/>
      <c r="CV426" s="11"/>
      <c r="CW426" s="86"/>
      <c r="CX426" s="84"/>
      <c r="CY426" s="86"/>
    </row>
    <row r="427" spans="1:103" ht="25.5" x14ac:dyDescent="0.2">
      <c r="A427" s="43">
        <v>39926</v>
      </c>
      <c r="B427" s="44" t="s">
        <v>413</v>
      </c>
      <c r="C427" s="44" t="s">
        <v>1469</v>
      </c>
      <c r="D427" s="45" t="s">
        <v>1118</v>
      </c>
      <c r="E427" s="11"/>
      <c r="F427" s="12"/>
      <c r="G427" s="12"/>
      <c r="H427" s="12">
        <f t="shared" si="49"/>
        <v>500</v>
      </c>
      <c r="I427" s="12">
        <v>100</v>
      </c>
      <c r="J427" s="12"/>
      <c r="K427" s="12">
        <v>10</v>
      </c>
      <c r="L427" s="12">
        <v>4</v>
      </c>
      <c r="M427" s="12"/>
      <c r="N427" s="12"/>
      <c r="O427" s="12">
        <v>1</v>
      </c>
      <c r="P427" s="12"/>
      <c r="Q427" s="12"/>
      <c r="R427" s="12"/>
      <c r="S427" s="12"/>
      <c r="T427" s="13"/>
      <c r="U427" s="46"/>
      <c r="V427" s="47"/>
      <c r="W427" s="48">
        <f t="shared" si="43"/>
        <v>0</v>
      </c>
      <c r="X427" s="48">
        <f t="shared" si="44"/>
        <v>0</v>
      </c>
      <c r="Y427" s="48">
        <f t="shared" si="45"/>
        <v>0</v>
      </c>
      <c r="Z427" s="48">
        <f t="shared" si="46"/>
        <v>0</v>
      </c>
      <c r="AA427" s="48"/>
      <c r="AB427" s="48"/>
      <c r="AC427" s="49">
        <f t="shared" si="47"/>
        <v>0</v>
      </c>
      <c r="AD427" s="50">
        <v>0</v>
      </c>
      <c r="AE427" s="47">
        <v>39927</v>
      </c>
      <c r="AF427" s="51" t="s">
        <v>1016</v>
      </c>
      <c r="AG427" s="52" t="s">
        <v>565</v>
      </c>
      <c r="AH427" s="53" t="s">
        <v>1257</v>
      </c>
      <c r="AI427" s="79"/>
      <c r="AJ427" s="80"/>
      <c r="AK427" s="81"/>
      <c r="AL427" s="80"/>
      <c r="AM427" s="80"/>
      <c r="AN427" s="80"/>
      <c r="AO427" s="80"/>
      <c r="AP427" s="80"/>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0"/>
      <c r="CC427" s="80"/>
      <c r="CD427" s="80"/>
      <c r="CE427" s="80"/>
      <c r="CF427" s="80"/>
      <c r="CG427" s="80"/>
      <c r="CH427" s="80"/>
      <c r="CI427" s="80"/>
      <c r="CJ427" s="80"/>
      <c r="CK427" s="82"/>
      <c r="CL427" s="12"/>
      <c r="CM427" s="82"/>
      <c r="CN427" s="12"/>
      <c r="CO427" s="82"/>
      <c r="CP427" s="12"/>
      <c r="CQ427" s="83">
        <f t="shared" si="48"/>
        <v>0</v>
      </c>
      <c r="CR427" s="84"/>
      <c r="CS427" s="13"/>
      <c r="CT427" s="85"/>
      <c r="CU427" s="86"/>
      <c r="CV427" s="11"/>
      <c r="CW427" s="86"/>
      <c r="CX427" s="84"/>
      <c r="CY427" s="86"/>
    </row>
    <row r="428" spans="1:103" ht="25.5" x14ac:dyDescent="0.2">
      <c r="A428" s="43">
        <v>39926</v>
      </c>
      <c r="B428" s="44" t="s">
        <v>413</v>
      </c>
      <c r="C428" s="44" t="s">
        <v>1470</v>
      </c>
      <c r="D428" s="45" t="s">
        <v>1118</v>
      </c>
      <c r="E428" s="11"/>
      <c r="F428" s="12"/>
      <c r="G428" s="12"/>
      <c r="H428" s="12">
        <f t="shared" si="49"/>
        <v>650</v>
      </c>
      <c r="I428" s="12">
        <v>130</v>
      </c>
      <c r="J428" s="12">
        <v>70</v>
      </c>
      <c r="K428" s="12">
        <v>60</v>
      </c>
      <c r="L428" s="12"/>
      <c r="M428" s="12"/>
      <c r="N428" s="12"/>
      <c r="O428" s="12"/>
      <c r="P428" s="12"/>
      <c r="Q428" s="12"/>
      <c r="R428" s="12"/>
      <c r="S428" s="12"/>
      <c r="T428" s="13"/>
      <c r="U428" s="46"/>
      <c r="V428" s="47"/>
      <c r="W428" s="48">
        <f t="shared" si="43"/>
        <v>0</v>
      </c>
      <c r="X428" s="48">
        <f t="shared" si="44"/>
        <v>0</v>
      </c>
      <c r="Y428" s="48">
        <f t="shared" si="45"/>
        <v>0</v>
      </c>
      <c r="Z428" s="48">
        <f t="shared" si="46"/>
        <v>0</v>
      </c>
      <c r="AA428" s="48"/>
      <c r="AB428" s="48"/>
      <c r="AC428" s="49">
        <f t="shared" si="47"/>
        <v>0</v>
      </c>
      <c r="AD428" s="50">
        <v>0</v>
      </c>
      <c r="AE428" s="47">
        <v>39927</v>
      </c>
      <c r="AF428" s="51" t="s">
        <v>1016</v>
      </c>
      <c r="AG428" s="52" t="s">
        <v>565</v>
      </c>
      <c r="AH428" s="53" t="s">
        <v>1257</v>
      </c>
      <c r="AI428" s="79"/>
      <c r="AJ428" s="80"/>
      <c r="AK428" s="81"/>
      <c r="AL428" s="80"/>
      <c r="AM428" s="80"/>
      <c r="AN428" s="80"/>
      <c r="AO428" s="80"/>
      <c r="AP428" s="80"/>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0"/>
      <c r="CC428" s="80"/>
      <c r="CD428" s="80"/>
      <c r="CE428" s="80"/>
      <c r="CF428" s="80"/>
      <c r="CG428" s="80"/>
      <c r="CH428" s="80"/>
      <c r="CI428" s="80"/>
      <c r="CJ428" s="80"/>
      <c r="CK428" s="82"/>
      <c r="CL428" s="12"/>
      <c r="CM428" s="82"/>
      <c r="CN428" s="12"/>
      <c r="CO428" s="82"/>
      <c r="CP428" s="12"/>
      <c r="CQ428" s="83">
        <f t="shared" si="48"/>
        <v>0</v>
      </c>
      <c r="CR428" s="84"/>
      <c r="CS428" s="13"/>
      <c r="CT428" s="85"/>
      <c r="CU428" s="86"/>
      <c r="CV428" s="11"/>
      <c r="CW428" s="86"/>
      <c r="CX428" s="84"/>
      <c r="CY428" s="86"/>
    </row>
    <row r="429" spans="1:103" ht="25.5" x14ac:dyDescent="0.2">
      <c r="A429" s="43">
        <v>39926</v>
      </c>
      <c r="B429" s="44" t="s">
        <v>413</v>
      </c>
      <c r="C429" s="44" t="s">
        <v>1471</v>
      </c>
      <c r="D429" s="45" t="s">
        <v>1118</v>
      </c>
      <c r="E429" s="11"/>
      <c r="F429" s="12"/>
      <c r="G429" s="12"/>
      <c r="H429" s="12">
        <f t="shared" si="49"/>
        <v>150</v>
      </c>
      <c r="I429" s="12">
        <v>30</v>
      </c>
      <c r="J429" s="12">
        <v>8</v>
      </c>
      <c r="K429" s="12">
        <v>2</v>
      </c>
      <c r="L429" s="12">
        <v>3</v>
      </c>
      <c r="M429" s="12"/>
      <c r="N429" s="12">
        <v>1</v>
      </c>
      <c r="O429" s="12">
        <v>3</v>
      </c>
      <c r="P429" s="12"/>
      <c r="Q429" s="12"/>
      <c r="R429" s="12"/>
      <c r="S429" s="12"/>
      <c r="T429" s="13"/>
      <c r="U429" s="46"/>
      <c r="V429" s="47"/>
      <c r="W429" s="48">
        <f t="shared" si="43"/>
        <v>0</v>
      </c>
      <c r="X429" s="48">
        <f t="shared" si="44"/>
        <v>0</v>
      </c>
      <c r="Y429" s="48">
        <f t="shared" si="45"/>
        <v>0</v>
      </c>
      <c r="Z429" s="48">
        <f t="shared" si="46"/>
        <v>0</v>
      </c>
      <c r="AA429" s="48"/>
      <c r="AB429" s="48"/>
      <c r="AC429" s="49">
        <f t="shared" si="47"/>
        <v>0</v>
      </c>
      <c r="AD429" s="50">
        <v>0</v>
      </c>
      <c r="AE429" s="47">
        <v>39927</v>
      </c>
      <c r="AF429" s="51" t="s">
        <v>1016</v>
      </c>
      <c r="AG429" s="52" t="s">
        <v>565</v>
      </c>
      <c r="AH429" s="53" t="s">
        <v>1257</v>
      </c>
      <c r="AI429" s="79"/>
      <c r="AJ429" s="80"/>
      <c r="AK429" s="81"/>
      <c r="AL429" s="80"/>
      <c r="AM429" s="80"/>
      <c r="AN429" s="80"/>
      <c r="AO429" s="80"/>
      <c r="AP429" s="80"/>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0"/>
      <c r="CC429" s="80"/>
      <c r="CD429" s="80"/>
      <c r="CE429" s="80"/>
      <c r="CF429" s="80"/>
      <c r="CG429" s="80"/>
      <c r="CH429" s="80"/>
      <c r="CI429" s="80"/>
      <c r="CJ429" s="80"/>
      <c r="CK429" s="82"/>
      <c r="CL429" s="12"/>
      <c r="CM429" s="82"/>
      <c r="CN429" s="12"/>
      <c r="CO429" s="82"/>
      <c r="CP429" s="12"/>
      <c r="CQ429" s="83">
        <f t="shared" si="48"/>
        <v>0</v>
      </c>
      <c r="CR429" s="84"/>
      <c r="CS429" s="13"/>
      <c r="CT429" s="85"/>
      <c r="CU429" s="86"/>
      <c r="CV429" s="11"/>
      <c r="CW429" s="86"/>
      <c r="CX429" s="84"/>
      <c r="CY429" s="86"/>
    </row>
    <row r="430" spans="1:103" ht="25.5" x14ac:dyDescent="0.2">
      <c r="A430" s="43">
        <v>39926</v>
      </c>
      <c r="B430" s="44" t="s">
        <v>413</v>
      </c>
      <c r="C430" s="44" t="s">
        <v>1472</v>
      </c>
      <c r="D430" s="45" t="s">
        <v>1118</v>
      </c>
      <c r="E430" s="11"/>
      <c r="F430" s="12"/>
      <c r="G430" s="12"/>
      <c r="H430" s="12">
        <f t="shared" si="49"/>
        <v>75</v>
      </c>
      <c r="I430" s="12">
        <v>15</v>
      </c>
      <c r="J430" s="12"/>
      <c r="K430" s="12">
        <v>15</v>
      </c>
      <c r="L430" s="12"/>
      <c r="M430" s="12"/>
      <c r="N430" s="12"/>
      <c r="O430" s="12"/>
      <c r="P430" s="12"/>
      <c r="Q430" s="12"/>
      <c r="R430" s="12"/>
      <c r="S430" s="12"/>
      <c r="T430" s="13"/>
      <c r="U430" s="46"/>
      <c r="V430" s="47"/>
      <c r="W430" s="48">
        <f t="shared" si="43"/>
        <v>0</v>
      </c>
      <c r="X430" s="48">
        <f t="shared" si="44"/>
        <v>0</v>
      </c>
      <c r="Y430" s="48">
        <f t="shared" si="45"/>
        <v>0</v>
      </c>
      <c r="Z430" s="48">
        <f t="shared" si="46"/>
        <v>0</v>
      </c>
      <c r="AA430" s="48"/>
      <c r="AB430" s="48"/>
      <c r="AC430" s="49">
        <f t="shared" si="47"/>
        <v>0</v>
      </c>
      <c r="AD430" s="50">
        <v>0</v>
      </c>
      <c r="AE430" s="47">
        <v>39927</v>
      </c>
      <c r="AF430" s="51" t="s">
        <v>1016</v>
      </c>
      <c r="AG430" s="52" t="s">
        <v>565</v>
      </c>
      <c r="AH430" s="53" t="s">
        <v>1257</v>
      </c>
      <c r="AI430" s="79"/>
      <c r="AJ430" s="80"/>
      <c r="AK430" s="81"/>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2"/>
      <c r="CL430" s="12"/>
      <c r="CM430" s="82"/>
      <c r="CN430" s="12"/>
      <c r="CO430" s="82"/>
      <c r="CP430" s="12"/>
      <c r="CQ430" s="83">
        <f t="shared" si="48"/>
        <v>0</v>
      </c>
      <c r="CR430" s="84"/>
      <c r="CS430" s="13"/>
      <c r="CT430" s="85"/>
      <c r="CU430" s="86"/>
      <c r="CV430" s="11"/>
      <c r="CW430" s="86"/>
      <c r="CX430" s="84"/>
      <c r="CY430" s="86"/>
    </row>
    <row r="431" spans="1:103" ht="38.25" x14ac:dyDescent="0.2">
      <c r="A431" s="43">
        <v>39926</v>
      </c>
      <c r="B431" s="44" t="s">
        <v>413</v>
      </c>
      <c r="C431" s="44" t="s">
        <v>391</v>
      </c>
      <c r="D431" s="45" t="s">
        <v>1118</v>
      </c>
      <c r="E431" s="11"/>
      <c r="F431" s="12"/>
      <c r="G431" s="12"/>
      <c r="H431" s="12">
        <f t="shared" si="49"/>
        <v>250</v>
      </c>
      <c r="I431" s="12">
        <v>50</v>
      </c>
      <c r="J431" s="12">
        <v>30</v>
      </c>
      <c r="K431" s="12">
        <v>20</v>
      </c>
      <c r="L431" s="12"/>
      <c r="M431" s="12"/>
      <c r="N431" s="12"/>
      <c r="O431" s="12"/>
      <c r="P431" s="12"/>
      <c r="Q431" s="12"/>
      <c r="R431" s="12"/>
      <c r="S431" s="12">
        <v>1</v>
      </c>
      <c r="T431" s="13"/>
      <c r="U431" s="46" t="s">
        <v>392</v>
      </c>
      <c r="V431" s="47"/>
      <c r="W431" s="48">
        <f t="shared" si="43"/>
        <v>0</v>
      </c>
      <c r="X431" s="48">
        <f t="shared" si="44"/>
        <v>0</v>
      </c>
      <c r="Y431" s="48">
        <f t="shared" si="45"/>
        <v>0</v>
      </c>
      <c r="Z431" s="48">
        <f t="shared" si="46"/>
        <v>0</v>
      </c>
      <c r="AA431" s="48"/>
      <c r="AB431" s="48"/>
      <c r="AC431" s="49">
        <f t="shared" si="47"/>
        <v>0</v>
      </c>
      <c r="AD431" s="50">
        <v>0</v>
      </c>
      <c r="AE431" s="47">
        <v>39927</v>
      </c>
      <c r="AF431" s="51" t="s">
        <v>1016</v>
      </c>
      <c r="AG431" s="52" t="s">
        <v>565</v>
      </c>
      <c r="AH431" s="53" t="s">
        <v>393</v>
      </c>
      <c r="AI431" s="79"/>
      <c r="AJ431" s="80"/>
      <c r="AK431" s="81"/>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2"/>
      <c r="CL431" s="12"/>
      <c r="CM431" s="82"/>
      <c r="CN431" s="12"/>
      <c r="CO431" s="82"/>
      <c r="CP431" s="12"/>
      <c r="CQ431" s="83">
        <f t="shared" si="48"/>
        <v>0</v>
      </c>
      <c r="CR431" s="84"/>
      <c r="CS431" s="13"/>
      <c r="CT431" s="85"/>
      <c r="CU431" s="86"/>
      <c r="CV431" s="11"/>
      <c r="CW431" s="86"/>
      <c r="CX431" s="84"/>
      <c r="CY431" s="86"/>
    </row>
    <row r="432" spans="1:103" ht="25.5" x14ac:dyDescent="0.2">
      <c r="A432" s="43">
        <v>39926</v>
      </c>
      <c r="B432" s="44" t="s">
        <v>413</v>
      </c>
      <c r="C432" s="44" t="s">
        <v>1176</v>
      </c>
      <c r="D432" s="45" t="s">
        <v>1118</v>
      </c>
      <c r="E432" s="11"/>
      <c r="F432" s="12"/>
      <c r="G432" s="12"/>
      <c r="H432" s="12">
        <f t="shared" si="49"/>
        <v>75</v>
      </c>
      <c r="I432" s="12">
        <v>15</v>
      </c>
      <c r="J432" s="12"/>
      <c r="K432" s="12"/>
      <c r="L432" s="12"/>
      <c r="M432" s="12"/>
      <c r="N432" s="12"/>
      <c r="O432" s="12">
        <v>1</v>
      </c>
      <c r="P432" s="12"/>
      <c r="Q432" s="12"/>
      <c r="R432" s="12"/>
      <c r="S432" s="12"/>
      <c r="T432" s="13"/>
      <c r="U432" s="46"/>
      <c r="V432" s="47"/>
      <c r="W432" s="48">
        <f t="shared" si="43"/>
        <v>0</v>
      </c>
      <c r="X432" s="48">
        <f t="shared" si="44"/>
        <v>0</v>
      </c>
      <c r="Y432" s="48">
        <f t="shared" si="45"/>
        <v>0</v>
      </c>
      <c r="Z432" s="48">
        <f t="shared" si="46"/>
        <v>0</v>
      </c>
      <c r="AA432" s="48"/>
      <c r="AB432" s="48"/>
      <c r="AC432" s="49">
        <f t="shared" si="47"/>
        <v>0</v>
      </c>
      <c r="AD432" s="50">
        <v>0</v>
      </c>
      <c r="AE432" s="47">
        <v>39927</v>
      </c>
      <c r="AF432" s="51" t="s">
        <v>1016</v>
      </c>
      <c r="AG432" s="52" t="s">
        <v>565</v>
      </c>
      <c r="AH432" s="53" t="s">
        <v>1257</v>
      </c>
      <c r="AI432" s="79"/>
      <c r="AJ432" s="80"/>
      <c r="AK432" s="81"/>
      <c r="AL432" s="80"/>
      <c r="AM432" s="80"/>
      <c r="AN432" s="80"/>
      <c r="AO432" s="80"/>
      <c r="AP432" s="80"/>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0"/>
      <c r="CC432" s="80"/>
      <c r="CD432" s="80"/>
      <c r="CE432" s="80"/>
      <c r="CF432" s="80"/>
      <c r="CG432" s="80"/>
      <c r="CH432" s="80"/>
      <c r="CI432" s="80"/>
      <c r="CJ432" s="80"/>
      <c r="CK432" s="82"/>
      <c r="CL432" s="12"/>
      <c r="CM432" s="82"/>
      <c r="CN432" s="12"/>
      <c r="CO432" s="82"/>
      <c r="CP432" s="12"/>
      <c r="CQ432" s="83">
        <f t="shared" si="48"/>
        <v>0</v>
      </c>
      <c r="CR432" s="84"/>
      <c r="CS432" s="13"/>
      <c r="CT432" s="85"/>
      <c r="CU432" s="86"/>
      <c r="CV432" s="11"/>
      <c r="CW432" s="86"/>
      <c r="CX432" s="84"/>
      <c r="CY432" s="86"/>
    </row>
    <row r="433" spans="1:103" ht="25.5" x14ac:dyDescent="0.2">
      <c r="A433" s="43">
        <v>39926</v>
      </c>
      <c r="B433" s="44" t="s">
        <v>413</v>
      </c>
      <c r="C433" s="44" t="s">
        <v>1247</v>
      </c>
      <c r="D433" s="45" t="s">
        <v>1118</v>
      </c>
      <c r="E433" s="11"/>
      <c r="F433" s="12"/>
      <c r="G433" s="12"/>
      <c r="H433" s="12">
        <f t="shared" si="49"/>
        <v>50</v>
      </c>
      <c r="I433" s="12">
        <v>10</v>
      </c>
      <c r="J433" s="12"/>
      <c r="K433" s="12">
        <v>10</v>
      </c>
      <c r="L433" s="12"/>
      <c r="M433" s="12"/>
      <c r="N433" s="12"/>
      <c r="O433" s="12"/>
      <c r="P433" s="12"/>
      <c r="Q433" s="12"/>
      <c r="R433" s="12"/>
      <c r="S433" s="12"/>
      <c r="T433" s="13"/>
      <c r="U433" s="46"/>
      <c r="V433" s="47"/>
      <c r="W433" s="48">
        <f t="shared" si="43"/>
        <v>0</v>
      </c>
      <c r="X433" s="48">
        <f t="shared" si="44"/>
        <v>0</v>
      </c>
      <c r="Y433" s="48">
        <f t="shared" si="45"/>
        <v>0</v>
      </c>
      <c r="Z433" s="48">
        <f t="shared" si="46"/>
        <v>0</v>
      </c>
      <c r="AA433" s="48"/>
      <c r="AB433" s="48"/>
      <c r="AC433" s="49">
        <f t="shared" si="47"/>
        <v>0</v>
      </c>
      <c r="AD433" s="50">
        <v>0</v>
      </c>
      <c r="AE433" s="47">
        <v>39927</v>
      </c>
      <c r="AF433" s="51" t="s">
        <v>1016</v>
      </c>
      <c r="AG433" s="52" t="s">
        <v>565</v>
      </c>
      <c r="AH433" s="53" t="s">
        <v>1257</v>
      </c>
      <c r="AI433" s="79"/>
      <c r="AJ433" s="80"/>
      <c r="AK433" s="81"/>
      <c r="AL433" s="80"/>
      <c r="AM433" s="80"/>
      <c r="AN433" s="80"/>
      <c r="AO433" s="80"/>
      <c r="AP433" s="80"/>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0"/>
      <c r="CC433" s="80"/>
      <c r="CD433" s="80"/>
      <c r="CE433" s="80"/>
      <c r="CF433" s="80"/>
      <c r="CG433" s="80"/>
      <c r="CH433" s="80"/>
      <c r="CI433" s="80"/>
      <c r="CJ433" s="80"/>
      <c r="CK433" s="82"/>
      <c r="CL433" s="12"/>
      <c r="CM433" s="82"/>
      <c r="CN433" s="12"/>
      <c r="CO433" s="82"/>
      <c r="CP433" s="12"/>
      <c r="CQ433" s="83">
        <f t="shared" si="48"/>
        <v>0</v>
      </c>
      <c r="CR433" s="84"/>
      <c r="CS433" s="13"/>
      <c r="CT433" s="85"/>
      <c r="CU433" s="86"/>
      <c r="CV433" s="11"/>
      <c r="CW433" s="86"/>
      <c r="CX433" s="84"/>
      <c r="CY433" s="86"/>
    </row>
    <row r="434" spans="1:103" ht="25.5" x14ac:dyDescent="0.2">
      <c r="A434" s="43">
        <v>39926</v>
      </c>
      <c r="B434" s="44" t="s">
        <v>1350</v>
      </c>
      <c r="C434" s="44" t="s">
        <v>286</v>
      </c>
      <c r="D434" s="45" t="s">
        <v>1118</v>
      </c>
      <c r="E434" s="11"/>
      <c r="F434" s="12"/>
      <c r="G434" s="12"/>
      <c r="H434" s="12">
        <f t="shared" si="49"/>
        <v>75</v>
      </c>
      <c r="I434" s="12">
        <v>15</v>
      </c>
      <c r="J434" s="12"/>
      <c r="K434" s="12">
        <v>15</v>
      </c>
      <c r="L434" s="12"/>
      <c r="M434" s="12"/>
      <c r="N434" s="12"/>
      <c r="O434" s="12"/>
      <c r="P434" s="12"/>
      <c r="Q434" s="12"/>
      <c r="R434" s="12"/>
      <c r="S434" s="12"/>
      <c r="T434" s="13"/>
      <c r="U434" s="46"/>
      <c r="V434" s="47"/>
      <c r="W434" s="48">
        <f t="shared" si="43"/>
        <v>0</v>
      </c>
      <c r="X434" s="48">
        <f t="shared" si="44"/>
        <v>0</v>
      </c>
      <c r="Y434" s="48">
        <f t="shared" si="45"/>
        <v>0</v>
      </c>
      <c r="Z434" s="48">
        <f t="shared" si="46"/>
        <v>0</v>
      </c>
      <c r="AA434" s="48"/>
      <c r="AB434" s="48"/>
      <c r="AC434" s="49">
        <f t="shared" si="47"/>
        <v>0</v>
      </c>
      <c r="AD434" s="50">
        <v>0</v>
      </c>
      <c r="AE434" s="47">
        <v>39927</v>
      </c>
      <c r="AF434" s="51" t="s">
        <v>1016</v>
      </c>
      <c r="AG434" s="52" t="s">
        <v>565</v>
      </c>
      <c r="AH434" s="53" t="s">
        <v>1257</v>
      </c>
      <c r="AI434" s="79"/>
      <c r="AJ434" s="80"/>
      <c r="AK434" s="81"/>
      <c r="AL434" s="80"/>
      <c r="AM434" s="80"/>
      <c r="AN434" s="80"/>
      <c r="AO434" s="80"/>
      <c r="AP434" s="80"/>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0"/>
      <c r="CC434" s="80"/>
      <c r="CD434" s="80"/>
      <c r="CE434" s="80"/>
      <c r="CF434" s="80"/>
      <c r="CG434" s="80"/>
      <c r="CH434" s="80"/>
      <c r="CI434" s="80"/>
      <c r="CJ434" s="80"/>
      <c r="CK434" s="82"/>
      <c r="CL434" s="12"/>
      <c r="CM434" s="82"/>
      <c r="CN434" s="12"/>
      <c r="CO434" s="82"/>
      <c r="CP434" s="12"/>
      <c r="CQ434" s="83">
        <f t="shared" si="48"/>
        <v>0</v>
      </c>
      <c r="CR434" s="84"/>
      <c r="CS434" s="13"/>
      <c r="CT434" s="85"/>
      <c r="CU434" s="86"/>
      <c r="CV434" s="11"/>
      <c r="CW434" s="86"/>
      <c r="CX434" s="84"/>
      <c r="CY434" s="86"/>
    </row>
    <row r="435" spans="1:103" ht="25.5" x14ac:dyDescent="0.2">
      <c r="A435" s="43">
        <v>39926</v>
      </c>
      <c r="B435" s="44" t="s">
        <v>413</v>
      </c>
      <c r="C435" s="44" t="s">
        <v>1248</v>
      </c>
      <c r="D435" s="45" t="s">
        <v>1118</v>
      </c>
      <c r="E435" s="11"/>
      <c r="F435" s="12"/>
      <c r="G435" s="12"/>
      <c r="H435" s="12">
        <f t="shared" si="49"/>
        <v>100</v>
      </c>
      <c r="I435" s="12">
        <v>20</v>
      </c>
      <c r="J435" s="12"/>
      <c r="K435" s="12">
        <v>20</v>
      </c>
      <c r="L435" s="12"/>
      <c r="M435" s="12"/>
      <c r="N435" s="12"/>
      <c r="O435" s="12"/>
      <c r="P435" s="12"/>
      <c r="Q435" s="12"/>
      <c r="R435" s="12"/>
      <c r="S435" s="12"/>
      <c r="T435" s="13"/>
      <c r="U435" s="46"/>
      <c r="V435" s="47"/>
      <c r="W435" s="48">
        <f t="shared" si="43"/>
        <v>0</v>
      </c>
      <c r="X435" s="48">
        <f t="shared" si="44"/>
        <v>0</v>
      </c>
      <c r="Y435" s="48">
        <f t="shared" si="45"/>
        <v>0</v>
      </c>
      <c r="Z435" s="48">
        <f t="shared" si="46"/>
        <v>0</v>
      </c>
      <c r="AA435" s="48"/>
      <c r="AB435" s="48"/>
      <c r="AC435" s="49">
        <f t="shared" si="47"/>
        <v>0</v>
      </c>
      <c r="AD435" s="50">
        <v>0</v>
      </c>
      <c r="AE435" s="47">
        <v>39927</v>
      </c>
      <c r="AF435" s="51" t="s">
        <v>1016</v>
      </c>
      <c r="AG435" s="52" t="s">
        <v>565</v>
      </c>
      <c r="AH435" s="53" t="s">
        <v>1257</v>
      </c>
      <c r="AI435" s="79"/>
      <c r="AJ435" s="80"/>
      <c r="AK435" s="81"/>
      <c r="AL435" s="80"/>
      <c r="AM435" s="80"/>
      <c r="AN435" s="80"/>
      <c r="AO435" s="80"/>
      <c r="AP435" s="80"/>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0"/>
      <c r="CC435" s="80"/>
      <c r="CD435" s="80"/>
      <c r="CE435" s="80"/>
      <c r="CF435" s="80"/>
      <c r="CG435" s="80"/>
      <c r="CH435" s="80"/>
      <c r="CI435" s="80"/>
      <c r="CJ435" s="80"/>
      <c r="CK435" s="82"/>
      <c r="CL435" s="12"/>
      <c r="CM435" s="82"/>
      <c r="CN435" s="12"/>
      <c r="CO435" s="82"/>
      <c r="CP435" s="12"/>
      <c r="CQ435" s="83">
        <f t="shared" si="48"/>
        <v>0</v>
      </c>
      <c r="CR435" s="84"/>
      <c r="CS435" s="13"/>
      <c r="CT435" s="85"/>
      <c r="CU435" s="86"/>
      <c r="CV435" s="11"/>
      <c r="CW435" s="86"/>
      <c r="CX435" s="84"/>
      <c r="CY435" s="86"/>
    </row>
    <row r="436" spans="1:103" ht="25.5" x14ac:dyDescent="0.2">
      <c r="A436" s="43">
        <v>39926</v>
      </c>
      <c r="B436" s="44" t="s">
        <v>413</v>
      </c>
      <c r="C436" s="44" t="s">
        <v>1249</v>
      </c>
      <c r="D436" s="45" t="s">
        <v>1118</v>
      </c>
      <c r="E436" s="11"/>
      <c r="F436" s="12"/>
      <c r="G436" s="12"/>
      <c r="H436" s="12">
        <f t="shared" si="49"/>
        <v>400</v>
      </c>
      <c r="I436" s="12">
        <v>80</v>
      </c>
      <c r="J436" s="12">
        <v>50</v>
      </c>
      <c r="K436" s="12">
        <v>30</v>
      </c>
      <c r="L436" s="12">
        <v>6</v>
      </c>
      <c r="M436" s="12"/>
      <c r="N436" s="12"/>
      <c r="O436" s="12"/>
      <c r="P436" s="12"/>
      <c r="Q436" s="12"/>
      <c r="R436" s="12"/>
      <c r="S436" s="12"/>
      <c r="T436" s="13"/>
      <c r="U436" s="46"/>
      <c r="V436" s="47"/>
      <c r="W436" s="48">
        <f t="shared" si="43"/>
        <v>0</v>
      </c>
      <c r="X436" s="48">
        <f t="shared" si="44"/>
        <v>0</v>
      </c>
      <c r="Y436" s="48">
        <f t="shared" si="45"/>
        <v>0</v>
      </c>
      <c r="Z436" s="48">
        <f t="shared" si="46"/>
        <v>0</v>
      </c>
      <c r="AA436" s="48"/>
      <c r="AB436" s="48"/>
      <c r="AC436" s="49">
        <f t="shared" si="47"/>
        <v>0</v>
      </c>
      <c r="AD436" s="50">
        <v>0</v>
      </c>
      <c r="AE436" s="47">
        <v>39927</v>
      </c>
      <c r="AF436" s="51" t="s">
        <v>1016</v>
      </c>
      <c r="AG436" s="52" t="s">
        <v>565</v>
      </c>
      <c r="AH436" s="53" t="s">
        <v>1257</v>
      </c>
      <c r="AI436" s="79"/>
      <c r="AJ436" s="80"/>
      <c r="AK436" s="81"/>
      <c r="AL436" s="80"/>
      <c r="AM436" s="80"/>
      <c r="AN436" s="80"/>
      <c r="AO436" s="80"/>
      <c r="AP436" s="80"/>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80"/>
      <c r="CJ436" s="80"/>
      <c r="CK436" s="82"/>
      <c r="CL436" s="12"/>
      <c r="CM436" s="82"/>
      <c r="CN436" s="12"/>
      <c r="CO436" s="82"/>
      <c r="CP436" s="12"/>
      <c r="CQ436" s="83">
        <f t="shared" si="48"/>
        <v>0</v>
      </c>
      <c r="CR436" s="84"/>
      <c r="CS436" s="13"/>
      <c r="CT436" s="85"/>
      <c r="CU436" s="86"/>
      <c r="CV436" s="11"/>
      <c r="CW436" s="86"/>
      <c r="CX436" s="84"/>
      <c r="CY436" s="86"/>
    </row>
    <row r="437" spans="1:103" ht="25.5" x14ac:dyDescent="0.2">
      <c r="A437" s="43">
        <v>39926</v>
      </c>
      <c r="B437" s="44" t="s">
        <v>413</v>
      </c>
      <c r="C437" s="44" t="s">
        <v>1250</v>
      </c>
      <c r="D437" s="45" t="s">
        <v>1118</v>
      </c>
      <c r="E437" s="11"/>
      <c r="F437" s="12"/>
      <c r="G437" s="12"/>
      <c r="H437" s="12">
        <f t="shared" si="49"/>
        <v>15</v>
      </c>
      <c r="I437" s="12">
        <v>3</v>
      </c>
      <c r="J437" s="12">
        <v>2</v>
      </c>
      <c r="K437" s="12">
        <v>1</v>
      </c>
      <c r="L437" s="12"/>
      <c r="M437" s="12"/>
      <c r="N437" s="12"/>
      <c r="O437" s="12"/>
      <c r="P437" s="12"/>
      <c r="Q437" s="12"/>
      <c r="R437" s="12"/>
      <c r="S437" s="12"/>
      <c r="T437" s="13"/>
      <c r="U437" s="46"/>
      <c r="V437" s="47"/>
      <c r="W437" s="48">
        <f t="shared" si="43"/>
        <v>0</v>
      </c>
      <c r="X437" s="48">
        <f t="shared" si="44"/>
        <v>0</v>
      </c>
      <c r="Y437" s="48">
        <f t="shared" si="45"/>
        <v>0</v>
      </c>
      <c r="Z437" s="48">
        <f t="shared" si="46"/>
        <v>0</v>
      </c>
      <c r="AA437" s="48"/>
      <c r="AB437" s="48"/>
      <c r="AC437" s="49">
        <f t="shared" si="47"/>
        <v>0</v>
      </c>
      <c r="AD437" s="50">
        <v>0</v>
      </c>
      <c r="AE437" s="47">
        <v>39927</v>
      </c>
      <c r="AF437" s="51" t="s">
        <v>1016</v>
      </c>
      <c r="AG437" s="52" t="s">
        <v>565</v>
      </c>
      <c r="AH437" s="53" t="s">
        <v>1257</v>
      </c>
      <c r="AI437" s="79"/>
      <c r="AJ437" s="80"/>
      <c r="AK437" s="81"/>
      <c r="AL437" s="80"/>
      <c r="AM437" s="80"/>
      <c r="AN437" s="80"/>
      <c r="AO437" s="80"/>
      <c r="AP437" s="80"/>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0"/>
      <c r="CC437" s="80"/>
      <c r="CD437" s="80"/>
      <c r="CE437" s="80"/>
      <c r="CF437" s="80"/>
      <c r="CG437" s="80"/>
      <c r="CH437" s="80"/>
      <c r="CI437" s="80"/>
      <c r="CJ437" s="80"/>
      <c r="CK437" s="82"/>
      <c r="CL437" s="12"/>
      <c r="CM437" s="82"/>
      <c r="CN437" s="12"/>
      <c r="CO437" s="82"/>
      <c r="CP437" s="12"/>
      <c r="CQ437" s="83">
        <f t="shared" si="48"/>
        <v>0</v>
      </c>
      <c r="CR437" s="84"/>
      <c r="CS437" s="13"/>
      <c r="CT437" s="85"/>
      <c r="CU437" s="86"/>
      <c r="CV437" s="11"/>
      <c r="CW437" s="86"/>
      <c r="CX437" s="84"/>
      <c r="CY437" s="86"/>
    </row>
    <row r="438" spans="1:103" ht="25.5" x14ac:dyDescent="0.2">
      <c r="A438" s="43">
        <v>39926</v>
      </c>
      <c r="B438" s="44" t="s">
        <v>413</v>
      </c>
      <c r="C438" s="44" t="s">
        <v>1251</v>
      </c>
      <c r="D438" s="45" t="s">
        <v>1118</v>
      </c>
      <c r="E438" s="11"/>
      <c r="F438" s="12"/>
      <c r="G438" s="12"/>
      <c r="H438" s="12">
        <f t="shared" si="49"/>
        <v>150</v>
      </c>
      <c r="I438" s="12">
        <v>30</v>
      </c>
      <c r="J438" s="12">
        <v>10</v>
      </c>
      <c r="K438" s="12">
        <v>20</v>
      </c>
      <c r="L438" s="12"/>
      <c r="M438" s="12"/>
      <c r="N438" s="12"/>
      <c r="O438" s="12"/>
      <c r="P438" s="12"/>
      <c r="Q438" s="12"/>
      <c r="R438" s="12"/>
      <c r="S438" s="12"/>
      <c r="T438" s="13"/>
      <c r="U438" s="46"/>
      <c r="V438" s="47"/>
      <c r="W438" s="48">
        <f t="shared" si="43"/>
        <v>0</v>
      </c>
      <c r="X438" s="48">
        <f t="shared" si="44"/>
        <v>0</v>
      </c>
      <c r="Y438" s="48">
        <f t="shared" si="45"/>
        <v>0</v>
      </c>
      <c r="Z438" s="48">
        <f t="shared" si="46"/>
        <v>0</v>
      </c>
      <c r="AA438" s="48"/>
      <c r="AB438" s="48"/>
      <c r="AC438" s="49">
        <f t="shared" si="47"/>
        <v>0</v>
      </c>
      <c r="AD438" s="50">
        <v>0</v>
      </c>
      <c r="AE438" s="47">
        <v>39927</v>
      </c>
      <c r="AF438" s="51" t="s">
        <v>1016</v>
      </c>
      <c r="AG438" s="52" t="s">
        <v>565</v>
      </c>
      <c r="AH438" s="53" t="s">
        <v>1257</v>
      </c>
      <c r="AI438" s="79"/>
      <c r="AJ438" s="80"/>
      <c r="AK438" s="81"/>
      <c r="AL438" s="80"/>
      <c r="AM438" s="80"/>
      <c r="AN438" s="80"/>
      <c r="AO438" s="80"/>
      <c r="AP438" s="80"/>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0"/>
      <c r="CC438" s="80"/>
      <c r="CD438" s="80"/>
      <c r="CE438" s="80"/>
      <c r="CF438" s="80"/>
      <c r="CG438" s="80"/>
      <c r="CH438" s="80"/>
      <c r="CI438" s="80"/>
      <c r="CJ438" s="80"/>
      <c r="CK438" s="82"/>
      <c r="CL438" s="12"/>
      <c r="CM438" s="82"/>
      <c r="CN438" s="12"/>
      <c r="CO438" s="82"/>
      <c r="CP438" s="12"/>
      <c r="CQ438" s="83">
        <f t="shared" si="48"/>
        <v>0</v>
      </c>
      <c r="CR438" s="84"/>
      <c r="CS438" s="13"/>
      <c r="CT438" s="85"/>
      <c r="CU438" s="86"/>
      <c r="CV438" s="11"/>
      <c r="CW438" s="86"/>
      <c r="CX438" s="84"/>
      <c r="CY438" s="86"/>
    </row>
    <row r="439" spans="1:103" ht="25.5" x14ac:dyDescent="0.2">
      <c r="A439" s="43">
        <v>39926</v>
      </c>
      <c r="B439" s="44" t="s">
        <v>413</v>
      </c>
      <c r="C439" s="44" t="s">
        <v>1252</v>
      </c>
      <c r="D439" s="45" t="s">
        <v>1118</v>
      </c>
      <c r="E439" s="11"/>
      <c r="F439" s="12"/>
      <c r="G439" s="12"/>
      <c r="H439" s="12">
        <f t="shared" si="49"/>
        <v>150</v>
      </c>
      <c r="I439" s="12">
        <v>30</v>
      </c>
      <c r="J439" s="12"/>
      <c r="K439" s="12"/>
      <c r="L439" s="12"/>
      <c r="M439" s="12"/>
      <c r="N439" s="12"/>
      <c r="O439" s="12">
        <v>1</v>
      </c>
      <c r="P439" s="12"/>
      <c r="Q439" s="12"/>
      <c r="R439" s="12"/>
      <c r="S439" s="12"/>
      <c r="T439" s="13"/>
      <c r="U439" s="46"/>
      <c r="V439" s="47"/>
      <c r="W439" s="48">
        <f t="shared" si="43"/>
        <v>0</v>
      </c>
      <c r="X439" s="48">
        <f t="shared" si="44"/>
        <v>0</v>
      </c>
      <c r="Y439" s="48">
        <f t="shared" si="45"/>
        <v>0</v>
      </c>
      <c r="Z439" s="48">
        <f t="shared" si="46"/>
        <v>0</v>
      </c>
      <c r="AA439" s="48"/>
      <c r="AB439" s="48"/>
      <c r="AC439" s="49">
        <f t="shared" si="47"/>
        <v>0</v>
      </c>
      <c r="AD439" s="50">
        <v>0</v>
      </c>
      <c r="AE439" s="47">
        <v>39927</v>
      </c>
      <c r="AF439" s="51" t="s">
        <v>1016</v>
      </c>
      <c r="AG439" s="52" t="s">
        <v>565</v>
      </c>
      <c r="AH439" s="53" t="s">
        <v>1257</v>
      </c>
      <c r="AI439" s="79"/>
      <c r="AJ439" s="80"/>
      <c r="AK439" s="81"/>
      <c r="AL439" s="80"/>
      <c r="AM439" s="80"/>
      <c r="AN439" s="80"/>
      <c r="AO439" s="80"/>
      <c r="AP439" s="80"/>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0"/>
      <c r="CC439" s="80"/>
      <c r="CD439" s="80"/>
      <c r="CE439" s="80"/>
      <c r="CF439" s="80"/>
      <c r="CG439" s="80"/>
      <c r="CH439" s="80"/>
      <c r="CI439" s="80"/>
      <c r="CJ439" s="80"/>
      <c r="CK439" s="82"/>
      <c r="CL439" s="12"/>
      <c r="CM439" s="82"/>
      <c r="CN439" s="12"/>
      <c r="CO439" s="82"/>
      <c r="CP439" s="12"/>
      <c r="CQ439" s="83">
        <f t="shared" si="48"/>
        <v>0</v>
      </c>
      <c r="CR439" s="84"/>
      <c r="CS439" s="13"/>
      <c r="CT439" s="85"/>
      <c r="CU439" s="86"/>
      <c r="CV439" s="11"/>
      <c r="CW439" s="86"/>
      <c r="CX439" s="84"/>
      <c r="CY439" s="86"/>
    </row>
    <row r="440" spans="1:103" ht="38.25" x14ac:dyDescent="0.2">
      <c r="A440" s="43">
        <v>39926</v>
      </c>
      <c r="B440" s="44" t="s">
        <v>413</v>
      </c>
      <c r="C440" s="44" t="s">
        <v>1253</v>
      </c>
      <c r="D440" s="45" t="s">
        <v>1118</v>
      </c>
      <c r="E440" s="11"/>
      <c r="F440" s="12"/>
      <c r="G440" s="12"/>
      <c r="H440" s="12">
        <f t="shared" si="49"/>
        <v>250</v>
      </c>
      <c r="I440" s="12">
        <v>50</v>
      </c>
      <c r="J440" s="12">
        <v>20</v>
      </c>
      <c r="K440" s="12">
        <v>30</v>
      </c>
      <c r="L440" s="12"/>
      <c r="M440" s="12"/>
      <c r="N440" s="12"/>
      <c r="O440" s="12"/>
      <c r="P440" s="12"/>
      <c r="Q440" s="12"/>
      <c r="R440" s="12"/>
      <c r="S440" s="12"/>
      <c r="T440" s="13"/>
      <c r="U440" s="46"/>
      <c r="V440" s="47"/>
      <c r="W440" s="48">
        <f t="shared" si="43"/>
        <v>0</v>
      </c>
      <c r="X440" s="48">
        <f t="shared" si="44"/>
        <v>0</v>
      </c>
      <c r="Y440" s="48">
        <f t="shared" si="45"/>
        <v>0</v>
      </c>
      <c r="Z440" s="48">
        <f t="shared" si="46"/>
        <v>0</v>
      </c>
      <c r="AA440" s="48"/>
      <c r="AB440" s="48"/>
      <c r="AC440" s="49">
        <f t="shared" si="47"/>
        <v>0</v>
      </c>
      <c r="AD440" s="50">
        <v>0</v>
      </c>
      <c r="AE440" s="47">
        <v>39927</v>
      </c>
      <c r="AF440" s="51" t="s">
        <v>1016</v>
      </c>
      <c r="AG440" s="52" t="s">
        <v>565</v>
      </c>
      <c r="AH440" s="53" t="s">
        <v>1257</v>
      </c>
      <c r="AI440" s="79"/>
      <c r="AJ440" s="80"/>
      <c r="AK440" s="81"/>
      <c r="AL440" s="80"/>
      <c r="AM440" s="80"/>
      <c r="AN440" s="80"/>
      <c r="AO440" s="80"/>
      <c r="AP440" s="80"/>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0"/>
      <c r="CC440" s="80"/>
      <c r="CD440" s="80"/>
      <c r="CE440" s="80"/>
      <c r="CF440" s="80"/>
      <c r="CG440" s="80"/>
      <c r="CH440" s="80"/>
      <c r="CI440" s="80"/>
      <c r="CJ440" s="80"/>
      <c r="CK440" s="82"/>
      <c r="CL440" s="12"/>
      <c r="CM440" s="82"/>
      <c r="CN440" s="12"/>
      <c r="CO440" s="82"/>
      <c r="CP440" s="12"/>
      <c r="CQ440" s="83">
        <f t="shared" si="48"/>
        <v>0</v>
      </c>
      <c r="CR440" s="84"/>
      <c r="CS440" s="13"/>
      <c r="CT440" s="85"/>
      <c r="CU440" s="86"/>
      <c r="CV440" s="11"/>
      <c r="CW440" s="86"/>
      <c r="CX440" s="84"/>
      <c r="CY440" s="86"/>
    </row>
    <row r="441" spans="1:103" ht="25.5" x14ac:dyDescent="0.2">
      <c r="A441" s="43">
        <v>39926</v>
      </c>
      <c r="B441" s="44" t="s">
        <v>413</v>
      </c>
      <c r="C441" s="44" t="s">
        <v>1254</v>
      </c>
      <c r="D441" s="45" t="s">
        <v>1118</v>
      </c>
      <c r="E441" s="11"/>
      <c r="F441" s="12"/>
      <c r="G441" s="12"/>
      <c r="H441" s="12">
        <f t="shared" si="49"/>
        <v>70</v>
      </c>
      <c r="I441" s="12">
        <v>14</v>
      </c>
      <c r="J441" s="12">
        <v>5</v>
      </c>
      <c r="K441" s="12">
        <v>3</v>
      </c>
      <c r="L441" s="12"/>
      <c r="M441" s="12"/>
      <c r="N441" s="12"/>
      <c r="O441" s="12"/>
      <c r="P441" s="12"/>
      <c r="Q441" s="12"/>
      <c r="R441" s="12"/>
      <c r="S441" s="12"/>
      <c r="T441" s="13"/>
      <c r="U441" s="46"/>
      <c r="V441" s="47"/>
      <c r="W441" s="48">
        <f t="shared" si="43"/>
        <v>0</v>
      </c>
      <c r="X441" s="48">
        <f t="shared" si="44"/>
        <v>0</v>
      </c>
      <c r="Y441" s="48">
        <f t="shared" si="45"/>
        <v>0</v>
      </c>
      <c r="Z441" s="48">
        <f t="shared" si="46"/>
        <v>0</v>
      </c>
      <c r="AA441" s="48"/>
      <c r="AB441" s="48"/>
      <c r="AC441" s="49">
        <f t="shared" si="47"/>
        <v>0</v>
      </c>
      <c r="AD441" s="50">
        <v>0</v>
      </c>
      <c r="AE441" s="47">
        <v>39927</v>
      </c>
      <c r="AF441" s="51" t="s">
        <v>1016</v>
      </c>
      <c r="AG441" s="52" t="s">
        <v>565</v>
      </c>
      <c r="AH441" s="53" t="s">
        <v>1257</v>
      </c>
      <c r="AI441" s="79"/>
      <c r="AJ441" s="80"/>
      <c r="AK441" s="81"/>
      <c r="AL441" s="80"/>
      <c r="AM441" s="80"/>
      <c r="AN441" s="80"/>
      <c r="AO441" s="80"/>
      <c r="AP441" s="80"/>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0"/>
      <c r="CC441" s="80"/>
      <c r="CD441" s="80"/>
      <c r="CE441" s="80"/>
      <c r="CF441" s="80"/>
      <c r="CG441" s="80"/>
      <c r="CH441" s="80"/>
      <c r="CI441" s="80"/>
      <c r="CJ441" s="80"/>
      <c r="CK441" s="82"/>
      <c r="CL441" s="12"/>
      <c r="CM441" s="82"/>
      <c r="CN441" s="12"/>
      <c r="CO441" s="82"/>
      <c r="CP441" s="12"/>
      <c r="CQ441" s="83">
        <f t="shared" si="48"/>
        <v>0</v>
      </c>
      <c r="CR441" s="84"/>
      <c r="CS441" s="13"/>
      <c r="CT441" s="85"/>
      <c r="CU441" s="86"/>
      <c r="CV441" s="11"/>
      <c r="CW441" s="86"/>
      <c r="CX441" s="84"/>
      <c r="CY441" s="86"/>
    </row>
    <row r="442" spans="1:103" ht="25.5" x14ac:dyDescent="0.2">
      <c r="A442" s="43">
        <v>39926</v>
      </c>
      <c r="B442" s="44" t="s">
        <v>413</v>
      </c>
      <c r="C442" s="44" t="s">
        <v>1255</v>
      </c>
      <c r="D442" s="45" t="s">
        <v>1118</v>
      </c>
      <c r="E442" s="11"/>
      <c r="F442" s="12"/>
      <c r="G442" s="12"/>
      <c r="H442" s="12">
        <f t="shared" si="49"/>
        <v>300</v>
      </c>
      <c r="I442" s="12">
        <v>60</v>
      </c>
      <c r="J442" s="12">
        <v>40</v>
      </c>
      <c r="K442" s="12">
        <v>20</v>
      </c>
      <c r="L442" s="12">
        <v>13</v>
      </c>
      <c r="M442" s="12"/>
      <c r="N442" s="12"/>
      <c r="O442" s="12">
        <v>7</v>
      </c>
      <c r="P442" s="12"/>
      <c r="Q442" s="12"/>
      <c r="R442" s="12"/>
      <c r="S442" s="12"/>
      <c r="T442" s="13"/>
      <c r="U442" s="46"/>
      <c r="V442" s="47"/>
      <c r="W442" s="48">
        <f t="shared" si="43"/>
        <v>0</v>
      </c>
      <c r="X442" s="48">
        <f t="shared" si="44"/>
        <v>0</v>
      </c>
      <c r="Y442" s="48">
        <f t="shared" si="45"/>
        <v>0</v>
      </c>
      <c r="Z442" s="48">
        <f t="shared" si="46"/>
        <v>0</v>
      </c>
      <c r="AA442" s="48"/>
      <c r="AB442" s="48"/>
      <c r="AC442" s="49">
        <f t="shared" si="47"/>
        <v>0</v>
      </c>
      <c r="AD442" s="50">
        <v>0</v>
      </c>
      <c r="AE442" s="47">
        <v>39927</v>
      </c>
      <c r="AF442" s="51" t="s">
        <v>1016</v>
      </c>
      <c r="AG442" s="52" t="s">
        <v>565</v>
      </c>
      <c r="AH442" s="53" t="s">
        <v>1257</v>
      </c>
      <c r="AI442" s="79"/>
      <c r="AJ442" s="80"/>
      <c r="AK442" s="81"/>
      <c r="AL442" s="80"/>
      <c r="AM442" s="80"/>
      <c r="AN442" s="80"/>
      <c r="AO442" s="80"/>
      <c r="AP442" s="80"/>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0"/>
      <c r="CC442" s="80"/>
      <c r="CD442" s="80"/>
      <c r="CE442" s="80"/>
      <c r="CF442" s="80"/>
      <c r="CG442" s="80"/>
      <c r="CH442" s="80"/>
      <c r="CI442" s="80"/>
      <c r="CJ442" s="80"/>
      <c r="CK442" s="82"/>
      <c r="CL442" s="12"/>
      <c r="CM442" s="82"/>
      <c r="CN442" s="12"/>
      <c r="CO442" s="82"/>
      <c r="CP442" s="12"/>
      <c r="CQ442" s="83">
        <f t="shared" si="48"/>
        <v>0</v>
      </c>
      <c r="CR442" s="84"/>
      <c r="CS442" s="13"/>
      <c r="CT442" s="85"/>
      <c r="CU442" s="86"/>
      <c r="CV442" s="11"/>
      <c r="CW442" s="86"/>
      <c r="CX442" s="84"/>
      <c r="CY442" s="86"/>
    </row>
    <row r="443" spans="1:103" ht="25.5" x14ac:dyDescent="0.2">
      <c r="A443" s="43">
        <v>39926</v>
      </c>
      <c r="B443" s="44" t="s">
        <v>413</v>
      </c>
      <c r="C443" s="44" t="s">
        <v>1256</v>
      </c>
      <c r="D443" s="45" t="s">
        <v>1118</v>
      </c>
      <c r="E443" s="11"/>
      <c r="F443" s="12"/>
      <c r="G443" s="12"/>
      <c r="H443" s="12">
        <f t="shared" si="49"/>
        <v>400</v>
      </c>
      <c r="I443" s="12">
        <v>80</v>
      </c>
      <c r="J443" s="12"/>
      <c r="K443" s="12">
        <v>80</v>
      </c>
      <c r="L443" s="12"/>
      <c r="M443" s="12"/>
      <c r="N443" s="12"/>
      <c r="O443" s="12"/>
      <c r="P443" s="12"/>
      <c r="Q443" s="12"/>
      <c r="R443" s="12"/>
      <c r="S443" s="12"/>
      <c r="T443" s="13"/>
      <c r="U443" s="46"/>
      <c r="V443" s="47"/>
      <c r="W443" s="48">
        <f t="shared" si="43"/>
        <v>0</v>
      </c>
      <c r="X443" s="48">
        <f t="shared" si="44"/>
        <v>0</v>
      </c>
      <c r="Y443" s="48">
        <f t="shared" si="45"/>
        <v>0</v>
      </c>
      <c r="Z443" s="48">
        <f t="shared" si="46"/>
        <v>0</v>
      </c>
      <c r="AA443" s="48"/>
      <c r="AB443" s="48"/>
      <c r="AC443" s="49">
        <f t="shared" si="47"/>
        <v>0</v>
      </c>
      <c r="AD443" s="50">
        <v>0</v>
      </c>
      <c r="AE443" s="47">
        <v>39927</v>
      </c>
      <c r="AF443" s="51" t="s">
        <v>1016</v>
      </c>
      <c r="AG443" s="52" t="s">
        <v>565</v>
      </c>
      <c r="AH443" s="53" t="s">
        <v>1257</v>
      </c>
      <c r="AI443" s="79"/>
      <c r="AJ443" s="80"/>
      <c r="AK443" s="81"/>
      <c r="AL443" s="80"/>
      <c r="AM443" s="80"/>
      <c r="AN443" s="80"/>
      <c r="AO443" s="80"/>
      <c r="AP443" s="80"/>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0"/>
      <c r="CC443" s="80"/>
      <c r="CD443" s="80"/>
      <c r="CE443" s="80"/>
      <c r="CF443" s="80"/>
      <c r="CG443" s="80"/>
      <c r="CH443" s="80"/>
      <c r="CI443" s="80"/>
      <c r="CJ443" s="80"/>
      <c r="CK443" s="82"/>
      <c r="CL443" s="12"/>
      <c r="CM443" s="82"/>
      <c r="CN443" s="12"/>
      <c r="CO443" s="82"/>
      <c r="CP443" s="12"/>
      <c r="CQ443" s="83">
        <f t="shared" si="48"/>
        <v>0</v>
      </c>
      <c r="CR443" s="84"/>
      <c r="CS443" s="13"/>
      <c r="CT443" s="85"/>
      <c r="CU443" s="86"/>
      <c r="CV443" s="11"/>
      <c r="CW443" s="86"/>
      <c r="CX443" s="84"/>
      <c r="CY443" s="86"/>
    </row>
    <row r="444" spans="1:103" ht="25.5" x14ac:dyDescent="0.2">
      <c r="A444" s="43">
        <v>39926</v>
      </c>
      <c r="B444" s="44" t="s">
        <v>413</v>
      </c>
      <c r="C444" s="44" t="s">
        <v>1454</v>
      </c>
      <c r="D444" s="45" t="s">
        <v>1118</v>
      </c>
      <c r="E444" s="11"/>
      <c r="F444" s="12"/>
      <c r="G444" s="12"/>
      <c r="H444" s="12"/>
      <c r="I444" s="12"/>
      <c r="J444" s="12"/>
      <c r="K444" s="12"/>
      <c r="L444" s="12"/>
      <c r="M444" s="12"/>
      <c r="N444" s="12"/>
      <c r="O444" s="12"/>
      <c r="P444" s="12"/>
      <c r="Q444" s="12"/>
      <c r="R444" s="12"/>
      <c r="S444" s="12"/>
      <c r="T444" s="13"/>
      <c r="U444" s="46"/>
      <c r="V444" s="47">
        <v>39946</v>
      </c>
      <c r="W444" s="48">
        <f t="shared" si="43"/>
        <v>109499910</v>
      </c>
      <c r="X444" s="48">
        <f t="shared" si="44"/>
        <v>127500000</v>
      </c>
      <c r="Y444" s="48">
        <f t="shared" si="45"/>
        <v>0</v>
      </c>
      <c r="Z444" s="48">
        <f t="shared" si="46"/>
        <v>0</v>
      </c>
      <c r="AA444" s="48"/>
      <c r="AB444" s="48"/>
      <c r="AC444" s="49">
        <f t="shared" si="47"/>
        <v>236999910</v>
      </c>
      <c r="AD444" s="50">
        <v>0</v>
      </c>
      <c r="AE444" s="47">
        <v>39927</v>
      </c>
      <c r="AF444" s="51" t="s">
        <v>1016</v>
      </c>
      <c r="AG444" s="52" t="s">
        <v>565</v>
      </c>
      <c r="AH444" s="53" t="s">
        <v>1258</v>
      </c>
      <c r="AI444" s="79"/>
      <c r="AJ444" s="80"/>
      <c r="AK444" s="81"/>
      <c r="AL444" s="80"/>
      <c r="AM444" s="80"/>
      <c r="AN444" s="80"/>
      <c r="AO444" s="80"/>
      <c r="AP444" s="80"/>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0"/>
      <c r="CC444" s="80"/>
      <c r="CD444" s="80"/>
      <c r="CE444" s="80"/>
      <c r="CF444" s="80"/>
      <c r="CG444" s="80"/>
      <c r="CH444" s="80"/>
      <c r="CI444" s="80"/>
      <c r="CJ444" s="80"/>
      <c r="CK444" s="82">
        <v>1500</v>
      </c>
      <c r="CL444" s="12">
        <f>1500*36999.94</f>
        <v>55499910</v>
      </c>
      <c r="CM444" s="82">
        <v>1500</v>
      </c>
      <c r="CN444" s="12">
        <f>1500*36000</f>
        <v>54000000</v>
      </c>
      <c r="CO444" s="82"/>
      <c r="CP444" s="12"/>
      <c r="CQ444" s="83">
        <f t="shared" si="48"/>
        <v>109499910</v>
      </c>
      <c r="CR444" s="84"/>
      <c r="CS444" s="13"/>
      <c r="CT444" s="85">
        <v>1500</v>
      </c>
      <c r="CU444" s="86">
        <f>1500*85000</f>
        <v>127500000</v>
      </c>
      <c r="CV444" s="11"/>
      <c r="CW444" s="86"/>
      <c r="CX444" s="84"/>
      <c r="CY444" s="86"/>
    </row>
    <row r="445" spans="1:103" ht="63.75" x14ac:dyDescent="0.2">
      <c r="A445" s="43">
        <v>39927</v>
      </c>
      <c r="B445" s="44" t="s">
        <v>413</v>
      </c>
      <c r="C445" s="44" t="s">
        <v>953</v>
      </c>
      <c r="D445" s="45" t="s">
        <v>1117</v>
      </c>
      <c r="E445" s="11"/>
      <c r="F445" s="12"/>
      <c r="G445" s="12"/>
      <c r="H445" s="12">
        <v>600</v>
      </c>
      <c r="I445" s="12">
        <v>100</v>
      </c>
      <c r="J445" s="12"/>
      <c r="K445" s="12"/>
      <c r="L445" s="12"/>
      <c r="M445" s="12"/>
      <c r="N445" s="12"/>
      <c r="O445" s="12"/>
      <c r="P445" s="12"/>
      <c r="Q445" s="12"/>
      <c r="R445" s="12"/>
      <c r="S445" s="12"/>
      <c r="T445" s="13">
        <v>300</v>
      </c>
      <c r="U445" s="46" t="s">
        <v>1421</v>
      </c>
      <c r="V445" s="47"/>
      <c r="W445" s="48">
        <f t="shared" si="43"/>
        <v>0</v>
      </c>
      <c r="X445" s="48">
        <f t="shared" si="44"/>
        <v>0</v>
      </c>
      <c r="Y445" s="48">
        <f t="shared" si="45"/>
        <v>0</v>
      </c>
      <c r="Z445" s="48">
        <f t="shared" si="46"/>
        <v>0</v>
      </c>
      <c r="AA445" s="48"/>
      <c r="AB445" s="48"/>
      <c r="AC445" s="49">
        <f t="shared" si="47"/>
        <v>0</v>
      </c>
      <c r="AD445" s="50">
        <v>0</v>
      </c>
      <c r="AE445" s="47">
        <v>39981</v>
      </c>
      <c r="AF445" s="51" t="s">
        <v>516</v>
      </c>
      <c r="AG445" s="52" t="s">
        <v>517</v>
      </c>
      <c r="AH445" s="53" t="s">
        <v>954</v>
      </c>
      <c r="AI445" s="79"/>
      <c r="AJ445" s="80"/>
      <c r="AK445" s="81"/>
      <c r="AL445" s="80"/>
      <c r="AM445" s="80"/>
      <c r="AN445" s="80"/>
      <c r="AO445" s="80"/>
      <c r="AP445" s="80"/>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0"/>
      <c r="CC445" s="80"/>
      <c r="CD445" s="80"/>
      <c r="CE445" s="80"/>
      <c r="CF445" s="80"/>
      <c r="CG445" s="80"/>
      <c r="CH445" s="80"/>
      <c r="CI445" s="80"/>
      <c r="CJ445" s="80"/>
      <c r="CK445" s="82"/>
      <c r="CL445" s="12"/>
      <c r="CM445" s="82"/>
      <c r="CN445" s="12"/>
      <c r="CO445" s="82"/>
      <c r="CP445" s="12"/>
      <c r="CQ445" s="83">
        <f t="shared" si="48"/>
        <v>0</v>
      </c>
      <c r="CR445" s="84"/>
      <c r="CS445" s="13"/>
      <c r="CT445" s="85"/>
      <c r="CU445" s="86"/>
      <c r="CV445" s="11"/>
      <c r="CW445" s="86"/>
      <c r="CX445" s="84"/>
      <c r="CY445" s="86"/>
    </row>
    <row r="446" spans="1:103" ht="38.25" x14ac:dyDescent="0.2">
      <c r="A446" s="43">
        <v>39928</v>
      </c>
      <c r="B446" s="44" t="s">
        <v>1224</v>
      </c>
      <c r="C446" s="44" t="s">
        <v>193</v>
      </c>
      <c r="D446" s="45" t="s">
        <v>1118</v>
      </c>
      <c r="E446" s="11"/>
      <c r="F446" s="12"/>
      <c r="G446" s="12"/>
      <c r="H446" s="12">
        <f>538*5</f>
        <v>2690</v>
      </c>
      <c r="I446" s="12">
        <v>538</v>
      </c>
      <c r="J446" s="12"/>
      <c r="K446" s="12">
        <v>538</v>
      </c>
      <c r="L446" s="12"/>
      <c r="M446" s="12"/>
      <c r="N446" s="12"/>
      <c r="O446" s="12">
        <v>6</v>
      </c>
      <c r="P446" s="12"/>
      <c r="Q446" s="12"/>
      <c r="R446" s="12">
        <v>5</v>
      </c>
      <c r="S446" s="12"/>
      <c r="T446" s="13"/>
      <c r="U446" s="46"/>
      <c r="V446" s="47">
        <v>39946</v>
      </c>
      <c r="W446" s="48">
        <f t="shared" si="43"/>
        <v>39248176</v>
      </c>
      <c r="X446" s="48">
        <f t="shared" si="44"/>
        <v>45730000</v>
      </c>
      <c r="Y446" s="48">
        <f t="shared" si="45"/>
        <v>0</v>
      </c>
      <c r="Z446" s="48">
        <f t="shared" si="46"/>
        <v>0</v>
      </c>
      <c r="AA446" s="48"/>
      <c r="AB446" s="48"/>
      <c r="AC446" s="49">
        <f t="shared" si="47"/>
        <v>84978176</v>
      </c>
      <c r="AD446" s="50">
        <v>0</v>
      </c>
      <c r="AE446" s="47">
        <v>39932</v>
      </c>
      <c r="AF446" s="51" t="s">
        <v>1016</v>
      </c>
      <c r="AG446" s="52" t="s">
        <v>565</v>
      </c>
      <c r="AH446" s="53" t="s">
        <v>194</v>
      </c>
      <c r="AI446" s="79"/>
      <c r="AJ446" s="80"/>
      <c r="AK446" s="81"/>
      <c r="AL446" s="80"/>
      <c r="AM446" s="80"/>
      <c r="AN446" s="80"/>
      <c r="AO446" s="80"/>
      <c r="AP446" s="80"/>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0"/>
      <c r="CC446" s="80"/>
      <c r="CD446" s="80"/>
      <c r="CE446" s="80"/>
      <c r="CF446" s="80"/>
      <c r="CG446" s="80"/>
      <c r="CH446" s="80"/>
      <c r="CI446" s="80"/>
      <c r="CJ446" s="80"/>
      <c r="CK446" s="82">
        <v>538</v>
      </c>
      <c r="CL446" s="12">
        <f>538*36952</f>
        <v>19880176</v>
      </c>
      <c r="CM446" s="82">
        <v>538</v>
      </c>
      <c r="CN446" s="12">
        <f>538*36000</f>
        <v>19368000</v>
      </c>
      <c r="CO446" s="82"/>
      <c r="CP446" s="12"/>
      <c r="CQ446" s="83">
        <f t="shared" si="48"/>
        <v>39248176</v>
      </c>
      <c r="CR446" s="84"/>
      <c r="CS446" s="13"/>
      <c r="CT446" s="85">
        <v>538</v>
      </c>
      <c r="CU446" s="86">
        <f>538*85000</f>
        <v>45730000</v>
      </c>
      <c r="CV446" s="11"/>
      <c r="CW446" s="86"/>
      <c r="CX446" s="84"/>
      <c r="CY446" s="86"/>
    </row>
    <row r="447" spans="1:103" ht="12.75" x14ac:dyDescent="0.2">
      <c r="A447" s="43">
        <v>39928</v>
      </c>
      <c r="B447" s="44" t="s">
        <v>1224</v>
      </c>
      <c r="C447" s="44" t="s">
        <v>807</v>
      </c>
      <c r="D447" s="45" t="s">
        <v>1118</v>
      </c>
      <c r="E447" s="11"/>
      <c r="F447" s="12"/>
      <c r="G447" s="12"/>
      <c r="H447" s="12">
        <f>271*5</f>
        <v>1355</v>
      </c>
      <c r="I447" s="12">
        <v>271</v>
      </c>
      <c r="J447" s="12"/>
      <c r="K447" s="12"/>
      <c r="L447" s="12"/>
      <c r="M447" s="12"/>
      <c r="N447" s="12"/>
      <c r="O447" s="12"/>
      <c r="P447" s="12"/>
      <c r="Q447" s="12"/>
      <c r="R447" s="12"/>
      <c r="S447" s="12"/>
      <c r="T447" s="13"/>
      <c r="U447" s="46"/>
      <c r="V447" s="47">
        <v>39959</v>
      </c>
      <c r="W447" s="48">
        <f t="shared" si="43"/>
        <v>18032160</v>
      </c>
      <c r="X447" s="48">
        <f t="shared" si="44"/>
        <v>23035000</v>
      </c>
      <c r="Y447" s="48">
        <f t="shared" si="45"/>
        <v>0</v>
      </c>
      <c r="Z447" s="48">
        <f t="shared" si="46"/>
        <v>0</v>
      </c>
      <c r="AA447" s="48"/>
      <c r="AB447" s="48"/>
      <c r="AC447" s="49">
        <f t="shared" si="47"/>
        <v>41067160</v>
      </c>
      <c r="AD447" s="50">
        <v>0</v>
      </c>
      <c r="AE447" s="47">
        <v>39937</v>
      </c>
      <c r="AF447" s="51" t="s">
        <v>1016</v>
      </c>
      <c r="AG447" s="52" t="s">
        <v>565</v>
      </c>
      <c r="AH447" s="53"/>
      <c r="AI447" s="79"/>
      <c r="AJ447" s="80"/>
      <c r="AK447" s="81"/>
      <c r="AL447" s="80"/>
      <c r="AM447" s="80"/>
      <c r="AN447" s="80"/>
      <c r="AO447" s="80"/>
      <c r="AP447" s="80"/>
      <c r="AQ447" s="80">
        <v>80</v>
      </c>
      <c r="AR447" s="80">
        <f>80*21000</f>
        <v>1680000</v>
      </c>
      <c r="AS447" s="80"/>
      <c r="AT447" s="80"/>
      <c r="AU447" s="80">
        <v>65</v>
      </c>
      <c r="AV447" s="80">
        <f>65*56000</f>
        <v>3640000</v>
      </c>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0"/>
      <c r="CC447" s="80"/>
      <c r="CD447" s="80"/>
      <c r="CE447" s="80"/>
      <c r="CF447" s="80"/>
      <c r="CG447" s="80"/>
      <c r="CH447" s="80"/>
      <c r="CI447" s="80"/>
      <c r="CJ447" s="80"/>
      <c r="CK447" s="82">
        <v>80</v>
      </c>
      <c r="CL447" s="12">
        <f>80*36952</f>
        <v>2956160</v>
      </c>
      <c r="CM447" s="82">
        <v>271</v>
      </c>
      <c r="CN447" s="12">
        <f>271*36000</f>
        <v>9756000</v>
      </c>
      <c r="CO447" s="82"/>
      <c r="CP447" s="12"/>
      <c r="CQ447" s="83">
        <f t="shared" si="48"/>
        <v>18032160</v>
      </c>
      <c r="CR447" s="84"/>
      <c r="CS447" s="13"/>
      <c r="CT447" s="85">
        <v>271</v>
      </c>
      <c r="CU447" s="86">
        <f>271*85000</f>
        <v>23035000</v>
      </c>
      <c r="CV447" s="11"/>
      <c r="CW447" s="86"/>
      <c r="CX447" s="84"/>
      <c r="CY447" s="86"/>
    </row>
    <row r="448" spans="1:103" ht="51" x14ac:dyDescent="0.2">
      <c r="A448" s="43">
        <v>39928</v>
      </c>
      <c r="B448" s="44" t="s">
        <v>1097</v>
      </c>
      <c r="C448" s="44" t="s">
        <v>650</v>
      </c>
      <c r="D448" s="45" t="s">
        <v>1118</v>
      </c>
      <c r="E448" s="11"/>
      <c r="F448" s="12"/>
      <c r="G448" s="12"/>
      <c r="H448" s="12">
        <v>472</v>
      </c>
      <c r="I448" s="12">
        <v>73</v>
      </c>
      <c r="J448" s="12">
        <v>18</v>
      </c>
      <c r="K448" s="12"/>
      <c r="L448" s="12"/>
      <c r="M448" s="12"/>
      <c r="N448" s="12"/>
      <c r="O448" s="12"/>
      <c r="P448" s="12"/>
      <c r="Q448" s="12"/>
      <c r="R448" s="12"/>
      <c r="S448" s="12"/>
      <c r="T448" s="13"/>
      <c r="U448" s="46"/>
      <c r="V448" s="47"/>
      <c r="W448" s="48">
        <f t="shared" si="43"/>
        <v>0</v>
      </c>
      <c r="X448" s="48">
        <f t="shared" si="44"/>
        <v>0</v>
      </c>
      <c r="Y448" s="48">
        <f t="shared" si="45"/>
        <v>0</v>
      </c>
      <c r="Z448" s="48">
        <f t="shared" si="46"/>
        <v>0</v>
      </c>
      <c r="AA448" s="48"/>
      <c r="AB448" s="48"/>
      <c r="AC448" s="49">
        <f t="shared" si="47"/>
        <v>0</v>
      </c>
      <c r="AD448" s="50">
        <v>0</v>
      </c>
      <c r="AE448" s="47">
        <v>39930</v>
      </c>
      <c r="AF448" s="51" t="s">
        <v>516</v>
      </c>
      <c r="AG448" s="52" t="s">
        <v>517</v>
      </c>
      <c r="AH448" s="53" t="s">
        <v>919</v>
      </c>
      <c r="AI448" s="79"/>
      <c r="AJ448" s="80"/>
      <c r="AK448" s="81"/>
      <c r="AL448" s="80"/>
      <c r="AM448" s="80"/>
      <c r="AN448" s="80"/>
      <c r="AO448" s="80"/>
      <c r="AP448" s="80"/>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0"/>
      <c r="CC448" s="80"/>
      <c r="CD448" s="80"/>
      <c r="CE448" s="80"/>
      <c r="CF448" s="80"/>
      <c r="CG448" s="80"/>
      <c r="CH448" s="80"/>
      <c r="CI448" s="80"/>
      <c r="CJ448" s="80"/>
      <c r="CK448" s="82"/>
      <c r="CL448" s="12"/>
      <c r="CM448" s="82"/>
      <c r="CN448" s="12"/>
      <c r="CO448" s="82"/>
      <c r="CP448" s="12"/>
      <c r="CQ448" s="83">
        <f t="shared" si="48"/>
        <v>0</v>
      </c>
      <c r="CR448" s="84"/>
      <c r="CS448" s="13"/>
      <c r="CT448" s="85"/>
      <c r="CU448" s="86"/>
      <c r="CV448" s="11"/>
      <c r="CW448" s="86"/>
      <c r="CX448" s="84"/>
      <c r="CY448" s="86"/>
    </row>
    <row r="449" spans="1:104" ht="76.5" x14ac:dyDescent="0.2">
      <c r="A449" s="43">
        <v>39928</v>
      </c>
      <c r="B449" s="44" t="s">
        <v>1114</v>
      </c>
      <c r="C449" s="44" t="s">
        <v>560</v>
      </c>
      <c r="D449" s="45" t="s">
        <v>1117</v>
      </c>
      <c r="E449" s="11"/>
      <c r="F449" s="12"/>
      <c r="G449" s="12"/>
      <c r="H449" s="12">
        <v>550</v>
      </c>
      <c r="I449" s="12">
        <v>110</v>
      </c>
      <c r="J449" s="12"/>
      <c r="K449" s="12">
        <v>110</v>
      </c>
      <c r="L449" s="12"/>
      <c r="M449" s="12"/>
      <c r="N449" s="12"/>
      <c r="O449" s="12"/>
      <c r="P449" s="12"/>
      <c r="Q449" s="12"/>
      <c r="R449" s="12"/>
      <c r="S449" s="12"/>
      <c r="T449" s="13"/>
      <c r="U449" s="46"/>
      <c r="V449" s="47"/>
      <c r="W449" s="48">
        <f t="shared" si="43"/>
        <v>0</v>
      </c>
      <c r="X449" s="48">
        <f t="shared" si="44"/>
        <v>0</v>
      </c>
      <c r="Y449" s="48">
        <f t="shared" si="45"/>
        <v>0</v>
      </c>
      <c r="Z449" s="48">
        <f t="shared" si="46"/>
        <v>0</v>
      </c>
      <c r="AA449" s="48"/>
      <c r="AB449" s="48"/>
      <c r="AC449" s="49">
        <f t="shared" si="47"/>
        <v>0</v>
      </c>
      <c r="AD449" s="50">
        <v>0</v>
      </c>
      <c r="AE449" s="47">
        <v>39930</v>
      </c>
      <c r="AF449" s="51" t="s">
        <v>516</v>
      </c>
      <c r="AG449" s="52" t="s">
        <v>517</v>
      </c>
      <c r="AH449" s="53" t="s">
        <v>1219</v>
      </c>
      <c r="AI449" s="79"/>
      <c r="AJ449" s="80"/>
      <c r="AK449" s="81"/>
      <c r="AL449" s="80"/>
      <c r="AM449" s="80"/>
      <c r="AN449" s="80"/>
      <c r="AO449" s="80"/>
      <c r="AP449" s="80"/>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0"/>
      <c r="CC449" s="80"/>
      <c r="CD449" s="80"/>
      <c r="CE449" s="80"/>
      <c r="CF449" s="80"/>
      <c r="CG449" s="80"/>
      <c r="CH449" s="80"/>
      <c r="CI449" s="80"/>
      <c r="CJ449" s="80"/>
      <c r="CK449" s="82"/>
      <c r="CL449" s="12"/>
      <c r="CM449" s="82"/>
      <c r="CN449" s="12"/>
      <c r="CO449" s="82"/>
      <c r="CP449" s="12"/>
      <c r="CQ449" s="83">
        <f t="shared" si="48"/>
        <v>0</v>
      </c>
      <c r="CR449" s="84"/>
      <c r="CS449" s="13"/>
      <c r="CT449" s="85"/>
      <c r="CU449" s="86"/>
      <c r="CV449" s="11"/>
      <c r="CW449" s="86"/>
      <c r="CX449" s="84"/>
      <c r="CY449" s="86"/>
    </row>
    <row r="450" spans="1:104" ht="25.5" x14ac:dyDescent="0.2">
      <c r="A450" s="43">
        <v>39929</v>
      </c>
      <c r="B450" s="44" t="s">
        <v>765</v>
      </c>
      <c r="C450" s="44" t="s">
        <v>1170</v>
      </c>
      <c r="D450" s="45" t="s">
        <v>1117</v>
      </c>
      <c r="E450" s="11"/>
      <c r="F450" s="12"/>
      <c r="G450" s="12"/>
      <c r="H450" s="12">
        <v>33</v>
      </c>
      <c r="I450" s="12">
        <v>6</v>
      </c>
      <c r="J450" s="12">
        <v>6</v>
      </c>
      <c r="K450" s="12"/>
      <c r="L450" s="12"/>
      <c r="M450" s="12"/>
      <c r="N450" s="12"/>
      <c r="O450" s="12"/>
      <c r="P450" s="12"/>
      <c r="Q450" s="12"/>
      <c r="R450" s="12"/>
      <c r="S450" s="12"/>
      <c r="T450" s="13"/>
      <c r="U450" s="46"/>
      <c r="V450" s="47"/>
      <c r="W450" s="48">
        <f t="shared" si="43"/>
        <v>0</v>
      </c>
      <c r="X450" s="48">
        <f t="shared" si="44"/>
        <v>0</v>
      </c>
      <c r="Y450" s="48">
        <f t="shared" si="45"/>
        <v>0</v>
      </c>
      <c r="Z450" s="48">
        <f t="shared" si="46"/>
        <v>0</v>
      </c>
      <c r="AA450" s="48"/>
      <c r="AB450" s="48"/>
      <c r="AC450" s="49">
        <f t="shared" si="47"/>
        <v>0</v>
      </c>
      <c r="AD450" s="50">
        <v>0</v>
      </c>
      <c r="AE450" s="47">
        <v>39930</v>
      </c>
      <c r="AF450" s="51" t="s">
        <v>516</v>
      </c>
      <c r="AG450" s="52" t="s">
        <v>517</v>
      </c>
      <c r="AH450" s="53" t="s">
        <v>223</v>
      </c>
      <c r="AI450" s="79"/>
      <c r="AJ450" s="80"/>
      <c r="AK450" s="81"/>
      <c r="AL450" s="80"/>
      <c r="AM450" s="80"/>
      <c r="AN450" s="80"/>
      <c r="AO450" s="80"/>
      <c r="AP450" s="80"/>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0"/>
      <c r="CC450" s="80"/>
      <c r="CD450" s="80"/>
      <c r="CE450" s="80"/>
      <c r="CF450" s="80"/>
      <c r="CG450" s="80"/>
      <c r="CH450" s="80"/>
      <c r="CI450" s="80"/>
      <c r="CJ450" s="80"/>
      <c r="CK450" s="82"/>
      <c r="CL450" s="12"/>
      <c r="CM450" s="82"/>
      <c r="CN450" s="12"/>
      <c r="CO450" s="82"/>
      <c r="CP450" s="12"/>
      <c r="CQ450" s="83">
        <f t="shared" si="48"/>
        <v>0</v>
      </c>
      <c r="CR450" s="84"/>
      <c r="CS450" s="13"/>
      <c r="CT450" s="85"/>
      <c r="CU450" s="86"/>
      <c r="CV450" s="11"/>
      <c r="CW450" s="86"/>
      <c r="CX450" s="84"/>
      <c r="CY450" s="86"/>
    </row>
    <row r="451" spans="1:104" ht="89.25" x14ac:dyDescent="0.2">
      <c r="A451" s="63">
        <v>39930</v>
      </c>
      <c r="B451" s="61" t="s">
        <v>413</v>
      </c>
      <c r="C451" s="61" t="s">
        <v>1470</v>
      </c>
      <c r="D451" s="62" t="s">
        <v>1118</v>
      </c>
      <c r="E451" s="11"/>
      <c r="F451" s="12"/>
      <c r="G451" s="12"/>
      <c r="H451" s="12"/>
      <c r="I451" s="12"/>
      <c r="J451" s="12"/>
      <c r="K451" s="12"/>
      <c r="L451" s="12">
        <v>6</v>
      </c>
      <c r="M451" s="12"/>
      <c r="N451" s="12"/>
      <c r="O451" s="12"/>
      <c r="P451" s="12"/>
      <c r="Q451" s="12"/>
      <c r="R451" s="12"/>
      <c r="S451" s="12"/>
      <c r="T451" s="13"/>
      <c r="U451" s="46"/>
      <c r="V451" s="47"/>
      <c r="W451" s="48">
        <f t="shared" ref="W451:W514" si="50">CQ451</f>
        <v>0</v>
      </c>
      <c r="X451" s="48">
        <f t="shared" ref="X451:X514" si="51">CU451</f>
        <v>0</v>
      </c>
      <c r="Y451" s="48">
        <f t="shared" ref="Y451:Y514" si="52">CW451+CY451</f>
        <v>0</v>
      </c>
      <c r="Z451" s="48">
        <f t="shared" ref="Z451:Z514" si="53">CS451</f>
        <v>0</v>
      </c>
      <c r="AA451" s="48"/>
      <c r="AB451" s="48"/>
      <c r="AC451" s="49">
        <f t="shared" ref="AC451:AC514" si="54">W451+X451+Y451+Z451+AA451+AB451</f>
        <v>0</v>
      </c>
      <c r="AD451" s="50">
        <v>0</v>
      </c>
      <c r="AE451" s="47">
        <v>39939</v>
      </c>
      <c r="AF451" s="51" t="s">
        <v>1016</v>
      </c>
      <c r="AG451" s="52" t="s">
        <v>517</v>
      </c>
      <c r="AH451" s="53" t="s">
        <v>8</v>
      </c>
      <c r="AI451" s="79"/>
      <c r="AJ451" s="80"/>
      <c r="AK451" s="81"/>
      <c r="AL451" s="80"/>
      <c r="AM451" s="80"/>
      <c r="AN451" s="80"/>
      <c r="AO451" s="80"/>
      <c r="AP451" s="80"/>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0"/>
      <c r="CC451" s="80"/>
      <c r="CD451" s="80"/>
      <c r="CE451" s="80"/>
      <c r="CF451" s="80"/>
      <c r="CG451" s="80"/>
      <c r="CH451" s="80"/>
      <c r="CI451" s="80"/>
      <c r="CJ451" s="80"/>
      <c r="CK451" s="82"/>
      <c r="CL451" s="12"/>
      <c r="CM451" s="82"/>
      <c r="CN451" s="12"/>
      <c r="CO451" s="82"/>
      <c r="CP451" s="12"/>
      <c r="CQ451" s="83">
        <f t="shared" ref="CQ451:CQ514" si="55">AJ451+AL451+AN451+AP451+AR451+AT451+AV451+AX451+AZ451+BB451+BD451+BF451+BH451+BJ451+BL451+BN451+BP451+BR451+BT451+BV451+BX451+BZ451+CB451+CD451+CF451+CH451+CJ451+CL451+CN451+CP451</f>
        <v>0</v>
      </c>
      <c r="CR451" s="84"/>
      <c r="CS451" s="13"/>
      <c r="CT451" s="85"/>
      <c r="CU451" s="86"/>
      <c r="CV451" s="11"/>
      <c r="CW451" s="86"/>
      <c r="CX451" s="84"/>
      <c r="CY451" s="86"/>
    </row>
    <row r="452" spans="1:104" ht="25.5" x14ac:dyDescent="0.2">
      <c r="A452" s="43">
        <v>39931</v>
      </c>
      <c r="B452" s="44" t="s">
        <v>1097</v>
      </c>
      <c r="C452" s="44" t="s">
        <v>125</v>
      </c>
      <c r="D452" s="45" t="s">
        <v>1117</v>
      </c>
      <c r="E452" s="11"/>
      <c r="F452" s="12"/>
      <c r="G452" s="12"/>
      <c r="H452" s="12">
        <v>40</v>
      </c>
      <c r="I452" s="12">
        <v>7</v>
      </c>
      <c r="J452" s="12"/>
      <c r="K452" s="12">
        <v>7</v>
      </c>
      <c r="L452" s="12"/>
      <c r="M452" s="12"/>
      <c r="N452" s="12"/>
      <c r="O452" s="12"/>
      <c r="P452" s="12"/>
      <c r="Q452" s="12"/>
      <c r="R452" s="12"/>
      <c r="S452" s="12"/>
      <c r="T452" s="13"/>
      <c r="U452" s="46"/>
      <c r="V452" s="47"/>
      <c r="W452" s="48">
        <f t="shared" si="50"/>
        <v>0</v>
      </c>
      <c r="X452" s="48">
        <f t="shared" si="51"/>
        <v>0</v>
      </c>
      <c r="Y452" s="48">
        <f t="shared" si="52"/>
        <v>0</v>
      </c>
      <c r="Z452" s="48">
        <f t="shared" si="53"/>
        <v>0</v>
      </c>
      <c r="AA452" s="48"/>
      <c r="AB452" s="48"/>
      <c r="AC452" s="49">
        <f t="shared" si="54"/>
        <v>0</v>
      </c>
      <c r="AD452" s="50">
        <v>0</v>
      </c>
      <c r="AE452" s="47">
        <v>39930</v>
      </c>
      <c r="AF452" s="51" t="s">
        <v>516</v>
      </c>
      <c r="AG452" s="52" t="s">
        <v>517</v>
      </c>
      <c r="AH452" s="53" t="s">
        <v>408</v>
      </c>
      <c r="AI452" s="79"/>
      <c r="AJ452" s="80"/>
      <c r="AK452" s="81"/>
      <c r="AL452" s="80"/>
      <c r="AM452" s="80"/>
      <c r="AN452" s="80"/>
      <c r="AO452" s="80"/>
      <c r="AP452" s="80"/>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0"/>
      <c r="CC452" s="80"/>
      <c r="CD452" s="80"/>
      <c r="CE452" s="80"/>
      <c r="CF452" s="80"/>
      <c r="CG452" s="80"/>
      <c r="CH452" s="80"/>
      <c r="CI452" s="80"/>
      <c r="CJ452" s="80"/>
      <c r="CK452" s="82"/>
      <c r="CL452" s="12"/>
      <c r="CM452" s="82"/>
      <c r="CN452" s="12"/>
      <c r="CO452" s="82"/>
      <c r="CP452" s="12"/>
      <c r="CQ452" s="83">
        <f t="shared" si="55"/>
        <v>0</v>
      </c>
      <c r="CR452" s="84"/>
      <c r="CS452" s="13"/>
      <c r="CT452" s="85"/>
      <c r="CU452" s="86"/>
      <c r="CV452" s="11"/>
      <c r="CW452" s="86"/>
      <c r="CX452" s="84"/>
      <c r="CY452" s="86"/>
    </row>
    <row r="453" spans="1:104" ht="38.25" x14ac:dyDescent="0.2">
      <c r="A453" s="43">
        <v>39931</v>
      </c>
      <c r="B453" s="44" t="s">
        <v>1094</v>
      </c>
      <c r="C453" s="44" t="s">
        <v>618</v>
      </c>
      <c r="D453" s="45" t="s">
        <v>1118</v>
      </c>
      <c r="E453" s="11"/>
      <c r="F453" s="12"/>
      <c r="G453" s="12"/>
      <c r="H453" s="12"/>
      <c r="I453" s="12"/>
      <c r="J453" s="12"/>
      <c r="K453" s="12"/>
      <c r="L453" s="12"/>
      <c r="M453" s="12"/>
      <c r="N453" s="12"/>
      <c r="O453" s="12"/>
      <c r="P453" s="12"/>
      <c r="Q453" s="12"/>
      <c r="R453" s="12"/>
      <c r="S453" s="12"/>
      <c r="T453" s="13"/>
      <c r="U453" s="46"/>
      <c r="V453" s="47">
        <v>39939</v>
      </c>
      <c r="W453" s="48">
        <f t="shared" si="50"/>
        <v>0</v>
      </c>
      <c r="X453" s="48">
        <f t="shared" si="51"/>
        <v>0</v>
      </c>
      <c r="Y453" s="48">
        <f t="shared" si="52"/>
        <v>0</v>
      </c>
      <c r="Z453" s="48">
        <f t="shared" si="53"/>
        <v>0</v>
      </c>
      <c r="AA453" s="48">
        <v>68672000</v>
      </c>
      <c r="AB453" s="48"/>
      <c r="AC453" s="49">
        <f t="shared" si="54"/>
        <v>68672000</v>
      </c>
      <c r="AD453" s="50">
        <v>0</v>
      </c>
      <c r="AE453" s="47">
        <v>39927</v>
      </c>
      <c r="AF453" s="51" t="s">
        <v>1016</v>
      </c>
      <c r="AG453" s="52" t="s">
        <v>565</v>
      </c>
      <c r="AH453" s="54" t="s">
        <v>1145</v>
      </c>
      <c r="AI453" s="79"/>
      <c r="AJ453" s="80"/>
      <c r="AK453" s="81"/>
      <c r="AL453" s="80"/>
      <c r="AM453" s="80"/>
      <c r="AN453" s="80"/>
      <c r="AO453" s="80"/>
      <c r="AP453" s="80"/>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0"/>
      <c r="CC453" s="80"/>
      <c r="CD453" s="80"/>
      <c r="CE453" s="80"/>
      <c r="CF453" s="80"/>
      <c r="CG453" s="80"/>
      <c r="CH453" s="80"/>
      <c r="CI453" s="80"/>
      <c r="CJ453" s="80"/>
      <c r="CK453" s="82"/>
      <c r="CL453" s="12"/>
      <c r="CM453" s="82"/>
      <c r="CN453" s="12"/>
      <c r="CO453" s="82"/>
      <c r="CP453" s="12"/>
      <c r="CQ453" s="83">
        <f t="shared" si="55"/>
        <v>0</v>
      </c>
      <c r="CR453" s="84"/>
      <c r="CS453" s="13"/>
      <c r="CT453" s="85"/>
      <c r="CU453" s="86"/>
      <c r="CV453" s="11"/>
      <c r="CW453" s="86"/>
      <c r="CX453" s="84"/>
      <c r="CY453" s="86"/>
    </row>
    <row r="454" spans="1:104" ht="38.25" x14ac:dyDescent="0.2">
      <c r="A454" s="43">
        <v>39931</v>
      </c>
      <c r="B454" s="44" t="s">
        <v>1136</v>
      </c>
      <c r="C454" s="44" t="s">
        <v>355</v>
      </c>
      <c r="D454" s="45" t="s">
        <v>1092</v>
      </c>
      <c r="E454" s="11"/>
      <c r="F454" s="12"/>
      <c r="G454" s="12"/>
      <c r="H454" s="12">
        <v>100</v>
      </c>
      <c r="I454" s="12">
        <v>20</v>
      </c>
      <c r="J454" s="12">
        <v>20</v>
      </c>
      <c r="K454" s="12"/>
      <c r="L454" s="12"/>
      <c r="M454" s="12"/>
      <c r="N454" s="12"/>
      <c r="O454" s="12"/>
      <c r="P454" s="12"/>
      <c r="Q454" s="12"/>
      <c r="R454" s="12"/>
      <c r="S454" s="12"/>
      <c r="T454" s="13"/>
      <c r="U454" s="46"/>
      <c r="V454" s="47"/>
      <c r="W454" s="48">
        <f t="shared" si="50"/>
        <v>0</v>
      </c>
      <c r="X454" s="48">
        <f t="shared" si="51"/>
        <v>0</v>
      </c>
      <c r="Y454" s="48">
        <f t="shared" si="52"/>
        <v>0</v>
      </c>
      <c r="Z454" s="48">
        <f t="shared" si="53"/>
        <v>0</v>
      </c>
      <c r="AA454" s="48"/>
      <c r="AB454" s="48"/>
      <c r="AC454" s="49">
        <f t="shared" si="54"/>
        <v>0</v>
      </c>
      <c r="AD454" s="50">
        <v>0</v>
      </c>
      <c r="AE454" s="47">
        <v>40011</v>
      </c>
      <c r="AF454" s="51" t="s">
        <v>516</v>
      </c>
      <c r="AG454" s="52" t="s">
        <v>517</v>
      </c>
      <c r="AH454" s="53" t="s">
        <v>356</v>
      </c>
      <c r="AI454" s="79"/>
      <c r="AJ454" s="80"/>
      <c r="AK454" s="81"/>
      <c r="AL454" s="80"/>
      <c r="AM454" s="80"/>
      <c r="AN454" s="80"/>
      <c r="AO454" s="80"/>
      <c r="AP454" s="80"/>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0"/>
      <c r="CC454" s="80"/>
      <c r="CD454" s="80"/>
      <c r="CE454" s="80"/>
      <c r="CF454" s="80"/>
      <c r="CG454" s="80"/>
      <c r="CH454" s="80"/>
      <c r="CI454" s="80"/>
      <c r="CJ454" s="80"/>
      <c r="CK454" s="82"/>
      <c r="CL454" s="12"/>
      <c r="CM454" s="82"/>
      <c r="CN454" s="12"/>
      <c r="CO454" s="82"/>
      <c r="CP454" s="12"/>
      <c r="CQ454" s="83">
        <f t="shared" si="55"/>
        <v>0</v>
      </c>
      <c r="CR454" s="84"/>
      <c r="CS454" s="13"/>
      <c r="CT454" s="85"/>
      <c r="CU454" s="86"/>
      <c r="CV454" s="11"/>
      <c r="CW454" s="86"/>
      <c r="CX454" s="84"/>
      <c r="CY454" s="86"/>
    </row>
    <row r="455" spans="1:104" ht="38.25" x14ac:dyDescent="0.2">
      <c r="A455" s="43">
        <v>39931</v>
      </c>
      <c r="B455" s="44" t="s">
        <v>1114</v>
      </c>
      <c r="C455" s="44" t="s">
        <v>560</v>
      </c>
      <c r="D455" s="45" t="s">
        <v>1116</v>
      </c>
      <c r="E455" s="11">
        <v>3</v>
      </c>
      <c r="F455" s="12"/>
      <c r="G455" s="12"/>
      <c r="H455" s="12">
        <v>15</v>
      </c>
      <c r="I455" s="12">
        <v>5</v>
      </c>
      <c r="J455" s="12">
        <v>1</v>
      </c>
      <c r="K455" s="12"/>
      <c r="L455" s="12"/>
      <c r="M455" s="12"/>
      <c r="N455" s="12"/>
      <c r="O455" s="12"/>
      <c r="P455" s="12"/>
      <c r="Q455" s="12"/>
      <c r="R455" s="12"/>
      <c r="S455" s="12"/>
      <c r="T455" s="13"/>
      <c r="U455" s="46"/>
      <c r="V455" s="47"/>
      <c r="W455" s="48">
        <f t="shared" si="50"/>
        <v>0</v>
      </c>
      <c r="X455" s="48">
        <f t="shared" si="51"/>
        <v>0</v>
      </c>
      <c r="Y455" s="48">
        <f t="shared" si="52"/>
        <v>0</v>
      </c>
      <c r="Z455" s="48">
        <f t="shared" si="53"/>
        <v>0</v>
      </c>
      <c r="AA455" s="48"/>
      <c r="AB455" s="48"/>
      <c r="AC455" s="49">
        <f t="shared" si="54"/>
        <v>0</v>
      </c>
      <c r="AD455" s="50">
        <v>0</v>
      </c>
      <c r="AE455" s="47">
        <v>39930</v>
      </c>
      <c r="AF455" s="51" t="s">
        <v>516</v>
      </c>
      <c r="AG455" s="52" t="s">
        <v>517</v>
      </c>
      <c r="AH455" s="53" t="s">
        <v>407</v>
      </c>
      <c r="AI455" s="79"/>
      <c r="AJ455" s="80"/>
      <c r="AK455" s="81"/>
      <c r="AL455" s="80"/>
      <c r="AM455" s="80"/>
      <c r="AN455" s="80"/>
      <c r="AO455" s="80"/>
      <c r="AP455" s="80"/>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0"/>
      <c r="CC455" s="80"/>
      <c r="CD455" s="80"/>
      <c r="CE455" s="80"/>
      <c r="CF455" s="80"/>
      <c r="CG455" s="80"/>
      <c r="CH455" s="80"/>
      <c r="CI455" s="80"/>
      <c r="CJ455" s="80"/>
      <c r="CK455" s="82"/>
      <c r="CL455" s="12"/>
      <c r="CM455" s="82"/>
      <c r="CN455" s="12"/>
      <c r="CO455" s="82"/>
      <c r="CP455" s="12"/>
      <c r="CQ455" s="83">
        <f t="shared" si="55"/>
        <v>0</v>
      </c>
      <c r="CR455" s="84"/>
      <c r="CS455" s="13"/>
      <c r="CT455" s="85"/>
      <c r="CU455" s="86"/>
      <c r="CV455" s="11"/>
      <c r="CW455" s="86"/>
      <c r="CX455" s="84"/>
      <c r="CY455" s="86"/>
    </row>
    <row r="456" spans="1:104" ht="25.5" x14ac:dyDescent="0.2">
      <c r="A456" s="43">
        <v>39931</v>
      </c>
      <c r="B456" s="44" t="s">
        <v>1114</v>
      </c>
      <c r="C456" s="44" t="s">
        <v>646</v>
      </c>
      <c r="D456" s="45" t="s">
        <v>1117</v>
      </c>
      <c r="E456" s="11"/>
      <c r="F456" s="12"/>
      <c r="G456" s="12"/>
      <c r="H456" s="12">
        <v>156</v>
      </c>
      <c r="I456" s="12">
        <v>32</v>
      </c>
      <c r="J456" s="12"/>
      <c r="K456" s="12">
        <v>31</v>
      </c>
      <c r="L456" s="12"/>
      <c r="M456" s="12"/>
      <c r="N456" s="12"/>
      <c r="O456" s="12"/>
      <c r="P456" s="12"/>
      <c r="Q456" s="12"/>
      <c r="R456" s="12"/>
      <c r="S456" s="12"/>
      <c r="T456" s="13"/>
      <c r="U456" s="46"/>
      <c r="V456" s="47"/>
      <c r="W456" s="48">
        <f t="shared" si="50"/>
        <v>0</v>
      </c>
      <c r="X456" s="48">
        <f t="shared" si="51"/>
        <v>0</v>
      </c>
      <c r="Y456" s="48">
        <f t="shared" si="52"/>
        <v>0</v>
      </c>
      <c r="Z456" s="48">
        <f t="shared" si="53"/>
        <v>0</v>
      </c>
      <c r="AA456" s="48"/>
      <c r="AB456" s="48"/>
      <c r="AC456" s="49">
        <f t="shared" si="54"/>
        <v>0</v>
      </c>
      <c r="AD456" s="50">
        <v>0</v>
      </c>
      <c r="AE456" s="47">
        <v>39933</v>
      </c>
      <c r="AF456" s="51" t="s">
        <v>516</v>
      </c>
      <c r="AG456" s="52" t="s">
        <v>517</v>
      </c>
      <c r="AH456" s="53" t="s">
        <v>664</v>
      </c>
      <c r="AI456" s="79"/>
      <c r="AJ456" s="80"/>
      <c r="AK456" s="81"/>
      <c r="AL456" s="80"/>
      <c r="AM456" s="80"/>
      <c r="AN456" s="80"/>
      <c r="AO456" s="80"/>
      <c r="AP456" s="80"/>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0"/>
      <c r="CC456" s="80"/>
      <c r="CD456" s="80"/>
      <c r="CE456" s="80"/>
      <c r="CF456" s="80"/>
      <c r="CG456" s="80"/>
      <c r="CH456" s="80"/>
      <c r="CI456" s="80"/>
      <c r="CJ456" s="80"/>
      <c r="CK456" s="82"/>
      <c r="CL456" s="12"/>
      <c r="CM456" s="82"/>
      <c r="CN456" s="12"/>
      <c r="CO456" s="82"/>
      <c r="CP456" s="12"/>
      <c r="CQ456" s="83">
        <f t="shared" si="55"/>
        <v>0</v>
      </c>
      <c r="CR456" s="84"/>
      <c r="CS456" s="13"/>
      <c r="CT456" s="85"/>
      <c r="CU456" s="86"/>
      <c r="CV456" s="11"/>
      <c r="CW456" s="86"/>
      <c r="CX456" s="84"/>
      <c r="CY456" s="86"/>
    </row>
    <row r="457" spans="1:104" ht="127.5" x14ac:dyDescent="0.2">
      <c r="A457" s="43">
        <v>39932</v>
      </c>
      <c r="B457" s="44" t="s">
        <v>625</v>
      </c>
      <c r="C457" s="44" t="s">
        <v>661</v>
      </c>
      <c r="D457" s="45" t="s">
        <v>1118</v>
      </c>
      <c r="E457" s="11">
        <v>1</v>
      </c>
      <c r="F457" s="12"/>
      <c r="G457" s="12"/>
      <c r="H457" s="12"/>
      <c r="I457" s="12"/>
      <c r="J457" s="12"/>
      <c r="K457" s="12"/>
      <c r="L457" s="12">
        <v>1</v>
      </c>
      <c r="M457" s="12"/>
      <c r="N457" s="12"/>
      <c r="O457" s="12"/>
      <c r="P457" s="12"/>
      <c r="Q457" s="12"/>
      <c r="R457" s="12"/>
      <c r="S457" s="12"/>
      <c r="T457" s="13"/>
      <c r="U457" s="46"/>
      <c r="V457" s="47">
        <v>39976</v>
      </c>
      <c r="W457" s="48">
        <f t="shared" si="50"/>
        <v>0</v>
      </c>
      <c r="X457" s="48">
        <f t="shared" si="51"/>
        <v>0</v>
      </c>
      <c r="Y457" s="48">
        <f t="shared" si="52"/>
        <v>0</v>
      </c>
      <c r="Z457" s="48">
        <f t="shared" si="53"/>
        <v>0</v>
      </c>
      <c r="AA457" s="48"/>
      <c r="AB457" s="48">
        <v>33861000</v>
      </c>
      <c r="AC457" s="49">
        <f t="shared" si="54"/>
        <v>33861000</v>
      </c>
      <c r="AD457" s="50">
        <v>0</v>
      </c>
      <c r="AE457" s="47">
        <v>39933</v>
      </c>
      <c r="AF457" s="51" t="s">
        <v>1016</v>
      </c>
      <c r="AG457" s="52" t="s">
        <v>565</v>
      </c>
      <c r="AH457" s="53" t="s">
        <v>9</v>
      </c>
      <c r="AI457" s="79"/>
      <c r="AJ457" s="80"/>
      <c r="AK457" s="81"/>
      <c r="AL457" s="80"/>
      <c r="AM457" s="80"/>
      <c r="AN457" s="80"/>
      <c r="AO457" s="80"/>
      <c r="AP457" s="80"/>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0"/>
      <c r="CC457" s="80"/>
      <c r="CD457" s="80"/>
      <c r="CE457" s="80"/>
      <c r="CF457" s="80"/>
      <c r="CG457" s="80"/>
      <c r="CH457" s="80"/>
      <c r="CI457" s="80"/>
      <c r="CJ457" s="80"/>
      <c r="CK457" s="82"/>
      <c r="CL457" s="12"/>
      <c r="CM457" s="82"/>
      <c r="CN457" s="12"/>
      <c r="CO457" s="82"/>
      <c r="CP457" s="12"/>
      <c r="CQ457" s="83">
        <f t="shared" si="55"/>
        <v>0</v>
      </c>
      <c r="CR457" s="84"/>
      <c r="CS457" s="13"/>
      <c r="CT457" s="85"/>
      <c r="CU457" s="86"/>
      <c r="CV457" s="11"/>
      <c r="CW457" s="86"/>
      <c r="CX457" s="84"/>
      <c r="CY457" s="86"/>
    </row>
    <row r="458" spans="1:104" ht="25.5" x14ac:dyDescent="0.2">
      <c r="A458" s="43">
        <v>39932</v>
      </c>
      <c r="B458" s="44" t="s">
        <v>625</v>
      </c>
      <c r="C458" s="44" t="s">
        <v>662</v>
      </c>
      <c r="D458" s="45" t="s">
        <v>1118</v>
      </c>
      <c r="E458" s="11"/>
      <c r="F458" s="12"/>
      <c r="G458" s="12"/>
      <c r="H458" s="12">
        <v>275</v>
      </c>
      <c r="I458" s="12">
        <v>55</v>
      </c>
      <c r="J458" s="12"/>
      <c r="K458" s="12">
        <v>55</v>
      </c>
      <c r="L458" s="12"/>
      <c r="M458" s="12"/>
      <c r="N458" s="12"/>
      <c r="O458" s="12"/>
      <c r="P458" s="12"/>
      <c r="Q458" s="12"/>
      <c r="R458" s="12"/>
      <c r="S458" s="12"/>
      <c r="T458" s="13"/>
      <c r="U458" s="46"/>
      <c r="V458" s="47"/>
      <c r="W458" s="48">
        <f t="shared" si="50"/>
        <v>0</v>
      </c>
      <c r="X458" s="48">
        <f t="shared" si="51"/>
        <v>0</v>
      </c>
      <c r="Y458" s="48">
        <f t="shared" si="52"/>
        <v>0</v>
      </c>
      <c r="Z458" s="48">
        <f t="shared" si="53"/>
        <v>0</v>
      </c>
      <c r="AA458" s="48"/>
      <c r="AB458" s="48"/>
      <c r="AC458" s="49">
        <f t="shared" si="54"/>
        <v>0</v>
      </c>
      <c r="AD458" s="50">
        <v>0</v>
      </c>
      <c r="AE458" s="47">
        <v>39933</v>
      </c>
      <c r="AF458" s="51" t="s">
        <v>516</v>
      </c>
      <c r="AG458" s="52" t="s">
        <v>517</v>
      </c>
      <c r="AH458" s="53" t="s">
        <v>663</v>
      </c>
      <c r="AI458" s="79"/>
      <c r="AJ458" s="80"/>
      <c r="AK458" s="81"/>
      <c r="AL458" s="80"/>
      <c r="AM458" s="80"/>
      <c r="AN458" s="80"/>
      <c r="AO458" s="80"/>
      <c r="AP458" s="80"/>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80"/>
      <c r="CJ458" s="80"/>
      <c r="CK458" s="82"/>
      <c r="CL458" s="12"/>
      <c r="CM458" s="82"/>
      <c r="CN458" s="12"/>
      <c r="CO458" s="82"/>
      <c r="CP458" s="12"/>
      <c r="CQ458" s="83">
        <f t="shared" si="55"/>
        <v>0</v>
      </c>
      <c r="CR458" s="84"/>
      <c r="CS458" s="13"/>
      <c r="CT458" s="85"/>
      <c r="CU458" s="86"/>
      <c r="CV458" s="11"/>
      <c r="CW458" s="86"/>
      <c r="CX458" s="84"/>
      <c r="CY458" s="86"/>
    </row>
    <row r="459" spans="1:104" ht="25.5" x14ac:dyDescent="0.2">
      <c r="A459" s="43">
        <v>39932</v>
      </c>
      <c r="B459" s="44" t="s">
        <v>1114</v>
      </c>
      <c r="C459" s="44" t="s">
        <v>913</v>
      </c>
      <c r="D459" s="45" t="s">
        <v>1117</v>
      </c>
      <c r="E459" s="11"/>
      <c r="F459" s="12"/>
      <c r="G459" s="12"/>
      <c r="H459" s="12">
        <v>60</v>
      </c>
      <c r="I459" s="12">
        <v>17</v>
      </c>
      <c r="J459" s="12"/>
      <c r="K459" s="12">
        <v>17</v>
      </c>
      <c r="L459" s="12"/>
      <c r="M459" s="12"/>
      <c r="N459" s="12"/>
      <c r="O459" s="12"/>
      <c r="P459" s="12"/>
      <c r="Q459" s="12"/>
      <c r="R459" s="12"/>
      <c r="S459" s="12"/>
      <c r="T459" s="13"/>
      <c r="U459" s="46"/>
      <c r="V459" s="47">
        <v>40009</v>
      </c>
      <c r="W459" s="48">
        <f t="shared" si="50"/>
        <v>0</v>
      </c>
      <c r="X459" s="48">
        <f t="shared" si="51"/>
        <v>0</v>
      </c>
      <c r="Y459" s="48">
        <f t="shared" si="52"/>
        <v>13080000</v>
      </c>
      <c r="Z459" s="48">
        <f t="shared" si="53"/>
        <v>0</v>
      </c>
      <c r="AA459" s="48"/>
      <c r="AB459" s="48"/>
      <c r="AC459" s="49">
        <f t="shared" si="54"/>
        <v>13080000</v>
      </c>
      <c r="AD459" s="50">
        <v>0</v>
      </c>
      <c r="AE459" s="47">
        <v>39933</v>
      </c>
      <c r="AF459" s="51" t="s">
        <v>1016</v>
      </c>
      <c r="AG459" s="52" t="s">
        <v>565</v>
      </c>
      <c r="AH459" s="53" t="s">
        <v>659</v>
      </c>
      <c r="AI459" s="79"/>
      <c r="AJ459" s="80"/>
      <c r="AK459" s="81"/>
      <c r="AL459" s="80"/>
      <c r="AM459" s="80"/>
      <c r="AN459" s="80"/>
      <c r="AO459" s="80"/>
      <c r="AP459" s="80"/>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0"/>
      <c r="CC459" s="80"/>
      <c r="CD459" s="80"/>
      <c r="CE459" s="80"/>
      <c r="CF459" s="80"/>
      <c r="CG459" s="80"/>
      <c r="CH459" s="80"/>
      <c r="CI459" s="80"/>
      <c r="CJ459" s="80"/>
      <c r="CK459" s="82"/>
      <c r="CL459" s="12"/>
      <c r="CM459" s="82"/>
      <c r="CN459" s="12"/>
      <c r="CO459" s="82"/>
      <c r="CP459" s="12"/>
      <c r="CQ459" s="83">
        <f t="shared" si="55"/>
        <v>0</v>
      </c>
      <c r="CR459" s="84"/>
      <c r="CS459" s="13"/>
      <c r="CT459" s="85"/>
      <c r="CU459" s="86"/>
      <c r="CV459" s="11"/>
      <c r="CW459" s="86"/>
      <c r="CX459" s="84">
        <v>600</v>
      </c>
      <c r="CY459" s="86">
        <f>600*21000+2400*200</f>
        <v>13080000</v>
      </c>
      <c r="CZ459" s="9" t="s">
        <v>280</v>
      </c>
    </row>
    <row r="460" spans="1:104" ht="25.5" x14ac:dyDescent="0.2">
      <c r="A460" s="43">
        <v>39933</v>
      </c>
      <c r="B460" s="44" t="s">
        <v>600</v>
      </c>
      <c r="C460" s="44" t="s">
        <v>241</v>
      </c>
      <c r="D460" s="45" t="s">
        <v>1118</v>
      </c>
      <c r="E460" s="11"/>
      <c r="F460" s="12"/>
      <c r="G460" s="12"/>
      <c r="H460" s="12"/>
      <c r="I460" s="12"/>
      <c r="J460" s="12"/>
      <c r="K460" s="12"/>
      <c r="L460" s="12"/>
      <c r="M460" s="12"/>
      <c r="N460" s="12"/>
      <c r="O460" s="12"/>
      <c r="P460" s="12"/>
      <c r="Q460" s="12"/>
      <c r="R460" s="12"/>
      <c r="S460" s="12"/>
      <c r="T460" s="13"/>
      <c r="U460" s="46"/>
      <c r="V460" s="47"/>
      <c r="W460" s="48">
        <f t="shared" si="50"/>
        <v>15400000</v>
      </c>
      <c r="X460" s="48">
        <f t="shared" si="51"/>
        <v>34000000</v>
      </c>
      <c r="Y460" s="48">
        <f t="shared" si="52"/>
        <v>6380000</v>
      </c>
      <c r="Z460" s="48">
        <f t="shared" si="53"/>
        <v>0</v>
      </c>
      <c r="AA460" s="48"/>
      <c r="AB460" s="48"/>
      <c r="AC460" s="49">
        <f t="shared" si="54"/>
        <v>55780000</v>
      </c>
      <c r="AD460" s="50">
        <v>0</v>
      </c>
      <c r="AE460" s="47">
        <v>39933</v>
      </c>
      <c r="AF460" s="51" t="s">
        <v>1016</v>
      </c>
      <c r="AG460" s="52" t="s">
        <v>565</v>
      </c>
      <c r="AH460" s="53" t="s">
        <v>893</v>
      </c>
      <c r="AI460" s="79"/>
      <c r="AJ460" s="80"/>
      <c r="AK460" s="81"/>
      <c r="AL460" s="80"/>
      <c r="AM460" s="80"/>
      <c r="AN460" s="80"/>
      <c r="AO460" s="80"/>
      <c r="AP460" s="80"/>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2">
        <v>400</v>
      </c>
      <c r="CL460" s="12">
        <f>400*38500</f>
        <v>15400000</v>
      </c>
      <c r="CM460" s="82"/>
      <c r="CN460" s="12"/>
      <c r="CO460" s="82"/>
      <c r="CP460" s="12"/>
      <c r="CQ460" s="83">
        <f t="shared" si="55"/>
        <v>15400000</v>
      </c>
      <c r="CR460" s="84"/>
      <c r="CS460" s="13"/>
      <c r="CT460" s="85">
        <v>400</v>
      </c>
      <c r="CU460" s="86">
        <f>400*85000</f>
        <v>34000000</v>
      </c>
      <c r="CV460" s="11"/>
      <c r="CW460" s="86"/>
      <c r="CX460" s="84">
        <v>250</v>
      </c>
      <c r="CY460" s="86">
        <f>250*25520</f>
        <v>6380000</v>
      </c>
    </row>
    <row r="461" spans="1:104" ht="63.75" x14ac:dyDescent="0.2">
      <c r="A461" s="43">
        <v>39933</v>
      </c>
      <c r="B461" s="44" t="s">
        <v>1136</v>
      </c>
      <c r="C461" s="44" t="s">
        <v>380</v>
      </c>
      <c r="D461" s="45" t="s">
        <v>1092</v>
      </c>
      <c r="E461" s="11"/>
      <c r="F461" s="12"/>
      <c r="G461" s="12"/>
      <c r="H461" s="12">
        <f>14*5</f>
        <v>70</v>
      </c>
      <c r="I461" s="12">
        <v>14</v>
      </c>
      <c r="J461" s="12"/>
      <c r="K461" s="12">
        <v>14</v>
      </c>
      <c r="L461" s="12"/>
      <c r="M461" s="12"/>
      <c r="N461" s="12"/>
      <c r="O461" s="12"/>
      <c r="P461" s="12"/>
      <c r="Q461" s="12"/>
      <c r="R461" s="12"/>
      <c r="S461" s="12"/>
      <c r="T461" s="13"/>
      <c r="U461" s="46"/>
      <c r="V461" s="47"/>
      <c r="W461" s="48">
        <f t="shared" si="50"/>
        <v>0</v>
      </c>
      <c r="X461" s="48">
        <f t="shared" si="51"/>
        <v>0</v>
      </c>
      <c r="Y461" s="48">
        <f t="shared" si="52"/>
        <v>0</v>
      </c>
      <c r="Z461" s="48">
        <f t="shared" si="53"/>
        <v>0</v>
      </c>
      <c r="AA461" s="48"/>
      <c r="AB461" s="48"/>
      <c r="AC461" s="49">
        <f t="shared" si="54"/>
        <v>0</v>
      </c>
      <c r="AD461" s="50">
        <v>0</v>
      </c>
      <c r="AE461" s="47">
        <v>39973</v>
      </c>
      <c r="AF461" s="51" t="s">
        <v>1016</v>
      </c>
      <c r="AG461" s="52" t="s">
        <v>517</v>
      </c>
      <c r="AH461" s="53" t="s">
        <v>10</v>
      </c>
      <c r="AI461" s="79"/>
      <c r="AJ461" s="80"/>
      <c r="AK461" s="81"/>
      <c r="AL461" s="80"/>
      <c r="AM461" s="80"/>
      <c r="AN461" s="80"/>
      <c r="AO461" s="80"/>
      <c r="AP461" s="80"/>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0"/>
      <c r="CC461" s="80"/>
      <c r="CD461" s="80"/>
      <c r="CE461" s="80"/>
      <c r="CF461" s="80"/>
      <c r="CG461" s="80"/>
      <c r="CH461" s="80"/>
      <c r="CI461" s="80"/>
      <c r="CJ461" s="80"/>
      <c r="CK461" s="82"/>
      <c r="CL461" s="12"/>
      <c r="CM461" s="82"/>
      <c r="CN461" s="12"/>
      <c r="CO461" s="82"/>
      <c r="CP461" s="12"/>
      <c r="CQ461" s="83">
        <f t="shared" si="55"/>
        <v>0</v>
      </c>
      <c r="CR461" s="84"/>
      <c r="CS461" s="13"/>
      <c r="CT461" s="85"/>
      <c r="CU461" s="86"/>
      <c r="CV461" s="11"/>
      <c r="CW461" s="86"/>
      <c r="CX461" s="84"/>
      <c r="CY461" s="86"/>
    </row>
    <row r="462" spans="1:104" ht="63.75" x14ac:dyDescent="0.2">
      <c r="A462" s="43">
        <v>39933</v>
      </c>
      <c r="B462" s="44" t="s">
        <v>1453</v>
      </c>
      <c r="C462" s="44" t="s">
        <v>490</v>
      </c>
      <c r="D462" s="45" t="s">
        <v>1118</v>
      </c>
      <c r="E462" s="11"/>
      <c r="F462" s="12"/>
      <c r="G462" s="12"/>
      <c r="H462" s="12">
        <v>3500</v>
      </c>
      <c r="I462" s="12">
        <v>700</v>
      </c>
      <c r="J462" s="12"/>
      <c r="K462" s="12">
        <v>700</v>
      </c>
      <c r="L462" s="12"/>
      <c r="M462" s="12"/>
      <c r="N462" s="12"/>
      <c r="O462" s="12"/>
      <c r="P462" s="12"/>
      <c r="Q462" s="12"/>
      <c r="R462" s="12"/>
      <c r="S462" s="12"/>
      <c r="T462" s="13"/>
      <c r="U462" s="46"/>
      <c r="V462" s="47">
        <v>39966</v>
      </c>
      <c r="W462" s="48">
        <f t="shared" si="50"/>
        <v>26950000</v>
      </c>
      <c r="X462" s="48">
        <f t="shared" si="51"/>
        <v>59500000</v>
      </c>
      <c r="Y462" s="48">
        <f t="shared" si="52"/>
        <v>0</v>
      </c>
      <c r="Z462" s="48">
        <f t="shared" si="53"/>
        <v>0</v>
      </c>
      <c r="AA462" s="48"/>
      <c r="AB462" s="48"/>
      <c r="AC462" s="49">
        <f t="shared" si="54"/>
        <v>86450000</v>
      </c>
      <c r="AD462" s="50">
        <v>0</v>
      </c>
      <c r="AE462" s="47">
        <v>39937</v>
      </c>
      <c r="AF462" s="51" t="s">
        <v>1016</v>
      </c>
      <c r="AG462" s="52" t="s">
        <v>565</v>
      </c>
      <c r="AH462" s="53" t="s">
        <v>1303</v>
      </c>
      <c r="AI462" s="79"/>
      <c r="AJ462" s="80"/>
      <c r="AK462" s="81"/>
      <c r="AL462" s="80"/>
      <c r="AM462" s="80"/>
      <c r="AN462" s="80"/>
      <c r="AO462" s="80"/>
      <c r="AP462" s="80"/>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0"/>
      <c r="CC462" s="80"/>
      <c r="CD462" s="80"/>
      <c r="CE462" s="80"/>
      <c r="CF462" s="80"/>
      <c r="CG462" s="80"/>
      <c r="CH462" s="80"/>
      <c r="CI462" s="80"/>
      <c r="CJ462" s="80"/>
      <c r="CK462" s="82">
        <v>700</v>
      </c>
      <c r="CL462" s="12">
        <f>700*38500</f>
        <v>26950000</v>
      </c>
      <c r="CM462" s="82"/>
      <c r="CN462" s="12"/>
      <c r="CO462" s="82"/>
      <c r="CP462" s="12"/>
      <c r="CQ462" s="83">
        <f t="shared" si="55"/>
        <v>26950000</v>
      </c>
      <c r="CR462" s="84"/>
      <c r="CS462" s="13"/>
      <c r="CT462" s="85">
        <v>700</v>
      </c>
      <c r="CU462" s="86">
        <f>700*85000</f>
        <v>59500000</v>
      </c>
      <c r="CV462" s="11"/>
      <c r="CW462" s="86"/>
      <c r="CX462" s="84"/>
      <c r="CY462" s="86"/>
    </row>
    <row r="463" spans="1:104" ht="25.5" x14ac:dyDescent="0.2">
      <c r="A463" s="43">
        <v>39933</v>
      </c>
      <c r="B463" s="44" t="s">
        <v>1350</v>
      </c>
      <c r="C463" s="44" t="s">
        <v>660</v>
      </c>
      <c r="D463" s="45" t="s">
        <v>1117</v>
      </c>
      <c r="E463" s="11"/>
      <c r="F463" s="12"/>
      <c r="G463" s="12"/>
      <c r="H463" s="12">
        <f>15*5</f>
        <v>75</v>
      </c>
      <c r="I463" s="12">
        <v>15</v>
      </c>
      <c r="J463" s="12"/>
      <c r="K463" s="12">
        <v>15</v>
      </c>
      <c r="L463" s="12"/>
      <c r="M463" s="12"/>
      <c r="N463" s="12"/>
      <c r="O463" s="12"/>
      <c r="P463" s="12"/>
      <c r="Q463" s="12"/>
      <c r="R463" s="12"/>
      <c r="S463" s="12"/>
      <c r="T463" s="13"/>
      <c r="U463" s="46"/>
      <c r="V463" s="47"/>
      <c r="W463" s="48">
        <f t="shared" si="50"/>
        <v>0</v>
      </c>
      <c r="X463" s="48">
        <f t="shared" si="51"/>
        <v>0</v>
      </c>
      <c r="Y463" s="48">
        <f t="shared" si="52"/>
        <v>0</v>
      </c>
      <c r="Z463" s="48">
        <f t="shared" si="53"/>
        <v>0</v>
      </c>
      <c r="AA463" s="48"/>
      <c r="AB463" s="48"/>
      <c r="AC463" s="49">
        <f t="shared" si="54"/>
        <v>0</v>
      </c>
      <c r="AD463" s="50">
        <v>0</v>
      </c>
      <c r="AE463" s="47">
        <v>39933</v>
      </c>
      <c r="AF463" s="51" t="s">
        <v>1016</v>
      </c>
      <c r="AG463" s="52" t="s">
        <v>565</v>
      </c>
      <c r="AH463" s="53" t="s">
        <v>1198</v>
      </c>
      <c r="AI463" s="79"/>
      <c r="AJ463" s="80"/>
      <c r="AK463" s="81"/>
      <c r="AL463" s="80"/>
      <c r="AM463" s="80"/>
      <c r="AN463" s="80"/>
      <c r="AO463" s="80"/>
      <c r="AP463" s="80"/>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0"/>
      <c r="CC463" s="80"/>
      <c r="CD463" s="80"/>
      <c r="CE463" s="80"/>
      <c r="CF463" s="80"/>
      <c r="CG463" s="80"/>
      <c r="CH463" s="80"/>
      <c r="CI463" s="80"/>
      <c r="CJ463" s="80"/>
      <c r="CK463" s="82"/>
      <c r="CL463" s="12"/>
      <c r="CM463" s="82"/>
      <c r="CN463" s="12"/>
      <c r="CO463" s="82"/>
      <c r="CP463" s="12"/>
      <c r="CQ463" s="83">
        <f t="shared" si="55"/>
        <v>0</v>
      </c>
      <c r="CR463" s="84"/>
      <c r="CS463" s="13"/>
      <c r="CT463" s="85"/>
      <c r="CU463" s="86"/>
      <c r="CV463" s="11"/>
      <c r="CW463" s="86"/>
      <c r="CX463" s="84"/>
      <c r="CY463" s="86"/>
    </row>
    <row r="464" spans="1:104" ht="25.5" x14ac:dyDescent="0.2">
      <c r="A464" s="43">
        <v>39933</v>
      </c>
      <c r="B464" s="44" t="s">
        <v>1350</v>
      </c>
      <c r="C464" s="44" t="s">
        <v>808</v>
      </c>
      <c r="D464" s="45" t="s">
        <v>1118</v>
      </c>
      <c r="E464" s="11"/>
      <c r="F464" s="12"/>
      <c r="G464" s="12"/>
      <c r="H464" s="12">
        <f>70*5</f>
        <v>350</v>
      </c>
      <c r="I464" s="12">
        <v>70</v>
      </c>
      <c r="J464" s="12"/>
      <c r="K464" s="12">
        <v>70</v>
      </c>
      <c r="L464" s="12"/>
      <c r="M464" s="12"/>
      <c r="N464" s="12"/>
      <c r="O464" s="12"/>
      <c r="P464" s="12"/>
      <c r="Q464" s="12"/>
      <c r="R464" s="12"/>
      <c r="S464" s="12"/>
      <c r="T464" s="13"/>
      <c r="U464" s="46"/>
      <c r="V464" s="47"/>
      <c r="W464" s="48">
        <f t="shared" si="50"/>
        <v>0</v>
      </c>
      <c r="X464" s="48">
        <f t="shared" si="51"/>
        <v>0</v>
      </c>
      <c r="Y464" s="48">
        <f t="shared" si="52"/>
        <v>0</v>
      </c>
      <c r="Z464" s="48">
        <f t="shared" si="53"/>
        <v>0</v>
      </c>
      <c r="AA464" s="48"/>
      <c r="AB464" s="48"/>
      <c r="AC464" s="49">
        <f t="shared" si="54"/>
        <v>0</v>
      </c>
      <c r="AD464" s="50">
        <v>0</v>
      </c>
      <c r="AE464" s="47">
        <v>39944</v>
      </c>
      <c r="AF464" s="51" t="s">
        <v>1016</v>
      </c>
      <c r="AG464" s="52" t="s">
        <v>565</v>
      </c>
      <c r="AH464" s="53" t="s">
        <v>1358</v>
      </c>
      <c r="AI464" s="79"/>
      <c r="AJ464" s="80"/>
      <c r="AK464" s="81"/>
      <c r="AL464" s="80"/>
      <c r="AM464" s="80"/>
      <c r="AN464" s="80"/>
      <c r="AO464" s="80"/>
      <c r="AP464" s="80"/>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0"/>
      <c r="CC464" s="80"/>
      <c r="CD464" s="80"/>
      <c r="CE464" s="80"/>
      <c r="CF464" s="80"/>
      <c r="CG464" s="80"/>
      <c r="CH464" s="80"/>
      <c r="CI464" s="80"/>
      <c r="CJ464" s="80"/>
      <c r="CK464" s="82"/>
      <c r="CL464" s="12"/>
      <c r="CM464" s="82"/>
      <c r="CN464" s="12"/>
      <c r="CO464" s="82"/>
      <c r="CP464" s="12"/>
      <c r="CQ464" s="83">
        <f t="shared" si="55"/>
        <v>0</v>
      </c>
      <c r="CR464" s="84"/>
      <c r="CS464" s="13"/>
      <c r="CT464" s="85"/>
      <c r="CU464" s="86"/>
      <c r="CV464" s="11"/>
      <c r="CW464" s="86"/>
      <c r="CX464" s="84"/>
      <c r="CY464" s="86"/>
    </row>
    <row r="465" spans="1:103" ht="51" x14ac:dyDescent="0.2">
      <c r="A465" s="43">
        <v>39933</v>
      </c>
      <c r="B465" s="44" t="s">
        <v>1350</v>
      </c>
      <c r="C465" s="44" t="s">
        <v>300</v>
      </c>
      <c r="D465" s="45" t="s">
        <v>1118</v>
      </c>
      <c r="E465" s="11"/>
      <c r="F465" s="12"/>
      <c r="G465" s="12"/>
      <c r="H465" s="12">
        <f>45*5</f>
        <v>225</v>
      </c>
      <c r="I465" s="12">
        <v>45</v>
      </c>
      <c r="J465" s="12"/>
      <c r="K465" s="12">
        <v>45</v>
      </c>
      <c r="L465" s="12"/>
      <c r="M465" s="12"/>
      <c r="N465" s="12"/>
      <c r="O465" s="12"/>
      <c r="P465" s="12"/>
      <c r="Q465" s="12"/>
      <c r="R465" s="12"/>
      <c r="S465" s="12"/>
      <c r="T465" s="13"/>
      <c r="U465" s="46"/>
      <c r="V465" s="47"/>
      <c r="W465" s="48">
        <f t="shared" si="50"/>
        <v>0</v>
      </c>
      <c r="X465" s="48">
        <f t="shared" si="51"/>
        <v>0</v>
      </c>
      <c r="Y465" s="48">
        <f t="shared" si="52"/>
        <v>0</v>
      </c>
      <c r="Z465" s="48">
        <f t="shared" si="53"/>
        <v>0</v>
      </c>
      <c r="AA465" s="48"/>
      <c r="AB465" s="48"/>
      <c r="AC465" s="49">
        <f t="shared" si="54"/>
        <v>0</v>
      </c>
      <c r="AD465" s="50">
        <v>0</v>
      </c>
      <c r="AE465" s="47">
        <v>39944</v>
      </c>
      <c r="AF465" s="51" t="s">
        <v>1016</v>
      </c>
      <c r="AG465" s="52" t="s">
        <v>565</v>
      </c>
      <c r="AH465" s="53" t="s">
        <v>379</v>
      </c>
      <c r="AI465" s="79"/>
      <c r="AJ465" s="80"/>
      <c r="AK465" s="81"/>
      <c r="AL465" s="80"/>
      <c r="AM465" s="80"/>
      <c r="AN465" s="80"/>
      <c r="AO465" s="80"/>
      <c r="AP465" s="80"/>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0"/>
      <c r="CC465" s="80"/>
      <c r="CD465" s="80"/>
      <c r="CE465" s="80"/>
      <c r="CF465" s="80"/>
      <c r="CG465" s="80"/>
      <c r="CH465" s="80"/>
      <c r="CI465" s="80"/>
      <c r="CJ465" s="80"/>
      <c r="CK465" s="82"/>
      <c r="CL465" s="12"/>
      <c r="CM465" s="82"/>
      <c r="CN465" s="12"/>
      <c r="CO465" s="82"/>
      <c r="CP465" s="12"/>
      <c r="CQ465" s="83">
        <f t="shared" si="55"/>
        <v>0</v>
      </c>
      <c r="CR465" s="84"/>
      <c r="CS465" s="13"/>
      <c r="CT465" s="85"/>
      <c r="CU465" s="86"/>
      <c r="CV465" s="11"/>
      <c r="CW465" s="86"/>
      <c r="CX465" s="84"/>
      <c r="CY465" s="86"/>
    </row>
    <row r="466" spans="1:103" ht="63.75" x14ac:dyDescent="0.2">
      <c r="A466" s="43">
        <v>39934</v>
      </c>
      <c r="B466" s="44" t="s">
        <v>1224</v>
      </c>
      <c r="C466" s="44" t="s">
        <v>1447</v>
      </c>
      <c r="D466" s="45" t="s">
        <v>134</v>
      </c>
      <c r="E466" s="11"/>
      <c r="F466" s="12"/>
      <c r="G466" s="12"/>
      <c r="H466" s="12">
        <v>30</v>
      </c>
      <c r="I466" s="12">
        <v>6</v>
      </c>
      <c r="J466" s="12">
        <v>6</v>
      </c>
      <c r="K466" s="12"/>
      <c r="L466" s="12"/>
      <c r="M466" s="12"/>
      <c r="N466" s="12"/>
      <c r="O466" s="12"/>
      <c r="P466" s="12"/>
      <c r="Q466" s="12"/>
      <c r="R466" s="12"/>
      <c r="S466" s="12"/>
      <c r="T466" s="13"/>
      <c r="U466" s="46"/>
      <c r="V466" s="47">
        <v>39955</v>
      </c>
      <c r="W466" s="48">
        <f t="shared" si="50"/>
        <v>0</v>
      </c>
      <c r="X466" s="48">
        <f t="shared" si="51"/>
        <v>0</v>
      </c>
      <c r="Y466" s="48">
        <f t="shared" si="52"/>
        <v>0</v>
      </c>
      <c r="Z466" s="48">
        <f t="shared" si="53"/>
        <v>0</v>
      </c>
      <c r="AA466" s="48"/>
      <c r="AB466" s="48">
        <v>30000000</v>
      </c>
      <c r="AC466" s="49">
        <f t="shared" si="54"/>
        <v>30000000</v>
      </c>
      <c r="AD466" s="50">
        <v>0</v>
      </c>
      <c r="AE466" s="47">
        <v>39937</v>
      </c>
      <c r="AF466" s="51" t="s">
        <v>1016</v>
      </c>
      <c r="AG466" s="52" t="s">
        <v>565</v>
      </c>
      <c r="AH466" s="53" t="s">
        <v>11</v>
      </c>
      <c r="AI466" s="79"/>
      <c r="AJ466" s="80"/>
      <c r="AK466" s="81"/>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0"/>
      <c r="CC466" s="80"/>
      <c r="CD466" s="80"/>
      <c r="CE466" s="80"/>
      <c r="CF466" s="80"/>
      <c r="CG466" s="80"/>
      <c r="CH466" s="80"/>
      <c r="CI466" s="80"/>
      <c r="CJ466" s="80"/>
      <c r="CK466" s="82"/>
      <c r="CL466" s="12"/>
      <c r="CM466" s="82"/>
      <c r="CN466" s="12"/>
      <c r="CO466" s="82"/>
      <c r="CP466" s="12"/>
      <c r="CQ466" s="83">
        <f t="shared" si="55"/>
        <v>0</v>
      </c>
      <c r="CR466" s="84"/>
      <c r="CS466" s="13"/>
      <c r="CT466" s="85"/>
      <c r="CU466" s="86"/>
      <c r="CV466" s="11"/>
      <c r="CW466" s="86"/>
      <c r="CX466" s="84"/>
      <c r="CY466" s="86"/>
    </row>
    <row r="467" spans="1:103" ht="38.25" x14ac:dyDescent="0.2">
      <c r="A467" s="43">
        <v>39934</v>
      </c>
      <c r="B467" s="44" t="s">
        <v>1136</v>
      </c>
      <c r="C467" s="44" t="s">
        <v>307</v>
      </c>
      <c r="D467" s="45" t="s">
        <v>1116</v>
      </c>
      <c r="E467" s="11"/>
      <c r="F467" s="12"/>
      <c r="G467" s="12"/>
      <c r="H467" s="12"/>
      <c r="I467" s="12"/>
      <c r="J467" s="12"/>
      <c r="K467" s="12"/>
      <c r="L467" s="12"/>
      <c r="M467" s="12"/>
      <c r="N467" s="12"/>
      <c r="O467" s="12"/>
      <c r="P467" s="12"/>
      <c r="Q467" s="12"/>
      <c r="R467" s="12"/>
      <c r="S467" s="12"/>
      <c r="T467" s="13"/>
      <c r="U467" s="46" t="s">
        <v>1304</v>
      </c>
      <c r="V467" s="47"/>
      <c r="W467" s="48">
        <f t="shared" si="50"/>
        <v>0</v>
      </c>
      <c r="X467" s="48">
        <f t="shared" si="51"/>
        <v>0</v>
      </c>
      <c r="Y467" s="48">
        <f t="shared" si="52"/>
        <v>0</v>
      </c>
      <c r="Z467" s="48">
        <f t="shared" si="53"/>
        <v>0</v>
      </c>
      <c r="AA467" s="48"/>
      <c r="AB467" s="48"/>
      <c r="AC467" s="49">
        <f t="shared" si="54"/>
        <v>0</v>
      </c>
      <c r="AD467" s="50">
        <v>0</v>
      </c>
      <c r="AE467" s="47">
        <v>39937</v>
      </c>
      <c r="AF467" s="51" t="s">
        <v>516</v>
      </c>
      <c r="AG467" s="52" t="s">
        <v>517</v>
      </c>
      <c r="AH467" s="53" t="s">
        <v>1446</v>
      </c>
      <c r="AI467" s="79"/>
      <c r="AJ467" s="80"/>
      <c r="AK467" s="81"/>
      <c r="AL467" s="80"/>
      <c r="AM467" s="80"/>
      <c r="AN467" s="80"/>
      <c r="AO467" s="80"/>
      <c r="AP467" s="80"/>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0"/>
      <c r="CC467" s="80"/>
      <c r="CD467" s="80"/>
      <c r="CE467" s="80"/>
      <c r="CF467" s="80"/>
      <c r="CG467" s="80"/>
      <c r="CH467" s="80"/>
      <c r="CI467" s="80"/>
      <c r="CJ467" s="80"/>
      <c r="CK467" s="82"/>
      <c r="CL467" s="12"/>
      <c r="CM467" s="82"/>
      <c r="CN467" s="12"/>
      <c r="CO467" s="82"/>
      <c r="CP467" s="12"/>
      <c r="CQ467" s="83">
        <f t="shared" si="55"/>
        <v>0</v>
      </c>
      <c r="CR467" s="84"/>
      <c r="CS467" s="13"/>
      <c r="CT467" s="85"/>
      <c r="CU467" s="86"/>
      <c r="CV467" s="11"/>
      <c r="CW467" s="86"/>
      <c r="CX467" s="84"/>
      <c r="CY467" s="86"/>
    </row>
    <row r="468" spans="1:103" ht="25.5" x14ac:dyDescent="0.2">
      <c r="A468" s="43">
        <v>39934</v>
      </c>
      <c r="B468" s="44" t="s">
        <v>1136</v>
      </c>
      <c r="C468" s="44" t="s">
        <v>581</v>
      </c>
      <c r="D468" s="45" t="s">
        <v>1118</v>
      </c>
      <c r="E468" s="11"/>
      <c r="F468" s="12"/>
      <c r="G468" s="12"/>
      <c r="H468" s="12">
        <f>17*5</f>
        <v>85</v>
      </c>
      <c r="I468" s="12">
        <v>17</v>
      </c>
      <c r="J468" s="12"/>
      <c r="K468" s="12">
        <v>17</v>
      </c>
      <c r="L468" s="12"/>
      <c r="M468" s="12"/>
      <c r="N468" s="12"/>
      <c r="O468" s="12"/>
      <c r="P468" s="12"/>
      <c r="Q468" s="12"/>
      <c r="R468" s="12"/>
      <c r="S468" s="12"/>
      <c r="T468" s="13"/>
      <c r="U468" s="46"/>
      <c r="V468" s="47"/>
      <c r="W468" s="48">
        <f t="shared" si="50"/>
        <v>0</v>
      </c>
      <c r="X468" s="48">
        <f t="shared" si="51"/>
        <v>0</v>
      </c>
      <c r="Y468" s="48">
        <f t="shared" si="52"/>
        <v>0</v>
      </c>
      <c r="Z468" s="48">
        <f t="shared" si="53"/>
        <v>0</v>
      </c>
      <c r="AA468" s="48"/>
      <c r="AB468" s="48"/>
      <c r="AC468" s="49">
        <f t="shared" si="54"/>
        <v>0</v>
      </c>
      <c r="AD468" s="50">
        <v>0</v>
      </c>
      <c r="AE468" s="47">
        <v>40049</v>
      </c>
      <c r="AF468" s="51" t="s">
        <v>516</v>
      </c>
      <c r="AG468" s="52" t="s">
        <v>517</v>
      </c>
      <c r="AH468" s="53" t="s">
        <v>582</v>
      </c>
      <c r="AI468" s="79"/>
      <c r="AJ468" s="80"/>
      <c r="AK468" s="81"/>
      <c r="AL468" s="80"/>
      <c r="AM468" s="80"/>
      <c r="AN468" s="80"/>
      <c r="AO468" s="80"/>
      <c r="AP468" s="80"/>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0"/>
      <c r="CC468" s="80"/>
      <c r="CD468" s="80"/>
      <c r="CE468" s="80"/>
      <c r="CF468" s="80"/>
      <c r="CG468" s="80"/>
      <c r="CH468" s="80"/>
      <c r="CI468" s="80"/>
      <c r="CJ468" s="80"/>
      <c r="CK468" s="82"/>
      <c r="CL468" s="12"/>
      <c r="CM468" s="82"/>
      <c r="CN468" s="12"/>
      <c r="CO468" s="82"/>
      <c r="CP468" s="12"/>
      <c r="CQ468" s="83">
        <f t="shared" si="55"/>
        <v>0</v>
      </c>
      <c r="CR468" s="84"/>
      <c r="CS468" s="13"/>
      <c r="CT468" s="85"/>
      <c r="CU468" s="86"/>
      <c r="CV468" s="11"/>
      <c r="CW468" s="86"/>
      <c r="CX468" s="84"/>
      <c r="CY468" s="86"/>
    </row>
    <row r="469" spans="1:103" ht="63.75" x14ac:dyDescent="0.2">
      <c r="A469" s="43">
        <v>39934</v>
      </c>
      <c r="B469" s="44" t="s">
        <v>1350</v>
      </c>
      <c r="C469" s="44" t="s">
        <v>756</v>
      </c>
      <c r="D469" s="45" t="s">
        <v>1117</v>
      </c>
      <c r="E469" s="11"/>
      <c r="F469" s="12"/>
      <c r="G469" s="12"/>
      <c r="H469" s="12">
        <f>50*5</f>
        <v>250</v>
      </c>
      <c r="I469" s="12">
        <v>50</v>
      </c>
      <c r="J469" s="12"/>
      <c r="K469" s="12">
        <v>50</v>
      </c>
      <c r="L469" s="12"/>
      <c r="M469" s="12"/>
      <c r="N469" s="12"/>
      <c r="O469" s="12"/>
      <c r="P469" s="12"/>
      <c r="Q469" s="12"/>
      <c r="R469" s="12">
        <v>1</v>
      </c>
      <c r="S469" s="12"/>
      <c r="T469" s="13"/>
      <c r="U469" s="46"/>
      <c r="V469" s="47"/>
      <c r="W469" s="48">
        <f t="shared" si="50"/>
        <v>0</v>
      </c>
      <c r="X469" s="48">
        <f t="shared" si="51"/>
        <v>0</v>
      </c>
      <c r="Y469" s="48">
        <f t="shared" si="52"/>
        <v>0</v>
      </c>
      <c r="Z469" s="48">
        <f t="shared" si="53"/>
        <v>0</v>
      </c>
      <c r="AA469" s="48"/>
      <c r="AB469" s="48"/>
      <c r="AC469" s="49">
        <f t="shared" si="54"/>
        <v>0</v>
      </c>
      <c r="AD469" s="50">
        <v>0</v>
      </c>
      <c r="AE469" s="47">
        <v>39937</v>
      </c>
      <c r="AF469" s="51" t="s">
        <v>1016</v>
      </c>
      <c r="AG469" s="52" t="s">
        <v>565</v>
      </c>
      <c r="AH469" s="53" t="s">
        <v>1199</v>
      </c>
      <c r="AI469" s="79"/>
      <c r="AJ469" s="80"/>
      <c r="AK469" s="81"/>
      <c r="AL469" s="80"/>
      <c r="AM469" s="80"/>
      <c r="AN469" s="80"/>
      <c r="AO469" s="80"/>
      <c r="AP469" s="80"/>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0"/>
      <c r="CC469" s="80"/>
      <c r="CD469" s="80"/>
      <c r="CE469" s="80"/>
      <c r="CF469" s="80"/>
      <c r="CG469" s="80"/>
      <c r="CH469" s="80"/>
      <c r="CI469" s="80"/>
      <c r="CJ469" s="80"/>
      <c r="CK469" s="82"/>
      <c r="CL469" s="12"/>
      <c r="CM469" s="82"/>
      <c r="CN469" s="12"/>
      <c r="CO469" s="82"/>
      <c r="CP469" s="12"/>
      <c r="CQ469" s="83">
        <f t="shared" si="55"/>
        <v>0</v>
      </c>
      <c r="CR469" s="84"/>
      <c r="CS469" s="13"/>
      <c r="CT469" s="85"/>
      <c r="CU469" s="86"/>
      <c r="CV469" s="11"/>
      <c r="CW469" s="86"/>
      <c r="CX469" s="84"/>
      <c r="CY469" s="86"/>
    </row>
    <row r="470" spans="1:103" ht="25.5" x14ac:dyDescent="0.2">
      <c r="A470" s="43">
        <v>39935</v>
      </c>
      <c r="B470" s="44" t="s">
        <v>625</v>
      </c>
      <c r="C470" s="44" t="s">
        <v>1066</v>
      </c>
      <c r="D470" s="45" t="s">
        <v>1117</v>
      </c>
      <c r="E470" s="11"/>
      <c r="F470" s="12"/>
      <c r="G470" s="12"/>
      <c r="H470" s="12">
        <v>585</v>
      </c>
      <c r="I470" s="12">
        <v>117</v>
      </c>
      <c r="J470" s="12"/>
      <c r="K470" s="12">
        <v>117</v>
      </c>
      <c r="L470" s="12"/>
      <c r="M470" s="12"/>
      <c r="N470" s="12"/>
      <c r="O470" s="12"/>
      <c r="P470" s="12"/>
      <c r="Q470" s="12"/>
      <c r="R470" s="12"/>
      <c r="S470" s="12"/>
      <c r="T470" s="13"/>
      <c r="U470" s="46"/>
      <c r="V470" s="47"/>
      <c r="W470" s="48">
        <f t="shared" si="50"/>
        <v>0</v>
      </c>
      <c r="X470" s="48">
        <f t="shared" si="51"/>
        <v>0</v>
      </c>
      <c r="Y470" s="48">
        <f t="shared" si="52"/>
        <v>0</v>
      </c>
      <c r="Z470" s="48">
        <f t="shared" si="53"/>
        <v>0</v>
      </c>
      <c r="AA470" s="48"/>
      <c r="AB470" s="48"/>
      <c r="AC470" s="49">
        <f t="shared" si="54"/>
        <v>0</v>
      </c>
      <c r="AD470" s="50">
        <v>0</v>
      </c>
      <c r="AE470" s="47">
        <v>39937</v>
      </c>
      <c r="AF470" s="51" t="s">
        <v>516</v>
      </c>
      <c r="AG470" s="52" t="s">
        <v>517</v>
      </c>
      <c r="AH470" s="53" t="s">
        <v>1281</v>
      </c>
      <c r="AI470" s="79"/>
      <c r="AJ470" s="80"/>
      <c r="AK470" s="81"/>
      <c r="AL470" s="80"/>
      <c r="AM470" s="80"/>
      <c r="AN470" s="80"/>
      <c r="AO470" s="80"/>
      <c r="AP470" s="80"/>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0"/>
      <c r="CC470" s="80"/>
      <c r="CD470" s="80"/>
      <c r="CE470" s="80"/>
      <c r="CF470" s="80"/>
      <c r="CG470" s="80"/>
      <c r="CH470" s="80"/>
      <c r="CI470" s="80"/>
      <c r="CJ470" s="80"/>
      <c r="CK470" s="82"/>
      <c r="CL470" s="12"/>
      <c r="CM470" s="82"/>
      <c r="CN470" s="12"/>
      <c r="CO470" s="82"/>
      <c r="CP470" s="12"/>
      <c r="CQ470" s="83">
        <f t="shared" si="55"/>
        <v>0</v>
      </c>
      <c r="CR470" s="84"/>
      <c r="CS470" s="13"/>
      <c r="CT470" s="85"/>
      <c r="CU470" s="86"/>
      <c r="CV470" s="11"/>
      <c r="CW470" s="86"/>
      <c r="CX470" s="84"/>
      <c r="CY470" s="86"/>
    </row>
    <row r="471" spans="1:103" ht="114.75" x14ac:dyDescent="0.2">
      <c r="A471" s="43">
        <v>39935</v>
      </c>
      <c r="B471" s="44" t="s">
        <v>1226</v>
      </c>
      <c r="C471" s="44" t="s">
        <v>92</v>
      </c>
      <c r="D471" s="45" t="s">
        <v>1092</v>
      </c>
      <c r="E471" s="11"/>
      <c r="F471" s="12"/>
      <c r="G471" s="12"/>
      <c r="H471" s="12">
        <f>185*5</f>
        <v>925</v>
      </c>
      <c r="I471" s="12">
        <v>185</v>
      </c>
      <c r="J471" s="12"/>
      <c r="K471" s="12"/>
      <c r="L471" s="12">
        <v>3</v>
      </c>
      <c r="M471" s="12"/>
      <c r="N471" s="12"/>
      <c r="O471" s="12">
        <v>2</v>
      </c>
      <c r="P471" s="12"/>
      <c r="Q471" s="12"/>
      <c r="R471" s="12"/>
      <c r="S471" s="12"/>
      <c r="T471" s="13"/>
      <c r="U471" s="46"/>
      <c r="V471" s="47"/>
      <c r="W471" s="48">
        <f t="shared" si="50"/>
        <v>0</v>
      </c>
      <c r="X471" s="48">
        <f t="shared" si="51"/>
        <v>0</v>
      </c>
      <c r="Y471" s="48">
        <f t="shared" si="52"/>
        <v>0</v>
      </c>
      <c r="Z471" s="48">
        <f t="shared" si="53"/>
        <v>0</v>
      </c>
      <c r="AA471" s="48"/>
      <c r="AB471" s="48"/>
      <c r="AC471" s="49">
        <f t="shared" si="54"/>
        <v>0</v>
      </c>
      <c r="AD471" s="50">
        <v>0</v>
      </c>
      <c r="AE471" s="47">
        <v>39897</v>
      </c>
      <c r="AF471" s="51" t="s">
        <v>1016</v>
      </c>
      <c r="AG471" s="52" t="s">
        <v>565</v>
      </c>
      <c r="AH471" s="53" t="s">
        <v>12</v>
      </c>
      <c r="AI471" s="79"/>
      <c r="AJ471" s="80"/>
      <c r="AK471" s="81"/>
      <c r="AL471" s="80"/>
      <c r="AM471" s="80"/>
      <c r="AN471" s="80"/>
      <c r="AO471" s="80"/>
      <c r="AP471" s="80"/>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0"/>
      <c r="CC471" s="80"/>
      <c r="CD471" s="80"/>
      <c r="CE471" s="80"/>
      <c r="CF471" s="80"/>
      <c r="CG471" s="80"/>
      <c r="CH471" s="80"/>
      <c r="CI471" s="80"/>
      <c r="CJ471" s="80"/>
      <c r="CK471" s="82"/>
      <c r="CL471" s="12"/>
      <c r="CM471" s="82"/>
      <c r="CN471" s="12"/>
      <c r="CO471" s="82"/>
      <c r="CP471" s="12"/>
      <c r="CQ471" s="83">
        <f t="shared" si="55"/>
        <v>0</v>
      </c>
      <c r="CR471" s="84"/>
      <c r="CS471" s="13"/>
      <c r="CT471" s="85"/>
      <c r="CU471" s="86"/>
      <c r="CV471" s="11"/>
      <c r="CW471" s="86"/>
      <c r="CX471" s="84"/>
      <c r="CY471" s="86"/>
    </row>
    <row r="472" spans="1:103" ht="25.5" x14ac:dyDescent="0.2">
      <c r="A472" s="43">
        <v>39936</v>
      </c>
      <c r="B472" s="44" t="s">
        <v>625</v>
      </c>
      <c r="C472" s="44" t="s">
        <v>1158</v>
      </c>
      <c r="D472" s="45" t="s">
        <v>1117</v>
      </c>
      <c r="E472" s="11"/>
      <c r="F472" s="12"/>
      <c r="G472" s="12"/>
      <c r="H472" s="12">
        <v>145</v>
      </c>
      <c r="I472" s="12">
        <v>25</v>
      </c>
      <c r="J472" s="12"/>
      <c r="K472" s="12">
        <v>25</v>
      </c>
      <c r="L472" s="12"/>
      <c r="M472" s="12"/>
      <c r="N472" s="12"/>
      <c r="O472" s="12"/>
      <c r="P472" s="12"/>
      <c r="Q472" s="12"/>
      <c r="R472" s="12"/>
      <c r="S472" s="12"/>
      <c r="T472" s="13"/>
      <c r="U472" s="46"/>
      <c r="V472" s="47"/>
      <c r="W472" s="48">
        <f t="shared" si="50"/>
        <v>0</v>
      </c>
      <c r="X472" s="48">
        <f t="shared" si="51"/>
        <v>0</v>
      </c>
      <c r="Y472" s="48">
        <f t="shared" si="52"/>
        <v>0</v>
      </c>
      <c r="Z472" s="48">
        <f t="shared" si="53"/>
        <v>0</v>
      </c>
      <c r="AA472" s="48"/>
      <c r="AB472" s="48"/>
      <c r="AC472" s="49">
        <f t="shared" si="54"/>
        <v>0</v>
      </c>
      <c r="AD472" s="50">
        <v>0</v>
      </c>
      <c r="AE472" s="47">
        <v>39937</v>
      </c>
      <c r="AF472" s="51" t="s">
        <v>516</v>
      </c>
      <c r="AG472" s="52" t="s">
        <v>517</v>
      </c>
      <c r="AH472" s="53" t="s">
        <v>317</v>
      </c>
      <c r="AI472" s="79"/>
      <c r="AJ472" s="80"/>
      <c r="AK472" s="81"/>
      <c r="AL472" s="80"/>
      <c r="AM472" s="80"/>
      <c r="AN472" s="80"/>
      <c r="AO472" s="80"/>
      <c r="AP472" s="80"/>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0"/>
      <c r="CC472" s="80"/>
      <c r="CD472" s="80"/>
      <c r="CE472" s="80"/>
      <c r="CF472" s="80"/>
      <c r="CG472" s="80"/>
      <c r="CH472" s="80"/>
      <c r="CI472" s="80"/>
      <c r="CJ472" s="80"/>
      <c r="CK472" s="82"/>
      <c r="CL472" s="12"/>
      <c r="CM472" s="82"/>
      <c r="CN472" s="12"/>
      <c r="CO472" s="82"/>
      <c r="CP472" s="12"/>
      <c r="CQ472" s="83">
        <f t="shared" si="55"/>
        <v>0</v>
      </c>
      <c r="CR472" s="84"/>
      <c r="CS472" s="13"/>
      <c r="CT472" s="85"/>
      <c r="CU472" s="86"/>
      <c r="CV472" s="11"/>
      <c r="CW472" s="86"/>
      <c r="CX472" s="84"/>
      <c r="CY472" s="86"/>
    </row>
    <row r="473" spans="1:103" ht="25.5" x14ac:dyDescent="0.2">
      <c r="A473" s="43">
        <v>39936</v>
      </c>
      <c r="B473" s="44" t="s">
        <v>625</v>
      </c>
      <c r="C473" s="44" t="s">
        <v>1051</v>
      </c>
      <c r="D473" s="45" t="s">
        <v>1092</v>
      </c>
      <c r="E473" s="11"/>
      <c r="F473" s="12"/>
      <c r="G473" s="12"/>
      <c r="H473" s="12">
        <v>10</v>
      </c>
      <c r="I473" s="12">
        <v>2</v>
      </c>
      <c r="J473" s="12">
        <v>2</v>
      </c>
      <c r="K473" s="12"/>
      <c r="L473" s="12"/>
      <c r="M473" s="12"/>
      <c r="N473" s="12"/>
      <c r="O473" s="12"/>
      <c r="P473" s="12"/>
      <c r="Q473" s="12"/>
      <c r="R473" s="12"/>
      <c r="S473" s="12"/>
      <c r="T473" s="13"/>
      <c r="U473" s="46"/>
      <c r="V473" s="47"/>
      <c r="W473" s="48">
        <f t="shared" si="50"/>
        <v>0</v>
      </c>
      <c r="X473" s="48">
        <f t="shared" si="51"/>
        <v>0</v>
      </c>
      <c r="Y473" s="48">
        <f t="shared" si="52"/>
        <v>0</v>
      </c>
      <c r="Z473" s="48">
        <f t="shared" si="53"/>
        <v>0</v>
      </c>
      <c r="AA473" s="48"/>
      <c r="AB473" s="48"/>
      <c r="AC473" s="49">
        <f t="shared" si="54"/>
        <v>0</v>
      </c>
      <c r="AD473" s="50">
        <v>0</v>
      </c>
      <c r="AE473" s="47">
        <v>39937</v>
      </c>
      <c r="AF473" s="51" t="s">
        <v>516</v>
      </c>
      <c r="AG473" s="52" t="s">
        <v>517</v>
      </c>
      <c r="AH473" s="53" t="s">
        <v>1159</v>
      </c>
      <c r="AI473" s="79"/>
      <c r="AJ473" s="80"/>
      <c r="AK473" s="81"/>
      <c r="AL473" s="80"/>
      <c r="AM473" s="80"/>
      <c r="AN473" s="80"/>
      <c r="AO473" s="80"/>
      <c r="AP473" s="80"/>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0"/>
      <c r="CC473" s="80"/>
      <c r="CD473" s="80"/>
      <c r="CE473" s="80"/>
      <c r="CF473" s="80"/>
      <c r="CG473" s="80"/>
      <c r="CH473" s="80"/>
      <c r="CI473" s="80"/>
      <c r="CJ473" s="80"/>
      <c r="CK473" s="82"/>
      <c r="CL473" s="12"/>
      <c r="CM473" s="82"/>
      <c r="CN473" s="12"/>
      <c r="CO473" s="82"/>
      <c r="CP473" s="12"/>
      <c r="CQ473" s="83">
        <f t="shared" si="55"/>
        <v>0</v>
      </c>
      <c r="CR473" s="84"/>
      <c r="CS473" s="13"/>
      <c r="CT473" s="85"/>
      <c r="CU473" s="86"/>
      <c r="CV473" s="11"/>
      <c r="CW473" s="86"/>
      <c r="CX473" s="84"/>
      <c r="CY473" s="86"/>
    </row>
    <row r="474" spans="1:103" ht="25.5" x14ac:dyDescent="0.2">
      <c r="A474" s="43">
        <v>39936</v>
      </c>
      <c r="B474" s="44" t="s">
        <v>625</v>
      </c>
      <c r="C474" s="44" t="s">
        <v>554</v>
      </c>
      <c r="D474" s="45" t="s">
        <v>1118</v>
      </c>
      <c r="E474" s="11"/>
      <c r="F474" s="12"/>
      <c r="G474" s="12"/>
      <c r="H474" s="12">
        <v>1250</v>
      </c>
      <c r="I474" s="12">
        <v>250</v>
      </c>
      <c r="J474" s="12"/>
      <c r="K474" s="12">
        <v>250</v>
      </c>
      <c r="L474" s="12"/>
      <c r="M474" s="12"/>
      <c r="N474" s="12"/>
      <c r="O474" s="12"/>
      <c r="P474" s="12"/>
      <c r="Q474" s="12"/>
      <c r="R474" s="12"/>
      <c r="S474" s="12"/>
      <c r="T474" s="13"/>
      <c r="U474" s="46"/>
      <c r="V474" s="47"/>
      <c r="W474" s="48">
        <f t="shared" si="50"/>
        <v>0</v>
      </c>
      <c r="X474" s="48">
        <f t="shared" si="51"/>
        <v>0</v>
      </c>
      <c r="Y474" s="48">
        <f t="shared" si="52"/>
        <v>0</v>
      </c>
      <c r="Z474" s="48">
        <f t="shared" si="53"/>
        <v>0</v>
      </c>
      <c r="AA474" s="48"/>
      <c r="AB474" s="48"/>
      <c r="AC474" s="49">
        <f t="shared" si="54"/>
        <v>0</v>
      </c>
      <c r="AD474" s="50">
        <v>0</v>
      </c>
      <c r="AE474" s="47">
        <v>39937</v>
      </c>
      <c r="AF474" s="51" t="s">
        <v>516</v>
      </c>
      <c r="AG474" s="52" t="s">
        <v>517</v>
      </c>
      <c r="AH474" s="53" t="s">
        <v>1160</v>
      </c>
      <c r="AI474" s="79"/>
      <c r="AJ474" s="80"/>
      <c r="AK474" s="81"/>
      <c r="AL474" s="80"/>
      <c r="AM474" s="80"/>
      <c r="AN474" s="80"/>
      <c r="AO474" s="80"/>
      <c r="AP474" s="80"/>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0"/>
      <c r="CC474" s="80"/>
      <c r="CD474" s="80"/>
      <c r="CE474" s="80"/>
      <c r="CF474" s="80"/>
      <c r="CG474" s="80"/>
      <c r="CH474" s="80"/>
      <c r="CI474" s="80"/>
      <c r="CJ474" s="80"/>
      <c r="CK474" s="82"/>
      <c r="CL474" s="12"/>
      <c r="CM474" s="82"/>
      <c r="CN474" s="12"/>
      <c r="CO474" s="82"/>
      <c r="CP474" s="12"/>
      <c r="CQ474" s="83">
        <f t="shared" si="55"/>
        <v>0</v>
      </c>
      <c r="CR474" s="84"/>
      <c r="CS474" s="13"/>
      <c r="CT474" s="85"/>
      <c r="CU474" s="86"/>
      <c r="CV474" s="11"/>
      <c r="CW474" s="86"/>
      <c r="CX474" s="84"/>
      <c r="CY474" s="86"/>
    </row>
    <row r="475" spans="1:103" ht="25.5" x14ac:dyDescent="0.2">
      <c r="A475" s="43">
        <v>39936</v>
      </c>
      <c r="B475" s="44" t="s">
        <v>625</v>
      </c>
      <c r="C475" s="44" t="s">
        <v>1161</v>
      </c>
      <c r="D475" s="45" t="s">
        <v>1118</v>
      </c>
      <c r="E475" s="11"/>
      <c r="F475" s="12"/>
      <c r="G475" s="12"/>
      <c r="H475" s="12">
        <v>75</v>
      </c>
      <c r="I475" s="12">
        <v>15</v>
      </c>
      <c r="J475" s="12"/>
      <c r="K475" s="12">
        <v>15</v>
      </c>
      <c r="L475" s="12"/>
      <c r="M475" s="12"/>
      <c r="N475" s="12"/>
      <c r="O475" s="12"/>
      <c r="P475" s="12"/>
      <c r="Q475" s="12"/>
      <c r="R475" s="12"/>
      <c r="S475" s="12"/>
      <c r="T475" s="13"/>
      <c r="U475" s="46"/>
      <c r="V475" s="47"/>
      <c r="W475" s="48">
        <f t="shared" si="50"/>
        <v>0</v>
      </c>
      <c r="X475" s="48">
        <f t="shared" si="51"/>
        <v>0</v>
      </c>
      <c r="Y475" s="48">
        <f t="shared" si="52"/>
        <v>0</v>
      </c>
      <c r="Z475" s="48">
        <f t="shared" si="53"/>
        <v>0</v>
      </c>
      <c r="AA475" s="48"/>
      <c r="AB475" s="48"/>
      <c r="AC475" s="49">
        <f t="shared" si="54"/>
        <v>0</v>
      </c>
      <c r="AD475" s="50">
        <v>0</v>
      </c>
      <c r="AE475" s="47">
        <v>39937</v>
      </c>
      <c r="AF475" s="51" t="s">
        <v>516</v>
      </c>
      <c r="AG475" s="52" t="s">
        <v>517</v>
      </c>
      <c r="AH475" s="53" t="s">
        <v>1162</v>
      </c>
      <c r="AI475" s="79"/>
      <c r="AJ475" s="80"/>
      <c r="AK475" s="81"/>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0"/>
      <c r="CC475" s="80"/>
      <c r="CD475" s="80"/>
      <c r="CE475" s="80"/>
      <c r="CF475" s="80"/>
      <c r="CG475" s="80"/>
      <c r="CH475" s="80"/>
      <c r="CI475" s="80"/>
      <c r="CJ475" s="80"/>
      <c r="CK475" s="82"/>
      <c r="CL475" s="12"/>
      <c r="CM475" s="82"/>
      <c r="CN475" s="12"/>
      <c r="CO475" s="82"/>
      <c r="CP475" s="12"/>
      <c r="CQ475" s="83">
        <f t="shared" si="55"/>
        <v>0</v>
      </c>
      <c r="CR475" s="84"/>
      <c r="CS475" s="13"/>
      <c r="CT475" s="85"/>
      <c r="CU475" s="86"/>
      <c r="CV475" s="11"/>
      <c r="CW475" s="86"/>
      <c r="CX475" s="84"/>
      <c r="CY475" s="86"/>
    </row>
    <row r="476" spans="1:103" ht="127.5" x14ac:dyDescent="0.2">
      <c r="A476" s="43">
        <v>39936</v>
      </c>
      <c r="B476" s="44" t="s">
        <v>1067</v>
      </c>
      <c r="C476" s="44" t="s">
        <v>1346</v>
      </c>
      <c r="D476" s="45" t="s">
        <v>1118</v>
      </c>
      <c r="E476" s="11"/>
      <c r="F476" s="12"/>
      <c r="G476" s="12"/>
      <c r="H476" s="12">
        <f>1051*5</f>
        <v>5255</v>
      </c>
      <c r="I476" s="12">
        <v>1051</v>
      </c>
      <c r="J476" s="12">
        <v>21</v>
      </c>
      <c r="K476" s="12">
        <v>700</v>
      </c>
      <c r="L476" s="12"/>
      <c r="M476" s="12"/>
      <c r="N476" s="12"/>
      <c r="O476" s="12"/>
      <c r="P476" s="12"/>
      <c r="Q476" s="12"/>
      <c r="R476" s="12"/>
      <c r="S476" s="12"/>
      <c r="T476" s="13"/>
      <c r="U476" s="46"/>
      <c r="V476" s="47">
        <v>40009</v>
      </c>
      <c r="W476" s="48">
        <f t="shared" si="50"/>
        <v>55499910</v>
      </c>
      <c r="X476" s="48">
        <f t="shared" si="51"/>
        <v>127500000</v>
      </c>
      <c r="Y476" s="48">
        <f t="shared" si="52"/>
        <v>0</v>
      </c>
      <c r="Z476" s="48">
        <f t="shared" si="53"/>
        <v>0</v>
      </c>
      <c r="AA476" s="48"/>
      <c r="AB476" s="48"/>
      <c r="AC476" s="49">
        <f t="shared" si="54"/>
        <v>182999910</v>
      </c>
      <c r="AD476" s="50">
        <v>0</v>
      </c>
      <c r="AE476" s="47">
        <v>39937</v>
      </c>
      <c r="AF476" s="51" t="s">
        <v>1016</v>
      </c>
      <c r="AG476" s="52" t="s">
        <v>565</v>
      </c>
      <c r="AH476" s="53" t="s">
        <v>468</v>
      </c>
      <c r="AI476" s="79"/>
      <c r="AJ476" s="80"/>
      <c r="AK476" s="81"/>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0"/>
      <c r="CC476" s="80"/>
      <c r="CD476" s="80"/>
      <c r="CE476" s="80"/>
      <c r="CF476" s="80"/>
      <c r="CG476" s="80"/>
      <c r="CH476" s="80"/>
      <c r="CI476" s="80"/>
      <c r="CJ476" s="80"/>
      <c r="CK476" s="82">
        <v>1500</v>
      </c>
      <c r="CL476" s="12">
        <f>1500*36999.94</f>
        <v>55499910</v>
      </c>
      <c r="CM476" s="82"/>
      <c r="CN476" s="12"/>
      <c r="CO476" s="82"/>
      <c r="CP476" s="12"/>
      <c r="CQ476" s="83">
        <f t="shared" si="55"/>
        <v>55499910</v>
      </c>
      <c r="CR476" s="84"/>
      <c r="CS476" s="13"/>
      <c r="CT476" s="85">
        <v>1500</v>
      </c>
      <c r="CU476" s="86">
        <f>1500*85000</f>
        <v>127500000</v>
      </c>
      <c r="CV476" s="11"/>
      <c r="CW476" s="86"/>
      <c r="CX476" s="84"/>
      <c r="CY476" s="86"/>
    </row>
    <row r="477" spans="1:103" ht="25.5" x14ac:dyDescent="0.2">
      <c r="A477" s="43">
        <v>39936</v>
      </c>
      <c r="B477" s="44" t="s">
        <v>781</v>
      </c>
      <c r="C477" s="44" t="s">
        <v>1163</v>
      </c>
      <c r="D477" s="45" t="s">
        <v>1118</v>
      </c>
      <c r="E477" s="11"/>
      <c r="F477" s="12"/>
      <c r="G477" s="12"/>
      <c r="H477" s="12">
        <v>15</v>
      </c>
      <c r="I477" s="12">
        <v>3</v>
      </c>
      <c r="J477" s="12"/>
      <c r="K477" s="12">
        <v>3</v>
      </c>
      <c r="L477" s="12"/>
      <c r="M477" s="12"/>
      <c r="N477" s="12"/>
      <c r="O477" s="12"/>
      <c r="P477" s="12"/>
      <c r="Q477" s="12"/>
      <c r="R477" s="12"/>
      <c r="S477" s="12"/>
      <c r="T477" s="13"/>
      <c r="U477" s="46"/>
      <c r="V477" s="47"/>
      <c r="W477" s="48">
        <f t="shared" si="50"/>
        <v>0</v>
      </c>
      <c r="X477" s="48">
        <f t="shared" si="51"/>
        <v>0</v>
      </c>
      <c r="Y477" s="48">
        <f t="shared" si="52"/>
        <v>0</v>
      </c>
      <c r="Z477" s="48">
        <f t="shared" si="53"/>
        <v>0</v>
      </c>
      <c r="AA477" s="48"/>
      <c r="AB477" s="48"/>
      <c r="AC477" s="49">
        <f t="shared" si="54"/>
        <v>0</v>
      </c>
      <c r="AD477" s="50">
        <v>0</v>
      </c>
      <c r="AE477" s="47">
        <v>39937</v>
      </c>
      <c r="AF477" s="51" t="s">
        <v>516</v>
      </c>
      <c r="AG477" s="52" t="s">
        <v>517</v>
      </c>
      <c r="AH477" s="53" t="s">
        <v>1164</v>
      </c>
      <c r="AI477" s="79"/>
      <c r="AJ477" s="80"/>
      <c r="AK477" s="81"/>
      <c r="AL477" s="80"/>
      <c r="AM477" s="80"/>
      <c r="AN477" s="80"/>
      <c r="AO477" s="80"/>
      <c r="AP477" s="80"/>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0"/>
      <c r="CC477" s="80"/>
      <c r="CD477" s="80"/>
      <c r="CE477" s="80"/>
      <c r="CF477" s="80"/>
      <c r="CG477" s="80"/>
      <c r="CH477" s="80"/>
      <c r="CI477" s="80"/>
      <c r="CJ477" s="80"/>
      <c r="CK477" s="82"/>
      <c r="CL477" s="12"/>
      <c r="CM477" s="82"/>
      <c r="CN477" s="12"/>
      <c r="CO477" s="82"/>
      <c r="CP477" s="12"/>
      <c r="CQ477" s="83">
        <f t="shared" si="55"/>
        <v>0</v>
      </c>
      <c r="CR477" s="84"/>
      <c r="CS477" s="13"/>
      <c r="CT477" s="85"/>
      <c r="CU477" s="86"/>
      <c r="CV477" s="11"/>
      <c r="CW477" s="86"/>
      <c r="CX477" s="84"/>
      <c r="CY477" s="86"/>
    </row>
    <row r="478" spans="1:103" ht="25.5" x14ac:dyDescent="0.2">
      <c r="A478" s="43">
        <v>39936</v>
      </c>
      <c r="B478" s="44" t="s">
        <v>481</v>
      </c>
      <c r="C478" s="44" t="s">
        <v>188</v>
      </c>
      <c r="D478" s="45" t="s">
        <v>1092</v>
      </c>
      <c r="E478" s="11">
        <v>2</v>
      </c>
      <c r="F478" s="12">
        <v>2</v>
      </c>
      <c r="G478" s="12"/>
      <c r="H478" s="12">
        <v>51</v>
      </c>
      <c r="I478" s="12">
        <v>13</v>
      </c>
      <c r="J478" s="12">
        <v>5</v>
      </c>
      <c r="K478" s="12">
        <v>8</v>
      </c>
      <c r="L478" s="12"/>
      <c r="M478" s="12"/>
      <c r="N478" s="12"/>
      <c r="O478" s="12"/>
      <c r="P478" s="12"/>
      <c r="Q478" s="12"/>
      <c r="R478" s="12"/>
      <c r="S478" s="12"/>
      <c r="T478" s="13"/>
      <c r="U478" s="46"/>
      <c r="V478" s="47"/>
      <c r="W478" s="48">
        <f t="shared" si="50"/>
        <v>0</v>
      </c>
      <c r="X478" s="48">
        <f t="shared" si="51"/>
        <v>0</v>
      </c>
      <c r="Y478" s="48">
        <f t="shared" si="52"/>
        <v>0</v>
      </c>
      <c r="Z478" s="48">
        <f t="shared" si="53"/>
        <v>0</v>
      </c>
      <c r="AA478" s="48"/>
      <c r="AB478" s="48"/>
      <c r="AC478" s="49">
        <f t="shared" si="54"/>
        <v>0</v>
      </c>
      <c r="AD478" s="50">
        <v>0</v>
      </c>
      <c r="AE478" s="47">
        <v>39937</v>
      </c>
      <c r="AF478" s="51" t="s">
        <v>516</v>
      </c>
      <c r="AG478" s="52" t="s">
        <v>517</v>
      </c>
      <c r="AH478" s="53" t="s">
        <v>1448</v>
      </c>
      <c r="AI478" s="79"/>
      <c r="AJ478" s="80"/>
      <c r="AK478" s="81"/>
      <c r="AL478" s="80"/>
      <c r="AM478" s="80"/>
      <c r="AN478" s="80"/>
      <c r="AO478" s="80"/>
      <c r="AP478" s="80"/>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0"/>
      <c r="CC478" s="80"/>
      <c r="CD478" s="80"/>
      <c r="CE478" s="80"/>
      <c r="CF478" s="80"/>
      <c r="CG478" s="80"/>
      <c r="CH478" s="80"/>
      <c r="CI478" s="80"/>
      <c r="CJ478" s="80"/>
      <c r="CK478" s="82"/>
      <c r="CL478" s="12"/>
      <c r="CM478" s="82"/>
      <c r="CN478" s="12"/>
      <c r="CO478" s="82"/>
      <c r="CP478" s="12"/>
      <c r="CQ478" s="83">
        <f t="shared" si="55"/>
        <v>0</v>
      </c>
      <c r="CR478" s="84"/>
      <c r="CS478" s="13"/>
      <c r="CT478" s="85"/>
      <c r="CU478" s="86"/>
      <c r="CV478" s="11"/>
      <c r="CW478" s="86"/>
      <c r="CX478" s="84"/>
      <c r="CY478" s="86"/>
    </row>
    <row r="479" spans="1:103" ht="38.25" x14ac:dyDescent="0.2">
      <c r="A479" s="43">
        <v>39937</v>
      </c>
      <c r="B479" s="44" t="s">
        <v>625</v>
      </c>
      <c r="C479" s="44" t="s">
        <v>693</v>
      </c>
      <c r="D479" s="45" t="s">
        <v>134</v>
      </c>
      <c r="E479" s="11">
        <v>1</v>
      </c>
      <c r="F479" s="12"/>
      <c r="G479" s="12"/>
      <c r="H479" s="12">
        <v>105</v>
      </c>
      <c r="I479" s="12">
        <v>21</v>
      </c>
      <c r="J479" s="12">
        <v>21</v>
      </c>
      <c r="K479" s="12"/>
      <c r="L479" s="12">
        <v>5</v>
      </c>
      <c r="M479" s="12"/>
      <c r="N479" s="12"/>
      <c r="O479" s="12">
        <v>3</v>
      </c>
      <c r="P479" s="12"/>
      <c r="Q479" s="12"/>
      <c r="R479" s="12">
        <v>1</v>
      </c>
      <c r="S479" s="12"/>
      <c r="T479" s="13"/>
      <c r="U479" s="46" t="s">
        <v>806</v>
      </c>
      <c r="V479" s="47">
        <v>39968</v>
      </c>
      <c r="W479" s="48">
        <f t="shared" si="50"/>
        <v>26888500</v>
      </c>
      <c r="X479" s="48">
        <f t="shared" si="51"/>
        <v>11900000</v>
      </c>
      <c r="Y479" s="48">
        <f t="shared" si="52"/>
        <v>0</v>
      </c>
      <c r="Z479" s="48">
        <f t="shared" si="53"/>
        <v>0</v>
      </c>
      <c r="AA479" s="48"/>
      <c r="AB479" s="48"/>
      <c r="AC479" s="49">
        <f t="shared" si="54"/>
        <v>38788500</v>
      </c>
      <c r="AD479" s="50">
        <v>0</v>
      </c>
      <c r="AE479" s="47">
        <v>39946</v>
      </c>
      <c r="AF479" s="51" t="s">
        <v>1016</v>
      </c>
      <c r="AG479" s="52" t="s">
        <v>565</v>
      </c>
      <c r="AH479" s="53" t="s">
        <v>335</v>
      </c>
      <c r="AI479" s="79"/>
      <c r="AJ479" s="80"/>
      <c r="AK479" s="81"/>
      <c r="AL479" s="80"/>
      <c r="AM479" s="80"/>
      <c r="AN479" s="80"/>
      <c r="AO479" s="80"/>
      <c r="AP479" s="80"/>
      <c r="AQ479" s="80"/>
      <c r="AR479" s="80"/>
      <c r="AS479" s="80"/>
      <c r="AT479" s="80"/>
      <c r="AU479" s="80"/>
      <c r="AV479" s="80"/>
      <c r="AW479" s="80">
        <v>210</v>
      </c>
      <c r="AX479" s="80">
        <f>210*58000</f>
        <v>12180000</v>
      </c>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0"/>
      <c r="CC479" s="80">
        <v>210</v>
      </c>
      <c r="CD479" s="80">
        <f>210*20000</f>
        <v>4200000</v>
      </c>
      <c r="CE479" s="80">
        <v>210</v>
      </c>
      <c r="CF479" s="80">
        <f>210*23500</f>
        <v>4935000</v>
      </c>
      <c r="CG479" s="80"/>
      <c r="CH479" s="80"/>
      <c r="CI479" s="80"/>
      <c r="CJ479" s="80"/>
      <c r="CK479" s="82">
        <v>71</v>
      </c>
      <c r="CL479" s="12">
        <f>71*40500</f>
        <v>2875500</v>
      </c>
      <c r="CM479" s="82">
        <v>71</v>
      </c>
      <c r="CN479" s="12">
        <f>71*38000</f>
        <v>2698000</v>
      </c>
      <c r="CO479" s="82"/>
      <c r="CP479" s="12"/>
      <c r="CQ479" s="83">
        <f t="shared" si="55"/>
        <v>26888500</v>
      </c>
      <c r="CR479" s="84"/>
      <c r="CS479" s="13"/>
      <c r="CT479" s="85">
        <v>140</v>
      </c>
      <c r="CU479" s="86">
        <f>140*85000</f>
        <v>11900000</v>
      </c>
      <c r="CV479" s="11"/>
      <c r="CW479" s="86"/>
      <c r="CX479" s="84"/>
      <c r="CY479" s="86"/>
    </row>
    <row r="480" spans="1:103" ht="38.25" x14ac:dyDescent="0.2">
      <c r="A480" s="43">
        <v>39937</v>
      </c>
      <c r="B480" s="44" t="s">
        <v>300</v>
      </c>
      <c r="C480" s="44" t="s">
        <v>61</v>
      </c>
      <c r="D480" s="45" t="s">
        <v>1116</v>
      </c>
      <c r="E480" s="11"/>
      <c r="F480" s="12"/>
      <c r="G480" s="12"/>
      <c r="H480" s="12">
        <v>126</v>
      </c>
      <c r="I480" s="12">
        <v>21</v>
      </c>
      <c r="J480" s="12"/>
      <c r="K480" s="12">
        <v>3</v>
      </c>
      <c r="L480" s="12"/>
      <c r="M480" s="12"/>
      <c r="N480" s="12"/>
      <c r="O480" s="12"/>
      <c r="P480" s="12"/>
      <c r="Q480" s="12"/>
      <c r="R480" s="12"/>
      <c r="S480" s="12"/>
      <c r="T480" s="13"/>
      <c r="U480" s="46"/>
      <c r="V480" s="47"/>
      <c r="W480" s="48">
        <f t="shared" si="50"/>
        <v>0</v>
      </c>
      <c r="X480" s="48">
        <f t="shared" si="51"/>
        <v>0</v>
      </c>
      <c r="Y480" s="48">
        <f t="shared" si="52"/>
        <v>0</v>
      </c>
      <c r="Z480" s="48">
        <f t="shared" si="53"/>
        <v>0</v>
      </c>
      <c r="AA480" s="48"/>
      <c r="AB480" s="48"/>
      <c r="AC480" s="49">
        <f t="shared" si="54"/>
        <v>0</v>
      </c>
      <c r="AD480" s="50">
        <v>0</v>
      </c>
      <c r="AE480" s="47">
        <v>39937</v>
      </c>
      <c r="AF480" s="51" t="s">
        <v>516</v>
      </c>
      <c r="AG480" s="52" t="s">
        <v>517</v>
      </c>
      <c r="AH480" s="53" t="s">
        <v>758</v>
      </c>
      <c r="AI480" s="79"/>
      <c r="AJ480" s="80"/>
      <c r="AK480" s="81"/>
      <c r="AL480" s="80"/>
      <c r="AM480" s="80"/>
      <c r="AN480" s="80"/>
      <c r="AO480" s="80"/>
      <c r="AP480" s="80"/>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80"/>
      <c r="CJ480" s="80"/>
      <c r="CK480" s="82"/>
      <c r="CL480" s="12"/>
      <c r="CM480" s="82"/>
      <c r="CN480" s="12"/>
      <c r="CO480" s="82"/>
      <c r="CP480" s="12"/>
      <c r="CQ480" s="83">
        <f t="shared" si="55"/>
        <v>0</v>
      </c>
      <c r="CR480" s="84"/>
      <c r="CS480" s="13"/>
      <c r="CT480" s="85"/>
      <c r="CU480" s="86"/>
      <c r="CV480" s="11"/>
      <c r="CW480" s="86"/>
      <c r="CX480" s="84"/>
      <c r="CY480" s="86"/>
    </row>
    <row r="481" spans="1:103" ht="25.5" x14ac:dyDescent="0.2">
      <c r="A481" s="43">
        <v>39937</v>
      </c>
      <c r="B481" s="44" t="s">
        <v>904</v>
      </c>
      <c r="C481" s="44" t="s">
        <v>722</v>
      </c>
      <c r="D481" s="45" t="s">
        <v>1117</v>
      </c>
      <c r="E481" s="11"/>
      <c r="F481" s="12"/>
      <c r="G481" s="12"/>
      <c r="H481" s="12">
        <v>114</v>
      </c>
      <c r="I481" s="12">
        <v>40</v>
      </c>
      <c r="J481" s="12"/>
      <c r="K481" s="12">
        <v>40</v>
      </c>
      <c r="L481" s="12"/>
      <c r="M481" s="12"/>
      <c r="N481" s="12"/>
      <c r="O481" s="12"/>
      <c r="P481" s="12"/>
      <c r="Q481" s="12"/>
      <c r="R481" s="12">
        <v>2</v>
      </c>
      <c r="S481" s="12"/>
      <c r="T481" s="13"/>
      <c r="U481" s="46"/>
      <c r="V481" s="47"/>
      <c r="W481" s="48">
        <f t="shared" si="50"/>
        <v>0</v>
      </c>
      <c r="X481" s="48">
        <f t="shared" si="51"/>
        <v>0</v>
      </c>
      <c r="Y481" s="48">
        <f t="shared" si="52"/>
        <v>0</v>
      </c>
      <c r="Z481" s="48">
        <f t="shared" si="53"/>
        <v>0</v>
      </c>
      <c r="AA481" s="48"/>
      <c r="AB481" s="48"/>
      <c r="AC481" s="49">
        <f t="shared" si="54"/>
        <v>0</v>
      </c>
      <c r="AD481" s="50">
        <v>0</v>
      </c>
      <c r="AE481" s="47">
        <v>39937</v>
      </c>
      <c r="AF481" s="51" t="s">
        <v>516</v>
      </c>
      <c r="AG481" s="52" t="s">
        <v>517</v>
      </c>
      <c r="AH481" s="53" t="s">
        <v>758</v>
      </c>
      <c r="AI481" s="79"/>
      <c r="AJ481" s="80"/>
      <c r="AK481" s="81"/>
      <c r="AL481" s="80"/>
      <c r="AM481" s="80"/>
      <c r="AN481" s="80"/>
      <c r="AO481" s="80"/>
      <c r="AP481" s="80"/>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2"/>
      <c r="CL481" s="12"/>
      <c r="CM481" s="82"/>
      <c r="CN481" s="12"/>
      <c r="CO481" s="82"/>
      <c r="CP481" s="12"/>
      <c r="CQ481" s="83">
        <f t="shared" si="55"/>
        <v>0</v>
      </c>
      <c r="CR481" s="84"/>
      <c r="CS481" s="13"/>
      <c r="CT481" s="85"/>
      <c r="CU481" s="86"/>
      <c r="CV481" s="11"/>
      <c r="CW481" s="86"/>
      <c r="CX481" s="84"/>
      <c r="CY481" s="86"/>
    </row>
    <row r="482" spans="1:103" ht="63.75" x14ac:dyDescent="0.2">
      <c r="A482" s="43">
        <v>39937</v>
      </c>
      <c r="B482" s="44" t="s">
        <v>1301</v>
      </c>
      <c r="C482" s="44" t="s">
        <v>1302</v>
      </c>
      <c r="D482" s="45" t="s">
        <v>1118</v>
      </c>
      <c r="E482" s="11"/>
      <c r="F482" s="12"/>
      <c r="G482" s="12"/>
      <c r="H482" s="12"/>
      <c r="I482" s="12"/>
      <c r="J482" s="12"/>
      <c r="K482" s="12"/>
      <c r="L482" s="12"/>
      <c r="M482" s="12"/>
      <c r="N482" s="12"/>
      <c r="O482" s="12"/>
      <c r="P482" s="12"/>
      <c r="Q482" s="12"/>
      <c r="R482" s="12"/>
      <c r="S482" s="12"/>
      <c r="T482" s="13"/>
      <c r="U482" s="46"/>
      <c r="V482" s="47"/>
      <c r="W482" s="48">
        <f t="shared" si="50"/>
        <v>0</v>
      </c>
      <c r="X482" s="48">
        <f t="shared" si="51"/>
        <v>0</v>
      </c>
      <c r="Y482" s="48">
        <f t="shared" si="52"/>
        <v>0</v>
      </c>
      <c r="Z482" s="48">
        <f t="shared" si="53"/>
        <v>0</v>
      </c>
      <c r="AA482" s="48"/>
      <c r="AB482" s="48">
        <v>30000000</v>
      </c>
      <c r="AC482" s="49">
        <f t="shared" si="54"/>
        <v>30000000</v>
      </c>
      <c r="AD482" s="50">
        <v>0</v>
      </c>
      <c r="AE482" s="47">
        <v>39938</v>
      </c>
      <c r="AF482" s="51" t="s">
        <v>1016</v>
      </c>
      <c r="AG482" s="52" t="s">
        <v>565</v>
      </c>
      <c r="AH482" s="54" t="s">
        <v>150</v>
      </c>
      <c r="AI482" s="79"/>
      <c r="AJ482" s="80"/>
      <c r="AK482" s="81"/>
      <c r="AL482" s="80"/>
      <c r="AM482" s="80"/>
      <c r="AN482" s="80"/>
      <c r="AO482" s="80"/>
      <c r="AP482" s="80"/>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0"/>
      <c r="CC482" s="80"/>
      <c r="CD482" s="80"/>
      <c r="CE482" s="80"/>
      <c r="CF482" s="80"/>
      <c r="CG482" s="80"/>
      <c r="CH482" s="80"/>
      <c r="CI482" s="80"/>
      <c r="CJ482" s="80"/>
      <c r="CK482" s="82"/>
      <c r="CL482" s="12"/>
      <c r="CM482" s="82"/>
      <c r="CN482" s="12"/>
      <c r="CO482" s="82"/>
      <c r="CP482" s="12"/>
      <c r="CQ482" s="83">
        <f t="shared" si="55"/>
        <v>0</v>
      </c>
      <c r="CR482" s="84"/>
      <c r="CS482" s="13"/>
      <c r="CT482" s="85"/>
      <c r="CU482" s="86"/>
      <c r="CV482" s="11"/>
      <c r="CW482" s="86"/>
      <c r="CX482" s="84"/>
      <c r="CY482" s="86"/>
    </row>
    <row r="483" spans="1:103" ht="38.25" x14ac:dyDescent="0.2">
      <c r="A483" s="43">
        <v>39937</v>
      </c>
      <c r="B483" s="44" t="s">
        <v>1094</v>
      </c>
      <c r="C483" s="44" t="s">
        <v>185</v>
      </c>
      <c r="D483" s="45" t="s">
        <v>1116</v>
      </c>
      <c r="E483" s="11"/>
      <c r="F483" s="12"/>
      <c r="G483" s="12"/>
      <c r="H483" s="12">
        <v>14</v>
      </c>
      <c r="I483" s="12">
        <v>3</v>
      </c>
      <c r="J483" s="12"/>
      <c r="K483" s="12">
        <v>3</v>
      </c>
      <c r="L483" s="12"/>
      <c r="M483" s="12"/>
      <c r="N483" s="12"/>
      <c r="O483" s="12"/>
      <c r="P483" s="12"/>
      <c r="Q483" s="12"/>
      <c r="R483" s="12"/>
      <c r="S483" s="12"/>
      <c r="T483" s="13"/>
      <c r="U483" s="46"/>
      <c r="V483" s="47"/>
      <c r="W483" s="48">
        <f t="shared" si="50"/>
        <v>0</v>
      </c>
      <c r="X483" s="48">
        <f t="shared" si="51"/>
        <v>0</v>
      </c>
      <c r="Y483" s="48">
        <f t="shared" si="52"/>
        <v>0</v>
      </c>
      <c r="Z483" s="48">
        <f t="shared" si="53"/>
        <v>0</v>
      </c>
      <c r="AA483" s="48"/>
      <c r="AB483" s="48"/>
      <c r="AC483" s="49">
        <f t="shared" si="54"/>
        <v>0</v>
      </c>
      <c r="AD483" s="50">
        <v>0</v>
      </c>
      <c r="AE483" s="47">
        <v>39937</v>
      </c>
      <c r="AF483" s="51" t="s">
        <v>516</v>
      </c>
      <c r="AG483" s="52" t="s">
        <v>517</v>
      </c>
      <c r="AH483" s="53" t="s">
        <v>1368</v>
      </c>
      <c r="AI483" s="79"/>
      <c r="AJ483" s="80"/>
      <c r="AK483" s="81"/>
      <c r="AL483" s="80"/>
      <c r="AM483" s="80"/>
      <c r="AN483" s="80"/>
      <c r="AO483" s="80"/>
      <c r="AP483" s="80"/>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0"/>
      <c r="CC483" s="80"/>
      <c r="CD483" s="80"/>
      <c r="CE483" s="80"/>
      <c r="CF483" s="80"/>
      <c r="CG483" s="80"/>
      <c r="CH483" s="80"/>
      <c r="CI483" s="80"/>
      <c r="CJ483" s="80"/>
      <c r="CK483" s="82"/>
      <c r="CL483" s="12"/>
      <c r="CM483" s="82"/>
      <c r="CN483" s="12"/>
      <c r="CO483" s="82"/>
      <c r="CP483" s="12"/>
      <c r="CQ483" s="83">
        <f t="shared" si="55"/>
        <v>0</v>
      </c>
      <c r="CR483" s="84"/>
      <c r="CS483" s="13"/>
      <c r="CT483" s="85"/>
      <c r="CU483" s="86"/>
      <c r="CV483" s="11"/>
      <c r="CW483" s="86"/>
      <c r="CX483" s="84"/>
      <c r="CY483" s="86"/>
    </row>
    <row r="484" spans="1:103" ht="25.5" x14ac:dyDescent="0.2">
      <c r="A484" s="43">
        <v>39937</v>
      </c>
      <c r="B484" s="44" t="s">
        <v>1127</v>
      </c>
      <c r="C484" s="44" t="s">
        <v>1165</v>
      </c>
      <c r="D484" s="45" t="s">
        <v>1118</v>
      </c>
      <c r="E484" s="11"/>
      <c r="F484" s="12"/>
      <c r="G484" s="12"/>
      <c r="H484" s="12">
        <f>16*5</f>
        <v>80</v>
      </c>
      <c r="I484" s="12">
        <v>16</v>
      </c>
      <c r="J484" s="12">
        <v>4</v>
      </c>
      <c r="K484" s="12">
        <v>7</v>
      </c>
      <c r="L484" s="12"/>
      <c r="M484" s="12">
        <v>2</v>
      </c>
      <c r="N484" s="12"/>
      <c r="O484" s="12"/>
      <c r="P484" s="12"/>
      <c r="Q484" s="12"/>
      <c r="R484" s="12"/>
      <c r="S484" s="12"/>
      <c r="T484" s="13"/>
      <c r="U484" s="46"/>
      <c r="V484" s="47"/>
      <c r="W484" s="48">
        <f t="shared" si="50"/>
        <v>0</v>
      </c>
      <c r="X484" s="48">
        <f t="shared" si="51"/>
        <v>0</v>
      </c>
      <c r="Y484" s="48">
        <f t="shared" si="52"/>
        <v>0</v>
      </c>
      <c r="Z484" s="48">
        <f t="shared" si="53"/>
        <v>0</v>
      </c>
      <c r="AA484" s="48"/>
      <c r="AB484" s="48"/>
      <c r="AC484" s="49">
        <f t="shared" si="54"/>
        <v>0</v>
      </c>
      <c r="AD484" s="50">
        <v>0</v>
      </c>
      <c r="AE484" s="47">
        <v>39937</v>
      </c>
      <c r="AF484" s="51" t="s">
        <v>516</v>
      </c>
      <c r="AG484" s="52" t="s">
        <v>517</v>
      </c>
      <c r="AH484" s="53" t="s">
        <v>1166</v>
      </c>
      <c r="AI484" s="79"/>
      <c r="AJ484" s="80"/>
      <c r="AK484" s="81"/>
      <c r="AL484" s="80"/>
      <c r="AM484" s="80"/>
      <c r="AN484" s="80"/>
      <c r="AO484" s="80"/>
      <c r="AP484" s="80"/>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0"/>
      <c r="CC484" s="80"/>
      <c r="CD484" s="80"/>
      <c r="CE484" s="80"/>
      <c r="CF484" s="80"/>
      <c r="CG484" s="80"/>
      <c r="CH484" s="80"/>
      <c r="CI484" s="80"/>
      <c r="CJ484" s="80"/>
      <c r="CK484" s="82"/>
      <c r="CL484" s="12"/>
      <c r="CM484" s="82"/>
      <c r="CN484" s="12"/>
      <c r="CO484" s="82"/>
      <c r="CP484" s="12"/>
      <c r="CQ484" s="83">
        <f t="shared" si="55"/>
        <v>0</v>
      </c>
      <c r="CR484" s="84"/>
      <c r="CS484" s="13"/>
      <c r="CT484" s="85"/>
      <c r="CU484" s="86"/>
      <c r="CV484" s="11"/>
      <c r="CW484" s="86"/>
      <c r="CX484" s="84"/>
      <c r="CY484" s="86"/>
    </row>
    <row r="485" spans="1:103" ht="38.25" x14ac:dyDescent="0.2">
      <c r="A485" s="43">
        <v>39937</v>
      </c>
      <c r="B485" s="44" t="s">
        <v>1127</v>
      </c>
      <c r="C485" s="44" t="s">
        <v>1454</v>
      </c>
      <c r="D485" s="45" t="s">
        <v>1231</v>
      </c>
      <c r="E485" s="11"/>
      <c r="F485" s="12"/>
      <c r="G485" s="12"/>
      <c r="H485" s="12"/>
      <c r="I485" s="12"/>
      <c r="J485" s="12"/>
      <c r="K485" s="12"/>
      <c r="L485" s="12"/>
      <c r="M485" s="12"/>
      <c r="N485" s="12"/>
      <c r="O485" s="12"/>
      <c r="P485" s="12"/>
      <c r="Q485" s="12"/>
      <c r="R485" s="12"/>
      <c r="S485" s="12"/>
      <c r="T485" s="13"/>
      <c r="U485" s="46"/>
      <c r="V485" s="47">
        <v>39968</v>
      </c>
      <c r="W485" s="48">
        <f t="shared" si="50"/>
        <v>0</v>
      </c>
      <c r="X485" s="48">
        <f t="shared" si="51"/>
        <v>0</v>
      </c>
      <c r="Y485" s="48">
        <f t="shared" si="52"/>
        <v>0</v>
      </c>
      <c r="Z485" s="48">
        <f t="shared" si="53"/>
        <v>0</v>
      </c>
      <c r="AA485" s="48">
        <f>500*22000</f>
        <v>11000000</v>
      </c>
      <c r="AB485" s="48"/>
      <c r="AC485" s="49">
        <f t="shared" si="54"/>
        <v>11000000</v>
      </c>
      <c r="AD485" s="50">
        <v>0</v>
      </c>
      <c r="AE485" s="47">
        <v>39937</v>
      </c>
      <c r="AF485" s="51" t="s">
        <v>1016</v>
      </c>
      <c r="AG485" s="52" t="s">
        <v>565</v>
      </c>
      <c r="AH485" s="54" t="s">
        <v>541</v>
      </c>
      <c r="AI485" s="79"/>
      <c r="AJ485" s="80"/>
      <c r="AK485" s="81"/>
      <c r="AL485" s="80"/>
      <c r="AM485" s="80"/>
      <c r="AN485" s="80"/>
      <c r="AO485" s="80"/>
      <c r="AP485" s="80"/>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0"/>
      <c r="CC485" s="80"/>
      <c r="CD485" s="80"/>
      <c r="CE485" s="80"/>
      <c r="CF485" s="80"/>
      <c r="CG485" s="80"/>
      <c r="CH485" s="80"/>
      <c r="CI485" s="80"/>
      <c r="CJ485" s="80"/>
      <c r="CK485" s="82"/>
      <c r="CL485" s="12"/>
      <c r="CM485" s="82"/>
      <c r="CN485" s="12"/>
      <c r="CO485" s="82"/>
      <c r="CP485" s="12"/>
      <c r="CQ485" s="83">
        <f t="shared" si="55"/>
        <v>0</v>
      </c>
      <c r="CR485" s="84"/>
      <c r="CS485" s="13"/>
      <c r="CT485" s="85"/>
      <c r="CU485" s="86"/>
      <c r="CV485" s="11"/>
      <c r="CW485" s="86"/>
      <c r="CX485" s="84"/>
      <c r="CY485" s="86"/>
    </row>
    <row r="486" spans="1:103" ht="25.5" x14ac:dyDescent="0.2">
      <c r="A486" s="43">
        <v>39937</v>
      </c>
      <c r="B486" s="44" t="s">
        <v>481</v>
      </c>
      <c r="C486" s="44" t="s">
        <v>188</v>
      </c>
      <c r="D486" s="45" t="s">
        <v>1092</v>
      </c>
      <c r="E486" s="11"/>
      <c r="F486" s="12">
        <v>1</v>
      </c>
      <c r="G486" s="12"/>
      <c r="H486" s="12">
        <v>35</v>
      </c>
      <c r="I486" s="12">
        <v>7</v>
      </c>
      <c r="J486" s="12">
        <v>3</v>
      </c>
      <c r="K486" s="12">
        <v>4</v>
      </c>
      <c r="L486" s="12"/>
      <c r="M486" s="12"/>
      <c r="N486" s="12"/>
      <c r="O486" s="12"/>
      <c r="P486" s="12"/>
      <c r="Q486" s="12"/>
      <c r="R486" s="12"/>
      <c r="S486" s="12"/>
      <c r="T486" s="13"/>
      <c r="U486" s="46"/>
      <c r="V486" s="47"/>
      <c r="W486" s="48">
        <f t="shared" si="50"/>
        <v>0</v>
      </c>
      <c r="X486" s="48">
        <f t="shared" si="51"/>
        <v>0</v>
      </c>
      <c r="Y486" s="48">
        <f t="shared" si="52"/>
        <v>0</v>
      </c>
      <c r="Z486" s="48">
        <f t="shared" si="53"/>
        <v>0</v>
      </c>
      <c r="AA486" s="48"/>
      <c r="AB486" s="48"/>
      <c r="AC486" s="49">
        <f t="shared" si="54"/>
        <v>0</v>
      </c>
      <c r="AD486" s="50">
        <v>0</v>
      </c>
      <c r="AE486" s="47">
        <v>39937</v>
      </c>
      <c r="AF486" s="51" t="s">
        <v>516</v>
      </c>
      <c r="AG486" s="52" t="s">
        <v>517</v>
      </c>
      <c r="AH486" s="53" t="s">
        <v>1167</v>
      </c>
      <c r="AI486" s="79"/>
      <c r="AJ486" s="80"/>
      <c r="AK486" s="81"/>
      <c r="AL486" s="80"/>
      <c r="AM486" s="80"/>
      <c r="AN486" s="80"/>
      <c r="AO486" s="80"/>
      <c r="AP486" s="80"/>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0"/>
      <c r="CC486" s="80"/>
      <c r="CD486" s="80"/>
      <c r="CE486" s="80"/>
      <c r="CF486" s="80"/>
      <c r="CG486" s="80"/>
      <c r="CH486" s="80"/>
      <c r="CI486" s="80"/>
      <c r="CJ486" s="80"/>
      <c r="CK486" s="82"/>
      <c r="CL486" s="12"/>
      <c r="CM486" s="82"/>
      <c r="CN486" s="12"/>
      <c r="CO486" s="82"/>
      <c r="CP486" s="12"/>
      <c r="CQ486" s="83">
        <f t="shared" si="55"/>
        <v>0</v>
      </c>
      <c r="CR486" s="84"/>
      <c r="CS486" s="13"/>
      <c r="CT486" s="85"/>
      <c r="CU486" s="86"/>
      <c r="CV486" s="11"/>
      <c r="CW486" s="86"/>
      <c r="CX486" s="84"/>
      <c r="CY486" s="86"/>
    </row>
    <row r="487" spans="1:103" ht="25.5" x14ac:dyDescent="0.2">
      <c r="A487" s="43">
        <v>39938</v>
      </c>
      <c r="B487" s="44" t="s">
        <v>625</v>
      </c>
      <c r="C487" s="44" t="s">
        <v>1078</v>
      </c>
      <c r="D487" s="45" t="s">
        <v>1118</v>
      </c>
      <c r="E487" s="11"/>
      <c r="F487" s="12"/>
      <c r="G487" s="12"/>
      <c r="H487" s="12"/>
      <c r="I487" s="12"/>
      <c r="J487" s="12"/>
      <c r="K487" s="12"/>
      <c r="L487" s="12"/>
      <c r="M487" s="12"/>
      <c r="N487" s="12"/>
      <c r="O487" s="12"/>
      <c r="P487" s="12"/>
      <c r="Q487" s="12"/>
      <c r="R487" s="12"/>
      <c r="S487" s="12"/>
      <c r="T487" s="13"/>
      <c r="U487" s="46"/>
      <c r="V487" s="47"/>
      <c r="W487" s="48">
        <f t="shared" si="50"/>
        <v>0</v>
      </c>
      <c r="X487" s="48">
        <f t="shared" si="51"/>
        <v>0</v>
      </c>
      <c r="Y487" s="48">
        <f t="shared" si="52"/>
        <v>0</v>
      </c>
      <c r="Z487" s="48">
        <f t="shared" si="53"/>
        <v>0</v>
      </c>
      <c r="AA487" s="48"/>
      <c r="AB487" s="48"/>
      <c r="AC487" s="49">
        <f t="shared" si="54"/>
        <v>0</v>
      </c>
      <c r="AD487" s="50">
        <v>0</v>
      </c>
      <c r="AE487" s="47">
        <v>39939</v>
      </c>
      <c r="AF487" s="51" t="s">
        <v>516</v>
      </c>
      <c r="AG487" s="52" t="s">
        <v>517</v>
      </c>
      <c r="AH487" s="53" t="s">
        <v>615</v>
      </c>
      <c r="AI487" s="79"/>
      <c r="AJ487" s="80"/>
      <c r="AK487" s="81"/>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0"/>
      <c r="CC487" s="80"/>
      <c r="CD487" s="80"/>
      <c r="CE487" s="80"/>
      <c r="CF487" s="80"/>
      <c r="CG487" s="80"/>
      <c r="CH487" s="80"/>
      <c r="CI487" s="80"/>
      <c r="CJ487" s="80"/>
      <c r="CK487" s="82"/>
      <c r="CL487" s="12"/>
      <c r="CM487" s="82"/>
      <c r="CN487" s="12"/>
      <c r="CO487" s="82"/>
      <c r="CP487" s="12"/>
      <c r="CQ487" s="83">
        <f t="shared" si="55"/>
        <v>0</v>
      </c>
      <c r="CR487" s="84"/>
      <c r="CS487" s="13"/>
      <c r="CT487" s="85"/>
      <c r="CU487" s="86"/>
      <c r="CV487" s="11"/>
      <c r="CW487" s="86"/>
      <c r="CX487" s="84"/>
      <c r="CY487" s="86"/>
    </row>
    <row r="488" spans="1:103" ht="25.5" x14ac:dyDescent="0.2">
      <c r="A488" s="43">
        <v>39938</v>
      </c>
      <c r="B488" s="44" t="s">
        <v>625</v>
      </c>
      <c r="C488" s="44" t="s">
        <v>470</v>
      </c>
      <c r="D488" s="45" t="s">
        <v>1118</v>
      </c>
      <c r="E488" s="11"/>
      <c r="F488" s="12"/>
      <c r="G488" s="12"/>
      <c r="H488" s="12">
        <v>250</v>
      </c>
      <c r="I488" s="12">
        <v>50</v>
      </c>
      <c r="J488" s="12"/>
      <c r="K488" s="12">
        <v>50</v>
      </c>
      <c r="L488" s="12"/>
      <c r="M488" s="12"/>
      <c r="N488" s="12"/>
      <c r="O488" s="12"/>
      <c r="P488" s="12"/>
      <c r="Q488" s="12"/>
      <c r="R488" s="12"/>
      <c r="S488" s="12"/>
      <c r="T488" s="13"/>
      <c r="U488" s="46"/>
      <c r="V488" s="47"/>
      <c r="W488" s="48">
        <f t="shared" si="50"/>
        <v>0</v>
      </c>
      <c r="X488" s="48">
        <f t="shared" si="51"/>
        <v>0</v>
      </c>
      <c r="Y488" s="48">
        <f t="shared" si="52"/>
        <v>0</v>
      </c>
      <c r="Z488" s="48">
        <f t="shared" si="53"/>
        <v>0</v>
      </c>
      <c r="AA488" s="48"/>
      <c r="AB488" s="48"/>
      <c r="AC488" s="49">
        <f t="shared" si="54"/>
        <v>0</v>
      </c>
      <c r="AD488" s="50">
        <v>0</v>
      </c>
      <c r="AE488" s="47">
        <v>39939</v>
      </c>
      <c r="AF488" s="51" t="s">
        <v>516</v>
      </c>
      <c r="AG488" s="52" t="s">
        <v>517</v>
      </c>
      <c r="AH488" s="53" t="s">
        <v>471</v>
      </c>
      <c r="AI488" s="79"/>
      <c r="AJ488" s="80"/>
      <c r="AK488" s="81"/>
      <c r="AL488" s="80"/>
      <c r="AM488" s="80"/>
      <c r="AN488" s="80"/>
      <c r="AO488" s="80"/>
      <c r="AP488" s="80"/>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0"/>
      <c r="CC488" s="80"/>
      <c r="CD488" s="80"/>
      <c r="CE488" s="80"/>
      <c r="CF488" s="80"/>
      <c r="CG488" s="80"/>
      <c r="CH488" s="80"/>
      <c r="CI488" s="80"/>
      <c r="CJ488" s="80"/>
      <c r="CK488" s="82"/>
      <c r="CL488" s="12"/>
      <c r="CM488" s="82"/>
      <c r="CN488" s="12"/>
      <c r="CO488" s="82"/>
      <c r="CP488" s="12"/>
      <c r="CQ488" s="83">
        <f t="shared" si="55"/>
        <v>0</v>
      </c>
      <c r="CR488" s="84"/>
      <c r="CS488" s="13"/>
      <c r="CT488" s="85"/>
      <c r="CU488" s="86"/>
      <c r="CV488" s="11"/>
      <c r="CW488" s="86"/>
      <c r="CX488" s="84"/>
      <c r="CY488" s="86"/>
    </row>
    <row r="489" spans="1:103" ht="12.75" x14ac:dyDescent="0.2">
      <c r="A489" s="43">
        <v>39938</v>
      </c>
      <c r="B489" s="44" t="s">
        <v>688</v>
      </c>
      <c r="C489" s="44" t="s">
        <v>1182</v>
      </c>
      <c r="D489" s="45" t="s">
        <v>1118</v>
      </c>
      <c r="E489" s="11"/>
      <c r="F489" s="12"/>
      <c r="G489" s="12"/>
      <c r="H489" s="12">
        <f>62*5</f>
        <v>310</v>
      </c>
      <c r="I489" s="12">
        <v>62</v>
      </c>
      <c r="J489" s="12"/>
      <c r="K489" s="12">
        <f>25+12+10+15</f>
        <v>62</v>
      </c>
      <c r="L489" s="12"/>
      <c r="M489" s="12"/>
      <c r="N489" s="12"/>
      <c r="O489" s="12"/>
      <c r="P489" s="12"/>
      <c r="Q489" s="12"/>
      <c r="R489" s="12">
        <v>3</v>
      </c>
      <c r="S489" s="12"/>
      <c r="T489" s="13"/>
      <c r="U489" s="46"/>
      <c r="V489" s="47"/>
      <c r="W489" s="48">
        <f t="shared" si="50"/>
        <v>0</v>
      </c>
      <c r="X489" s="48">
        <f t="shared" si="51"/>
        <v>0</v>
      </c>
      <c r="Y489" s="48">
        <f t="shared" si="52"/>
        <v>0</v>
      </c>
      <c r="Z489" s="48">
        <f t="shared" si="53"/>
        <v>0</v>
      </c>
      <c r="AA489" s="48"/>
      <c r="AB489" s="48"/>
      <c r="AC489" s="49">
        <f t="shared" si="54"/>
        <v>0</v>
      </c>
      <c r="AD489" s="50">
        <v>0</v>
      </c>
      <c r="AE489" s="47">
        <v>39946</v>
      </c>
      <c r="AF489" s="51" t="s">
        <v>1016</v>
      </c>
      <c r="AG489" s="52" t="s">
        <v>565</v>
      </c>
      <c r="AH489" s="53"/>
      <c r="AI489" s="79"/>
      <c r="AJ489" s="80"/>
      <c r="AK489" s="81"/>
      <c r="AL489" s="80"/>
      <c r="AM489" s="80"/>
      <c r="AN489" s="80"/>
      <c r="AO489" s="80"/>
      <c r="AP489" s="80"/>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0"/>
      <c r="CC489" s="80"/>
      <c r="CD489" s="80"/>
      <c r="CE489" s="80"/>
      <c r="CF489" s="80"/>
      <c r="CG489" s="80"/>
      <c r="CH489" s="80"/>
      <c r="CI489" s="80"/>
      <c r="CJ489" s="80"/>
      <c r="CK489" s="82"/>
      <c r="CL489" s="12"/>
      <c r="CM489" s="82"/>
      <c r="CN489" s="12"/>
      <c r="CO489" s="82"/>
      <c r="CP489" s="12"/>
      <c r="CQ489" s="83">
        <f t="shared" si="55"/>
        <v>0</v>
      </c>
      <c r="CR489" s="84"/>
      <c r="CS489" s="13"/>
      <c r="CT489" s="85"/>
      <c r="CU489" s="86"/>
      <c r="CV489" s="11"/>
      <c r="CW489" s="86"/>
      <c r="CX489" s="84"/>
      <c r="CY489" s="86"/>
    </row>
    <row r="490" spans="1:103" ht="25.5" x14ac:dyDescent="0.2">
      <c r="A490" s="43">
        <v>39938</v>
      </c>
      <c r="B490" s="44" t="s">
        <v>1127</v>
      </c>
      <c r="C490" s="44" t="s">
        <v>920</v>
      </c>
      <c r="D490" s="45" t="s">
        <v>1126</v>
      </c>
      <c r="E490" s="11"/>
      <c r="F490" s="12"/>
      <c r="G490" s="12"/>
      <c r="H490" s="12">
        <v>15</v>
      </c>
      <c r="I490" s="12">
        <v>3</v>
      </c>
      <c r="J490" s="12">
        <v>3</v>
      </c>
      <c r="K490" s="12"/>
      <c r="L490" s="12"/>
      <c r="M490" s="12"/>
      <c r="N490" s="12"/>
      <c r="O490" s="12"/>
      <c r="P490" s="12"/>
      <c r="Q490" s="12"/>
      <c r="R490" s="12"/>
      <c r="S490" s="12"/>
      <c r="T490" s="13"/>
      <c r="U490" s="46"/>
      <c r="V490" s="47"/>
      <c r="W490" s="48">
        <f t="shared" si="50"/>
        <v>0</v>
      </c>
      <c r="X490" s="48">
        <f t="shared" si="51"/>
        <v>0</v>
      </c>
      <c r="Y490" s="48">
        <f t="shared" si="52"/>
        <v>0</v>
      </c>
      <c r="Z490" s="48">
        <f t="shared" si="53"/>
        <v>0</v>
      </c>
      <c r="AA490" s="48"/>
      <c r="AB490" s="48"/>
      <c r="AC490" s="49">
        <f t="shared" si="54"/>
        <v>0</v>
      </c>
      <c r="AD490" s="50">
        <v>0</v>
      </c>
      <c r="AE490" s="47">
        <v>39939</v>
      </c>
      <c r="AF490" s="51" t="s">
        <v>516</v>
      </c>
      <c r="AG490" s="52" t="s">
        <v>517</v>
      </c>
      <c r="AH490" s="53" t="s">
        <v>1281</v>
      </c>
      <c r="AI490" s="79"/>
      <c r="AJ490" s="80"/>
      <c r="AK490" s="81"/>
      <c r="AL490" s="80"/>
      <c r="AM490" s="80"/>
      <c r="AN490" s="80"/>
      <c r="AO490" s="80"/>
      <c r="AP490" s="80"/>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0"/>
      <c r="CC490" s="80"/>
      <c r="CD490" s="80"/>
      <c r="CE490" s="80"/>
      <c r="CF490" s="80"/>
      <c r="CG490" s="80"/>
      <c r="CH490" s="80"/>
      <c r="CI490" s="80"/>
      <c r="CJ490" s="80"/>
      <c r="CK490" s="82"/>
      <c r="CL490" s="12"/>
      <c r="CM490" s="82"/>
      <c r="CN490" s="12"/>
      <c r="CO490" s="82"/>
      <c r="CP490" s="12"/>
      <c r="CQ490" s="83">
        <f t="shared" si="55"/>
        <v>0</v>
      </c>
      <c r="CR490" s="84"/>
      <c r="CS490" s="13"/>
      <c r="CT490" s="85"/>
      <c r="CU490" s="86"/>
      <c r="CV490" s="11"/>
      <c r="CW490" s="86"/>
      <c r="CX490" s="84"/>
      <c r="CY490" s="86"/>
    </row>
    <row r="491" spans="1:103" ht="25.5" x14ac:dyDescent="0.2">
      <c r="A491" s="43">
        <v>39938</v>
      </c>
      <c r="B491" s="44" t="s">
        <v>1066</v>
      </c>
      <c r="C491" s="44" t="s">
        <v>616</v>
      </c>
      <c r="D491" s="45" t="s">
        <v>1092</v>
      </c>
      <c r="E491" s="11"/>
      <c r="F491" s="12">
        <v>3</v>
      </c>
      <c r="G491" s="12"/>
      <c r="H491" s="12"/>
      <c r="I491" s="12"/>
      <c r="J491" s="12"/>
      <c r="K491" s="12"/>
      <c r="L491" s="12">
        <v>1</v>
      </c>
      <c r="M491" s="12"/>
      <c r="N491" s="12"/>
      <c r="O491" s="12"/>
      <c r="P491" s="12"/>
      <c r="Q491" s="12"/>
      <c r="R491" s="12"/>
      <c r="S491" s="12"/>
      <c r="T491" s="13"/>
      <c r="U491" s="46"/>
      <c r="V491" s="47"/>
      <c r="W491" s="48">
        <f t="shared" si="50"/>
        <v>0</v>
      </c>
      <c r="X491" s="48">
        <f t="shared" si="51"/>
        <v>0</v>
      </c>
      <c r="Y491" s="48">
        <f t="shared" si="52"/>
        <v>0</v>
      </c>
      <c r="Z491" s="48">
        <f t="shared" si="53"/>
        <v>0</v>
      </c>
      <c r="AA491" s="48"/>
      <c r="AB491" s="48"/>
      <c r="AC491" s="49">
        <f t="shared" si="54"/>
        <v>0</v>
      </c>
      <c r="AD491" s="50">
        <v>0</v>
      </c>
      <c r="AE491" s="47">
        <v>39939</v>
      </c>
      <c r="AF491" s="51" t="s">
        <v>516</v>
      </c>
      <c r="AG491" s="52" t="s">
        <v>517</v>
      </c>
      <c r="AH491" s="53"/>
      <c r="AI491" s="79"/>
      <c r="AJ491" s="80"/>
      <c r="AK491" s="81"/>
      <c r="AL491" s="80"/>
      <c r="AM491" s="80"/>
      <c r="AN491" s="80"/>
      <c r="AO491" s="80"/>
      <c r="AP491" s="80"/>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0"/>
      <c r="CC491" s="80"/>
      <c r="CD491" s="80"/>
      <c r="CE491" s="80"/>
      <c r="CF491" s="80"/>
      <c r="CG491" s="80"/>
      <c r="CH491" s="80"/>
      <c r="CI491" s="80"/>
      <c r="CJ491" s="80"/>
      <c r="CK491" s="82"/>
      <c r="CL491" s="12"/>
      <c r="CM491" s="82"/>
      <c r="CN491" s="12"/>
      <c r="CO491" s="82"/>
      <c r="CP491" s="12"/>
      <c r="CQ491" s="83">
        <f t="shared" si="55"/>
        <v>0</v>
      </c>
      <c r="CR491" s="84"/>
      <c r="CS491" s="13"/>
      <c r="CT491" s="85"/>
      <c r="CU491" s="86"/>
      <c r="CV491" s="11"/>
      <c r="CW491" s="86"/>
      <c r="CX491" s="84"/>
      <c r="CY491" s="86"/>
    </row>
    <row r="492" spans="1:103" ht="25.5" x14ac:dyDescent="0.2">
      <c r="A492" s="43">
        <v>39938</v>
      </c>
      <c r="B492" s="44" t="s">
        <v>1114</v>
      </c>
      <c r="C492" s="44" t="s">
        <v>560</v>
      </c>
      <c r="D492" s="45" t="s">
        <v>1092</v>
      </c>
      <c r="E492" s="11"/>
      <c r="F492" s="12"/>
      <c r="G492" s="12"/>
      <c r="H492" s="12">
        <v>6</v>
      </c>
      <c r="I492" s="12">
        <v>1</v>
      </c>
      <c r="J492" s="12"/>
      <c r="K492" s="12">
        <v>1</v>
      </c>
      <c r="L492" s="12"/>
      <c r="M492" s="12"/>
      <c r="N492" s="12"/>
      <c r="O492" s="12"/>
      <c r="P492" s="12"/>
      <c r="Q492" s="12"/>
      <c r="R492" s="12"/>
      <c r="S492" s="12"/>
      <c r="T492" s="13"/>
      <c r="U492" s="46"/>
      <c r="V492" s="47"/>
      <c r="W492" s="48">
        <f t="shared" si="50"/>
        <v>0</v>
      </c>
      <c r="X492" s="48">
        <f t="shared" si="51"/>
        <v>0</v>
      </c>
      <c r="Y492" s="48">
        <f t="shared" si="52"/>
        <v>0</v>
      </c>
      <c r="Z492" s="48">
        <f t="shared" si="53"/>
        <v>0</v>
      </c>
      <c r="AA492" s="48"/>
      <c r="AB492" s="48"/>
      <c r="AC492" s="49">
        <f t="shared" si="54"/>
        <v>0</v>
      </c>
      <c r="AD492" s="50">
        <v>0</v>
      </c>
      <c r="AE492" s="47">
        <v>39939</v>
      </c>
      <c r="AF492" s="51" t="s">
        <v>516</v>
      </c>
      <c r="AG492" s="52" t="s">
        <v>517</v>
      </c>
      <c r="AH492" s="53" t="s">
        <v>474</v>
      </c>
      <c r="AI492" s="79"/>
      <c r="AJ492" s="80"/>
      <c r="AK492" s="81"/>
      <c r="AL492" s="80"/>
      <c r="AM492" s="80"/>
      <c r="AN492" s="80"/>
      <c r="AO492" s="80"/>
      <c r="AP492" s="80"/>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0"/>
      <c r="CC492" s="80"/>
      <c r="CD492" s="80"/>
      <c r="CE492" s="80"/>
      <c r="CF492" s="80"/>
      <c r="CG492" s="80"/>
      <c r="CH492" s="80"/>
      <c r="CI492" s="80"/>
      <c r="CJ492" s="80"/>
      <c r="CK492" s="82"/>
      <c r="CL492" s="12"/>
      <c r="CM492" s="82"/>
      <c r="CN492" s="12"/>
      <c r="CO492" s="82"/>
      <c r="CP492" s="12"/>
      <c r="CQ492" s="83">
        <f t="shared" si="55"/>
        <v>0</v>
      </c>
      <c r="CR492" s="84"/>
      <c r="CS492" s="13"/>
      <c r="CT492" s="85"/>
      <c r="CU492" s="86"/>
      <c r="CV492" s="11"/>
      <c r="CW492" s="86"/>
      <c r="CX492" s="84"/>
      <c r="CY492" s="86"/>
    </row>
    <row r="493" spans="1:103" ht="25.5" x14ac:dyDescent="0.2">
      <c r="A493" s="43">
        <v>39938</v>
      </c>
      <c r="B493" s="44" t="s">
        <v>1114</v>
      </c>
      <c r="C493" s="44" t="s">
        <v>646</v>
      </c>
      <c r="D493" s="45" t="s">
        <v>1117</v>
      </c>
      <c r="E493" s="11"/>
      <c r="F493" s="12"/>
      <c r="G493" s="12"/>
      <c r="H493" s="12">
        <v>12</v>
      </c>
      <c r="I493" s="12">
        <v>3</v>
      </c>
      <c r="J493" s="12"/>
      <c r="K493" s="12">
        <v>3</v>
      </c>
      <c r="L493" s="12"/>
      <c r="M493" s="12"/>
      <c r="N493" s="12"/>
      <c r="O493" s="12"/>
      <c r="P493" s="12"/>
      <c r="Q493" s="12"/>
      <c r="R493" s="12"/>
      <c r="S493" s="12"/>
      <c r="T493" s="13"/>
      <c r="U493" s="46"/>
      <c r="V493" s="47"/>
      <c r="W493" s="48">
        <f t="shared" si="50"/>
        <v>0</v>
      </c>
      <c r="X493" s="48">
        <f t="shared" si="51"/>
        <v>0</v>
      </c>
      <c r="Y493" s="48">
        <f t="shared" si="52"/>
        <v>0</v>
      </c>
      <c r="Z493" s="48">
        <f t="shared" si="53"/>
        <v>0</v>
      </c>
      <c r="AA493" s="48"/>
      <c r="AB493" s="48"/>
      <c r="AC493" s="49">
        <f t="shared" si="54"/>
        <v>0</v>
      </c>
      <c r="AD493" s="50">
        <v>0</v>
      </c>
      <c r="AE493" s="47">
        <v>39939</v>
      </c>
      <c r="AF493" s="51" t="s">
        <v>516</v>
      </c>
      <c r="AG493" s="52" t="s">
        <v>517</v>
      </c>
      <c r="AH493" s="53" t="s">
        <v>469</v>
      </c>
      <c r="AI493" s="79"/>
      <c r="AJ493" s="80"/>
      <c r="AK493" s="81"/>
      <c r="AL493" s="80"/>
      <c r="AM493" s="80"/>
      <c r="AN493" s="80"/>
      <c r="AO493" s="80"/>
      <c r="AP493" s="80"/>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0"/>
      <c r="CC493" s="80"/>
      <c r="CD493" s="80"/>
      <c r="CE493" s="80"/>
      <c r="CF493" s="80"/>
      <c r="CG493" s="80"/>
      <c r="CH493" s="80"/>
      <c r="CI493" s="80"/>
      <c r="CJ493" s="80"/>
      <c r="CK493" s="82"/>
      <c r="CL493" s="12"/>
      <c r="CM493" s="82"/>
      <c r="CN493" s="12"/>
      <c r="CO493" s="82"/>
      <c r="CP493" s="12"/>
      <c r="CQ493" s="83">
        <f t="shared" si="55"/>
        <v>0</v>
      </c>
      <c r="CR493" s="84"/>
      <c r="CS493" s="13"/>
      <c r="CT493" s="85"/>
      <c r="CU493" s="86"/>
      <c r="CV493" s="11"/>
      <c r="CW493" s="86"/>
      <c r="CX493" s="84"/>
      <c r="CY493" s="86"/>
    </row>
    <row r="494" spans="1:103" ht="12.75" x14ac:dyDescent="0.2">
      <c r="A494" s="43">
        <v>39938</v>
      </c>
      <c r="B494" s="44" t="s">
        <v>413</v>
      </c>
      <c r="C494" s="44" t="s">
        <v>1450</v>
      </c>
      <c r="D494" s="45" t="s">
        <v>1118</v>
      </c>
      <c r="E494" s="11"/>
      <c r="F494" s="12"/>
      <c r="G494" s="12"/>
      <c r="H494" s="12">
        <f>110*5</f>
        <v>550</v>
      </c>
      <c r="I494" s="12">
        <v>110</v>
      </c>
      <c r="J494" s="12"/>
      <c r="K494" s="12">
        <v>110</v>
      </c>
      <c r="L494" s="12"/>
      <c r="M494" s="12"/>
      <c r="N494" s="12"/>
      <c r="O494" s="12"/>
      <c r="P494" s="12"/>
      <c r="Q494" s="12"/>
      <c r="R494" s="12"/>
      <c r="S494" s="12"/>
      <c r="T494" s="13"/>
      <c r="U494" s="46"/>
      <c r="V494" s="47"/>
      <c r="W494" s="48">
        <f t="shared" si="50"/>
        <v>0</v>
      </c>
      <c r="X494" s="48">
        <f t="shared" si="51"/>
        <v>0</v>
      </c>
      <c r="Y494" s="48">
        <f t="shared" si="52"/>
        <v>0</v>
      </c>
      <c r="Z494" s="48">
        <f t="shared" si="53"/>
        <v>0</v>
      </c>
      <c r="AA494" s="48"/>
      <c r="AB494" s="48"/>
      <c r="AC494" s="49">
        <f t="shared" si="54"/>
        <v>0</v>
      </c>
      <c r="AD494" s="50">
        <v>0</v>
      </c>
      <c r="AE494" s="47">
        <v>40010</v>
      </c>
      <c r="AF494" s="51" t="s">
        <v>1016</v>
      </c>
      <c r="AG494" s="52" t="s">
        <v>517</v>
      </c>
      <c r="AH494" s="54" t="s">
        <v>1451</v>
      </c>
      <c r="AI494" s="79"/>
      <c r="AJ494" s="80"/>
      <c r="AK494" s="81"/>
      <c r="AL494" s="80"/>
      <c r="AM494" s="80"/>
      <c r="AN494" s="80"/>
      <c r="AO494" s="80"/>
      <c r="AP494" s="80"/>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0"/>
      <c r="CC494" s="80"/>
      <c r="CD494" s="80"/>
      <c r="CE494" s="80"/>
      <c r="CF494" s="80"/>
      <c r="CG494" s="80"/>
      <c r="CH494" s="80"/>
      <c r="CI494" s="80"/>
      <c r="CJ494" s="80"/>
      <c r="CK494" s="82"/>
      <c r="CL494" s="12"/>
      <c r="CM494" s="82"/>
      <c r="CN494" s="12"/>
      <c r="CO494" s="82"/>
      <c r="CP494" s="12"/>
      <c r="CQ494" s="83">
        <f t="shared" si="55"/>
        <v>0</v>
      </c>
      <c r="CR494" s="84"/>
      <c r="CS494" s="13"/>
      <c r="CT494" s="85"/>
      <c r="CU494" s="86"/>
      <c r="CV494" s="11"/>
      <c r="CW494" s="86"/>
      <c r="CX494" s="84"/>
      <c r="CY494" s="86"/>
    </row>
    <row r="495" spans="1:103" ht="25.5" x14ac:dyDescent="0.2">
      <c r="A495" s="43">
        <v>39939</v>
      </c>
      <c r="B495" s="44" t="s">
        <v>625</v>
      </c>
      <c r="C495" s="44" t="s">
        <v>412</v>
      </c>
      <c r="D495" s="45" t="s">
        <v>1118</v>
      </c>
      <c r="E495" s="11"/>
      <c r="F495" s="12"/>
      <c r="G495" s="12"/>
      <c r="H495" s="12">
        <v>75</v>
      </c>
      <c r="I495" s="12">
        <v>15</v>
      </c>
      <c r="J495" s="12"/>
      <c r="K495" s="12">
        <v>15</v>
      </c>
      <c r="L495" s="12"/>
      <c r="M495" s="12"/>
      <c r="N495" s="12"/>
      <c r="O495" s="12"/>
      <c r="P495" s="12"/>
      <c r="Q495" s="12"/>
      <c r="R495" s="12"/>
      <c r="S495" s="12"/>
      <c r="T495" s="13"/>
      <c r="U495" s="46"/>
      <c r="V495" s="47"/>
      <c r="W495" s="48">
        <f t="shared" si="50"/>
        <v>0</v>
      </c>
      <c r="X495" s="48">
        <f t="shared" si="51"/>
        <v>0</v>
      </c>
      <c r="Y495" s="48">
        <f t="shared" si="52"/>
        <v>0</v>
      </c>
      <c r="Z495" s="48">
        <f t="shared" si="53"/>
        <v>0</v>
      </c>
      <c r="AA495" s="48"/>
      <c r="AB495" s="48"/>
      <c r="AC495" s="49">
        <f t="shared" si="54"/>
        <v>0</v>
      </c>
      <c r="AD495" s="50">
        <v>0</v>
      </c>
      <c r="AE495" s="47">
        <v>39940</v>
      </c>
      <c r="AF495" s="51" t="s">
        <v>516</v>
      </c>
      <c r="AG495" s="52" t="s">
        <v>517</v>
      </c>
      <c r="AH495" s="53" t="s">
        <v>668</v>
      </c>
      <c r="AI495" s="79"/>
      <c r="AJ495" s="80"/>
      <c r="AK495" s="81"/>
      <c r="AL495" s="80"/>
      <c r="AM495" s="80"/>
      <c r="AN495" s="80"/>
      <c r="AO495" s="80"/>
      <c r="AP495" s="80"/>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0"/>
      <c r="CC495" s="80"/>
      <c r="CD495" s="80"/>
      <c r="CE495" s="80"/>
      <c r="CF495" s="80"/>
      <c r="CG495" s="80"/>
      <c r="CH495" s="80"/>
      <c r="CI495" s="80"/>
      <c r="CJ495" s="80"/>
      <c r="CK495" s="82"/>
      <c r="CL495" s="12"/>
      <c r="CM495" s="82"/>
      <c r="CN495" s="12"/>
      <c r="CO495" s="82"/>
      <c r="CP495" s="12"/>
      <c r="CQ495" s="83">
        <f t="shared" si="55"/>
        <v>0</v>
      </c>
      <c r="CR495" s="84"/>
      <c r="CS495" s="13"/>
      <c r="CT495" s="85"/>
      <c r="CU495" s="86"/>
      <c r="CV495" s="11"/>
      <c r="CW495" s="86"/>
      <c r="CX495" s="84"/>
      <c r="CY495" s="86"/>
    </row>
    <row r="496" spans="1:103" ht="63.75" x14ac:dyDescent="0.2">
      <c r="A496" s="43">
        <v>39939</v>
      </c>
      <c r="B496" s="44" t="s">
        <v>625</v>
      </c>
      <c r="C496" s="44" t="s">
        <v>904</v>
      </c>
      <c r="D496" s="45" t="s">
        <v>1118</v>
      </c>
      <c r="E496" s="11"/>
      <c r="F496" s="12">
        <v>9</v>
      </c>
      <c r="G496" s="12"/>
      <c r="H496" s="12">
        <f>150*5</f>
        <v>750</v>
      </c>
      <c r="I496" s="12">
        <v>150</v>
      </c>
      <c r="J496" s="12"/>
      <c r="K496" s="12">
        <v>150</v>
      </c>
      <c r="L496" s="12"/>
      <c r="M496" s="12"/>
      <c r="N496" s="12"/>
      <c r="O496" s="12"/>
      <c r="P496" s="12"/>
      <c r="Q496" s="12"/>
      <c r="R496" s="12">
        <v>1</v>
      </c>
      <c r="S496" s="12">
        <v>2</v>
      </c>
      <c r="T496" s="13"/>
      <c r="U496" s="46"/>
      <c r="V496" s="47"/>
      <c r="W496" s="48">
        <f t="shared" si="50"/>
        <v>0</v>
      </c>
      <c r="X496" s="48">
        <f t="shared" si="51"/>
        <v>0</v>
      </c>
      <c r="Y496" s="48">
        <f t="shared" si="52"/>
        <v>0</v>
      </c>
      <c r="Z496" s="48">
        <f t="shared" si="53"/>
        <v>0</v>
      </c>
      <c r="AA496" s="48"/>
      <c r="AB496" s="48"/>
      <c r="AC496" s="49">
        <f t="shared" si="54"/>
        <v>0</v>
      </c>
      <c r="AD496" s="50">
        <v>0</v>
      </c>
      <c r="AE496" s="47">
        <v>39940</v>
      </c>
      <c r="AF496" s="51" t="s">
        <v>516</v>
      </c>
      <c r="AG496" s="52" t="s">
        <v>517</v>
      </c>
      <c r="AH496" s="53" t="s">
        <v>1264</v>
      </c>
      <c r="AI496" s="79"/>
      <c r="AJ496" s="80"/>
      <c r="AK496" s="81"/>
      <c r="AL496" s="80"/>
      <c r="AM496" s="80"/>
      <c r="AN496" s="80"/>
      <c r="AO496" s="80"/>
      <c r="AP496" s="80"/>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0"/>
      <c r="CC496" s="80"/>
      <c r="CD496" s="80"/>
      <c r="CE496" s="80"/>
      <c r="CF496" s="80"/>
      <c r="CG496" s="80"/>
      <c r="CH496" s="80"/>
      <c r="CI496" s="80"/>
      <c r="CJ496" s="80"/>
      <c r="CK496" s="82"/>
      <c r="CL496" s="12"/>
      <c r="CM496" s="82"/>
      <c r="CN496" s="12"/>
      <c r="CO496" s="82"/>
      <c r="CP496" s="12"/>
      <c r="CQ496" s="83">
        <f t="shared" si="55"/>
        <v>0</v>
      </c>
      <c r="CR496" s="84"/>
      <c r="CS496" s="13"/>
      <c r="CT496" s="85"/>
      <c r="CU496" s="86"/>
      <c r="CV496" s="11"/>
      <c r="CW496" s="86"/>
      <c r="CX496" s="84"/>
      <c r="CY496" s="86"/>
    </row>
    <row r="497" spans="1:103" ht="38.25" x14ac:dyDescent="0.2">
      <c r="A497" s="43">
        <v>39939</v>
      </c>
      <c r="B497" s="44" t="s">
        <v>478</v>
      </c>
      <c r="C497" s="44" t="s">
        <v>1454</v>
      </c>
      <c r="D497" s="45" t="s">
        <v>1118</v>
      </c>
      <c r="E497" s="11"/>
      <c r="F497" s="12"/>
      <c r="G497" s="12"/>
      <c r="H497" s="12"/>
      <c r="I497" s="12"/>
      <c r="J497" s="12"/>
      <c r="K497" s="12"/>
      <c r="L497" s="12"/>
      <c r="M497" s="12"/>
      <c r="N497" s="12"/>
      <c r="O497" s="12"/>
      <c r="P497" s="12"/>
      <c r="Q497" s="12"/>
      <c r="R497" s="12"/>
      <c r="S497" s="12"/>
      <c r="T497" s="13"/>
      <c r="U497" s="46"/>
      <c r="V497" s="47">
        <v>39962</v>
      </c>
      <c r="W497" s="48">
        <f t="shared" si="50"/>
        <v>7525500</v>
      </c>
      <c r="X497" s="48">
        <f t="shared" si="51"/>
        <v>0</v>
      </c>
      <c r="Y497" s="48">
        <f t="shared" si="52"/>
        <v>0</v>
      </c>
      <c r="Z497" s="48">
        <f t="shared" si="53"/>
        <v>17980000</v>
      </c>
      <c r="AA497" s="48"/>
      <c r="AB497" s="48"/>
      <c r="AC497" s="49">
        <f t="shared" si="54"/>
        <v>25505500</v>
      </c>
      <c r="AD497" s="50">
        <v>0</v>
      </c>
      <c r="AE497" s="47">
        <v>39941</v>
      </c>
      <c r="AF497" s="51" t="s">
        <v>1016</v>
      </c>
      <c r="AG497" s="52" t="s">
        <v>565</v>
      </c>
      <c r="AH497" s="53" t="s">
        <v>603</v>
      </c>
      <c r="AI497" s="79"/>
      <c r="AJ497" s="80"/>
      <c r="AK497" s="81"/>
      <c r="AL497" s="80"/>
      <c r="AM497" s="80"/>
      <c r="AN497" s="80"/>
      <c r="AO497" s="80"/>
      <c r="AP497" s="80"/>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v>15</v>
      </c>
      <c r="BV497" s="80">
        <f>15*501700</f>
        <v>7525500</v>
      </c>
      <c r="BW497" s="80"/>
      <c r="BX497" s="80"/>
      <c r="BY497" s="80"/>
      <c r="BZ497" s="80"/>
      <c r="CA497" s="80"/>
      <c r="CB497" s="80"/>
      <c r="CC497" s="80"/>
      <c r="CD497" s="80"/>
      <c r="CE497" s="80"/>
      <c r="CF497" s="80"/>
      <c r="CG497" s="80"/>
      <c r="CH497" s="80"/>
      <c r="CI497" s="80"/>
      <c r="CJ497" s="80"/>
      <c r="CK497" s="82"/>
      <c r="CL497" s="12"/>
      <c r="CM497" s="82"/>
      <c r="CN497" s="12"/>
      <c r="CO497" s="82"/>
      <c r="CP497" s="12"/>
      <c r="CQ497" s="83">
        <f t="shared" si="55"/>
        <v>7525500</v>
      </c>
      <c r="CR497" s="84">
        <v>20000</v>
      </c>
      <c r="CS497" s="13">
        <f>20000*899</f>
        <v>17980000</v>
      </c>
      <c r="CT497" s="85"/>
      <c r="CU497" s="86"/>
      <c r="CV497" s="11"/>
      <c r="CW497" s="86"/>
      <c r="CX497" s="84"/>
      <c r="CY497" s="86"/>
    </row>
    <row r="498" spans="1:103" ht="25.5" x14ac:dyDescent="0.2">
      <c r="A498" s="43">
        <v>39939</v>
      </c>
      <c r="B498" s="44" t="s">
        <v>1224</v>
      </c>
      <c r="C498" s="44" t="s">
        <v>902</v>
      </c>
      <c r="D498" s="45" t="s">
        <v>1118</v>
      </c>
      <c r="E498" s="11"/>
      <c r="F498" s="12"/>
      <c r="G498" s="12"/>
      <c r="H498" s="12">
        <v>25</v>
      </c>
      <c r="I498" s="12">
        <v>5</v>
      </c>
      <c r="J498" s="12"/>
      <c r="K498" s="12">
        <v>5</v>
      </c>
      <c r="L498" s="12"/>
      <c r="M498" s="12"/>
      <c r="N498" s="12"/>
      <c r="O498" s="12"/>
      <c r="P498" s="12"/>
      <c r="Q498" s="12"/>
      <c r="R498" s="12"/>
      <c r="S498" s="12"/>
      <c r="T498" s="13"/>
      <c r="U498" s="46"/>
      <c r="V498" s="47"/>
      <c r="W498" s="48">
        <f t="shared" si="50"/>
        <v>0</v>
      </c>
      <c r="X498" s="48">
        <f t="shared" si="51"/>
        <v>0</v>
      </c>
      <c r="Y498" s="48">
        <f t="shared" si="52"/>
        <v>0</v>
      </c>
      <c r="Z498" s="48">
        <f t="shared" si="53"/>
        <v>0</v>
      </c>
      <c r="AA498" s="48"/>
      <c r="AB498" s="48"/>
      <c r="AC498" s="49">
        <f t="shared" si="54"/>
        <v>0</v>
      </c>
      <c r="AD498" s="50">
        <v>0</v>
      </c>
      <c r="AE498" s="47">
        <v>39940</v>
      </c>
      <c r="AF498" s="51" t="s">
        <v>516</v>
      </c>
      <c r="AG498" s="52" t="s">
        <v>517</v>
      </c>
      <c r="AH498" s="53" t="s">
        <v>1412</v>
      </c>
      <c r="AI498" s="79"/>
      <c r="AJ498" s="80"/>
      <c r="AK498" s="81"/>
      <c r="AL498" s="80"/>
      <c r="AM498" s="80"/>
      <c r="AN498" s="80"/>
      <c r="AO498" s="80"/>
      <c r="AP498" s="80"/>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0"/>
      <c r="CC498" s="80"/>
      <c r="CD498" s="80"/>
      <c r="CE498" s="80"/>
      <c r="CF498" s="80"/>
      <c r="CG498" s="80"/>
      <c r="CH498" s="80"/>
      <c r="CI498" s="80"/>
      <c r="CJ498" s="80"/>
      <c r="CK498" s="82"/>
      <c r="CL498" s="12"/>
      <c r="CM498" s="82"/>
      <c r="CN498" s="12"/>
      <c r="CO498" s="82"/>
      <c r="CP498" s="12"/>
      <c r="CQ498" s="83">
        <f t="shared" si="55"/>
        <v>0</v>
      </c>
      <c r="CR498" s="84"/>
      <c r="CS498" s="13"/>
      <c r="CT498" s="85"/>
      <c r="CU498" s="86"/>
      <c r="CV498" s="11"/>
      <c r="CW498" s="86"/>
      <c r="CX498" s="84"/>
      <c r="CY498" s="86"/>
    </row>
    <row r="499" spans="1:103" ht="25.5" x14ac:dyDescent="0.2">
      <c r="A499" s="43">
        <v>39939</v>
      </c>
      <c r="B499" s="44" t="s">
        <v>1127</v>
      </c>
      <c r="C499" s="44" t="s">
        <v>472</v>
      </c>
      <c r="D499" s="45" t="s">
        <v>1229</v>
      </c>
      <c r="E499" s="11"/>
      <c r="F499" s="12"/>
      <c r="G499" s="12"/>
      <c r="H499" s="12">
        <v>18</v>
      </c>
      <c r="I499" s="12">
        <v>3</v>
      </c>
      <c r="J499" s="12">
        <v>3</v>
      </c>
      <c r="K499" s="12"/>
      <c r="L499" s="12"/>
      <c r="M499" s="12"/>
      <c r="N499" s="12"/>
      <c r="O499" s="12"/>
      <c r="P499" s="12"/>
      <c r="Q499" s="12"/>
      <c r="R499" s="12"/>
      <c r="S499" s="12"/>
      <c r="T499" s="13"/>
      <c r="U499" s="46"/>
      <c r="V499" s="47"/>
      <c r="W499" s="48">
        <f t="shared" si="50"/>
        <v>0</v>
      </c>
      <c r="X499" s="48">
        <f t="shared" si="51"/>
        <v>0</v>
      </c>
      <c r="Y499" s="48">
        <f t="shared" si="52"/>
        <v>0</v>
      </c>
      <c r="Z499" s="48">
        <f t="shared" si="53"/>
        <v>0</v>
      </c>
      <c r="AA499" s="48"/>
      <c r="AB499" s="48"/>
      <c r="AC499" s="49">
        <f t="shared" si="54"/>
        <v>0</v>
      </c>
      <c r="AD499" s="50">
        <v>0</v>
      </c>
      <c r="AE499" s="47">
        <v>39939</v>
      </c>
      <c r="AF499" s="51" t="s">
        <v>516</v>
      </c>
      <c r="AG499" s="52" t="s">
        <v>517</v>
      </c>
      <c r="AH499" s="53" t="s">
        <v>473</v>
      </c>
      <c r="AI499" s="79"/>
      <c r="AJ499" s="80"/>
      <c r="AK499" s="81"/>
      <c r="AL499" s="80"/>
      <c r="AM499" s="80"/>
      <c r="AN499" s="80"/>
      <c r="AO499" s="80"/>
      <c r="AP499" s="80"/>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2"/>
      <c r="CL499" s="12"/>
      <c r="CM499" s="82"/>
      <c r="CN499" s="12"/>
      <c r="CO499" s="82"/>
      <c r="CP499" s="12"/>
      <c r="CQ499" s="83">
        <f t="shared" si="55"/>
        <v>0</v>
      </c>
      <c r="CR499" s="84"/>
      <c r="CS499" s="13"/>
      <c r="CT499" s="85"/>
      <c r="CU499" s="86"/>
      <c r="CV499" s="11"/>
      <c r="CW499" s="86"/>
      <c r="CX499" s="84"/>
      <c r="CY499" s="86"/>
    </row>
    <row r="500" spans="1:103" ht="25.5" x14ac:dyDescent="0.2">
      <c r="A500" s="43">
        <v>39939</v>
      </c>
      <c r="B500" s="44" t="s">
        <v>1127</v>
      </c>
      <c r="C500" s="44" t="s">
        <v>385</v>
      </c>
      <c r="D500" s="45" t="s">
        <v>1118</v>
      </c>
      <c r="E500" s="11"/>
      <c r="F500" s="12"/>
      <c r="G500" s="12"/>
      <c r="H500" s="12">
        <v>16</v>
      </c>
      <c r="I500" s="12">
        <v>3</v>
      </c>
      <c r="J500" s="12"/>
      <c r="K500" s="12">
        <v>3</v>
      </c>
      <c r="L500" s="12"/>
      <c r="M500" s="12"/>
      <c r="N500" s="12"/>
      <c r="O500" s="12"/>
      <c r="P500" s="12"/>
      <c r="Q500" s="12"/>
      <c r="R500" s="12"/>
      <c r="S500" s="12"/>
      <c r="T500" s="13"/>
      <c r="U500" s="46"/>
      <c r="V500" s="47"/>
      <c r="W500" s="48">
        <f t="shared" si="50"/>
        <v>0</v>
      </c>
      <c r="X500" s="48">
        <f t="shared" si="51"/>
        <v>0</v>
      </c>
      <c r="Y500" s="48">
        <f t="shared" si="52"/>
        <v>0</v>
      </c>
      <c r="Z500" s="48">
        <f t="shared" si="53"/>
        <v>0</v>
      </c>
      <c r="AA500" s="48"/>
      <c r="AB500" s="48"/>
      <c r="AC500" s="49">
        <f t="shared" si="54"/>
        <v>0</v>
      </c>
      <c r="AD500" s="50">
        <v>0</v>
      </c>
      <c r="AE500" s="47">
        <v>39940</v>
      </c>
      <c r="AF500" s="51" t="s">
        <v>516</v>
      </c>
      <c r="AG500" s="52" t="s">
        <v>517</v>
      </c>
      <c r="AH500" s="53" t="s">
        <v>386</v>
      </c>
      <c r="AI500" s="79"/>
      <c r="AJ500" s="80"/>
      <c r="AK500" s="81"/>
      <c r="AL500" s="80"/>
      <c r="AM500" s="80"/>
      <c r="AN500" s="80"/>
      <c r="AO500" s="80"/>
      <c r="AP500" s="80"/>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0"/>
      <c r="CC500" s="80"/>
      <c r="CD500" s="80"/>
      <c r="CE500" s="80"/>
      <c r="CF500" s="80"/>
      <c r="CG500" s="80"/>
      <c r="CH500" s="80"/>
      <c r="CI500" s="80"/>
      <c r="CJ500" s="80"/>
      <c r="CK500" s="82"/>
      <c r="CL500" s="12"/>
      <c r="CM500" s="82"/>
      <c r="CN500" s="12"/>
      <c r="CO500" s="82"/>
      <c r="CP500" s="12"/>
      <c r="CQ500" s="83">
        <f t="shared" si="55"/>
        <v>0</v>
      </c>
      <c r="CR500" s="84"/>
      <c r="CS500" s="13"/>
      <c r="CT500" s="85"/>
      <c r="CU500" s="86"/>
      <c r="CV500" s="11"/>
      <c r="CW500" s="86"/>
      <c r="CX500" s="84"/>
      <c r="CY500" s="86"/>
    </row>
    <row r="501" spans="1:103" ht="25.5" x14ac:dyDescent="0.2">
      <c r="A501" s="43">
        <v>39939</v>
      </c>
      <c r="B501" s="44" t="s">
        <v>1127</v>
      </c>
      <c r="C501" s="44" t="s">
        <v>666</v>
      </c>
      <c r="D501" s="45" t="s">
        <v>1118</v>
      </c>
      <c r="E501" s="11"/>
      <c r="F501" s="12"/>
      <c r="G501" s="12"/>
      <c r="H501" s="12">
        <f>37*5</f>
        <v>185</v>
      </c>
      <c r="I501" s="12">
        <v>37</v>
      </c>
      <c r="J501" s="12"/>
      <c r="K501" s="12">
        <v>37</v>
      </c>
      <c r="L501" s="12"/>
      <c r="M501" s="12"/>
      <c r="N501" s="12"/>
      <c r="O501" s="12"/>
      <c r="P501" s="12"/>
      <c r="Q501" s="12"/>
      <c r="R501" s="12"/>
      <c r="S501" s="12"/>
      <c r="T501" s="13"/>
      <c r="U501" s="46"/>
      <c r="V501" s="47"/>
      <c r="W501" s="48">
        <f t="shared" si="50"/>
        <v>0</v>
      </c>
      <c r="X501" s="48">
        <f t="shared" si="51"/>
        <v>0</v>
      </c>
      <c r="Y501" s="48">
        <f t="shared" si="52"/>
        <v>0</v>
      </c>
      <c r="Z501" s="48">
        <f t="shared" si="53"/>
        <v>0</v>
      </c>
      <c r="AA501" s="48"/>
      <c r="AB501" s="48"/>
      <c r="AC501" s="49">
        <f t="shared" si="54"/>
        <v>0</v>
      </c>
      <c r="AD501" s="50">
        <v>0</v>
      </c>
      <c r="AE501" s="47">
        <v>39940</v>
      </c>
      <c r="AF501" s="51" t="s">
        <v>516</v>
      </c>
      <c r="AG501" s="52" t="s">
        <v>517</v>
      </c>
      <c r="AH501" s="53" t="s">
        <v>667</v>
      </c>
      <c r="AI501" s="79"/>
      <c r="AJ501" s="80"/>
      <c r="AK501" s="81"/>
      <c r="AL501" s="80"/>
      <c r="AM501" s="80"/>
      <c r="AN501" s="80"/>
      <c r="AO501" s="80"/>
      <c r="AP501" s="80"/>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0"/>
      <c r="CC501" s="80"/>
      <c r="CD501" s="80"/>
      <c r="CE501" s="80"/>
      <c r="CF501" s="80"/>
      <c r="CG501" s="80"/>
      <c r="CH501" s="80"/>
      <c r="CI501" s="80"/>
      <c r="CJ501" s="80"/>
      <c r="CK501" s="82"/>
      <c r="CL501" s="12"/>
      <c r="CM501" s="82"/>
      <c r="CN501" s="12"/>
      <c r="CO501" s="82"/>
      <c r="CP501" s="12"/>
      <c r="CQ501" s="83">
        <f t="shared" si="55"/>
        <v>0</v>
      </c>
      <c r="CR501" s="84"/>
      <c r="CS501" s="13"/>
      <c r="CT501" s="85"/>
      <c r="CU501" s="86"/>
      <c r="CV501" s="11"/>
      <c r="CW501" s="86"/>
      <c r="CX501" s="84"/>
      <c r="CY501" s="86"/>
    </row>
    <row r="502" spans="1:103" ht="51" x14ac:dyDescent="0.2">
      <c r="A502" s="43">
        <v>39939</v>
      </c>
      <c r="B502" s="44" t="s">
        <v>600</v>
      </c>
      <c r="C502" s="44" t="s">
        <v>614</v>
      </c>
      <c r="D502" s="45" t="s">
        <v>1118</v>
      </c>
      <c r="E502" s="11"/>
      <c r="F502" s="12"/>
      <c r="G502" s="12"/>
      <c r="H502" s="12"/>
      <c r="I502" s="12"/>
      <c r="J502" s="12"/>
      <c r="K502" s="12"/>
      <c r="L502" s="12">
        <v>1</v>
      </c>
      <c r="M502" s="12">
        <v>1</v>
      </c>
      <c r="N502" s="12"/>
      <c r="O502" s="12"/>
      <c r="P502" s="12"/>
      <c r="Q502" s="12"/>
      <c r="R502" s="12"/>
      <c r="S502" s="12"/>
      <c r="T502" s="13"/>
      <c r="U502" s="46"/>
      <c r="V502" s="47"/>
      <c r="W502" s="48">
        <f t="shared" si="50"/>
        <v>0</v>
      </c>
      <c r="X502" s="48">
        <f t="shared" si="51"/>
        <v>0</v>
      </c>
      <c r="Y502" s="48">
        <f t="shared" si="52"/>
        <v>0</v>
      </c>
      <c r="Z502" s="48">
        <f t="shared" si="53"/>
        <v>0</v>
      </c>
      <c r="AA502" s="48"/>
      <c r="AB502" s="48"/>
      <c r="AC502" s="49">
        <f t="shared" si="54"/>
        <v>0</v>
      </c>
      <c r="AD502" s="50">
        <v>0</v>
      </c>
      <c r="AE502" s="47">
        <v>39939</v>
      </c>
      <c r="AF502" s="51" t="s">
        <v>516</v>
      </c>
      <c r="AG502" s="52" t="s">
        <v>517</v>
      </c>
      <c r="AH502" s="53" t="s">
        <v>1146</v>
      </c>
      <c r="AI502" s="79"/>
      <c r="AJ502" s="80"/>
      <c r="AK502" s="81"/>
      <c r="AL502" s="80"/>
      <c r="AM502" s="80"/>
      <c r="AN502" s="80"/>
      <c r="AO502" s="80"/>
      <c r="AP502" s="80"/>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80"/>
      <c r="CJ502" s="80"/>
      <c r="CK502" s="82"/>
      <c r="CL502" s="12"/>
      <c r="CM502" s="82"/>
      <c r="CN502" s="12"/>
      <c r="CO502" s="82"/>
      <c r="CP502" s="12"/>
      <c r="CQ502" s="83">
        <f t="shared" si="55"/>
        <v>0</v>
      </c>
      <c r="CR502" s="84"/>
      <c r="CS502" s="13"/>
      <c r="CT502" s="85"/>
      <c r="CU502" s="86"/>
      <c r="CV502" s="11"/>
      <c r="CW502" s="86"/>
      <c r="CX502" s="84"/>
      <c r="CY502" s="86"/>
    </row>
    <row r="503" spans="1:103" ht="25.5" x14ac:dyDescent="0.2">
      <c r="A503" s="43">
        <v>39939</v>
      </c>
      <c r="B503" s="44" t="s">
        <v>1136</v>
      </c>
      <c r="C503" s="44" t="s">
        <v>307</v>
      </c>
      <c r="D503" s="45" t="s">
        <v>1092</v>
      </c>
      <c r="E503" s="11"/>
      <c r="F503" s="12"/>
      <c r="G503" s="12"/>
      <c r="H503" s="12">
        <v>276</v>
      </c>
      <c r="I503" s="12">
        <v>63</v>
      </c>
      <c r="J503" s="12">
        <v>9</v>
      </c>
      <c r="K503" s="12">
        <v>29</v>
      </c>
      <c r="L503" s="12"/>
      <c r="M503" s="12"/>
      <c r="N503" s="12"/>
      <c r="O503" s="12"/>
      <c r="P503" s="12"/>
      <c r="Q503" s="12"/>
      <c r="R503" s="12"/>
      <c r="S503" s="12"/>
      <c r="T503" s="13"/>
      <c r="U503" s="46"/>
      <c r="V503" s="47"/>
      <c r="W503" s="48">
        <f t="shared" si="50"/>
        <v>0</v>
      </c>
      <c r="X503" s="48">
        <f t="shared" si="51"/>
        <v>0</v>
      </c>
      <c r="Y503" s="48">
        <f t="shared" si="52"/>
        <v>0</v>
      </c>
      <c r="Z503" s="48">
        <f t="shared" si="53"/>
        <v>0</v>
      </c>
      <c r="AA503" s="48"/>
      <c r="AB503" s="48"/>
      <c r="AC503" s="49">
        <f t="shared" si="54"/>
        <v>0</v>
      </c>
      <c r="AD503" s="50">
        <v>0</v>
      </c>
      <c r="AE503" s="47">
        <v>39940</v>
      </c>
      <c r="AF503" s="51" t="s">
        <v>516</v>
      </c>
      <c r="AG503" s="52" t="s">
        <v>517</v>
      </c>
      <c r="AH503" s="53" t="s">
        <v>387</v>
      </c>
      <c r="AI503" s="79"/>
      <c r="AJ503" s="80"/>
      <c r="AK503" s="81"/>
      <c r="AL503" s="80"/>
      <c r="AM503" s="80"/>
      <c r="AN503" s="80"/>
      <c r="AO503" s="80"/>
      <c r="AP503" s="80"/>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0"/>
      <c r="CC503" s="80"/>
      <c r="CD503" s="80"/>
      <c r="CE503" s="80"/>
      <c r="CF503" s="80"/>
      <c r="CG503" s="80"/>
      <c r="CH503" s="80"/>
      <c r="CI503" s="80"/>
      <c r="CJ503" s="80"/>
      <c r="CK503" s="82"/>
      <c r="CL503" s="12"/>
      <c r="CM503" s="82"/>
      <c r="CN503" s="12"/>
      <c r="CO503" s="82"/>
      <c r="CP503" s="12"/>
      <c r="CQ503" s="83">
        <f t="shared" si="55"/>
        <v>0</v>
      </c>
      <c r="CR503" s="84"/>
      <c r="CS503" s="13"/>
      <c r="CT503" s="85"/>
      <c r="CU503" s="86"/>
      <c r="CV503" s="11"/>
      <c r="CW503" s="86"/>
      <c r="CX503" s="84"/>
      <c r="CY503" s="86"/>
    </row>
    <row r="504" spans="1:103" ht="25.5" x14ac:dyDescent="0.2">
      <c r="A504" s="43">
        <v>39940</v>
      </c>
      <c r="B504" s="44" t="s">
        <v>625</v>
      </c>
      <c r="C504" s="44" t="s">
        <v>1051</v>
      </c>
      <c r="D504" s="45" t="s">
        <v>1092</v>
      </c>
      <c r="E504" s="11"/>
      <c r="F504" s="12"/>
      <c r="G504" s="12"/>
      <c r="H504" s="12">
        <v>96</v>
      </c>
      <c r="I504" s="12">
        <v>16</v>
      </c>
      <c r="J504" s="12"/>
      <c r="K504" s="12">
        <v>16</v>
      </c>
      <c r="L504" s="12"/>
      <c r="M504" s="12"/>
      <c r="N504" s="12"/>
      <c r="O504" s="12"/>
      <c r="P504" s="12"/>
      <c r="Q504" s="12"/>
      <c r="R504" s="12"/>
      <c r="S504" s="12"/>
      <c r="T504" s="13"/>
      <c r="U504" s="46"/>
      <c r="V504" s="47"/>
      <c r="W504" s="48">
        <f t="shared" si="50"/>
        <v>0</v>
      </c>
      <c r="X504" s="48">
        <f t="shared" si="51"/>
        <v>0</v>
      </c>
      <c r="Y504" s="48">
        <f t="shared" si="52"/>
        <v>0</v>
      </c>
      <c r="Z504" s="48">
        <f t="shared" si="53"/>
        <v>0</v>
      </c>
      <c r="AA504" s="48"/>
      <c r="AB504" s="48"/>
      <c r="AC504" s="49">
        <f t="shared" si="54"/>
        <v>0</v>
      </c>
      <c r="AD504" s="50">
        <v>0</v>
      </c>
      <c r="AE504" s="47">
        <v>39941</v>
      </c>
      <c r="AF504" s="51" t="s">
        <v>516</v>
      </c>
      <c r="AG504" s="52" t="s">
        <v>517</v>
      </c>
      <c r="AH504" s="53" t="s">
        <v>1265</v>
      </c>
      <c r="AI504" s="79"/>
      <c r="AJ504" s="80"/>
      <c r="AK504" s="81"/>
      <c r="AL504" s="80"/>
      <c r="AM504" s="80"/>
      <c r="AN504" s="80"/>
      <c r="AO504" s="80"/>
      <c r="AP504" s="80"/>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0"/>
      <c r="CC504" s="80"/>
      <c r="CD504" s="80"/>
      <c r="CE504" s="80"/>
      <c r="CF504" s="80"/>
      <c r="CG504" s="80"/>
      <c r="CH504" s="80"/>
      <c r="CI504" s="80"/>
      <c r="CJ504" s="80"/>
      <c r="CK504" s="82"/>
      <c r="CL504" s="12"/>
      <c r="CM504" s="82"/>
      <c r="CN504" s="12"/>
      <c r="CO504" s="82"/>
      <c r="CP504" s="12"/>
      <c r="CQ504" s="83">
        <f t="shared" si="55"/>
        <v>0</v>
      </c>
      <c r="CR504" s="84"/>
      <c r="CS504" s="13"/>
      <c r="CT504" s="85"/>
      <c r="CU504" s="86"/>
      <c r="CV504" s="11"/>
      <c r="CW504" s="86"/>
      <c r="CX504" s="84"/>
      <c r="CY504" s="86"/>
    </row>
    <row r="505" spans="1:103" ht="25.5" x14ac:dyDescent="0.2">
      <c r="A505" s="43">
        <v>39940</v>
      </c>
      <c r="B505" s="44" t="s">
        <v>625</v>
      </c>
      <c r="C505" s="44" t="s">
        <v>960</v>
      </c>
      <c r="D505" s="45" t="s">
        <v>1118</v>
      </c>
      <c r="E505" s="11"/>
      <c r="F505" s="12"/>
      <c r="G505" s="12"/>
      <c r="H505" s="12">
        <f>32*5</f>
        <v>160</v>
      </c>
      <c r="I505" s="12">
        <v>32</v>
      </c>
      <c r="J505" s="12"/>
      <c r="K505" s="12">
        <v>32</v>
      </c>
      <c r="L505" s="12"/>
      <c r="M505" s="12"/>
      <c r="N505" s="12"/>
      <c r="O505" s="12"/>
      <c r="P505" s="12"/>
      <c r="Q505" s="12"/>
      <c r="R505" s="12"/>
      <c r="S505" s="12"/>
      <c r="T505" s="13"/>
      <c r="U505" s="46"/>
      <c r="V505" s="47"/>
      <c r="W505" s="48">
        <f t="shared" si="50"/>
        <v>0</v>
      </c>
      <c r="X505" s="48">
        <f t="shared" si="51"/>
        <v>0</v>
      </c>
      <c r="Y505" s="48">
        <f t="shared" si="52"/>
        <v>0</v>
      </c>
      <c r="Z505" s="48">
        <f t="shared" si="53"/>
        <v>0</v>
      </c>
      <c r="AA505" s="48"/>
      <c r="AB505" s="48"/>
      <c r="AC505" s="49">
        <f t="shared" si="54"/>
        <v>0</v>
      </c>
      <c r="AD505" s="50">
        <v>0</v>
      </c>
      <c r="AE505" s="47">
        <v>39941</v>
      </c>
      <c r="AF505" s="51" t="s">
        <v>516</v>
      </c>
      <c r="AG505" s="52" t="s">
        <v>517</v>
      </c>
      <c r="AH505" s="53" t="s">
        <v>961</v>
      </c>
      <c r="AI505" s="79"/>
      <c r="AJ505" s="80"/>
      <c r="AK505" s="81"/>
      <c r="AL505" s="80"/>
      <c r="AM505" s="80"/>
      <c r="AN505" s="80"/>
      <c r="AO505" s="80"/>
      <c r="AP505" s="80"/>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0"/>
      <c r="CC505" s="80"/>
      <c r="CD505" s="80"/>
      <c r="CE505" s="80"/>
      <c r="CF505" s="80"/>
      <c r="CG505" s="80"/>
      <c r="CH505" s="80"/>
      <c r="CI505" s="80"/>
      <c r="CJ505" s="80"/>
      <c r="CK505" s="82"/>
      <c r="CL505" s="12"/>
      <c r="CM505" s="82"/>
      <c r="CN505" s="12"/>
      <c r="CO505" s="82"/>
      <c r="CP505" s="12"/>
      <c r="CQ505" s="83">
        <f t="shared" si="55"/>
        <v>0</v>
      </c>
      <c r="CR505" s="84"/>
      <c r="CS505" s="13"/>
      <c r="CT505" s="85"/>
      <c r="CU505" s="86"/>
      <c r="CV505" s="11"/>
      <c r="CW505" s="86"/>
      <c r="CX505" s="84"/>
      <c r="CY505" s="86"/>
    </row>
    <row r="506" spans="1:103" ht="25.5" x14ac:dyDescent="0.2">
      <c r="A506" s="43">
        <v>39940</v>
      </c>
      <c r="B506" s="44" t="s">
        <v>300</v>
      </c>
      <c r="C506" s="44" t="s">
        <v>1454</v>
      </c>
      <c r="D506" s="45" t="s">
        <v>1118</v>
      </c>
      <c r="E506" s="11"/>
      <c r="F506" s="12"/>
      <c r="G506" s="12"/>
      <c r="H506" s="12"/>
      <c r="I506" s="12"/>
      <c r="J506" s="12"/>
      <c r="K506" s="12"/>
      <c r="L506" s="12"/>
      <c r="M506" s="12"/>
      <c r="N506" s="12"/>
      <c r="O506" s="12"/>
      <c r="P506" s="12"/>
      <c r="Q506" s="12"/>
      <c r="R506" s="12"/>
      <c r="S506" s="12"/>
      <c r="T506" s="13"/>
      <c r="U506" s="46"/>
      <c r="V506" s="47">
        <v>39953</v>
      </c>
      <c r="W506" s="48">
        <f t="shared" si="50"/>
        <v>0</v>
      </c>
      <c r="X506" s="48">
        <f t="shared" si="51"/>
        <v>0</v>
      </c>
      <c r="Y506" s="48">
        <f t="shared" si="52"/>
        <v>0</v>
      </c>
      <c r="Z506" s="48">
        <f t="shared" si="53"/>
        <v>90016000</v>
      </c>
      <c r="AA506" s="48"/>
      <c r="AB506" s="48"/>
      <c r="AC506" s="49">
        <f t="shared" si="54"/>
        <v>90016000</v>
      </c>
      <c r="AD506" s="50">
        <v>0</v>
      </c>
      <c r="AE506" s="47">
        <v>39940</v>
      </c>
      <c r="AF506" s="51" t="s">
        <v>1016</v>
      </c>
      <c r="AG506" s="52" t="s">
        <v>565</v>
      </c>
      <c r="AH506" s="53" t="s">
        <v>886</v>
      </c>
      <c r="AI506" s="79"/>
      <c r="AJ506" s="80"/>
      <c r="AK506" s="81"/>
      <c r="AL506" s="80"/>
      <c r="AM506" s="80"/>
      <c r="AN506" s="80"/>
      <c r="AO506" s="80"/>
      <c r="AP506" s="80"/>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0"/>
      <c r="CC506" s="80"/>
      <c r="CD506" s="80"/>
      <c r="CE506" s="80"/>
      <c r="CF506" s="80"/>
      <c r="CG506" s="80"/>
      <c r="CH506" s="80"/>
      <c r="CI506" s="80"/>
      <c r="CJ506" s="80"/>
      <c r="CK506" s="82"/>
      <c r="CL506" s="12"/>
      <c r="CM506" s="82"/>
      <c r="CN506" s="12"/>
      <c r="CO506" s="82"/>
      <c r="CP506" s="12"/>
      <c r="CQ506" s="83">
        <f t="shared" si="55"/>
        <v>0</v>
      </c>
      <c r="CR506" s="84">
        <v>100000</v>
      </c>
      <c r="CS506" s="13">
        <f>100000*900.16</f>
        <v>90016000</v>
      </c>
      <c r="CT506" s="85"/>
      <c r="CU506" s="86"/>
      <c r="CV506" s="11"/>
      <c r="CW506" s="86"/>
      <c r="CX506" s="84"/>
      <c r="CY506" s="86"/>
    </row>
    <row r="507" spans="1:103" ht="25.5" x14ac:dyDescent="0.2">
      <c r="A507" s="43">
        <v>39940</v>
      </c>
      <c r="B507" s="44" t="s">
        <v>413</v>
      </c>
      <c r="C507" s="44" t="s">
        <v>414</v>
      </c>
      <c r="D507" s="45" t="s">
        <v>1092</v>
      </c>
      <c r="E507" s="11"/>
      <c r="F507" s="12"/>
      <c r="G507" s="12">
        <v>1</v>
      </c>
      <c r="H507" s="12"/>
      <c r="I507" s="12"/>
      <c r="J507" s="12"/>
      <c r="K507" s="12"/>
      <c r="L507" s="12">
        <v>1</v>
      </c>
      <c r="M507" s="12"/>
      <c r="N507" s="12"/>
      <c r="O507" s="12"/>
      <c r="P507" s="12"/>
      <c r="Q507" s="12"/>
      <c r="R507" s="12"/>
      <c r="S507" s="12"/>
      <c r="T507" s="13"/>
      <c r="U507" s="46"/>
      <c r="V507" s="47"/>
      <c r="W507" s="48">
        <f t="shared" si="50"/>
        <v>0</v>
      </c>
      <c r="X507" s="48">
        <f t="shared" si="51"/>
        <v>0</v>
      </c>
      <c r="Y507" s="48">
        <f t="shared" si="52"/>
        <v>0</v>
      </c>
      <c r="Z507" s="48">
        <f t="shared" si="53"/>
        <v>0</v>
      </c>
      <c r="AA507" s="48"/>
      <c r="AB507" s="48"/>
      <c r="AC507" s="49">
        <f t="shared" si="54"/>
        <v>0</v>
      </c>
      <c r="AD507" s="50">
        <v>0</v>
      </c>
      <c r="AE507" s="47">
        <v>39941</v>
      </c>
      <c r="AF507" s="51" t="s">
        <v>516</v>
      </c>
      <c r="AG507" s="52" t="s">
        <v>517</v>
      </c>
      <c r="AH507" s="53" t="s">
        <v>1266</v>
      </c>
      <c r="AI507" s="79"/>
      <c r="AJ507" s="80"/>
      <c r="AK507" s="81"/>
      <c r="AL507" s="80"/>
      <c r="AM507" s="80"/>
      <c r="AN507" s="80"/>
      <c r="AO507" s="80"/>
      <c r="AP507" s="80"/>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0"/>
      <c r="CC507" s="80"/>
      <c r="CD507" s="80"/>
      <c r="CE507" s="80"/>
      <c r="CF507" s="80"/>
      <c r="CG507" s="80"/>
      <c r="CH507" s="80"/>
      <c r="CI507" s="80"/>
      <c r="CJ507" s="80"/>
      <c r="CK507" s="82"/>
      <c r="CL507" s="12"/>
      <c r="CM507" s="82"/>
      <c r="CN507" s="12"/>
      <c r="CO507" s="82"/>
      <c r="CP507" s="12"/>
      <c r="CQ507" s="83">
        <f t="shared" si="55"/>
        <v>0</v>
      </c>
      <c r="CR507" s="84"/>
      <c r="CS507" s="13"/>
      <c r="CT507" s="85"/>
      <c r="CU507" s="86"/>
      <c r="CV507" s="11"/>
      <c r="CW507" s="86"/>
      <c r="CX507" s="84"/>
      <c r="CY507" s="86"/>
    </row>
    <row r="508" spans="1:103" ht="25.5" x14ac:dyDescent="0.2">
      <c r="A508" s="43">
        <v>39940</v>
      </c>
      <c r="B508" s="44" t="s">
        <v>413</v>
      </c>
      <c r="C508" s="44" t="s">
        <v>1469</v>
      </c>
      <c r="D508" s="45" t="s">
        <v>1092</v>
      </c>
      <c r="E508" s="11"/>
      <c r="F508" s="12"/>
      <c r="G508" s="12"/>
      <c r="H508" s="12">
        <v>6</v>
      </c>
      <c r="I508" s="12">
        <v>1</v>
      </c>
      <c r="J508" s="12">
        <v>1</v>
      </c>
      <c r="K508" s="12"/>
      <c r="L508" s="12"/>
      <c r="M508" s="12"/>
      <c r="N508" s="12"/>
      <c r="O508" s="12"/>
      <c r="P508" s="12"/>
      <c r="Q508" s="12"/>
      <c r="R508" s="12"/>
      <c r="S508" s="12"/>
      <c r="T508" s="13"/>
      <c r="U508" s="46"/>
      <c r="V508" s="47"/>
      <c r="W508" s="48">
        <f t="shared" si="50"/>
        <v>0</v>
      </c>
      <c r="X508" s="48">
        <f t="shared" si="51"/>
        <v>0</v>
      </c>
      <c r="Y508" s="48">
        <f t="shared" si="52"/>
        <v>0</v>
      </c>
      <c r="Z508" s="48">
        <f t="shared" si="53"/>
        <v>0</v>
      </c>
      <c r="AA508" s="48"/>
      <c r="AB508" s="48"/>
      <c r="AC508" s="49">
        <f t="shared" si="54"/>
        <v>0</v>
      </c>
      <c r="AD508" s="50">
        <v>0</v>
      </c>
      <c r="AE508" s="47">
        <v>39941</v>
      </c>
      <c r="AF508" s="51" t="s">
        <v>516</v>
      </c>
      <c r="AG508" s="52" t="s">
        <v>517</v>
      </c>
      <c r="AH508" s="53" t="s">
        <v>1267</v>
      </c>
      <c r="AI508" s="79"/>
      <c r="AJ508" s="80"/>
      <c r="AK508" s="81"/>
      <c r="AL508" s="80"/>
      <c r="AM508" s="80"/>
      <c r="AN508" s="80"/>
      <c r="AO508" s="80"/>
      <c r="AP508" s="80"/>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0"/>
      <c r="CC508" s="80"/>
      <c r="CD508" s="80"/>
      <c r="CE508" s="80"/>
      <c r="CF508" s="80"/>
      <c r="CG508" s="80"/>
      <c r="CH508" s="80"/>
      <c r="CI508" s="80"/>
      <c r="CJ508" s="80"/>
      <c r="CK508" s="82"/>
      <c r="CL508" s="12"/>
      <c r="CM508" s="82"/>
      <c r="CN508" s="12"/>
      <c r="CO508" s="82"/>
      <c r="CP508" s="12"/>
      <c r="CQ508" s="83">
        <f t="shared" si="55"/>
        <v>0</v>
      </c>
      <c r="CR508" s="84"/>
      <c r="CS508" s="13"/>
      <c r="CT508" s="85"/>
      <c r="CU508" s="86"/>
      <c r="CV508" s="11"/>
      <c r="CW508" s="86"/>
      <c r="CX508" s="84"/>
      <c r="CY508" s="86"/>
    </row>
    <row r="509" spans="1:103" ht="25.5" x14ac:dyDescent="0.2">
      <c r="A509" s="43">
        <v>39940</v>
      </c>
      <c r="B509" s="44" t="s">
        <v>413</v>
      </c>
      <c r="C509" s="44" t="s">
        <v>1268</v>
      </c>
      <c r="D509" s="45" t="s">
        <v>1118</v>
      </c>
      <c r="E509" s="11"/>
      <c r="F509" s="12"/>
      <c r="G509" s="12"/>
      <c r="H509" s="12">
        <v>11</v>
      </c>
      <c r="I509" s="12">
        <v>2</v>
      </c>
      <c r="J509" s="12"/>
      <c r="K509" s="12">
        <v>2</v>
      </c>
      <c r="L509" s="12"/>
      <c r="M509" s="12"/>
      <c r="N509" s="12"/>
      <c r="O509" s="12"/>
      <c r="P509" s="12"/>
      <c r="Q509" s="12"/>
      <c r="R509" s="12"/>
      <c r="S509" s="12"/>
      <c r="T509" s="13"/>
      <c r="U509" s="46"/>
      <c r="V509" s="47"/>
      <c r="W509" s="48">
        <f t="shared" si="50"/>
        <v>0</v>
      </c>
      <c r="X509" s="48">
        <f t="shared" si="51"/>
        <v>0</v>
      </c>
      <c r="Y509" s="48">
        <f t="shared" si="52"/>
        <v>0</v>
      </c>
      <c r="Z509" s="48">
        <f t="shared" si="53"/>
        <v>0</v>
      </c>
      <c r="AA509" s="48"/>
      <c r="AB509" s="48"/>
      <c r="AC509" s="49">
        <f t="shared" si="54"/>
        <v>0</v>
      </c>
      <c r="AD509" s="50">
        <v>0</v>
      </c>
      <c r="AE509" s="47">
        <v>39941</v>
      </c>
      <c r="AF509" s="51" t="s">
        <v>516</v>
      </c>
      <c r="AG509" s="52" t="s">
        <v>517</v>
      </c>
      <c r="AH509" s="53" t="s">
        <v>958</v>
      </c>
      <c r="AI509" s="79"/>
      <c r="AJ509" s="80"/>
      <c r="AK509" s="81"/>
      <c r="AL509" s="80"/>
      <c r="AM509" s="80"/>
      <c r="AN509" s="80"/>
      <c r="AO509" s="80"/>
      <c r="AP509" s="80"/>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0"/>
      <c r="CB509" s="80"/>
      <c r="CC509" s="80"/>
      <c r="CD509" s="80"/>
      <c r="CE509" s="80"/>
      <c r="CF509" s="80"/>
      <c r="CG509" s="80"/>
      <c r="CH509" s="80"/>
      <c r="CI509" s="80"/>
      <c r="CJ509" s="80"/>
      <c r="CK509" s="82"/>
      <c r="CL509" s="12"/>
      <c r="CM509" s="82"/>
      <c r="CN509" s="12"/>
      <c r="CO509" s="82"/>
      <c r="CP509" s="12"/>
      <c r="CQ509" s="83">
        <f t="shared" si="55"/>
        <v>0</v>
      </c>
      <c r="CR509" s="84"/>
      <c r="CS509" s="13"/>
      <c r="CT509" s="85"/>
      <c r="CU509" s="86"/>
      <c r="CV509" s="11"/>
      <c r="CW509" s="86"/>
      <c r="CX509" s="84"/>
      <c r="CY509" s="86"/>
    </row>
    <row r="510" spans="1:103" ht="25.5" x14ac:dyDescent="0.2">
      <c r="A510" s="43">
        <v>39940</v>
      </c>
      <c r="B510" s="44" t="s">
        <v>1350</v>
      </c>
      <c r="C510" s="44" t="s">
        <v>1263</v>
      </c>
      <c r="D510" s="45" t="s">
        <v>1117</v>
      </c>
      <c r="E510" s="11"/>
      <c r="F510" s="12"/>
      <c r="G510" s="12"/>
      <c r="H510" s="12">
        <v>2802</v>
      </c>
      <c r="I510" s="12">
        <v>869</v>
      </c>
      <c r="J510" s="12">
        <v>8</v>
      </c>
      <c r="K510" s="12">
        <v>841</v>
      </c>
      <c r="L510" s="12">
        <v>1</v>
      </c>
      <c r="M510" s="12"/>
      <c r="N510" s="12"/>
      <c r="O510" s="12"/>
      <c r="P510" s="12"/>
      <c r="Q510" s="12"/>
      <c r="R510" s="12"/>
      <c r="S510" s="12"/>
      <c r="T510" s="13"/>
      <c r="U510" s="46"/>
      <c r="V510" s="47">
        <v>39948</v>
      </c>
      <c r="W510" s="48">
        <f t="shared" si="50"/>
        <v>86750000</v>
      </c>
      <c r="X510" s="48">
        <f t="shared" si="51"/>
        <v>42500000</v>
      </c>
      <c r="Y510" s="48">
        <f t="shared" si="52"/>
        <v>68556000</v>
      </c>
      <c r="Z510" s="48">
        <f t="shared" si="53"/>
        <v>0</v>
      </c>
      <c r="AA510" s="48"/>
      <c r="AB510" s="48"/>
      <c r="AC510" s="49">
        <f t="shared" si="54"/>
        <v>197806000</v>
      </c>
      <c r="AD510" s="50">
        <v>0</v>
      </c>
      <c r="AE510" s="47">
        <v>39941</v>
      </c>
      <c r="AF510" s="51" t="s">
        <v>1016</v>
      </c>
      <c r="AG510" s="52" t="s">
        <v>565</v>
      </c>
      <c r="AH510" s="53" t="s">
        <v>959</v>
      </c>
      <c r="AI510" s="79"/>
      <c r="AJ510" s="80"/>
      <c r="AK510" s="81"/>
      <c r="AL510" s="80"/>
      <c r="AM510" s="80"/>
      <c r="AN510" s="80"/>
      <c r="AO510" s="80"/>
      <c r="AP510" s="80"/>
      <c r="AQ510" s="80"/>
      <c r="AR510" s="80"/>
      <c r="AS510" s="80"/>
      <c r="AT510" s="80"/>
      <c r="AU510" s="80"/>
      <c r="AV510" s="80"/>
      <c r="AW510" s="80">
        <v>500</v>
      </c>
      <c r="AX510" s="80">
        <f>500*56000</f>
        <v>28000000</v>
      </c>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0"/>
      <c r="CB510" s="80"/>
      <c r="CC510" s="80"/>
      <c r="CD510" s="80"/>
      <c r="CE510" s="80">
        <v>1000</v>
      </c>
      <c r="CF510" s="80">
        <f>1000*21500</f>
        <v>21500000</v>
      </c>
      <c r="CG510" s="80"/>
      <c r="CH510" s="80"/>
      <c r="CI510" s="80"/>
      <c r="CJ510" s="80"/>
      <c r="CK510" s="82">
        <v>500</v>
      </c>
      <c r="CL510" s="12">
        <f>500*38500</f>
        <v>19250000</v>
      </c>
      <c r="CM510" s="82">
        <v>500</v>
      </c>
      <c r="CN510" s="12">
        <f>500*36000</f>
        <v>18000000</v>
      </c>
      <c r="CO510" s="82"/>
      <c r="CP510" s="12"/>
      <c r="CQ510" s="83">
        <f t="shared" si="55"/>
        <v>86750000</v>
      </c>
      <c r="CR510" s="84"/>
      <c r="CS510" s="13"/>
      <c r="CT510" s="85">
        <v>500</v>
      </c>
      <c r="CU510" s="86">
        <f>500*85000</f>
        <v>42500000</v>
      </c>
      <c r="CV510" s="11"/>
      <c r="CW510" s="86"/>
      <c r="CX510" s="84">
        <v>3000</v>
      </c>
      <c r="CY510" s="86">
        <f>3000*22852</f>
        <v>68556000</v>
      </c>
    </row>
    <row r="511" spans="1:103" ht="51" x14ac:dyDescent="0.2">
      <c r="A511" s="43">
        <v>39941</v>
      </c>
      <c r="B511" s="44" t="s">
        <v>625</v>
      </c>
      <c r="C511" s="44" t="s">
        <v>1361</v>
      </c>
      <c r="D511" s="45" t="s">
        <v>1095</v>
      </c>
      <c r="E511" s="11"/>
      <c r="F511" s="12">
        <v>4</v>
      </c>
      <c r="G511" s="12"/>
      <c r="H511" s="12"/>
      <c r="I511" s="12"/>
      <c r="J511" s="12"/>
      <c r="K511" s="12"/>
      <c r="L511" s="12"/>
      <c r="M511" s="12"/>
      <c r="N511" s="12"/>
      <c r="O511" s="12"/>
      <c r="P511" s="12"/>
      <c r="Q511" s="12"/>
      <c r="R511" s="12"/>
      <c r="S511" s="12"/>
      <c r="T511" s="13"/>
      <c r="U511" s="46"/>
      <c r="V511" s="47"/>
      <c r="W511" s="48">
        <f t="shared" si="50"/>
        <v>0</v>
      </c>
      <c r="X511" s="48">
        <f t="shared" si="51"/>
        <v>0</v>
      </c>
      <c r="Y511" s="48">
        <f t="shared" si="52"/>
        <v>0</v>
      </c>
      <c r="Z511" s="48">
        <f t="shared" si="53"/>
        <v>0</v>
      </c>
      <c r="AA511" s="48"/>
      <c r="AB511" s="48"/>
      <c r="AC511" s="49">
        <f t="shared" si="54"/>
        <v>0</v>
      </c>
      <c r="AD511" s="50">
        <v>0</v>
      </c>
      <c r="AE511" s="47">
        <v>39944</v>
      </c>
      <c r="AF511" s="51" t="s">
        <v>516</v>
      </c>
      <c r="AG511" s="52" t="s">
        <v>517</v>
      </c>
      <c r="AH511" s="53" t="s">
        <v>1362</v>
      </c>
      <c r="AI511" s="79"/>
      <c r="AJ511" s="80"/>
      <c r="AK511" s="81"/>
      <c r="AL511" s="80"/>
      <c r="AM511" s="80"/>
      <c r="AN511" s="80"/>
      <c r="AO511" s="80"/>
      <c r="AP511" s="80"/>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0"/>
      <c r="CB511" s="80"/>
      <c r="CC511" s="80"/>
      <c r="CD511" s="80"/>
      <c r="CE511" s="80"/>
      <c r="CF511" s="80"/>
      <c r="CG511" s="80"/>
      <c r="CH511" s="80"/>
      <c r="CI511" s="80"/>
      <c r="CJ511" s="80"/>
      <c r="CK511" s="82"/>
      <c r="CL511" s="12"/>
      <c r="CM511" s="82"/>
      <c r="CN511" s="12"/>
      <c r="CO511" s="82"/>
      <c r="CP511" s="12"/>
      <c r="CQ511" s="83">
        <f t="shared" si="55"/>
        <v>0</v>
      </c>
      <c r="CR511" s="84"/>
      <c r="CS511" s="13"/>
      <c r="CT511" s="85"/>
      <c r="CU511" s="86"/>
      <c r="CV511" s="11"/>
      <c r="CW511" s="86"/>
      <c r="CX511" s="84"/>
      <c r="CY511" s="86"/>
    </row>
    <row r="512" spans="1:103" ht="76.5" x14ac:dyDescent="0.2">
      <c r="A512" s="43">
        <v>39941</v>
      </c>
      <c r="B512" s="44" t="s">
        <v>1224</v>
      </c>
      <c r="C512" s="44" t="s">
        <v>326</v>
      </c>
      <c r="D512" s="45" t="s">
        <v>1117</v>
      </c>
      <c r="E512" s="11"/>
      <c r="F512" s="12"/>
      <c r="G512" s="12"/>
      <c r="H512" s="12">
        <f>166*5</f>
        <v>830</v>
      </c>
      <c r="I512" s="12">
        <v>166</v>
      </c>
      <c r="J512" s="12"/>
      <c r="K512" s="12">
        <v>166</v>
      </c>
      <c r="L512" s="12"/>
      <c r="M512" s="12"/>
      <c r="N512" s="12"/>
      <c r="O512" s="12"/>
      <c r="P512" s="12"/>
      <c r="Q512" s="12"/>
      <c r="R512" s="12"/>
      <c r="S512" s="12"/>
      <c r="T512" s="13"/>
      <c r="U512" s="46"/>
      <c r="V512" s="47"/>
      <c r="W512" s="48">
        <f t="shared" si="50"/>
        <v>0</v>
      </c>
      <c r="X512" s="48">
        <f t="shared" si="51"/>
        <v>0</v>
      </c>
      <c r="Y512" s="48">
        <f t="shared" si="52"/>
        <v>0</v>
      </c>
      <c r="Z512" s="48">
        <f t="shared" si="53"/>
        <v>0</v>
      </c>
      <c r="AA512" s="48"/>
      <c r="AB512" s="48"/>
      <c r="AC512" s="49">
        <f t="shared" si="54"/>
        <v>0</v>
      </c>
      <c r="AD512" s="50">
        <v>0</v>
      </c>
      <c r="AE512" s="47">
        <v>39944</v>
      </c>
      <c r="AF512" s="51" t="s">
        <v>1016</v>
      </c>
      <c r="AG512" s="52" t="s">
        <v>565</v>
      </c>
      <c r="AH512" s="53" t="s">
        <v>13</v>
      </c>
      <c r="AI512" s="79"/>
      <c r="AJ512" s="80"/>
      <c r="AK512" s="81"/>
      <c r="AL512" s="80"/>
      <c r="AM512" s="80"/>
      <c r="AN512" s="80"/>
      <c r="AO512" s="80"/>
      <c r="AP512" s="80"/>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0"/>
      <c r="CB512" s="80"/>
      <c r="CC512" s="80"/>
      <c r="CD512" s="80"/>
      <c r="CE512" s="80"/>
      <c r="CF512" s="80"/>
      <c r="CG512" s="80"/>
      <c r="CH512" s="80"/>
      <c r="CI512" s="80"/>
      <c r="CJ512" s="80"/>
      <c r="CK512" s="82"/>
      <c r="CL512" s="12"/>
      <c r="CM512" s="82"/>
      <c r="CN512" s="12"/>
      <c r="CO512" s="82"/>
      <c r="CP512" s="12"/>
      <c r="CQ512" s="83">
        <f t="shared" si="55"/>
        <v>0</v>
      </c>
      <c r="CR512" s="84"/>
      <c r="CS512" s="13"/>
      <c r="CT512" s="85"/>
      <c r="CU512" s="86"/>
      <c r="CV512" s="11"/>
      <c r="CW512" s="86"/>
      <c r="CX512" s="84"/>
      <c r="CY512" s="86"/>
    </row>
    <row r="513" spans="1:104" ht="63.75" x14ac:dyDescent="0.2">
      <c r="A513" s="43">
        <v>39941</v>
      </c>
      <c r="B513" s="44" t="s">
        <v>1114</v>
      </c>
      <c r="C513" s="44" t="s">
        <v>646</v>
      </c>
      <c r="D513" s="45" t="s">
        <v>1117</v>
      </c>
      <c r="E513" s="11"/>
      <c r="F513" s="12"/>
      <c r="G513" s="12"/>
      <c r="H513" s="12">
        <v>296</v>
      </c>
      <c r="I513" s="12">
        <v>72</v>
      </c>
      <c r="J513" s="12">
        <v>1</v>
      </c>
      <c r="K513" s="12">
        <v>71</v>
      </c>
      <c r="L513" s="12"/>
      <c r="M513" s="12"/>
      <c r="N513" s="12"/>
      <c r="O513" s="12"/>
      <c r="P513" s="12"/>
      <c r="Q513" s="12"/>
      <c r="R513" s="12"/>
      <c r="S513" s="12"/>
      <c r="T513" s="13">
        <v>75</v>
      </c>
      <c r="U513" s="46" t="s">
        <v>149</v>
      </c>
      <c r="V513" s="47"/>
      <c r="W513" s="48">
        <f t="shared" si="50"/>
        <v>0</v>
      </c>
      <c r="X513" s="48">
        <f t="shared" si="51"/>
        <v>0</v>
      </c>
      <c r="Y513" s="48">
        <f t="shared" si="52"/>
        <v>0</v>
      </c>
      <c r="Z513" s="48">
        <f t="shared" si="53"/>
        <v>0</v>
      </c>
      <c r="AA513" s="48"/>
      <c r="AB513" s="48"/>
      <c r="AC513" s="49">
        <f t="shared" si="54"/>
        <v>0</v>
      </c>
      <c r="AD513" s="50">
        <v>0</v>
      </c>
      <c r="AE513" s="47">
        <v>39944</v>
      </c>
      <c r="AF513" s="51" t="s">
        <v>516</v>
      </c>
      <c r="AG513" s="52" t="s">
        <v>517</v>
      </c>
      <c r="AH513" s="53" t="s">
        <v>1363</v>
      </c>
      <c r="AI513" s="79"/>
      <c r="AJ513" s="80"/>
      <c r="AK513" s="81"/>
      <c r="AL513" s="80"/>
      <c r="AM513" s="80"/>
      <c r="AN513" s="80"/>
      <c r="AO513" s="80"/>
      <c r="AP513" s="80"/>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0"/>
      <c r="CB513" s="80"/>
      <c r="CC513" s="80"/>
      <c r="CD513" s="80"/>
      <c r="CE513" s="80"/>
      <c r="CF513" s="80"/>
      <c r="CG513" s="80"/>
      <c r="CH513" s="80"/>
      <c r="CI513" s="80"/>
      <c r="CJ513" s="80"/>
      <c r="CK513" s="82"/>
      <c r="CL513" s="12"/>
      <c r="CM513" s="82"/>
      <c r="CN513" s="12"/>
      <c r="CO513" s="82"/>
      <c r="CP513" s="12"/>
      <c r="CQ513" s="83">
        <f t="shared" si="55"/>
        <v>0</v>
      </c>
      <c r="CR513" s="84"/>
      <c r="CS513" s="13"/>
      <c r="CT513" s="85"/>
      <c r="CU513" s="86"/>
      <c r="CV513" s="11"/>
      <c r="CW513" s="86"/>
      <c r="CX513" s="84"/>
      <c r="CY513" s="86"/>
    </row>
    <row r="514" spans="1:104" ht="25.5" x14ac:dyDescent="0.2">
      <c r="A514" s="43">
        <v>39941</v>
      </c>
      <c r="B514" s="44" t="s">
        <v>1114</v>
      </c>
      <c r="C514" s="44" t="s">
        <v>560</v>
      </c>
      <c r="D514" s="45" t="s">
        <v>1117</v>
      </c>
      <c r="E514" s="11"/>
      <c r="F514" s="12"/>
      <c r="G514" s="12"/>
      <c r="H514" s="12">
        <v>83</v>
      </c>
      <c r="I514" s="12">
        <v>14</v>
      </c>
      <c r="J514" s="12"/>
      <c r="K514" s="12">
        <v>14</v>
      </c>
      <c r="L514" s="12"/>
      <c r="M514" s="12"/>
      <c r="N514" s="12"/>
      <c r="O514" s="12"/>
      <c r="P514" s="12"/>
      <c r="Q514" s="12"/>
      <c r="R514" s="12"/>
      <c r="S514" s="12"/>
      <c r="T514" s="13"/>
      <c r="U514" s="46"/>
      <c r="V514" s="47"/>
      <c r="W514" s="48">
        <f t="shared" si="50"/>
        <v>0</v>
      </c>
      <c r="X514" s="48">
        <f t="shared" si="51"/>
        <v>0</v>
      </c>
      <c r="Y514" s="48">
        <f t="shared" si="52"/>
        <v>0</v>
      </c>
      <c r="Z514" s="48">
        <f t="shared" si="53"/>
        <v>0</v>
      </c>
      <c r="AA514" s="48"/>
      <c r="AB514" s="48"/>
      <c r="AC514" s="49">
        <f t="shared" si="54"/>
        <v>0</v>
      </c>
      <c r="AD514" s="50">
        <v>0</v>
      </c>
      <c r="AE514" s="47">
        <v>39944</v>
      </c>
      <c r="AF514" s="51" t="s">
        <v>516</v>
      </c>
      <c r="AG514" s="52" t="s">
        <v>517</v>
      </c>
      <c r="AH514" s="53" t="s">
        <v>1364</v>
      </c>
      <c r="AI514" s="79"/>
      <c r="AJ514" s="80"/>
      <c r="AK514" s="81"/>
      <c r="AL514" s="80"/>
      <c r="AM514" s="80"/>
      <c r="AN514" s="80"/>
      <c r="AO514" s="80"/>
      <c r="AP514" s="80"/>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0"/>
      <c r="CB514" s="80"/>
      <c r="CC514" s="80"/>
      <c r="CD514" s="80"/>
      <c r="CE514" s="80"/>
      <c r="CF514" s="80"/>
      <c r="CG514" s="80"/>
      <c r="CH514" s="80"/>
      <c r="CI514" s="80"/>
      <c r="CJ514" s="80"/>
      <c r="CK514" s="82"/>
      <c r="CL514" s="12"/>
      <c r="CM514" s="82"/>
      <c r="CN514" s="12"/>
      <c r="CO514" s="82"/>
      <c r="CP514" s="12"/>
      <c r="CQ514" s="83">
        <f t="shared" si="55"/>
        <v>0</v>
      </c>
      <c r="CR514" s="84"/>
      <c r="CS514" s="13"/>
      <c r="CT514" s="85"/>
      <c r="CU514" s="86"/>
      <c r="CV514" s="11"/>
      <c r="CW514" s="86"/>
      <c r="CX514" s="84"/>
      <c r="CY514" s="86"/>
    </row>
    <row r="515" spans="1:104" ht="51" x14ac:dyDescent="0.2">
      <c r="A515" s="43">
        <v>39942</v>
      </c>
      <c r="B515" s="44" t="s">
        <v>688</v>
      </c>
      <c r="C515" s="44" t="s">
        <v>815</v>
      </c>
      <c r="D515" s="45" t="s">
        <v>1117</v>
      </c>
      <c r="E515" s="11"/>
      <c r="F515" s="12"/>
      <c r="G515" s="12"/>
      <c r="H515" s="12">
        <v>2250</v>
      </c>
      <c r="I515" s="12">
        <v>450</v>
      </c>
      <c r="J515" s="12">
        <v>9</v>
      </c>
      <c r="K515" s="12">
        <v>400</v>
      </c>
      <c r="L515" s="12"/>
      <c r="M515" s="12"/>
      <c r="N515" s="12"/>
      <c r="O515" s="12"/>
      <c r="P515" s="12"/>
      <c r="Q515" s="12"/>
      <c r="R515" s="12">
        <v>6</v>
      </c>
      <c r="S515" s="12"/>
      <c r="T515" s="13"/>
      <c r="U515" s="46"/>
      <c r="V515" s="47">
        <v>39968</v>
      </c>
      <c r="W515" s="48">
        <f t="shared" ref="W515:W546" si="56">CQ515</f>
        <v>0</v>
      </c>
      <c r="X515" s="48">
        <f t="shared" ref="X515:X546" si="57">CU515</f>
        <v>34000000</v>
      </c>
      <c r="Y515" s="48">
        <f t="shared" ref="Y515:Y546" si="58">CW515+CY515</f>
        <v>112539757</v>
      </c>
      <c r="Z515" s="48">
        <f t="shared" ref="Z515:Z546" si="59">CS515</f>
        <v>0</v>
      </c>
      <c r="AA515" s="48"/>
      <c r="AB515" s="48"/>
      <c r="AC515" s="49">
        <f t="shared" ref="AC515:AC546" si="60">W515+X515+Y515+Z515+AA515+AB515</f>
        <v>146539757</v>
      </c>
      <c r="AD515" s="50">
        <v>0</v>
      </c>
      <c r="AE515" s="47">
        <v>39944</v>
      </c>
      <c r="AF515" s="51" t="s">
        <v>1016</v>
      </c>
      <c r="AG515" s="52" t="s">
        <v>565</v>
      </c>
      <c r="AH515" s="53" t="s">
        <v>816</v>
      </c>
      <c r="AI515" s="79"/>
      <c r="AJ515" s="80"/>
      <c r="AK515" s="81"/>
      <c r="AL515" s="80"/>
      <c r="AM515" s="80"/>
      <c r="AN515" s="80"/>
      <c r="AO515" s="80"/>
      <c r="AP515" s="80"/>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0"/>
      <c r="CB515" s="80"/>
      <c r="CC515" s="80"/>
      <c r="CD515" s="80"/>
      <c r="CE515" s="80"/>
      <c r="CF515" s="80"/>
      <c r="CG515" s="80"/>
      <c r="CH515" s="80"/>
      <c r="CI515" s="80"/>
      <c r="CJ515" s="80"/>
      <c r="CK515" s="82"/>
      <c r="CL515" s="12"/>
      <c r="CM515" s="82"/>
      <c r="CN515" s="12"/>
      <c r="CO515" s="82"/>
      <c r="CP515" s="12"/>
      <c r="CQ515" s="83">
        <f t="shared" ref="CQ515:CQ546" si="61">AJ515+AL515+AN515+AP515+AR515+AT515+AV515+AX515+AZ515+BB515+BD515+BF515+BH515+BJ515+BL515+BN515+BP515+BR515+BT515+BV515+BX515+BZ515+CB515+CD515+CF515+CH515+CJ515+CL515+CN515+CP515</f>
        <v>0</v>
      </c>
      <c r="CR515" s="84"/>
      <c r="CS515" s="13"/>
      <c r="CT515" s="85">
        <v>400</v>
      </c>
      <c r="CU515" s="86">
        <f>400*85000</f>
        <v>34000000</v>
      </c>
      <c r="CV515" s="11"/>
      <c r="CW515" s="86"/>
      <c r="CX515" s="84">
        <f>2400+1600+400+500</f>
        <v>4900</v>
      </c>
      <c r="CY515" s="86">
        <f>87139757+400*21000+500*34000</f>
        <v>112539757</v>
      </c>
      <c r="CZ515" s="9" t="s">
        <v>345</v>
      </c>
    </row>
    <row r="516" spans="1:104" ht="25.5" x14ac:dyDescent="0.2">
      <c r="A516" s="43">
        <v>39942</v>
      </c>
      <c r="B516" s="44" t="s">
        <v>1127</v>
      </c>
      <c r="C516" s="44" t="s">
        <v>817</v>
      </c>
      <c r="D516" s="45" t="s">
        <v>1095</v>
      </c>
      <c r="E516" s="11">
        <v>2</v>
      </c>
      <c r="F516" s="12">
        <v>1</v>
      </c>
      <c r="G516" s="12"/>
      <c r="H516" s="12"/>
      <c r="I516" s="12"/>
      <c r="J516" s="12"/>
      <c r="K516" s="12"/>
      <c r="L516" s="12"/>
      <c r="M516" s="12"/>
      <c r="N516" s="12"/>
      <c r="O516" s="12"/>
      <c r="P516" s="12"/>
      <c r="Q516" s="12"/>
      <c r="R516" s="12"/>
      <c r="S516" s="12"/>
      <c r="T516" s="13"/>
      <c r="U516" s="46"/>
      <c r="V516" s="47"/>
      <c r="W516" s="48">
        <f t="shared" si="56"/>
        <v>0</v>
      </c>
      <c r="X516" s="48">
        <f t="shared" si="57"/>
        <v>0</v>
      </c>
      <c r="Y516" s="48">
        <f t="shared" si="58"/>
        <v>0</v>
      </c>
      <c r="Z516" s="48">
        <f t="shared" si="59"/>
        <v>0</v>
      </c>
      <c r="AA516" s="48"/>
      <c r="AB516" s="48"/>
      <c r="AC516" s="49">
        <f t="shared" si="60"/>
        <v>0</v>
      </c>
      <c r="AD516" s="50">
        <v>0</v>
      </c>
      <c r="AE516" s="47">
        <v>39944</v>
      </c>
      <c r="AF516" s="51" t="s">
        <v>516</v>
      </c>
      <c r="AG516" s="52" t="s">
        <v>517</v>
      </c>
      <c r="AH516" s="53" t="s">
        <v>1360</v>
      </c>
      <c r="AI516" s="79"/>
      <c r="AJ516" s="80"/>
      <c r="AK516" s="81"/>
      <c r="AL516" s="80"/>
      <c r="AM516" s="80"/>
      <c r="AN516" s="80"/>
      <c r="AO516" s="80"/>
      <c r="AP516" s="80"/>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0"/>
      <c r="CB516" s="80"/>
      <c r="CC516" s="80"/>
      <c r="CD516" s="80"/>
      <c r="CE516" s="80"/>
      <c r="CF516" s="80"/>
      <c r="CG516" s="80"/>
      <c r="CH516" s="80"/>
      <c r="CI516" s="80"/>
      <c r="CJ516" s="80"/>
      <c r="CK516" s="82"/>
      <c r="CL516" s="12"/>
      <c r="CM516" s="82"/>
      <c r="CN516" s="12"/>
      <c r="CO516" s="82"/>
      <c r="CP516" s="12"/>
      <c r="CQ516" s="83">
        <f t="shared" si="61"/>
        <v>0</v>
      </c>
      <c r="CR516" s="84"/>
      <c r="CS516" s="13"/>
      <c r="CT516" s="85"/>
      <c r="CU516" s="86"/>
      <c r="CV516" s="11"/>
      <c r="CW516" s="86"/>
      <c r="CX516" s="84"/>
      <c r="CY516" s="86"/>
    </row>
    <row r="517" spans="1:104" ht="38.25" x14ac:dyDescent="0.2">
      <c r="A517" s="43">
        <v>39942</v>
      </c>
      <c r="B517" s="44" t="s">
        <v>1127</v>
      </c>
      <c r="C517" s="44" t="s">
        <v>95</v>
      </c>
      <c r="D517" s="45" t="s">
        <v>1116</v>
      </c>
      <c r="E517" s="11">
        <v>2</v>
      </c>
      <c r="F517" s="12">
        <v>2</v>
      </c>
      <c r="G517" s="12"/>
      <c r="H517" s="12">
        <f>15*5</f>
        <v>75</v>
      </c>
      <c r="I517" s="12">
        <v>15</v>
      </c>
      <c r="J517" s="12">
        <v>15</v>
      </c>
      <c r="K517" s="12"/>
      <c r="L517" s="12"/>
      <c r="M517" s="12"/>
      <c r="N517" s="12"/>
      <c r="O517" s="12"/>
      <c r="P517" s="12"/>
      <c r="Q517" s="12"/>
      <c r="R517" s="12"/>
      <c r="S517" s="12"/>
      <c r="T517" s="13"/>
      <c r="U517" s="46"/>
      <c r="V517" s="47"/>
      <c r="W517" s="48">
        <f t="shared" si="56"/>
        <v>0</v>
      </c>
      <c r="X517" s="48">
        <f t="shared" si="57"/>
        <v>0</v>
      </c>
      <c r="Y517" s="48">
        <f t="shared" si="58"/>
        <v>0</v>
      </c>
      <c r="Z517" s="48">
        <f t="shared" si="59"/>
        <v>0</v>
      </c>
      <c r="AA517" s="48"/>
      <c r="AB517" s="48"/>
      <c r="AC517" s="49">
        <f t="shared" si="60"/>
        <v>0</v>
      </c>
      <c r="AD517" s="50">
        <v>0</v>
      </c>
      <c r="AE517" s="47">
        <v>39944</v>
      </c>
      <c r="AF517" s="51" t="s">
        <v>516</v>
      </c>
      <c r="AG517" s="52" t="s">
        <v>517</v>
      </c>
      <c r="AH517" s="53" t="s">
        <v>762</v>
      </c>
      <c r="AI517" s="79"/>
      <c r="AJ517" s="80"/>
      <c r="AK517" s="81"/>
      <c r="AL517" s="80"/>
      <c r="AM517" s="80"/>
      <c r="AN517" s="80"/>
      <c r="AO517" s="80"/>
      <c r="AP517" s="80"/>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0"/>
      <c r="CB517" s="80"/>
      <c r="CC517" s="80"/>
      <c r="CD517" s="80"/>
      <c r="CE517" s="80"/>
      <c r="CF517" s="80"/>
      <c r="CG517" s="80"/>
      <c r="CH517" s="80"/>
      <c r="CI517" s="80"/>
      <c r="CJ517" s="80"/>
      <c r="CK517" s="82"/>
      <c r="CL517" s="12"/>
      <c r="CM517" s="82"/>
      <c r="CN517" s="12"/>
      <c r="CO517" s="82"/>
      <c r="CP517" s="12"/>
      <c r="CQ517" s="83">
        <f t="shared" si="61"/>
        <v>0</v>
      </c>
      <c r="CR517" s="84"/>
      <c r="CS517" s="13"/>
      <c r="CT517" s="85"/>
      <c r="CU517" s="86"/>
      <c r="CV517" s="11"/>
      <c r="CW517" s="86"/>
      <c r="CX517" s="84"/>
      <c r="CY517" s="86"/>
    </row>
    <row r="518" spans="1:104" ht="25.5" x14ac:dyDescent="0.2">
      <c r="A518" s="43">
        <v>39943</v>
      </c>
      <c r="B518" s="44" t="s">
        <v>625</v>
      </c>
      <c r="C518" s="44" t="s">
        <v>811</v>
      </c>
      <c r="D518" s="45" t="s">
        <v>1117</v>
      </c>
      <c r="E518" s="11"/>
      <c r="F518" s="12"/>
      <c r="G518" s="12"/>
      <c r="H518" s="12">
        <v>50</v>
      </c>
      <c r="I518" s="12">
        <v>10</v>
      </c>
      <c r="J518" s="12"/>
      <c r="K518" s="12">
        <v>10</v>
      </c>
      <c r="L518" s="12"/>
      <c r="M518" s="12"/>
      <c r="N518" s="12"/>
      <c r="O518" s="12"/>
      <c r="P518" s="12"/>
      <c r="Q518" s="12"/>
      <c r="R518" s="12"/>
      <c r="S518" s="12"/>
      <c r="T518" s="13"/>
      <c r="U518" s="46"/>
      <c r="V518" s="47"/>
      <c r="W518" s="48">
        <f t="shared" si="56"/>
        <v>0</v>
      </c>
      <c r="X518" s="48">
        <f t="shared" si="57"/>
        <v>0</v>
      </c>
      <c r="Y518" s="48">
        <f t="shared" si="58"/>
        <v>0</v>
      </c>
      <c r="Z518" s="48">
        <f t="shared" si="59"/>
        <v>0</v>
      </c>
      <c r="AA518" s="48"/>
      <c r="AB518" s="48"/>
      <c r="AC518" s="49">
        <f t="shared" si="60"/>
        <v>0</v>
      </c>
      <c r="AD518" s="50">
        <v>0</v>
      </c>
      <c r="AE518" s="47">
        <v>39946</v>
      </c>
      <c r="AF518" s="51" t="s">
        <v>516</v>
      </c>
      <c r="AG518" s="52" t="s">
        <v>517</v>
      </c>
      <c r="AH518" s="53" t="s">
        <v>812</v>
      </c>
      <c r="AI518" s="79"/>
      <c r="AJ518" s="80"/>
      <c r="AK518" s="81"/>
      <c r="AL518" s="80"/>
      <c r="AM518" s="80"/>
      <c r="AN518" s="80"/>
      <c r="AO518" s="80"/>
      <c r="AP518" s="80"/>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0"/>
      <c r="CB518" s="80"/>
      <c r="CC518" s="80"/>
      <c r="CD518" s="80"/>
      <c r="CE518" s="80"/>
      <c r="CF518" s="80"/>
      <c r="CG518" s="80"/>
      <c r="CH518" s="80"/>
      <c r="CI518" s="80"/>
      <c r="CJ518" s="80"/>
      <c r="CK518" s="82"/>
      <c r="CL518" s="12"/>
      <c r="CM518" s="82"/>
      <c r="CN518" s="12"/>
      <c r="CO518" s="82"/>
      <c r="CP518" s="12"/>
      <c r="CQ518" s="83">
        <f t="shared" si="61"/>
        <v>0</v>
      </c>
      <c r="CR518" s="84"/>
      <c r="CS518" s="13"/>
      <c r="CT518" s="85"/>
      <c r="CU518" s="86"/>
      <c r="CV518" s="11"/>
      <c r="CW518" s="86"/>
      <c r="CX518" s="84"/>
      <c r="CY518" s="86"/>
    </row>
    <row r="519" spans="1:104" ht="38.25" x14ac:dyDescent="0.2">
      <c r="A519" s="43">
        <v>39943</v>
      </c>
      <c r="B519" s="44" t="s">
        <v>1067</v>
      </c>
      <c r="C519" s="44" t="s">
        <v>1346</v>
      </c>
      <c r="D519" s="45" t="s">
        <v>1116</v>
      </c>
      <c r="E519" s="11">
        <v>1</v>
      </c>
      <c r="F519" s="12"/>
      <c r="G519" s="12"/>
      <c r="H519" s="12">
        <v>5</v>
      </c>
      <c r="I519" s="12">
        <v>1</v>
      </c>
      <c r="J519" s="12">
        <v>1</v>
      </c>
      <c r="K519" s="12"/>
      <c r="L519" s="12"/>
      <c r="M519" s="12"/>
      <c r="N519" s="12"/>
      <c r="O519" s="12"/>
      <c r="P519" s="12"/>
      <c r="Q519" s="12"/>
      <c r="R519" s="12"/>
      <c r="S519" s="12"/>
      <c r="T519" s="13"/>
      <c r="U519" s="46"/>
      <c r="V519" s="47"/>
      <c r="W519" s="48">
        <f t="shared" si="56"/>
        <v>0</v>
      </c>
      <c r="X519" s="48">
        <f t="shared" si="57"/>
        <v>0</v>
      </c>
      <c r="Y519" s="48">
        <f t="shared" si="58"/>
        <v>0</v>
      </c>
      <c r="Z519" s="48">
        <f t="shared" si="59"/>
        <v>0</v>
      </c>
      <c r="AA519" s="48"/>
      <c r="AB519" s="48"/>
      <c r="AC519" s="49">
        <f t="shared" si="60"/>
        <v>0</v>
      </c>
      <c r="AD519" s="50">
        <v>0</v>
      </c>
      <c r="AE519" s="47">
        <v>39944</v>
      </c>
      <c r="AF519" s="51" t="s">
        <v>516</v>
      </c>
      <c r="AG519" s="52" t="s">
        <v>517</v>
      </c>
      <c r="AH519" s="53"/>
      <c r="AI519" s="79"/>
      <c r="AJ519" s="80"/>
      <c r="AK519" s="81"/>
      <c r="AL519" s="80"/>
      <c r="AM519" s="80"/>
      <c r="AN519" s="80"/>
      <c r="AO519" s="80"/>
      <c r="AP519" s="80"/>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0"/>
      <c r="CB519" s="80"/>
      <c r="CC519" s="80"/>
      <c r="CD519" s="80"/>
      <c r="CE519" s="80"/>
      <c r="CF519" s="80"/>
      <c r="CG519" s="80"/>
      <c r="CH519" s="80"/>
      <c r="CI519" s="80"/>
      <c r="CJ519" s="80"/>
      <c r="CK519" s="82"/>
      <c r="CL519" s="12"/>
      <c r="CM519" s="82"/>
      <c r="CN519" s="12"/>
      <c r="CO519" s="82"/>
      <c r="CP519" s="12"/>
      <c r="CQ519" s="83">
        <f t="shared" si="61"/>
        <v>0</v>
      </c>
      <c r="CR519" s="84"/>
      <c r="CS519" s="13"/>
      <c r="CT519" s="85"/>
      <c r="CU519" s="86"/>
      <c r="CV519" s="11"/>
      <c r="CW519" s="86"/>
      <c r="CX519" s="84"/>
      <c r="CY519" s="86"/>
    </row>
    <row r="520" spans="1:104" ht="51" x14ac:dyDescent="0.2">
      <c r="A520" s="43">
        <v>39943</v>
      </c>
      <c r="B520" s="44" t="s">
        <v>1226</v>
      </c>
      <c r="C520" s="44" t="s">
        <v>1394</v>
      </c>
      <c r="D520" s="45" t="s">
        <v>1117</v>
      </c>
      <c r="E520" s="11"/>
      <c r="F520" s="12"/>
      <c r="G520" s="12"/>
      <c r="H520" s="12">
        <v>2000</v>
      </c>
      <c r="I520" s="12">
        <v>400</v>
      </c>
      <c r="J520" s="12"/>
      <c r="K520" s="12">
        <v>400</v>
      </c>
      <c r="L520" s="12"/>
      <c r="M520" s="12"/>
      <c r="N520" s="12"/>
      <c r="O520" s="12"/>
      <c r="P520" s="12"/>
      <c r="Q520" s="12"/>
      <c r="R520" s="12">
        <v>2</v>
      </c>
      <c r="S520" s="12">
        <v>2</v>
      </c>
      <c r="T520" s="13"/>
      <c r="U520" s="46"/>
      <c r="V520" s="47">
        <v>40049</v>
      </c>
      <c r="W520" s="48">
        <f t="shared" si="56"/>
        <v>0</v>
      </c>
      <c r="X520" s="48">
        <f t="shared" si="57"/>
        <v>0</v>
      </c>
      <c r="Y520" s="48">
        <f t="shared" si="58"/>
        <v>15750000</v>
      </c>
      <c r="Z520" s="48">
        <f t="shared" si="59"/>
        <v>0</v>
      </c>
      <c r="AA520" s="48"/>
      <c r="AB520" s="48"/>
      <c r="AC520" s="49">
        <f t="shared" si="60"/>
        <v>15750000</v>
      </c>
      <c r="AD520" s="50">
        <v>0</v>
      </c>
      <c r="AE520" s="47">
        <v>39944</v>
      </c>
      <c r="AF520" s="51" t="s">
        <v>1016</v>
      </c>
      <c r="AG520" s="52" t="s">
        <v>565</v>
      </c>
      <c r="AH520" s="53" t="s">
        <v>163</v>
      </c>
      <c r="AI520" s="79"/>
      <c r="AJ520" s="80"/>
      <c r="AK520" s="81"/>
      <c r="AL520" s="80"/>
      <c r="AM520" s="80"/>
      <c r="AN520" s="80"/>
      <c r="AO520" s="80"/>
      <c r="AP520" s="80"/>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0"/>
      <c r="CB520" s="80"/>
      <c r="CC520" s="80"/>
      <c r="CD520" s="80"/>
      <c r="CE520" s="80"/>
      <c r="CF520" s="80"/>
      <c r="CG520" s="80"/>
      <c r="CH520" s="80"/>
      <c r="CI520" s="80"/>
      <c r="CJ520" s="80"/>
      <c r="CK520" s="82"/>
      <c r="CL520" s="12"/>
      <c r="CM520" s="82"/>
      <c r="CN520" s="12"/>
      <c r="CO520" s="82"/>
      <c r="CP520" s="12"/>
      <c r="CQ520" s="83">
        <f t="shared" si="61"/>
        <v>0</v>
      </c>
      <c r="CR520" s="84"/>
      <c r="CS520" s="13"/>
      <c r="CT520" s="85"/>
      <c r="CU520" s="86"/>
      <c r="CV520" s="11"/>
      <c r="CW520" s="86"/>
      <c r="CX520" s="84">
        <f>300+150+150</f>
        <v>600</v>
      </c>
      <c r="CY520" s="86">
        <f>300*21000+150*43000+150*20000</f>
        <v>15750000</v>
      </c>
    </row>
    <row r="521" spans="1:104" ht="25.5" x14ac:dyDescent="0.2">
      <c r="A521" s="43">
        <v>39944</v>
      </c>
      <c r="B521" s="44" t="s">
        <v>625</v>
      </c>
      <c r="C521" s="44" t="s">
        <v>536</v>
      </c>
      <c r="D521" s="45" t="s">
        <v>1117</v>
      </c>
      <c r="E521" s="11"/>
      <c r="F521" s="12"/>
      <c r="G521" s="12"/>
      <c r="H521" s="12">
        <v>500</v>
      </c>
      <c r="I521" s="12">
        <v>100</v>
      </c>
      <c r="J521" s="12"/>
      <c r="K521" s="12">
        <v>100</v>
      </c>
      <c r="L521" s="12"/>
      <c r="M521" s="12"/>
      <c r="N521" s="12"/>
      <c r="O521" s="12"/>
      <c r="P521" s="12"/>
      <c r="Q521" s="12"/>
      <c r="R521" s="12"/>
      <c r="S521" s="12"/>
      <c r="T521" s="13"/>
      <c r="U521" s="46"/>
      <c r="V521" s="47"/>
      <c r="W521" s="48">
        <f t="shared" si="56"/>
        <v>0</v>
      </c>
      <c r="X521" s="48">
        <f t="shared" si="57"/>
        <v>0</v>
      </c>
      <c r="Y521" s="48">
        <f t="shared" si="58"/>
        <v>0</v>
      </c>
      <c r="Z521" s="48">
        <f t="shared" si="59"/>
        <v>0</v>
      </c>
      <c r="AA521" s="48"/>
      <c r="AB521" s="48"/>
      <c r="AC521" s="49">
        <f t="shared" si="60"/>
        <v>0</v>
      </c>
      <c r="AD521" s="50">
        <v>0</v>
      </c>
      <c r="AE521" s="47">
        <v>39944</v>
      </c>
      <c r="AF521" s="51" t="s">
        <v>516</v>
      </c>
      <c r="AG521" s="52" t="s">
        <v>517</v>
      </c>
      <c r="AH521" s="53" t="s">
        <v>1365</v>
      </c>
      <c r="AI521" s="79"/>
      <c r="AJ521" s="80"/>
      <c r="AK521" s="81"/>
      <c r="AL521" s="80"/>
      <c r="AM521" s="80"/>
      <c r="AN521" s="80"/>
      <c r="AO521" s="80"/>
      <c r="AP521" s="80"/>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0"/>
      <c r="CB521" s="80"/>
      <c r="CC521" s="80"/>
      <c r="CD521" s="80"/>
      <c r="CE521" s="80"/>
      <c r="CF521" s="80"/>
      <c r="CG521" s="80"/>
      <c r="CH521" s="80"/>
      <c r="CI521" s="80"/>
      <c r="CJ521" s="80"/>
      <c r="CK521" s="82"/>
      <c r="CL521" s="12"/>
      <c r="CM521" s="82"/>
      <c r="CN521" s="12"/>
      <c r="CO521" s="82"/>
      <c r="CP521" s="12"/>
      <c r="CQ521" s="83">
        <f t="shared" si="61"/>
        <v>0</v>
      </c>
      <c r="CR521" s="84"/>
      <c r="CS521" s="13"/>
      <c r="CT521" s="85"/>
      <c r="CU521" s="86"/>
      <c r="CV521" s="11"/>
      <c r="CW521" s="86"/>
      <c r="CX521" s="84"/>
      <c r="CY521" s="86"/>
    </row>
    <row r="522" spans="1:104" ht="25.5" x14ac:dyDescent="0.2">
      <c r="A522" s="43">
        <v>39944</v>
      </c>
      <c r="B522" s="44" t="s">
        <v>625</v>
      </c>
      <c r="C522" s="44" t="s">
        <v>1366</v>
      </c>
      <c r="D522" s="45" t="s">
        <v>1092</v>
      </c>
      <c r="E522" s="11"/>
      <c r="F522" s="12"/>
      <c r="G522" s="12"/>
      <c r="H522" s="12">
        <v>50</v>
      </c>
      <c r="I522" s="12">
        <v>10</v>
      </c>
      <c r="J522" s="12"/>
      <c r="K522" s="12">
        <v>10</v>
      </c>
      <c r="L522" s="12"/>
      <c r="M522" s="12"/>
      <c r="N522" s="12"/>
      <c r="O522" s="12"/>
      <c r="P522" s="12"/>
      <c r="Q522" s="12"/>
      <c r="R522" s="12"/>
      <c r="S522" s="12"/>
      <c r="T522" s="13"/>
      <c r="U522" s="46"/>
      <c r="V522" s="47"/>
      <c r="W522" s="48">
        <f t="shared" si="56"/>
        <v>0</v>
      </c>
      <c r="X522" s="48">
        <f t="shared" si="57"/>
        <v>0</v>
      </c>
      <c r="Y522" s="48">
        <f t="shared" si="58"/>
        <v>0</v>
      </c>
      <c r="Z522" s="48">
        <f t="shared" si="59"/>
        <v>0</v>
      </c>
      <c r="AA522" s="48"/>
      <c r="AB522" s="48"/>
      <c r="AC522" s="49">
        <f t="shared" si="60"/>
        <v>0</v>
      </c>
      <c r="AD522" s="50">
        <v>0</v>
      </c>
      <c r="AE522" s="47">
        <v>39944</v>
      </c>
      <c r="AF522" s="51" t="s">
        <v>516</v>
      </c>
      <c r="AG522" s="52" t="s">
        <v>517</v>
      </c>
      <c r="AH522" s="53"/>
      <c r="AI522" s="79"/>
      <c r="AJ522" s="80"/>
      <c r="AK522" s="81"/>
      <c r="AL522" s="80"/>
      <c r="AM522" s="80"/>
      <c r="AN522" s="80"/>
      <c r="AO522" s="80"/>
      <c r="AP522" s="80"/>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0"/>
      <c r="CB522" s="80"/>
      <c r="CC522" s="80"/>
      <c r="CD522" s="80"/>
      <c r="CE522" s="80"/>
      <c r="CF522" s="80"/>
      <c r="CG522" s="80"/>
      <c r="CH522" s="80"/>
      <c r="CI522" s="80"/>
      <c r="CJ522" s="80"/>
      <c r="CK522" s="82"/>
      <c r="CL522" s="12"/>
      <c r="CM522" s="82"/>
      <c r="CN522" s="12"/>
      <c r="CO522" s="82"/>
      <c r="CP522" s="12"/>
      <c r="CQ522" s="83">
        <f t="shared" si="61"/>
        <v>0</v>
      </c>
      <c r="CR522" s="84"/>
      <c r="CS522" s="13"/>
      <c r="CT522" s="85"/>
      <c r="CU522" s="86"/>
      <c r="CV522" s="11"/>
      <c r="CW522" s="86"/>
      <c r="CX522" s="84"/>
      <c r="CY522" s="86"/>
    </row>
    <row r="523" spans="1:104" ht="25.5" x14ac:dyDescent="0.2">
      <c r="A523" s="43">
        <v>39944</v>
      </c>
      <c r="B523" s="44" t="s">
        <v>625</v>
      </c>
      <c r="C523" s="44" t="s">
        <v>813</v>
      </c>
      <c r="D523" s="45" t="s">
        <v>1117</v>
      </c>
      <c r="E523" s="11"/>
      <c r="F523" s="12"/>
      <c r="G523" s="12"/>
      <c r="H523" s="12">
        <v>250</v>
      </c>
      <c r="I523" s="12">
        <v>50</v>
      </c>
      <c r="J523" s="12"/>
      <c r="K523" s="12">
        <v>50</v>
      </c>
      <c r="L523" s="12"/>
      <c r="M523" s="12"/>
      <c r="N523" s="12"/>
      <c r="O523" s="12"/>
      <c r="P523" s="12"/>
      <c r="Q523" s="12"/>
      <c r="R523" s="12"/>
      <c r="S523" s="12"/>
      <c r="T523" s="13"/>
      <c r="U523" s="46"/>
      <c r="V523" s="47"/>
      <c r="W523" s="48">
        <f t="shared" si="56"/>
        <v>0</v>
      </c>
      <c r="X523" s="48">
        <f t="shared" si="57"/>
        <v>0</v>
      </c>
      <c r="Y523" s="48">
        <f t="shared" si="58"/>
        <v>0</v>
      </c>
      <c r="Z523" s="48">
        <f t="shared" si="59"/>
        <v>0</v>
      </c>
      <c r="AA523" s="48"/>
      <c r="AB523" s="48"/>
      <c r="AC523" s="49">
        <f t="shared" si="60"/>
        <v>0</v>
      </c>
      <c r="AD523" s="50">
        <v>0</v>
      </c>
      <c r="AE523" s="47">
        <v>39946</v>
      </c>
      <c r="AF523" s="51" t="s">
        <v>516</v>
      </c>
      <c r="AG523" s="52" t="s">
        <v>517</v>
      </c>
      <c r="AH523" s="53" t="s">
        <v>1281</v>
      </c>
      <c r="AI523" s="79"/>
      <c r="AJ523" s="80"/>
      <c r="AK523" s="81"/>
      <c r="AL523" s="80"/>
      <c r="AM523" s="80"/>
      <c r="AN523" s="80"/>
      <c r="AO523" s="80"/>
      <c r="AP523" s="80"/>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0"/>
      <c r="CB523" s="80"/>
      <c r="CC523" s="80"/>
      <c r="CD523" s="80"/>
      <c r="CE523" s="80"/>
      <c r="CF523" s="80"/>
      <c r="CG523" s="80"/>
      <c r="CH523" s="80"/>
      <c r="CI523" s="80"/>
      <c r="CJ523" s="80"/>
      <c r="CK523" s="82"/>
      <c r="CL523" s="12"/>
      <c r="CM523" s="82"/>
      <c r="CN523" s="12"/>
      <c r="CO523" s="82"/>
      <c r="CP523" s="12"/>
      <c r="CQ523" s="83">
        <f t="shared" si="61"/>
        <v>0</v>
      </c>
      <c r="CR523" s="84"/>
      <c r="CS523" s="13"/>
      <c r="CT523" s="85"/>
      <c r="CU523" s="86"/>
      <c r="CV523" s="11"/>
      <c r="CW523" s="86"/>
      <c r="CX523" s="84"/>
      <c r="CY523" s="86"/>
    </row>
    <row r="524" spans="1:104" ht="76.5" x14ac:dyDescent="0.2">
      <c r="A524" s="43">
        <v>39944</v>
      </c>
      <c r="B524" s="44" t="s">
        <v>1127</v>
      </c>
      <c r="C524" s="44" t="s">
        <v>604</v>
      </c>
      <c r="D524" s="45" t="s">
        <v>133</v>
      </c>
      <c r="E524" s="11">
        <v>1</v>
      </c>
      <c r="F524" s="12"/>
      <c r="G524" s="12"/>
      <c r="H524" s="12"/>
      <c r="I524" s="12"/>
      <c r="J524" s="12"/>
      <c r="K524" s="12"/>
      <c r="L524" s="12"/>
      <c r="M524" s="12"/>
      <c r="N524" s="12"/>
      <c r="O524" s="12"/>
      <c r="P524" s="12"/>
      <c r="Q524" s="12"/>
      <c r="R524" s="12"/>
      <c r="S524" s="12"/>
      <c r="T524" s="13"/>
      <c r="U524" s="46"/>
      <c r="V524" s="47"/>
      <c r="W524" s="48">
        <f t="shared" si="56"/>
        <v>0</v>
      </c>
      <c r="X524" s="48">
        <f t="shared" si="57"/>
        <v>0</v>
      </c>
      <c r="Y524" s="48">
        <f t="shared" si="58"/>
        <v>0</v>
      </c>
      <c r="Z524" s="48">
        <f t="shared" si="59"/>
        <v>0</v>
      </c>
      <c r="AA524" s="48"/>
      <c r="AB524" s="48"/>
      <c r="AC524" s="49">
        <f t="shared" si="60"/>
        <v>0</v>
      </c>
      <c r="AD524" s="50">
        <v>0</v>
      </c>
      <c r="AE524" s="47">
        <v>39945</v>
      </c>
      <c r="AF524" s="51" t="s">
        <v>516</v>
      </c>
      <c r="AG524" s="52" t="s">
        <v>517</v>
      </c>
      <c r="AH524" s="53" t="s">
        <v>749</v>
      </c>
      <c r="AI524" s="79"/>
      <c r="AJ524" s="80"/>
      <c r="AK524" s="81"/>
      <c r="AL524" s="80"/>
      <c r="AM524" s="80"/>
      <c r="AN524" s="80"/>
      <c r="AO524" s="80"/>
      <c r="AP524" s="80"/>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80"/>
      <c r="CJ524" s="80"/>
      <c r="CK524" s="82"/>
      <c r="CL524" s="12"/>
      <c r="CM524" s="82"/>
      <c r="CN524" s="12"/>
      <c r="CO524" s="82"/>
      <c r="CP524" s="12"/>
      <c r="CQ524" s="83">
        <f t="shared" si="61"/>
        <v>0</v>
      </c>
      <c r="CR524" s="84"/>
      <c r="CS524" s="13"/>
      <c r="CT524" s="85"/>
      <c r="CU524" s="86"/>
      <c r="CV524" s="11"/>
      <c r="CW524" s="86"/>
      <c r="CX524" s="84"/>
      <c r="CY524" s="86"/>
    </row>
    <row r="525" spans="1:104" ht="25.5" x14ac:dyDescent="0.2">
      <c r="A525" s="43">
        <v>39944</v>
      </c>
      <c r="B525" s="44" t="s">
        <v>437</v>
      </c>
      <c r="C525" s="44" t="s">
        <v>1300</v>
      </c>
      <c r="D525" s="45" t="s">
        <v>1118</v>
      </c>
      <c r="E525" s="11"/>
      <c r="F525" s="12"/>
      <c r="G525" s="12"/>
      <c r="H525" s="12"/>
      <c r="I525" s="12"/>
      <c r="J525" s="12"/>
      <c r="K525" s="12"/>
      <c r="L525" s="12"/>
      <c r="M525" s="12"/>
      <c r="N525" s="12"/>
      <c r="O525" s="12"/>
      <c r="P525" s="12"/>
      <c r="Q525" s="12"/>
      <c r="R525" s="12"/>
      <c r="S525" s="12"/>
      <c r="T525" s="13"/>
      <c r="U525" s="46"/>
      <c r="V525" s="47">
        <v>39963</v>
      </c>
      <c r="W525" s="48">
        <f t="shared" si="56"/>
        <v>5017000</v>
      </c>
      <c r="X525" s="48">
        <f t="shared" si="57"/>
        <v>0</v>
      </c>
      <c r="Y525" s="48">
        <f t="shared" si="58"/>
        <v>0</v>
      </c>
      <c r="Z525" s="48">
        <f t="shared" si="59"/>
        <v>4495000</v>
      </c>
      <c r="AA525" s="48"/>
      <c r="AB525" s="48"/>
      <c r="AC525" s="49">
        <f t="shared" si="60"/>
        <v>9512000</v>
      </c>
      <c r="AD525" s="50">
        <v>0</v>
      </c>
      <c r="AE525" s="47">
        <v>39944</v>
      </c>
      <c r="AF525" s="51" t="s">
        <v>1016</v>
      </c>
      <c r="AG525" s="52" t="s">
        <v>565</v>
      </c>
      <c r="AH525" s="53"/>
      <c r="AI525" s="79"/>
      <c r="AJ525" s="80"/>
      <c r="AK525" s="81"/>
      <c r="AL525" s="80"/>
      <c r="AM525" s="80"/>
      <c r="AN525" s="80"/>
      <c r="AO525" s="80"/>
      <c r="AP525" s="80"/>
      <c r="AQ525" s="80"/>
      <c r="AR525" s="80"/>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v>10</v>
      </c>
      <c r="BV525" s="80">
        <f>10*501700</f>
        <v>5017000</v>
      </c>
      <c r="BW525" s="80"/>
      <c r="BX525" s="80"/>
      <c r="BY525" s="80"/>
      <c r="BZ525" s="80"/>
      <c r="CA525" s="80"/>
      <c r="CB525" s="80"/>
      <c r="CC525" s="80"/>
      <c r="CD525" s="80"/>
      <c r="CE525" s="80"/>
      <c r="CF525" s="80"/>
      <c r="CG525" s="80"/>
      <c r="CH525" s="80"/>
      <c r="CI525" s="80"/>
      <c r="CJ525" s="80"/>
      <c r="CK525" s="82"/>
      <c r="CL525" s="12"/>
      <c r="CM525" s="82"/>
      <c r="CN525" s="12"/>
      <c r="CO525" s="82"/>
      <c r="CP525" s="12"/>
      <c r="CQ525" s="83">
        <f t="shared" si="61"/>
        <v>5017000</v>
      </c>
      <c r="CR525" s="84">
        <v>5000</v>
      </c>
      <c r="CS525" s="13">
        <f>5000*899</f>
        <v>4495000</v>
      </c>
      <c r="CT525" s="85"/>
      <c r="CU525" s="86"/>
      <c r="CV525" s="11"/>
      <c r="CW525" s="86"/>
      <c r="CX525" s="84"/>
      <c r="CY525" s="86"/>
    </row>
    <row r="526" spans="1:104" ht="25.5" x14ac:dyDescent="0.2">
      <c r="A526" s="43">
        <v>39944</v>
      </c>
      <c r="B526" s="44" t="s">
        <v>437</v>
      </c>
      <c r="C526" s="44" t="s">
        <v>1454</v>
      </c>
      <c r="D526" s="45" t="s">
        <v>1118</v>
      </c>
      <c r="E526" s="11"/>
      <c r="F526" s="12"/>
      <c r="G526" s="12"/>
      <c r="H526" s="12"/>
      <c r="I526" s="12"/>
      <c r="J526" s="12"/>
      <c r="K526" s="12"/>
      <c r="L526" s="12"/>
      <c r="M526" s="12"/>
      <c r="N526" s="12"/>
      <c r="O526" s="12"/>
      <c r="P526" s="12"/>
      <c r="Q526" s="12"/>
      <c r="R526" s="12"/>
      <c r="S526" s="12"/>
      <c r="T526" s="13"/>
      <c r="U526" s="46"/>
      <c r="V526" s="47">
        <v>40049</v>
      </c>
      <c r="W526" s="48">
        <f t="shared" si="56"/>
        <v>36952000</v>
      </c>
      <c r="X526" s="48">
        <f t="shared" si="57"/>
        <v>85000000</v>
      </c>
      <c r="Y526" s="48">
        <f t="shared" si="58"/>
        <v>10500000</v>
      </c>
      <c r="Z526" s="48">
        <f t="shared" si="59"/>
        <v>0</v>
      </c>
      <c r="AA526" s="48"/>
      <c r="AB526" s="48"/>
      <c r="AC526" s="49">
        <f t="shared" si="60"/>
        <v>132452000</v>
      </c>
      <c r="AD526" s="50">
        <v>0</v>
      </c>
      <c r="AE526" s="47">
        <v>39944</v>
      </c>
      <c r="AF526" s="51" t="s">
        <v>1016</v>
      </c>
      <c r="AG526" s="52" t="s">
        <v>565</v>
      </c>
      <c r="AH526" s="53" t="s">
        <v>707</v>
      </c>
      <c r="AI526" s="79"/>
      <c r="AJ526" s="80"/>
      <c r="AK526" s="81"/>
      <c r="AL526" s="80"/>
      <c r="AM526" s="80"/>
      <c r="AN526" s="80"/>
      <c r="AO526" s="80"/>
      <c r="AP526" s="80"/>
      <c r="AQ526" s="80"/>
      <c r="AR526" s="80"/>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0"/>
      <c r="CB526" s="80"/>
      <c r="CC526" s="80"/>
      <c r="CD526" s="80"/>
      <c r="CE526" s="80"/>
      <c r="CF526" s="80"/>
      <c r="CG526" s="80"/>
      <c r="CH526" s="80"/>
      <c r="CI526" s="80"/>
      <c r="CJ526" s="80"/>
      <c r="CK526" s="82">
        <v>1000</v>
      </c>
      <c r="CL526" s="12">
        <f>1000*36952</f>
        <v>36952000</v>
      </c>
      <c r="CM526" s="82"/>
      <c r="CN526" s="12"/>
      <c r="CO526" s="82"/>
      <c r="CP526" s="12"/>
      <c r="CQ526" s="83">
        <f t="shared" si="61"/>
        <v>36952000</v>
      </c>
      <c r="CR526" s="84"/>
      <c r="CS526" s="13"/>
      <c r="CT526" s="85">
        <v>1000</v>
      </c>
      <c r="CU526" s="86">
        <f>1000*85000</f>
        <v>85000000</v>
      </c>
      <c r="CV526" s="11"/>
      <c r="CW526" s="86"/>
      <c r="CX526" s="84">
        <v>500</v>
      </c>
      <c r="CY526" s="86">
        <f>500*21000</f>
        <v>10500000</v>
      </c>
    </row>
    <row r="527" spans="1:104" ht="25.5" x14ac:dyDescent="0.2">
      <c r="A527" s="43">
        <v>39944</v>
      </c>
      <c r="B527" s="44" t="s">
        <v>413</v>
      </c>
      <c r="C527" s="44" t="s">
        <v>366</v>
      </c>
      <c r="D527" s="45" t="s">
        <v>1117</v>
      </c>
      <c r="E527" s="11"/>
      <c r="F527" s="12"/>
      <c r="G527" s="12"/>
      <c r="H527" s="12">
        <v>20</v>
      </c>
      <c r="I527" s="12">
        <v>5</v>
      </c>
      <c r="J527" s="12"/>
      <c r="K527" s="12">
        <v>5</v>
      </c>
      <c r="L527" s="12"/>
      <c r="M527" s="12"/>
      <c r="N527" s="12"/>
      <c r="O527" s="12"/>
      <c r="P527" s="12"/>
      <c r="Q527" s="12"/>
      <c r="R527" s="12"/>
      <c r="S527" s="12"/>
      <c r="T527" s="13"/>
      <c r="U527" s="46"/>
      <c r="V527" s="47"/>
      <c r="W527" s="48">
        <f t="shared" si="56"/>
        <v>0</v>
      </c>
      <c r="X527" s="48">
        <f t="shared" si="57"/>
        <v>0</v>
      </c>
      <c r="Y527" s="48">
        <f t="shared" si="58"/>
        <v>0</v>
      </c>
      <c r="Z527" s="48">
        <f t="shared" si="59"/>
        <v>0</v>
      </c>
      <c r="AA527" s="48"/>
      <c r="AB527" s="48"/>
      <c r="AC527" s="49">
        <f t="shared" si="60"/>
        <v>0</v>
      </c>
      <c r="AD527" s="50">
        <v>0</v>
      </c>
      <c r="AE527" s="47">
        <v>39945</v>
      </c>
      <c r="AF527" s="51" t="s">
        <v>516</v>
      </c>
      <c r="AG527" s="52" t="s">
        <v>517</v>
      </c>
      <c r="AH527" s="53"/>
      <c r="AI527" s="79"/>
      <c r="AJ527" s="80"/>
      <c r="AK527" s="81"/>
      <c r="AL527" s="80"/>
      <c r="AM527" s="80"/>
      <c r="AN527" s="80"/>
      <c r="AO527" s="80"/>
      <c r="AP527" s="80"/>
      <c r="AQ527" s="80"/>
      <c r="AR527" s="80"/>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0"/>
      <c r="CB527" s="80"/>
      <c r="CC527" s="80"/>
      <c r="CD527" s="80"/>
      <c r="CE527" s="80"/>
      <c r="CF527" s="80"/>
      <c r="CG527" s="80"/>
      <c r="CH527" s="80"/>
      <c r="CI527" s="80"/>
      <c r="CJ527" s="80"/>
      <c r="CK527" s="82"/>
      <c r="CL527" s="12"/>
      <c r="CM527" s="82"/>
      <c r="CN527" s="12"/>
      <c r="CO527" s="82"/>
      <c r="CP527" s="12"/>
      <c r="CQ527" s="83">
        <f t="shared" si="61"/>
        <v>0</v>
      </c>
      <c r="CR527" s="84"/>
      <c r="CS527" s="13"/>
      <c r="CT527" s="85"/>
      <c r="CU527" s="86"/>
      <c r="CV527" s="11"/>
      <c r="CW527" s="86"/>
      <c r="CX527" s="84"/>
      <c r="CY527" s="86"/>
    </row>
    <row r="528" spans="1:104" ht="38.25" x14ac:dyDescent="0.2">
      <c r="A528" s="43">
        <v>39945</v>
      </c>
      <c r="B528" s="44" t="s">
        <v>1136</v>
      </c>
      <c r="C528" s="44" t="s">
        <v>421</v>
      </c>
      <c r="D528" s="45" t="s">
        <v>1118</v>
      </c>
      <c r="E528" s="11"/>
      <c r="F528" s="12"/>
      <c r="G528" s="12"/>
      <c r="H528" s="12"/>
      <c r="I528" s="12"/>
      <c r="J528" s="12"/>
      <c r="K528" s="12"/>
      <c r="L528" s="12">
        <v>1</v>
      </c>
      <c r="M528" s="12"/>
      <c r="N528" s="12"/>
      <c r="O528" s="12"/>
      <c r="P528" s="12"/>
      <c r="Q528" s="12"/>
      <c r="R528" s="12"/>
      <c r="S528" s="12"/>
      <c r="T528" s="13"/>
      <c r="U528" s="46"/>
      <c r="V528" s="47"/>
      <c r="W528" s="48">
        <f t="shared" si="56"/>
        <v>0</v>
      </c>
      <c r="X528" s="48">
        <f t="shared" si="57"/>
        <v>0</v>
      </c>
      <c r="Y528" s="48">
        <f t="shared" si="58"/>
        <v>0</v>
      </c>
      <c r="Z528" s="48">
        <f t="shared" si="59"/>
        <v>0</v>
      </c>
      <c r="AA528" s="48"/>
      <c r="AB528" s="48"/>
      <c r="AC528" s="49">
        <f t="shared" si="60"/>
        <v>0</v>
      </c>
      <c r="AD528" s="50">
        <v>0</v>
      </c>
      <c r="AE528" s="47">
        <v>39966</v>
      </c>
      <c r="AF528" s="51" t="s">
        <v>516</v>
      </c>
      <c r="AG528" s="52" t="s">
        <v>517</v>
      </c>
      <c r="AH528" s="53" t="s">
        <v>422</v>
      </c>
      <c r="AI528" s="79"/>
      <c r="AJ528" s="80"/>
      <c r="AK528" s="81"/>
      <c r="AL528" s="80"/>
      <c r="AM528" s="80"/>
      <c r="AN528" s="80"/>
      <c r="AO528" s="80"/>
      <c r="AP528" s="80"/>
      <c r="AQ528" s="80"/>
      <c r="AR528" s="80"/>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0"/>
      <c r="CB528" s="80"/>
      <c r="CC528" s="80"/>
      <c r="CD528" s="80"/>
      <c r="CE528" s="80"/>
      <c r="CF528" s="80"/>
      <c r="CG528" s="80"/>
      <c r="CH528" s="80"/>
      <c r="CI528" s="80"/>
      <c r="CJ528" s="80"/>
      <c r="CK528" s="82"/>
      <c r="CL528" s="12"/>
      <c r="CM528" s="82"/>
      <c r="CN528" s="12"/>
      <c r="CO528" s="82"/>
      <c r="CP528" s="12"/>
      <c r="CQ528" s="83">
        <f t="shared" si="61"/>
        <v>0</v>
      </c>
      <c r="CR528" s="84"/>
      <c r="CS528" s="13"/>
      <c r="CT528" s="85"/>
      <c r="CU528" s="86"/>
      <c r="CV528" s="11"/>
      <c r="CW528" s="86"/>
      <c r="CX528" s="84"/>
      <c r="CY528" s="86"/>
    </row>
    <row r="529" spans="1:104" ht="38.25" x14ac:dyDescent="0.2">
      <c r="A529" s="43">
        <v>39945</v>
      </c>
      <c r="B529" s="44" t="s">
        <v>1136</v>
      </c>
      <c r="C529" s="44" t="s">
        <v>423</v>
      </c>
      <c r="D529" s="45" t="s">
        <v>134</v>
      </c>
      <c r="E529" s="11"/>
      <c r="F529" s="12"/>
      <c r="G529" s="12"/>
      <c r="H529" s="12">
        <v>25</v>
      </c>
      <c r="I529" s="12">
        <v>5</v>
      </c>
      <c r="J529" s="12"/>
      <c r="K529" s="12">
        <v>5</v>
      </c>
      <c r="L529" s="12"/>
      <c r="M529" s="12"/>
      <c r="N529" s="12"/>
      <c r="O529" s="12"/>
      <c r="P529" s="12"/>
      <c r="Q529" s="12"/>
      <c r="R529" s="12"/>
      <c r="S529" s="12"/>
      <c r="T529" s="13"/>
      <c r="U529" s="46"/>
      <c r="V529" s="47"/>
      <c r="W529" s="48">
        <f t="shared" si="56"/>
        <v>0</v>
      </c>
      <c r="X529" s="48">
        <f t="shared" si="57"/>
        <v>0</v>
      </c>
      <c r="Y529" s="48">
        <f t="shared" si="58"/>
        <v>0</v>
      </c>
      <c r="Z529" s="48">
        <f t="shared" si="59"/>
        <v>0</v>
      </c>
      <c r="AA529" s="48"/>
      <c r="AB529" s="48"/>
      <c r="AC529" s="49">
        <f t="shared" si="60"/>
        <v>0</v>
      </c>
      <c r="AD529" s="50">
        <v>0</v>
      </c>
      <c r="AE529" s="47">
        <v>39966</v>
      </c>
      <c r="AF529" s="51" t="s">
        <v>516</v>
      </c>
      <c r="AG529" s="52" t="s">
        <v>517</v>
      </c>
      <c r="AH529" s="53" t="s">
        <v>424</v>
      </c>
      <c r="AI529" s="79"/>
      <c r="AJ529" s="80"/>
      <c r="AK529" s="81"/>
      <c r="AL529" s="80"/>
      <c r="AM529" s="80"/>
      <c r="AN529" s="80"/>
      <c r="AO529" s="80"/>
      <c r="AP529" s="80"/>
      <c r="AQ529" s="80"/>
      <c r="AR529" s="80"/>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0"/>
      <c r="CB529" s="80"/>
      <c r="CC529" s="80"/>
      <c r="CD529" s="80"/>
      <c r="CE529" s="80"/>
      <c r="CF529" s="80"/>
      <c r="CG529" s="80"/>
      <c r="CH529" s="80"/>
      <c r="CI529" s="80"/>
      <c r="CJ529" s="80"/>
      <c r="CK529" s="82"/>
      <c r="CL529" s="12"/>
      <c r="CM529" s="82"/>
      <c r="CN529" s="12"/>
      <c r="CO529" s="82"/>
      <c r="CP529" s="12"/>
      <c r="CQ529" s="83">
        <f t="shared" si="61"/>
        <v>0</v>
      </c>
      <c r="CR529" s="84"/>
      <c r="CS529" s="13"/>
      <c r="CT529" s="85"/>
      <c r="CU529" s="86"/>
      <c r="CV529" s="11"/>
      <c r="CW529" s="86"/>
      <c r="CX529" s="84"/>
      <c r="CY529" s="86"/>
    </row>
    <row r="530" spans="1:104" ht="25.5" x14ac:dyDescent="0.2">
      <c r="A530" s="43">
        <v>39945</v>
      </c>
      <c r="B530" s="44" t="s">
        <v>1136</v>
      </c>
      <c r="C530" s="44" t="s">
        <v>425</v>
      </c>
      <c r="D530" s="45" t="s">
        <v>1118</v>
      </c>
      <c r="E530" s="11"/>
      <c r="F530" s="12"/>
      <c r="G530" s="12"/>
      <c r="H530" s="12">
        <v>30</v>
      </c>
      <c r="I530" s="12">
        <v>6</v>
      </c>
      <c r="J530" s="12"/>
      <c r="K530" s="12">
        <v>6</v>
      </c>
      <c r="L530" s="12"/>
      <c r="M530" s="12"/>
      <c r="N530" s="12"/>
      <c r="O530" s="12">
        <v>1</v>
      </c>
      <c r="P530" s="12"/>
      <c r="Q530" s="12"/>
      <c r="R530" s="12"/>
      <c r="S530" s="12"/>
      <c r="T530" s="13"/>
      <c r="U530" s="46"/>
      <c r="V530" s="47"/>
      <c r="W530" s="48">
        <f t="shared" si="56"/>
        <v>0</v>
      </c>
      <c r="X530" s="48">
        <f t="shared" si="57"/>
        <v>0</v>
      </c>
      <c r="Y530" s="48">
        <f t="shared" si="58"/>
        <v>0</v>
      </c>
      <c r="Z530" s="48">
        <f t="shared" si="59"/>
        <v>0</v>
      </c>
      <c r="AA530" s="48"/>
      <c r="AB530" s="48"/>
      <c r="AC530" s="49">
        <f t="shared" si="60"/>
        <v>0</v>
      </c>
      <c r="AD530" s="50">
        <v>0</v>
      </c>
      <c r="AE530" s="47">
        <v>39966</v>
      </c>
      <c r="AF530" s="51" t="s">
        <v>516</v>
      </c>
      <c r="AG530" s="52" t="s">
        <v>517</v>
      </c>
      <c r="AH530" s="53" t="s">
        <v>426</v>
      </c>
      <c r="AI530" s="79"/>
      <c r="AJ530" s="80"/>
      <c r="AK530" s="81"/>
      <c r="AL530" s="80"/>
      <c r="AM530" s="80"/>
      <c r="AN530" s="80"/>
      <c r="AO530" s="80"/>
      <c r="AP530" s="80"/>
      <c r="AQ530" s="80"/>
      <c r="AR530" s="80"/>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0"/>
      <c r="CB530" s="80"/>
      <c r="CC530" s="80"/>
      <c r="CD530" s="80"/>
      <c r="CE530" s="80"/>
      <c r="CF530" s="80"/>
      <c r="CG530" s="80"/>
      <c r="CH530" s="80"/>
      <c r="CI530" s="80"/>
      <c r="CJ530" s="80"/>
      <c r="CK530" s="82"/>
      <c r="CL530" s="12"/>
      <c r="CM530" s="82"/>
      <c r="CN530" s="12"/>
      <c r="CO530" s="82"/>
      <c r="CP530" s="12"/>
      <c r="CQ530" s="83">
        <f t="shared" si="61"/>
        <v>0</v>
      </c>
      <c r="CR530" s="84"/>
      <c r="CS530" s="13"/>
      <c r="CT530" s="85"/>
      <c r="CU530" s="86"/>
      <c r="CV530" s="11"/>
      <c r="CW530" s="86"/>
      <c r="CX530" s="84"/>
      <c r="CY530" s="86"/>
    </row>
    <row r="531" spans="1:104" ht="25.5" x14ac:dyDescent="0.2">
      <c r="A531" s="43">
        <v>39945</v>
      </c>
      <c r="B531" s="44" t="s">
        <v>1136</v>
      </c>
      <c r="C531" s="44" t="s">
        <v>427</v>
      </c>
      <c r="D531" s="45" t="s">
        <v>1118</v>
      </c>
      <c r="E531" s="11"/>
      <c r="F531" s="12"/>
      <c r="G531" s="12"/>
      <c r="H531" s="12"/>
      <c r="I531" s="12"/>
      <c r="J531" s="12"/>
      <c r="K531" s="12"/>
      <c r="L531" s="12"/>
      <c r="M531" s="12"/>
      <c r="N531" s="12"/>
      <c r="O531" s="12">
        <v>1</v>
      </c>
      <c r="P531" s="12"/>
      <c r="Q531" s="12"/>
      <c r="R531" s="12"/>
      <c r="S531" s="12"/>
      <c r="T531" s="13"/>
      <c r="U531" s="46"/>
      <c r="V531" s="47"/>
      <c r="W531" s="48">
        <f t="shared" si="56"/>
        <v>0</v>
      </c>
      <c r="X531" s="48">
        <f t="shared" si="57"/>
        <v>0</v>
      </c>
      <c r="Y531" s="48">
        <f t="shared" si="58"/>
        <v>0</v>
      </c>
      <c r="Z531" s="48">
        <f t="shared" si="59"/>
        <v>0</v>
      </c>
      <c r="AA531" s="48"/>
      <c r="AB531" s="48"/>
      <c r="AC531" s="49">
        <f t="shared" si="60"/>
        <v>0</v>
      </c>
      <c r="AD531" s="50">
        <v>0</v>
      </c>
      <c r="AE531" s="47">
        <v>39966</v>
      </c>
      <c r="AF531" s="51" t="s">
        <v>516</v>
      </c>
      <c r="AG531" s="52" t="s">
        <v>517</v>
      </c>
      <c r="AH531" s="53" t="s">
        <v>428</v>
      </c>
      <c r="AI531" s="79"/>
      <c r="AJ531" s="80"/>
      <c r="AK531" s="81"/>
      <c r="AL531" s="80"/>
      <c r="AM531" s="80"/>
      <c r="AN531" s="80"/>
      <c r="AO531" s="80"/>
      <c r="AP531" s="80"/>
      <c r="AQ531" s="80"/>
      <c r="AR531" s="80"/>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0"/>
      <c r="CB531" s="80"/>
      <c r="CC531" s="80"/>
      <c r="CD531" s="80"/>
      <c r="CE531" s="80"/>
      <c r="CF531" s="80"/>
      <c r="CG531" s="80"/>
      <c r="CH531" s="80"/>
      <c r="CI531" s="80"/>
      <c r="CJ531" s="80"/>
      <c r="CK531" s="82"/>
      <c r="CL531" s="12"/>
      <c r="CM531" s="82"/>
      <c r="CN531" s="12"/>
      <c r="CO531" s="82"/>
      <c r="CP531" s="12"/>
      <c r="CQ531" s="83">
        <f t="shared" si="61"/>
        <v>0</v>
      </c>
      <c r="CR531" s="84"/>
      <c r="CS531" s="13"/>
      <c r="CT531" s="85"/>
      <c r="CU531" s="86"/>
      <c r="CV531" s="11"/>
      <c r="CW531" s="86"/>
      <c r="CX531" s="84"/>
      <c r="CY531" s="86"/>
    </row>
    <row r="532" spans="1:104" ht="25.5" x14ac:dyDescent="0.2">
      <c r="A532" s="43">
        <v>39945</v>
      </c>
      <c r="B532" s="44" t="s">
        <v>1453</v>
      </c>
      <c r="C532" s="44" t="s">
        <v>708</v>
      </c>
      <c r="D532" s="45" t="s">
        <v>1118</v>
      </c>
      <c r="E532" s="11"/>
      <c r="F532" s="12"/>
      <c r="G532" s="12"/>
      <c r="H532" s="12"/>
      <c r="I532" s="12"/>
      <c r="J532" s="12"/>
      <c r="K532" s="12"/>
      <c r="L532" s="12"/>
      <c r="M532" s="12"/>
      <c r="N532" s="12"/>
      <c r="O532" s="12"/>
      <c r="P532" s="12"/>
      <c r="Q532" s="12"/>
      <c r="R532" s="12"/>
      <c r="S532" s="12"/>
      <c r="T532" s="13"/>
      <c r="U532" s="46"/>
      <c r="V532" s="47">
        <v>40025</v>
      </c>
      <c r="W532" s="48">
        <f t="shared" si="56"/>
        <v>0</v>
      </c>
      <c r="X532" s="48">
        <f t="shared" si="57"/>
        <v>59500000</v>
      </c>
      <c r="Y532" s="48">
        <f t="shared" si="58"/>
        <v>0</v>
      </c>
      <c r="Z532" s="48">
        <f t="shared" si="59"/>
        <v>0</v>
      </c>
      <c r="AA532" s="48"/>
      <c r="AB532" s="48"/>
      <c r="AC532" s="49">
        <f t="shared" si="60"/>
        <v>59500000</v>
      </c>
      <c r="AD532" s="50">
        <v>0</v>
      </c>
      <c r="AE532" s="47">
        <v>39945</v>
      </c>
      <c r="AF532" s="51" t="s">
        <v>1016</v>
      </c>
      <c r="AG532" s="52" t="s">
        <v>565</v>
      </c>
      <c r="AH532" s="53" t="s">
        <v>709</v>
      </c>
      <c r="AI532" s="79"/>
      <c r="AJ532" s="80"/>
      <c r="AK532" s="81"/>
      <c r="AL532" s="80"/>
      <c r="AM532" s="80"/>
      <c r="AN532" s="80"/>
      <c r="AO532" s="80"/>
      <c r="AP532" s="80"/>
      <c r="AQ532" s="80"/>
      <c r="AR532" s="80"/>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0"/>
      <c r="CB532" s="80"/>
      <c r="CC532" s="80"/>
      <c r="CD532" s="80"/>
      <c r="CE532" s="80"/>
      <c r="CF532" s="80"/>
      <c r="CG532" s="80"/>
      <c r="CH532" s="80"/>
      <c r="CI532" s="80"/>
      <c r="CJ532" s="80"/>
      <c r="CK532" s="82"/>
      <c r="CL532" s="12"/>
      <c r="CM532" s="82"/>
      <c r="CN532" s="12"/>
      <c r="CO532" s="82"/>
      <c r="CP532" s="12"/>
      <c r="CQ532" s="83">
        <f t="shared" si="61"/>
        <v>0</v>
      </c>
      <c r="CR532" s="84"/>
      <c r="CS532" s="13"/>
      <c r="CT532" s="85">
        <v>700</v>
      </c>
      <c r="CU532" s="86">
        <f>700*85000</f>
        <v>59500000</v>
      </c>
      <c r="CV532" s="11"/>
      <c r="CW532" s="86"/>
      <c r="CX532" s="84"/>
      <c r="CY532" s="86"/>
    </row>
    <row r="533" spans="1:104" ht="25.5" x14ac:dyDescent="0.2">
      <c r="A533" s="43">
        <v>39946</v>
      </c>
      <c r="B533" s="44" t="s">
        <v>1091</v>
      </c>
      <c r="C533" s="44" t="s">
        <v>809</v>
      </c>
      <c r="D533" s="45" t="s">
        <v>1117</v>
      </c>
      <c r="E533" s="11"/>
      <c r="F533" s="12"/>
      <c r="G533" s="12"/>
      <c r="H533" s="12">
        <v>90</v>
      </c>
      <c r="I533" s="12">
        <v>18</v>
      </c>
      <c r="J533" s="12"/>
      <c r="K533" s="12">
        <v>18</v>
      </c>
      <c r="L533" s="12"/>
      <c r="M533" s="12"/>
      <c r="N533" s="12"/>
      <c r="O533" s="12"/>
      <c r="P533" s="12"/>
      <c r="Q533" s="12"/>
      <c r="R533" s="12"/>
      <c r="S533" s="12"/>
      <c r="T533" s="13"/>
      <c r="U533" s="46"/>
      <c r="V533" s="47"/>
      <c r="W533" s="48">
        <f t="shared" si="56"/>
        <v>0</v>
      </c>
      <c r="X533" s="48">
        <f t="shared" si="57"/>
        <v>0</v>
      </c>
      <c r="Y533" s="48">
        <f t="shared" si="58"/>
        <v>0</v>
      </c>
      <c r="Z533" s="48">
        <f t="shared" si="59"/>
        <v>0</v>
      </c>
      <c r="AA533" s="48"/>
      <c r="AB533" s="48"/>
      <c r="AC533" s="49">
        <f t="shared" si="60"/>
        <v>0</v>
      </c>
      <c r="AD533" s="50">
        <v>0</v>
      </c>
      <c r="AE533" s="47">
        <v>39946</v>
      </c>
      <c r="AF533" s="51" t="s">
        <v>516</v>
      </c>
      <c r="AG533" s="52" t="s">
        <v>517</v>
      </c>
      <c r="AH533" s="53" t="s">
        <v>810</v>
      </c>
      <c r="AI533" s="79"/>
      <c r="AJ533" s="80"/>
      <c r="AK533" s="81"/>
      <c r="AL533" s="80"/>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2"/>
      <c r="CL533" s="12"/>
      <c r="CM533" s="82"/>
      <c r="CN533" s="12"/>
      <c r="CO533" s="82"/>
      <c r="CP533" s="12"/>
      <c r="CQ533" s="83">
        <f t="shared" si="61"/>
        <v>0</v>
      </c>
      <c r="CR533" s="84"/>
      <c r="CS533" s="13"/>
      <c r="CT533" s="85"/>
      <c r="CU533" s="86"/>
      <c r="CV533" s="11"/>
      <c r="CW533" s="86"/>
      <c r="CX533" s="84"/>
      <c r="CY533" s="86"/>
    </row>
    <row r="534" spans="1:104" ht="76.5" x14ac:dyDescent="0.2">
      <c r="A534" s="43">
        <v>39946</v>
      </c>
      <c r="B534" s="44" t="s">
        <v>1350</v>
      </c>
      <c r="C534" s="44" t="s">
        <v>1454</v>
      </c>
      <c r="D534" s="45" t="s">
        <v>1118</v>
      </c>
      <c r="E534" s="11"/>
      <c r="F534" s="12"/>
      <c r="G534" s="12"/>
      <c r="H534" s="12"/>
      <c r="I534" s="12"/>
      <c r="J534" s="12"/>
      <c r="K534" s="12"/>
      <c r="L534" s="12"/>
      <c r="M534" s="12"/>
      <c r="N534" s="12"/>
      <c r="O534" s="12"/>
      <c r="P534" s="12"/>
      <c r="Q534" s="12"/>
      <c r="R534" s="12"/>
      <c r="S534" s="12"/>
      <c r="T534" s="13"/>
      <c r="U534" s="46"/>
      <c r="V534" s="47">
        <v>39959</v>
      </c>
      <c r="W534" s="48">
        <f t="shared" si="56"/>
        <v>66432800</v>
      </c>
      <c r="X534" s="48">
        <f t="shared" si="57"/>
        <v>118996444.00000001</v>
      </c>
      <c r="Y534" s="48">
        <f t="shared" si="58"/>
        <v>42000000</v>
      </c>
      <c r="Z534" s="48">
        <f t="shared" si="59"/>
        <v>0</v>
      </c>
      <c r="AA534" s="48"/>
      <c r="AB534" s="48"/>
      <c r="AC534" s="49">
        <f t="shared" si="60"/>
        <v>227429244</v>
      </c>
      <c r="AD534" s="50">
        <v>0</v>
      </c>
      <c r="AE534" s="47">
        <v>39944</v>
      </c>
      <c r="AF534" s="51" t="s">
        <v>1016</v>
      </c>
      <c r="AG534" s="52" t="s">
        <v>565</v>
      </c>
      <c r="AH534" s="54" t="s">
        <v>1298</v>
      </c>
      <c r="AI534" s="79"/>
      <c r="AJ534" s="80"/>
      <c r="AK534" s="81"/>
      <c r="AL534" s="80"/>
      <c r="AM534" s="80"/>
      <c r="AN534" s="80"/>
      <c r="AO534" s="80"/>
      <c r="AP534" s="80"/>
      <c r="AQ534" s="80"/>
      <c r="AR534" s="80"/>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0"/>
      <c r="CB534" s="80"/>
      <c r="CC534" s="80"/>
      <c r="CD534" s="80"/>
      <c r="CE534" s="80">
        <v>700</v>
      </c>
      <c r="CF534" s="80">
        <f>700*21000</f>
        <v>14700000</v>
      </c>
      <c r="CG534" s="80"/>
      <c r="CH534" s="80"/>
      <c r="CI534" s="80"/>
      <c r="CJ534" s="80"/>
      <c r="CK534" s="82">
        <v>1400</v>
      </c>
      <c r="CL534" s="12">
        <f>1400*36952</f>
        <v>51732800</v>
      </c>
      <c r="CM534" s="82"/>
      <c r="CN534" s="12"/>
      <c r="CO534" s="82"/>
      <c r="CP534" s="12"/>
      <c r="CQ534" s="83">
        <f t="shared" si="61"/>
        <v>66432800</v>
      </c>
      <c r="CR534" s="84"/>
      <c r="CS534" s="13"/>
      <c r="CT534" s="85">
        <v>1400</v>
      </c>
      <c r="CU534" s="86">
        <f>1400*84997.46</f>
        <v>118996444.00000001</v>
      </c>
      <c r="CV534" s="11"/>
      <c r="CW534" s="86"/>
      <c r="CX534" s="84">
        <v>2000</v>
      </c>
      <c r="CY534" s="86">
        <f>2000*21000</f>
        <v>42000000</v>
      </c>
    </row>
    <row r="535" spans="1:104" ht="38.25" x14ac:dyDescent="0.2">
      <c r="A535" s="43">
        <v>39947</v>
      </c>
      <c r="B535" s="44" t="s">
        <v>625</v>
      </c>
      <c r="C535" s="44" t="s">
        <v>804</v>
      </c>
      <c r="D535" s="45" t="s">
        <v>1117</v>
      </c>
      <c r="E535" s="11"/>
      <c r="F535" s="12"/>
      <c r="G535" s="12"/>
      <c r="H535" s="12">
        <v>25</v>
      </c>
      <c r="I535" s="12">
        <v>5</v>
      </c>
      <c r="J535" s="12"/>
      <c r="K535" s="12">
        <v>5</v>
      </c>
      <c r="L535" s="12"/>
      <c r="M535" s="12"/>
      <c r="N535" s="12"/>
      <c r="O535" s="12"/>
      <c r="P535" s="12"/>
      <c r="Q535" s="12"/>
      <c r="R535" s="12"/>
      <c r="S535" s="12"/>
      <c r="T535" s="13"/>
      <c r="U535" s="46"/>
      <c r="V535" s="47"/>
      <c r="W535" s="48">
        <f t="shared" si="56"/>
        <v>0</v>
      </c>
      <c r="X535" s="48">
        <f t="shared" si="57"/>
        <v>0</v>
      </c>
      <c r="Y535" s="48">
        <f t="shared" si="58"/>
        <v>0</v>
      </c>
      <c r="Z535" s="48">
        <f t="shared" si="59"/>
        <v>0</v>
      </c>
      <c r="AA535" s="48"/>
      <c r="AB535" s="48"/>
      <c r="AC535" s="49">
        <f t="shared" si="60"/>
        <v>0</v>
      </c>
      <c r="AD535" s="50">
        <v>0</v>
      </c>
      <c r="AE535" s="47">
        <v>39947</v>
      </c>
      <c r="AF535" s="51" t="s">
        <v>516</v>
      </c>
      <c r="AG535" s="52" t="s">
        <v>517</v>
      </c>
      <c r="AH535" s="53" t="s">
        <v>805</v>
      </c>
      <c r="AI535" s="79"/>
      <c r="AJ535" s="80"/>
      <c r="AK535" s="81"/>
      <c r="AL535" s="80"/>
      <c r="AM535" s="80"/>
      <c r="AN535" s="80"/>
      <c r="AO535" s="80"/>
      <c r="AP535" s="80"/>
      <c r="AQ535" s="80"/>
      <c r="AR535" s="80"/>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0"/>
      <c r="CB535" s="80"/>
      <c r="CC535" s="80"/>
      <c r="CD535" s="80"/>
      <c r="CE535" s="80"/>
      <c r="CF535" s="80"/>
      <c r="CG535" s="80"/>
      <c r="CH535" s="80"/>
      <c r="CI535" s="80"/>
      <c r="CJ535" s="80"/>
      <c r="CK535" s="82"/>
      <c r="CL535" s="12"/>
      <c r="CM535" s="82"/>
      <c r="CN535" s="12"/>
      <c r="CO535" s="82"/>
      <c r="CP535" s="12"/>
      <c r="CQ535" s="83">
        <f t="shared" si="61"/>
        <v>0</v>
      </c>
      <c r="CR535" s="84"/>
      <c r="CS535" s="13"/>
      <c r="CT535" s="85"/>
      <c r="CU535" s="86"/>
      <c r="CV535" s="11"/>
      <c r="CW535" s="86"/>
      <c r="CX535" s="84"/>
      <c r="CY535" s="86"/>
    </row>
    <row r="536" spans="1:104" ht="25.5" x14ac:dyDescent="0.2">
      <c r="A536" s="43">
        <v>39948</v>
      </c>
      <c r="B536" s="44" t="s">
        <v>1114</v>
      </c>
      <c r="C536" s="44" t="s">
        <v>1432</v>
      </c>
      <c r="D536" s="45" t="s">
        <v>1117</v>
      </c>
      <c r="E536" s="11"/>
      <c r="F536" s="12"/>
      <c r="G536" s="12"/>
      <c r="H536" s="12">
        <f>56*5</f>
        <v>280</v>
      </c>
      <c r="I536" s="12">
        <v>56</v>
      </c>
      <c r="J536" s="12"/>
      <c r="K536" s="12">
        <v>56</v>
      </c>
      <c r="L536" s="12"/>
      <c r="M536" s="12"/>
      <c r="N536" s="12"/>
      <c r="O536" s="12"/>
      <c r="P536" s="12"/>
      <c r="Q536" s="12"/>
      <c r="R536" s="12"/>
      <c r="S536" s="12"/>
      <c r="T536" s="13"/>
      <c r="U536" s="46"/>
      <c r="V536" s="47">
        <v>40009</v>
      </c>
      <c r="W536" s="48">
        <f t="shared" si="56"/>
        <v>0</v>
      </c>
      <c r="X536" s="48">
        <f t="shared" si="57"/>
        <v>0</v>
      </c>
      <c r="Y536" s="48">
        <f t="shared" si="58"/>
        <v>13120000</v>
      </c>
      <c r="Z536" s="48">
        <f t="shared" si="59"/>
        <v>0</v>
      </c>
      <c r="AA536" s="48"/>
      <c r="AB536" s="48"/>
      <c r="AC536" s="49">
        <f t="shared" si="60"/>
        <v>13120000</v>
      </c>
      <c r="AD536" s="50">
        <v>0</v>
      </c>
      <c r="AE536" s="47">
        <v>39967</v>
      </c>
      <c r="AF536" s="51" t="s">
        <v>1016</v>
      </c>
      <c r="AG536" s="52" t="s">
        <v>565</v>
      </c>
      <c r="AH536" s="53" t="s">
        <v>317</v>
      </c>
      <c r="AI536" s="79"/>
      <c r="AJ536" s="80"/>
      <c r="AK536" s="81"/>
      <c r="AL536" s="80"/>
      <c r="AM536" s="80"/>
      <c r="AN536" s="80"/>
      <c r="AO536" s="80"/>
      <c r="AP536" s="80"/>
      <c r="AQ536" s="80"/>
      <c r="AR536" s="80"/>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0"/>
      <c r="CB536" s="80"/>
      <c r="CC536" s="80"/>
      <c r="CD536" s="80"/>
      <c r="CE536" s="80"/>
      <c r="CF536" s="80"/>
      <c r="CG536" s="80"/>
      <c r="CH536" s="80"/>
      <c r="CI536" s="80"/>
      <c r="CJ536" s="80"/>
      <c r="CK536" s="82"/>
      <c r="CL536" s="12"/>
      <c r="CM536" s="82"/>
      <c r="CN536" s="12"/>
      <c r="CO536" s="82"/>
      <c r="CP536" s="12"/>
      <c r="CQ536" s="83">
        <f t="shared" si="61"/>
        <v>0</v>
      </c>
      <c r="CR536" s="84"/>
      <c r="CS536" s="13"/>
      <c r="CT536" s="85"/>
      <c r="CU536" s="86"/>
      <c r="CV536" s="11"/>
      <c r="CW536" s="86"/>
      <c r="CX536" s="84">
        <v>600</v>
      </c>
      <c r="CY536" s="86">
        <f>600*21000+2600*200</f>
        <v>13120000</v>
      </c>
      <c r="CZ536" s="9" t="s">
        <v>279</v>
      </c>
    </row>
    <row r="537" spans="1:104" ht="38.25" x14ac:dyDescent="0.2">
      <c r="A537" s="43">
        <v>39949</v>
      </c>
      <c r="B537" s="44" t="s">
        <v>625</v>
      </c>
      <c r="C537" s="44" t="s">
        <v>964</v>
      </c>
      <c r="D537" s="45" t="s">
        <v>1118</v>
      </c>
      <c r="E537" s="11"/>
      <c r="F537" s="12"/>
      <c r="G537" s="12"/>
      <c r="H537" s="12">
        <v>250</v>
      </c>
      <c r="I537" s="12">
        <v>50</v>
      </c>
      <c r="J537" s="12"/>
      <c r="K537" s="12">
        <v>50</v>
      </c>
      <c r="L537" s="12"/>
      <c r="M537" s="12"/>
      <c r="N537" s="12"/>
      <c r="O537" s="12"/>
      <c r="P537" s="12"/>
      <c r="Q537" s="12"/>
      <c r="R537" s="12"/>
      <c r="S537" s="12"/>
      <c r="T537" s="13"/>
      <c r="U537" s="46"/>
      <c r="V537" s="47"/>
      <c r="W537" s="48">
        <f t="shared" si="56"/>
        <v>0</v>
      </c>
      <c r="X537" s="48">
        <f t="shared" si="57"/>
        <v>0</v>
      </c>
      <c r="Y537" s="48">
        <f t="shared" si="58"/>
        <v>0</v>
      </c>
      <c r="Z537" s="48">
        <f t="shared" si="59"/>
        <v>0</v>
      </c>
      <c r="AA537" s="48"/>
      <c r="AB537" s="48"/>
      <c r="AC537" s="49">
        <f t="shared" si="60"/>
        <v>0</v>
      </c>
      <c r="AD537" s="50">
        <v>0</v>
      </c>
      <c r="AE537" s="47">
        <v>39952</v>
      </c>
      <c r="AF537" s="51" t="s">
        <v>516</v>
      </c>
      <c r="AG537" s="52" t="s">
        <v>517</v>
      </c>
      <c r="AH537" s="53" t="s">
        <v>548</v>
      </c>
      <c r="AI537" s="79"/>
      <c r="AJ537" s="80"/>
      <c r="AK537" s="81"/>
      <c r="AL537" s="80"/>
      <c r="AM537" s="80"/>
      <c r="AN537" s="80"/>
      <c r="AO537" s="80"/>
      <c r="AP537" s="80"/>
      <c r="AQ537" s="80"/>
      <c r="AR537" s="80"/>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0"/>
      <c r="CB537" s="80"/>
      <c r="CC537" s="80"/>
      <c r="CD537" s="80"/>
      <c r="CE537" s="80"/>
      <c r="CF537" s="80"/>
      <c r="CG537" s="80"/>
      <c r="CH537" s="80"/>
      <c r="CI537" s="80"/>
      <c r="CJ537" s="80"/>
      <c r="CK537" s="82"/>
      <c r="CL537" s="12"/>
      <c r="CM537" s="82"/>
      <c r="CN537" s="12"/>
      <c r="CO537" s="82"/>
      <c r="CP537" s="12"/>
      <c r="CQ537" s="83">
        <f t="shared" si="61"/>
        <v>0</v>
      </c>
      <c r="CR537" s="84"/>
      <c r="CS537" s="13"/>
      <c r="CT537" s="85"/>
      <c r="CU537" s="86"/>
      <c r="CV537" s="11"/>
      <c r="CW537" s="86"/>
      <c r="CX537" s="84"/>
      <c r="CY537" s="86"/>
    </row>
    <row r="538" spans="1:104" ht="38.25" x14ac:dyDescent="0.2">
      <c r="A538" s="43">
        <v>39949</v>
      </c>
      <c r="B538" s="44" t="s">
        <v>688</v>
      </c>
      <c r="C538" s="44" t="s">
        <v>672</v>
      </c>
      <c r="D538" s="45" t="s">
        <v>1116</v>
      </c>
      <c r="E538" s="11"/>
      <c r="F538" s="12"/>
      <c r="G538" s="12"/>
      <c r="H538" s="12">
        <v>15</v>
      </c>
      <c r="I538" s="12">
        <v>3</v>
      </c>
      <c r="J538" s="12"/>
      <c r="K538" s="12">
        <v>3</v>
      </c>
      <c r="L538" s="12"/>
      <c r="M538" s="12"/>
      <c r="N538" s="12"/>
      <c r="O538" s="12"/>
      <c r="P538" s="12"/>
      <c r="Q538" s="12"/>
      <c r="R538" s="12"/>
      <c r="S538" s="12"/>
      <c r="T538" s="13"/>
      <c r="U538" s="46"/>
      <c r="V538" s="47"/>
      <c r="W538" s="48">
        <f t="shared" si="56"/>
        <v>0</v>
      </c>
      <c r="X538" s="48">
        <f t="shared" si="57"/>
        <v>0</v>
      </c>
      <c r="Y538" s="48">
        <f t="shared" si="58"/>
        <v>0</v>
      </c>
      <c r="Z538" s="48">
        <f t="shared" si="59"/>
        <v>0</v>
      </c>
      <c r="AA538" s="48"/>
      <c r="AB538" s="48"/>
      <c r="AC538" s="49">
        <f t="shared" si="60"/>
        <v>0</v>
      </c>
      <c r="AD538" s="50">
        <v>0</v>
      </c>
      <c r="AE538" s="47">
        <v>39996</v>
      </c>
      <c r="AF538" s="51" t="s">
        <v>1016</v>
      </c>
      <c r="AG538" s="52" t="s">
        <v>565</v>
      </c>
      <c r="AH538" s="53" t="s">
        <v>317</v>
      </c>
      <c r="AI538" s="79"/>
      <c r="AJ538" s="80"/>
      <c r="AK538" s="81"/>
      <c r="AL538" s="80"/>
      <c r="AM538" s="80"/>
      <c r="AN538" s="80"/>
      <c r="AO538" s="80"/>
      <c r="AP538" s="80"/>
      <c r="AQ538" s="80"/>
      <c r="AR538" s="80"/>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0"/>
      <c r="CB538" s="80"/>
      <c r="CC538" s="80"/>
      <c r="CD538" s="80"/>
      <c r="CE538" s="80"/>
      <c r="CF538" s="80"/>
      <c r="CG538" s="80"/>
      <c r="CH538" s="80"/>
      <c r="CI538" s="80"/>
      <c r="CJ538" s="80"/>
      <c r="CK538" s="82"/>
      <c r="CL538" s="12"/>
      <c r="CM538" s="82"/>
      <c r="CN538" s="12"/>
      <c r="CO538" s="82"/>
      <c r="CP538" s="12"/>
      <c r="CQ538" s="83">
        <f t="shared" si="61"/>
        <v>0</v>
      </c>
      <c r="CR538" s="84"/>
      <c r="CS538" s="13"/>
      <c r="CT538" s="85"/>
      <c r="CU538" s="86"/>
      <c r="CV538" s="11"/>
      <c r="CW538" s="86"/>
      <c r="CX538" s="84"/>
      <c r="CY538" s="86"/>
    </row>
    <row r="539" spans="1:104" ht="25.5" x14ac:dyDescent="0.2">
      <c r="A539" s="43">
        <v>39949</v>
      </c>
      <c r="B539" s="44" t="s">
        <v>1350</v>
      </c>
      <c r="C539" s="44" t="s">
        <v>1263</v>
      </c>
      <c r="D539" s="45" t="s">
        <v>1117</v>
      </c>
      <c r="E539" s="11"/>
      <c r="F539" s="12"/>
      <c r="G539" s="12"/>
      <c r="H539" s="12">
        <v>750</v>
      </c>
      <c r="I539" s="12">
        <v>150</v>
      </c>
      <c r="J539" s="12"/>
      <c r="K539" s="12">
        <v>150</v>
      </c>
      <c r="L539" s="12"/>
      <c r="M539" s="12"/>
      <c r="N539" s="12"/>
      <c r="O539" s="12"/>
      <c r="P539" s="12"/>
      <c r="Q539" s="12"/>
      <c r="R539" s="12"/>
      <c r="S539" s="12"/>
      <c r="T539" s="13"/>
      <c r="U539" s="46"/>
      <c r="V539" s="47"/>
      <c r="W539" s="48">
        <f t="shared" si="56"/>
        <v>0</v>
      </c>
      <c r="X539" s="48">
        <f t="shared" si="57"/>
        <v>0</v>
      </c>
      <c r="Y539" s="48">
        <f t="shared" si="58"/>
        <v>0</v>
      </c>
      <c r="Z539" s="48">
        <f t="shared" si="59"/>
        <v>0</v>
      </c>
      <c r="AA539" s="48"/>
      <c r="AB539" s="48"/>
      <c r="AC539" s="49">
        <f t="shared" si="60"/>
        <v>0</v>
      </c>
      <c r="AD539" s="50">
        <v>0</v>
      </c>
      <c r="AE539" s="47">
        <v>39951</v>
      </c>
      <c r="AF539" s="51" t="s">
        <v>516</v>
      </c>
      <c r="AG539" s="52" t="s">
        <v>517</v>
      </c>
      <c r="AH539" s="53" t="s">
        <v>65</v>
      </c>
      <c r="AI539" s="79"/>
      <c r="AJ539" s="80"/>
      <c r="AK539" s="81"/>
      <c r="AL539" s="80"/>
      <c r="AM539" s="80"/>
      <c r="AN539" s="80"/>
      <c r="AO539" s="80"/>
      <c r="AP539" s="80"/>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0"/>
      <c r="CB539" s="80"/>
      <c r="CC539" s="80"/>
      <c r="CD539" s="80"/>
      <c r="CE539" s="80"/>
      <c r="CF539" s="80"/>
      <c r="CG539" s="80"/>
      <c r="CH539" s="80"/>
      <c r="CI539" s="80"/>
      <c r="CJ539" s="80"/>
      <c r="CK539" s="82"/>
      <c r="CL539" s="12"/>
      <c r="CM539" s="82"/>
      <c r="CN539" s="12"/>
      <c r="CO539" s="82"/>
      <c r="CP539" s="12"/>
      <c r="CQ539" s="83">
        <f t="shared" si="61"/>
        <v>0</v>
      </c>
      <c r="CR539" s="84"/>
      <c r="CS539" s="13"/>
      <c r="CT539" s="85"/>
      <c r="CU539" s="86"/>
      <c r="CV539" s="11"/>
      <c r="CW539" s="86"/>
      <c r="CX539" s="84"/>
      <c r="CY539" s="86"/>
    </row>
    <row r="540" spans="1:104" ht="51" x14ac:dyDescent="0.2">
      <c r="A540" s="43">
        <v>39949</v>
      </c>
      <c r="B540" s="44" t="s">
        <v>1350</v>
      </c>
      <c r="C540" s="44" t="s">
        <v>1414</v>
      </c>
      <c r="D540" s="45" t="s">
        <v>1117</v>
      </c>
      <c r="E540" s="11"/>
      <c r="F540" s="12"/>
      <c r="G540" s="12"/>
      <c r="H540" s="12"/>
      <c r="I540" s="12"/>
      <c r="J540" s="12"/>
      <c r="K540" s="12"/>
      <c r="L540" s="12"/>
      <c r="M540" s="12"/>
      <c r="N540" s="12"/>
      <c r="O540" s="12"/>
      <c r="P540" s="12"/>
      <c r="Q540" s="12"/>
      <c r="R540" s="12"/>
      <c r="S540" s="12"/>
      <c r="T540" s="13"/>
      <c r="U540" s="46" t="s">
        <v>290</v>
      </c>
      <c r="V540" s="47"/>
      <c r="W540" s="48">
        <f t="shared" si="56"/>
        <v>0</v>
      </c>
      <c r="X540" s="48">
        <f t="shared" si="57"/>
        <v>0</v>
      </c>
      <c r="Y540" s="48">
        <f t="shared" si="58"/>
        <v>0</v>
      </c>
      <c r="Z540" s="48">
        <f t="shared" si="59"/>
        <v>0</v>
      </c>
      <c r="AA540" s="48"/>
      <c r="AB540" s="48"/>
      <c r="AC540" s="49">
        <f t="shared" si="60"/>
        <v>0</v>
      </c>
      <c r="AD540" s="50">
        <v>0</v>
      </c>
      <c r="AE540" s="47">
        <v>39951</v>
      </c>
      <c r="AF540" s="51" t="s">
        <v>516</v>
      </c>
      <c r="AG540" s="52" t="s">
        <v>517</v>
      </c>
      <c r="AH540" s="53" t="s">
        <v>65</v>
      </c>
      <c r="AI540" s="79"/>
      <c r="AJ540" s="80"/>
      <c r="AK540" s="81"/>
      <c r="AL540" s="80"/>
      <c r="AM540" s="80"/>
      <c r="AN540" s="80"/>
      <c r="AO540" s="80"/>
      <c r="AP540" s="80"/>
      <c r="AQ540" s="80"/>
      <c r="AR540" s="80"/>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0"/>
      <c r="CB540" s="80"/>
      <c r="CC540" s="80"/>
      <c r="CD540" s="80"/>
      <c r="CE540" s="80"/>
      <c r="CF540" s="80"/>
      <c r="CG540" s="80"/>
      <c r="CH540" s="80"/>
      <c r="CI540" s="80"/>
      <c r="CJ540" s="80"/>
      <c r="CK540" s="82"/>
      <c r="CL540" s="12"/>
      <c r="CM540" s="82"/>
      <c r="CN540" s="12"/>
      <c r="CO540" s="82"/>
      <c r="CP540" s="12"/>
      <c r="CQ540" s="83">
        <f t="shared" si="61"/>
        <v>0</v>
      </c>
      <c r="CR540" s="84"/>
      <c r="CS540" s="13"/>
      <c r="CT540" s="85"/>
      <c r="CU540" s="86"/>
      <c r="CV540" s="11"/>
      <c r="CW540" s="86"/>
      <c r="CX540" s="84"/>
      <c r="CY540" s="86"/>
    </row>
    <row r="541" spans="1:104" ht="25.5" x14ac:dyDescent="0.2">
      <c r="A541" s="43">
        <v>39949</v>
      </c>
      <c r="B541" s="44" t="s">
        <v>1350</v>
      </c>
      <c r="C541" s="44" t="s">
        <v>289</v>
      </c>
      <c r="D541" s="45" t="s">
        <v>1117</v>
      </c>
      <c r="E541" s="11"/>
      <c r="F541" s="12"/>
      <c r="G541" s="12"/>
      <c r="H541" s="12">
        <v>175</v>
      </c>
      <c r="I541" s="12">
        <v>35</v>
      </c>
      <c r="J541" s="12"/>
      <c r="K541" s="12">
        <v>35</v>
      </c>
      <c r="L541" s="12"/>
      <c r="M541" s="12"/>
      <c r="N541" s="12"/>
      <c r="O541" s="12"/>
      <c r="P541" s="12"/>
      <c r="Q541" s="12"/>
      <c r="R541" s="12"/>
      <c r="S541" s="12"/>
      <c r="T541" s="13"/>
      <c r="U541" s="46"/>
      <c r="V541" s="47"/>
      <c r="W541" s="48">
        <f t="shared" si="56"/>
        <v>0</v>
      </c>
      <c r="X541" s="48">
        <f t="shared" si="57"/>
        <v>0</v>
      </c>
      <c r="Y541" s="48">
        <f t="shared" si="58"/>
        <v>0</v>
      </c>
      <c r="Z541" s="48">
        <f t="shared" si="59"/>
        <v>0</v>
      </c>
      <c r="AA541" s="48"/>
      <c r="AB541" s="48"/>
      <c r="AC541" s="49">
        <f t="shared" si="60"/>
        <v>0</v>
      </c>
      <c r="AD541" s="50">
        <v>0</v>
      </c>
      <c r="AE541" s="47">
        <v>39951</v>
      </c>
      <c r="AF541" s="51" t="s">
        <v>516</v>
      </c>
      <c r="AG541" s="52" t="s">
        <v>517</v>
      </c>
      <c r="AH541" s="53" t="s">
        <v>65</v>
      </c>
      <c r="AI541" s="79"/>
      <c r="AJ541" s="80"/>
      <c r="AK541" s="81"/>
      <c r="AL541" s="80"/>
      <c r="AM541" s="80"/>
      <c r="AN541" s="80"/>
      <c r="AO541" s="80"/>
      <c r="AP541" s="80"/>
      <c r="AQ541" s="80"/>
      <c r="AR541" s="80"/>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0"/>
      <c r="CB541" s="80"/>
      <c r="CC541" s="80"/>
      <c r="CD541" s="80"/>
      <c r="CE541" s="80"/>
      <c r="CF541" s="80"/>
      <c r="CG541" s="80"/>
      <c r="CH541" s="80"/>
      <c r="CI541" s="80"/>
      <c r="CJ541" s="80"/>
      <c r="CK541" s="82"/>
      <c r="CL541" s="12"/>
      <c r="CM541" s="82"/>
      <c r="CN541" s="12"/>
      <c r="CO541" s="82"/>
      <c r="CP541" s="12"/>
      <c r="CQ541" s="83">
        <f t="shared" si="61"/>
        <v>0</v>
      </c>
      <c r="CR541" s="84"/>
      <c r="CS541" s="13"/>
      <c r="CT541" s="85"/>
      <c r="CU541" s="86"/>
      <c r="CV541" s="11"/>
      <c r="CW541" s="86"/>
      <c r="CX541" s="84"/>
      <c r="CY541" s="86"/>
    </row>
    <row r="542" spans="1:104" ht="25.5" x14ac:dyDescent="0.2">
      <c r="A542" s="43">
        <v>39950</v>
      </c>
      <c r="B542" s="44" t="s">
        <v>413</v>
      </c>
      <c r="C542" s="44" t="s">
        <v>291</v>
      </c>
      <c r="D542" s="45" t="s">
        <v>1092</v>
      </c>
      <c r="E542" s="11"/>
      <c r="F542" s="12"/>
      <c r="G542" s="12"/>
      <c r="H542" s="12">
        <v>5</v>
      </c>
      <c r="I542" s="12">
        <v>1</v>
      </c>
      <c r="J542" s="12"/>
      <c r="K542" s="12">
        <v>1</v>
      </c>
      <c r="L542" s="12"/>
      <c r="M542" s="12"/>
      <c r="N542" s="12"/>
      <c r="O542" s="12"/>
      <c r="P542" s="12"/>
      <c r="Q542" s="12"/>
      <c r="R542" s="12"/>
      <c r="S542" s="12"/>
      <c r="T542" s="13"/>
      <c r="U542" s="46"/>
      <c r="V542" s="47"/>
      <c r="W542" s="48">
        <f t="shared" si="56"/>
        <v>0</v>
      </c>
      <c r="X542" s="48">
        <f t="shared" si="57"/>
        <v>0</v>
      </c>
      <c r="Y542" s="48">
        <f t="shared" si="58"/>
        <v>0</v>
      </c>
      <c r="Z542" s="48">
        <f t="shared" si="59"/>
        <v>0</v>
      </c>
      <c r="AA542" s="48"/>
      <c r="AB542" s="48"/>
      <c r="AC542" s="49">
        <f t="shared" si="60"/>
        <v>0</v>
      </c>
      <c r="AD542" s="50">
        <v>0</v>
      </c>
      <c r="AE542" s="47">
        <v>39951</v>
      </c>
      <c r="AF542" s="51" t="s">
        <v>516</v>
      </c>
      <c r="AG542" s="52" t="s">
        <v>517</v>
      </c>
      <c r="AH542" s="53" t="s">
        <v>292</v>
      </c>
      <c r="AI542" s="79"/>
      <c r="AJ542" s="80"/>
      <c r="AK542" s="81"/>
      <c r="AL542" s="80"/>
      <c r="AM542" s="80"/>
      <c r="AN542" s="80"/>
      <c r="AO542" s="80"/>
      <c r="AP542" s="80"/>
      <c r="AQ542" s="80"/>
      <c r="AR542" s="80"/>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0"/>
      <c r="CB542" s="80"/>
      <c r="CC542" s="80"/>
      <c r="CD542" s="80"/>
      <c r="CE542" s="80"/>
      <c r="CF542" s="80"/>
      <c r="CG542" s="80"/>
      <c r="CH542" s="80"/>
      <c r="CI542" s="80"/>
      <c r="CJ542" s="80"/>
      <c r="CK542" s="82"/>
      <c r="CL542" s="12"/>
      <c r="CM542" s="82"/>
      <c r="CN542" s="12"/>
      <c r="CO542" s="82"/>
      <c r="CP542" s="12"/>
      <c r="CQ542" s="83">
        <f t="shared" si="61"/>
        <v>0</v>
      </c>
      <c r="CR542" s="84"/>
      <c r="CS542" s="13"/>
      <c r="CT542" s="85"/>
      <c r="CU542" s="86"/>
      <c r="CV542" s="11"/>
      <c r="CW542" s="86"/>
      <c r="CX542" s="84"/>
      <c r="CY542" s="86"/>
    </row>
    <row r="543" spans="1:104" ht="38.25" x14ac:dyDescent="0.2">
      <c r="A543" s="43">
        <v>39951</v>
      </c>
      <c r="B543" s="44" t="s">
        <v>625</v>
      </c>
      <c r="C543" s="44" t="s">
        <v>293</v>
      </c>
      <c r="D543" s="45" t="s">
        <v>1116</v>
      </c>
      <c r="E543" s="11"/>
      <c r="F543" s="12">
        <v>2</v>
      </c>
      <c r="G543" s="12"/>
      <c r="H543" s="12">
        <v>20</v>
      </c>
      <c r="I543" s="12">
        <v>4</v>
      </c>
      <c r="J543" s="12">
        <v>4</v>
      </c>
      <c r="K543" s="12"/>
      <c r="L543" s="12"/>
      <c r="M543" s="12"/>
      <c r="N543" s="12"/>
      <c r="O543" s="12"/>
      <c r="P543" s="12"/>
      <c r="Q543" s="12"/>
      <c r="R543" s="12"/>
      <c r="S543" s="12"/>
      <c r="T543" s="13"/>
      <c r="U543" s="46"/>
      <c r="V543" s="47"/>
      <c r="W543" s="48">
        <f t="shared" si="56"/>
        <v>0</v>
      </c>
      <c r="X543" s="48">
        <f t="shared" si="57"/>
        <v>0</v>
      </c>
      <c r="Y543" s="48">
        <f t="shared" si="58"/>
        <v>0</v>
      </c>
      <c r="Z543" s="48">
        <f t="shared" si="59"/>
        <v>0</v>
      </c>
      <c r="AA543" s="48"/>
      <c r="AB543" s="48"/>
      <c r="AC543" s="49">
        <f t="shared" si="60"/>
        <v>0</v>
      </c>
      <c r="AD543" s="50">
        <v>0</v>
      </c>
      <c r="AE543" s="47">
        <v>39951</v>
      </c>
      <c r="AF543" s="51" t="s">
        <v>516</v>
      </c>
      <c r="AG543" s="52" t="s">
        <v>517</v>
      </c>
      <c r="AH543" s="53" t="s">
        <v>461</v>
      </c>
      <c r="AI543" s="79"/>
      <c r="AJ543" s="80"/>
      <c r="AK543" s="81"/>
      <c r="AL543" s="80"/>
      <c r="AM543" s="80"/>
      <c r="AN543" s="80"/>
      <c r="AO543" s="80"/>
      <c r="AP543" s="80"/>
      <c r="AQ543" s="80"/>
      <c r="AR543" s="80"/>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0"/>
      <c r="CB543" s="80"/>
      <c r="CC543" s="80"/>
      <c r="CD543" s="80"/>
      <c r="CE543" s="80"/>
      <c r="CF543" s="80"/>
      <c r="CG543" s="80"/>
      <c r="CH543" s="80"/>
      <c r="CI543" s="80"/>
      <c r="CJ543" s="80"/>
      <c r="CK543" s="82"/>
      <c r="CL543" s="12"/>
      <c r="CM543" s="82"/>
      <c r="CN543" s="12"/>
      <c r="CO543" s="82"/>
      <c r="CP543" s="12"/>
      <c r="CQ543" s="83">
        <f t="shared" si="61"/>
        <v>0</v>
      </c>
      <c r="CR543" s="84"/>
      <c r="CS543" s="13"/>
      <c r="CT543" s="85"/>
      <c r="CU543" s="86"/>
      <c r="CV543" s="11"/>
      <c r="CW543" s="86"/>
      <c r="CX543" s="84"/>
      <c r="CY543" s="86"/>
    </row>
    <row r="544" spans="1:104" ht="63.75" x14ac:dyDescent="0.2">
      <c r="A544" s="43">
        <v>39951</v>
      </c>
      <c r="B544" s="44" t="s">
        <v>1127</v>
      </c>
      <c r="C544" s="44" t="s">
        <v>221</v>
      </c>
      <c r="D544" s="45" t="s">
        <v>1118</v>
      </c>
      <c r="E544" s="11"/>
      <c r="F544" s="12"/>
      <c r="G544" s="12"/>
      <c r="H544" s="12"/>
      <c r="I544" s="12"/>
      <c r="J544" s="12"/>
      <c r="K544" s="12"/>
      <c r="L544" s="12">
        <v>5</v>
      </c>
      <c r="M544" s="12"/>
      <c r="N544" s="12"/>
      <c r="O544" s="12"/>
      <c r="P544" s="12"/>
      <c r="Q544" s="12"/>
      <c r="R544" s="12"/>
      <c r="S544" s="12"/>
      <c r="T544" s="13"/>
      <c r="U544" s="46"/>
      <c r="V544" s="47"/>
      <c r="W544" s="48">
        <f t="shared" si="56"/>
        <v>0</v>
      </c>
      <c r="X544" s="48">
        <f t="shared" si="57"/>
        <v>0</v>
      </c>
      <c r="Y544" s="48">
        <f t="shared" si="58"/>
        <v>0</v>
      </c>
      <c r="Z544" s="48">
        <f t="shared" si="59"/>
        <v>0</v>
      </c>
      <c r="AA544" s="48"/>
      <c r="AB544" s="48"/>
      <c r="AC544" s="49">
        <f t="shared" si="60"/>
        <v>0</v>
      </c>
      <c r="AD544" s="50">
        <v>0</v>
      </c>
      <c r="AE544" s="47">
        <v>40116</v>
      </c>
      <c r="AF544" s="51" t="s">
        <v>1016</v>
      </c>
      <c r="AG544" s="52" t="s">
        <v>517</v>
      </c>
      <c r="AH544" s="53" t="s">
        <v>14</v>
      </c>
      <c r="AI544" s="79"/>
      <c r="AJ544" s="80"/>
      <c r="AK544" s="81"/>
      <c r="AL544" s="80"/>
      <c r="AM544" s="80"/>
      <c r="AN544" s="80"/>
      <c r="AO544" s="80"/>
      <c r="AP544" s="80"/>
      <c r="AQ544" s="80"/>
      <c r="AR544" s="80"/>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0"/>
      <c r="CB544" s="80"/>
      <c r="CC544" s="80"/>
      <c r="CD544" s="80"/>
      <c r="CE544" s="80"/>
      <c r="CF544" s="80"/>
      <c r="CG544" s="80"/>
      <c r="CH544" s="80"/>
      <c r="CI544" s="80"/>
      <c r="CJ544" s="80"/>
      <c r="CK544" s="82"/>
      <c r="CL544" s="12"/>
      <c r="CM544" s="82"/>
      <c r="CN544" s="12"/>
      <c r="CO544" s="82"/>
      <c r="CP544" s="12"/>
      <c r="CQ544" s="83">
        <f t="shared" si="61"/>
        <v>0</v>
      </c>
      <c r="CR544" s="84"/>
      <c r="CS544" s="13"/>
      <c r="CT544" s="85"/>
      <c r="CU544" s="86"/>
      <c r="CV544" s="11"/>
      <c r="CW544" s="86"/>
      <c r="CX544" s="84"/>
      <c r="CY544" s="86"/>
    </row>
    <row r="545" spans="1:103" ht="25.5" x14ac:dyDescent="0.2">
      <c r="A545" s="43">
        <v>39952</v>
      </c>
      <c r="B545" s="44" t="s">
        <v>625</v>
      </c>
      <c r="C545" s="44" t="s">
        <v>138</v>
      </c>
      <c r="D545" s="45" t="s">
        <v>1118</v>
      </c>
      <c r="E545" s="11"/>
      <c r="F545" s="12"/>
      <c r="G545" s="12"/>
      <c r="H545" s="12">
        <v>750</v>
      </c>
      <c r="I545" s="12">
        <v>150</v>
      </c>
      <c r="J545" s="12"/>
      <c r="K545" s="12">
        <v>150</v>
      </c>
      <c r="L545" s="12"/>
      <c r="M545" s="12"/>
      <c r="N545" s="12"/>
      <c r="O545" s="12"/>
      <c r="P545" s="12"/>
      <c r="Q545" s="12"/>
      <c r="R545" s="12"/>
      <c r="S545" s="12"/>
      <c r="T545" s="13"/>
      <c r="U545" s="46"/>
      <c r="V545" s="47"/>
      <c r="W545" s="48">
        <f t="shared" si="56"/>
        <v>0</v>
      </c>
      <c r="X545" s="48">
        <f t="shared" si="57"/>
        <v>0</v>
      </c>
      <c r="Y545" s="48">
        <f t="shared" si="58"/>
        <v>0</v>
      </c>
      <c r="Z545" s="48">
        <f t="shared" si="59"/>
        <v>0</v>
      </c>
      <c r="AA545" s="48"/>
      <c r="AB545" s="48"/>
      <c r="AC545" s="49">
        <f t="shared" si="60"/>
        <v>0</v>
      </c>
      <c r="AD545" s="50">
        <v>0</v>
      </c>
      <c r="AE545" s="47">
        <v>39953</v>
      </c>
      <c r="AF545" s="51" t="s">
        <v>516</v>
      </c>
      <c r="AG545" s="52" t="s">
        <v>517</v>
      </c>
      <c r="AH545" s="53"/>
      <c r="AI545" s="79"/>
      <c r="AJ545" s="80"/>
      <c r="AK545" s="81"/>
      <c r="AL545" s="80"/>
      <c r="AM545" s="80"/>
      <c r="AN545" s="80"/>
      <c r="AO545" s="80"/>
      <c r="AP545" s="80"/>
      <c r="AQ545" s="80"/>
      <c r="AR545" s="80"/>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0"/>
      <c r="CB545" s="80"/>
      <c r="CC545" s="80"/>
      <c r="CD545" s="80"/>
      <c r="CE545" s="80"/>
      <c r="CF545" s="80"/>
      <c r="CG545" s="80"/>
      <c r="CH545" s="80"/>
      <c r="CI545" s="80"/>
      <c r="CJ545" s="80"/>
      <c r="CK545" s="82"/>
      <c r="CL545" s="12"/>
      <c r="CM545" s="82"/>
      <c r="CN545" s="12"/>
      <c r="CO545" s="82"/>
      <c r="CP545" s="12"/>
      <c r="CQ545" s="83">
        <f t="shared" si="61"/>
        <v>0</v>
      </c>
      <c r="CR545" s="84"/>
      <c r="CS545" s="13"/>
      <c r="CT545" s="85"/>
      <c r="CU545" s="86"/>
      <c r="CV545" s="11"/>
      <c r="CW545" s="86"/>
      <c r="CX545" s="84"/>
      <c r="CY545" s="86"/>
    </row>
    <row r="546" spans="1:103" ht="38.25" x14ac:dyDescent="0.2">
      <c r="A546" s="43">
        <v>39952</v>
      </c>
      <c r="B546" s="44" t="s">
        <v>1097</v>
      </c>
      <c r="C546" s="44" t="s">
        <v>125</v>
      </c>
      <c r="D546" s="45" t="s">
        <v>1116</v>
      </c>
      <c r="E546" s="11"/>
      <c r="F546" s="12"/>
      <c r="G546" s="12"/>
      <c r="H546" s="12">
        <v>9</v>
      </c>
      <c r="I546" s="12">
        <v>2</v>
      </c>
      <c r="J546" s="12">
        <v>1</v>
      </c>
      <c r="K546" s="12"/>
      <c r="L546" s="12"/>
      <c r="M546" s="12"/>
      <c r="N546" s="12"/>
      <c r="O546" s="12"/>
      <c r="P546" s="12"/>
      <c r="Q546" s="12"/>
      <c r="R546" s="12"/>
      <c r="S546" s="12"/>
      <c r="T546" s="13"/>
      <c r="U546" s="46"/>
      <c r="V546" s="47"/>
      <c r="W546" s="48">
        <f t="shared" si="56"/>
        <v>0</v>
      </c>
      <c r="X546" s="48">
        <f t="shared" si="57"/>
        <v>0</v>
      </c>
      <c r="Y546" s="48">
        <f t="shared" si="58"/>
        <v>0</v>
      </c>
      <c r="Z546" s="48">
        <f t="shared" si="59"/>
        <v>0</v>
      </c>
      <c r="AA546" s="48"/>
      <c r="AB546" s="48"/>
      <c r="AC546" s="49">
        <f t="shared" si="60"/>
        <v>0</v>
      </c>
      <c r="AD546" s="50">
        <v>0</v>
      </c>
      <c r="AE546" s="47">
        <v>39952</v>
      </c>
      <c r="AF546" s="51" t="s">
        <v>516</v>
      </c>
      <c r="AG546" s="52" t="s">
        <v>517</v>
      </c>
      <c r="AH546" s="53" t="s">
        <v>895</v>
      </c>
      <c r="AI546" s="79"/>
      <c r="AJ546" s="80"/>
      <c r="AK546" s="81"/>
      <c r="AL546" s="80"/>
      <c r="AM546" s="80"/>
      <c r="AN546" s="80"/>
      <c r="AO546" s="80"/>
      <c r="AP546" s="80"/>
      <c r="AQ546" s="80"/>
      <c r="AR546" s="80"/>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0"/>
      <c r="CB546" s="80"/>
      <c r="CC546" s="80"/>
      <c r="CD546" s="80"/>
      <c r="CE546" s="80"/>
      <c r="CF546" s="80"/>
      <c r="CG546" s="80"/>
      <c r="CH546" s="80"/>
      <c r="CI546" s="80"/>
      <c r="CJ546" s="80"/>
      <c r="CK546" s="82"/>
      <c r="CL546" s="12"/>
      <c r="CM546" s="82"/>
      <c r="CN546" s="12"/>
      <c r="CO546" s="82"/>
      <c r="CP546" s="12"/>
      <c r="CQ546" s="83">
        <f t="shared" si="61"/>
        <v>0</v>
      </c>
      <c r="CR546" s="84"/>
      <c r="CS546" s="13"/>
      <c r="CT546" s="85"/>
      <c r="CU546" s="86"/>
      <c r="CV546" s="11"/>
      <c r="CW546" s="86"/>
      <c r="CX546" s="84"/>
      <c r="CY546" s="86"/>
    </row>
    <row r="547" spans="1:103" ht="63.75" x14ac:dyDescent="0.2">
      <c r="A547" s="43">
        <v>39952</v>
      </c>
      <c r="B547" s="44" t="s">
        <v>1097</v>
      </c>
      <c r="C547" s="44" t="s">
        <v>650</v>
      </c>
      <c r="D547" s="45" t="s">
        <v>1092</v>
      </c>
      <c r="E547" s="11"/>
      <c r="F547" s="12"/>
      <c r="G547" s="12"/>
      <c r="H547" s="12">
        <f>74*5</f>
        <v>370</v>
      </c>
      <c r="I547" s="12">
        <v>74</v>
      </c>
      <c r="J547" s="12">
        <v>19</v>
      </c>
      <c r="K547" s="12"/>
      <c r="L547" s="12"/>
      <c r="M547" s="12"/>
      <c r="N547" s="12"/>
      <c r="O547" s="12"/>
      <c r="P547" s="12"/>
      <c r="Q547" s="12"/>
      <c r="R547" s="12"/>
      <c r="S547" s="12"/>
      <c r="T547" s="13"/>
      <c r="U547" s="46"/>
      <c r="V547" s="47">
        <v>40158</v>
      </c>
      <c r="W547" s="48">
        <f t="shared" ref="W547:W578" si="62">CQ547</f>
        <v>0</v>
      </c>
      <c r="X547" s="48">
        <f t="shared" ref="X547:X578" si="63">CU547</f>
        <v>0</v>
      </c>
      <c r="Y547" s="48">
        <f t="shared" ref="Y547:Y578" si="64">CW547+CY547</f>
        <v>0</v>
      </c>
      <c r="Z547" s="48">
        <f t="shared" ref="Z547:Z578" si="65">CS547</f>
        <v>0</v>
      </c>
      <c r="AA547" s="48">
        <f>12702000+9722000</f>
        <v>22424000</v>
      </c>
      <c r="AB547" s="48"/>
      <c r="AC547" s="49">
        <f t="shared" ref="AC547:AC578" si="66">W547+X547+Y547+Z547+AA547+AB547</f>
        <v>22424000</v>
      </c>
      <c r="AD547" s="50">
        <v>0</v>
      </c>
      <c r="AE547" s="47">
        <v>39954</v>
      </c>
      <c r="AF547" s="51" t="s">
        <v>1016</v>
      </c>
      <c r="AG547" s="52" t="s">
        <v>565</v>
      </c>
      <c r="AH547" s="53" t="s">
        <v>15</v>
      </c>
      <c r="AI547" s="79"/>
      <c r="AJ547" s="80"/>
      <c r="AK547" s="81"/>
      <c r="AL547" s="80"/>
      <c r="AM547" s="80"/>
      <c r="AN547" s="80"/>
      <c r="AO547" s="80"/>
      <c r="AP547" s="80"/>
      <c r="AQ547" s="80"/>
      <c r="AR547" s="80"/>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0"/>
      <c r="CB547" s="80"/>
      <c r="CC547" s="80"/>
      <c r="CD547" s="80"/>
      <c r="CE547" s="80"/>
      <c r="CF547" s="80"/>
      <c r="CG547" s="80"/>
      <c r="CH547" s="80"/>
      <c r="CI547" s="80"/>
      <c r="CJ547" s="80"/>
      <c r="CK547" s="82"/>
      <c r="CL547" s="12"/>
      <c r="CM547" s="82"/>
      <c r="CN547" s="12"/>
      <c r="CO547" s="82"/>
      <c r="CP547" s="12"/>
      <c r="CQ547" s="83">
        <f t="shared" ref="CQ547:CQ578" si="67">AJ547+AL547+AN547+AP547+AR547+AT547+AV547+AX547+AZ547+BB547+BD547+BF547+BH547+BJ547+BL547+BN547+BP547+BR547+BT547+BV547+BX547+BZ547+CB547+CD547+CF547+CH547+CJ547+CL547+CN547+CP547</f>
        <v>0</v>
      </c>
      <c r="CR547" s="84"/>
      <c r="CS547" s="13"/>
      <c r="CT547" s="85"/>
      <c r="CU547" s="86"/>
      <c r="CV547" s="11"/>
      <c r="CW547" s="86"/>
      <c r="CX547" s="84"/>
      <c r="CY547" s="86"/>
    </row>
    <row r="548" spans="1:103" ht="25.5" x14ac:dyDescent="0.2">
      <c r="A548" s="43">
        <v>39953</v>
      </c>
      <c r="B548" s="44" t="s">
        <v>688</v>
      </c>
      <c r="C548" s="44" t="s">
        <v>673</v>
      </c>
      <c r="D548" s="45" t="s">
        <v>1092</v>
      </c>
      <c r="E548" s="11"/>
      <c r="F548" s="12"/>
      <c r="G548" s="12"/>
      <c r="H548" s="12">
        <v>300</v>
      </c>
      <c r="I548" s="12">
        <v>60</v>
      </c>
      <c r="J548" s="12"/>
      <c r="K548" s="12">
        <v>5</v>
      </c>
      <c r="L548" s="12"/>
      <c r="M548" s="12"/>
      <c r="N548" s="12"/>
      <c r="O548" s="12"/>
      <c r="P548" s="12"/>
      <c r="Q548" s="12"/>
      <c r="R548" s="12"/>
      <c r="S548" s="12"/>
      <c r="T548" s="13"/>
      <c r="U548" s="46"/>
      <c r="V548" s="47"/>
      <c r="W548" s="48">
        <f t="shared" si="62"/>
        <v>0</v>
      </c>
      <c r="X548" s="48">
        <f t="shared" si="63"/>
        <v>0</v>
      </c>
      <c r="Y548" s="48">
        <f t="shared" si="64"/>
        <v>0</v>
      </c>
      <c r="Z548" s="48">
        <f t="shared" si="65"/>
        <v>0</v>
      </c>
      <c r="AA548" s="48"/>
      <c r="AB548" s="48"/>
      <c r="AC548" s="49">
        <f t="shared" si="66"/>
        <v>0</v>
      </c>
      <c r="AD548" s="50">
        <v>0</v>
      </c>
      <c r="AE548" s="47">
        <v>39996</v>
      </c>
      <c r="AF548" s="51" t="s">
        <v>1016</v>
      </c>
      <c r="AG548" s="52" t="s">
        <v>565</v>
      </c>
      <c r="AH548" s="53" t="s">
        <v>317</v>
      </c>
      <c r="AI548" s="79"/>
      <c r="AJ548" s="80"/>
      <c r="AK548" s="81"/>
      <c r="AL548" s="80"/>
      <c r="AM548" s="80"/>
      <c r="AN548" s="80"/>
      <c r="AO548" s="80"/>
      <c r="AP548" s="80"/>
      <c r="AQ548" s="80"/>
      <c r="AR548" s="80"/>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0"/>
      <c r="CB548" s="80"/>
      <c r="CC548" s="80"/>
      <c r="CD548" s="80"/>
      <c r="CE548" s="80"/>
      <c r="CF548" s="80"/>
      <c r="CG548" s="80"/>
      <c r="CH548" s="80"/>
      <c r="CI548" s="80"/>
      <c r="CJ548" s="80"/>
      <c r="CK548" s="82"/>
      <c r="CL548" s="12"/>
      <c r="CM548" s="82"/>
      <c r="CN548" s="12"/>
      <c r="CO548" s="82"/>
      <c r="CP548" s="12"/>
      <c r="CQ548" s="83">
        <f t="shared" si="67"/>
        <v>0</v>
      </c>
      <c r="CR548" s="84"/>
      <c r="CS548" s="13"/>
      <c r="CT548" s="85"/>
      <c r="CU548" s="86"/>
      <c r="CV548" s="11"/>
      <c r="CW548" s="86"/>
      <c r="CX548" s="84"/>
      <c r="CY548" s="86"/>
    </row>
    <row r="549" spans="1:103" ht="38.25" x14ac:dyDescent="0.2">
      <c r="A549" s="43">
        <v>39953</v>
      </c>
      <c r="B549" s="44" t="s">
        <v>1127</v>
      </c>
      <c r="C549" s="44" t="s">
        <v>116</v>
      </c>
      <c r="D549" s="45" t="s">
        <v>140</v>
      </c>
      <c r="E549" s="11"/>
      <c r="F549" s="12"/>
      <c r="G549" s="12"/>
      <c r="H549" s="12">
        <v>369</v>
      </c>
      <c r="I549" s="12">
        <v>92</v>
      </c>
      <c r="J549" s="12"/>
      <c r="K549" s="12">
        <v>81</v>
      </c>
      <c r="L549" s="12"/>
      <c r="M549" s="12"/>
      <c r="N549" s="12"/>
      <c r="O549" s="12"/>
      <c r="P549" s="12"/>
      <c r="Q549" s="12"/>
      <c r="R549" s="12"/>
      <c r="S549" s="12"/>
      <c r="T549" s="13"/>
      <c r="U549" s="46"/>
      <c r="V549" s="47"/>
      <c r="W549" s="48">
        <f t="shared" si="62"/>
        <v>0</v>
      </c>
      <c r="X549" s="48">
        <f t="shared" si="63"/>
        <v>0</v>
      </c>
      <c r="Y549" s="48">
        <f t="shared" si="64"/>
        <v>0</v>
      </c>
      <c r="Z549" s="48">
        <f t="shared" si="65"/>
        <v>0</v>
      </c>
      <c r="AA549" s="48"/>
      <c r="AB549" s="48"/>
      <c r="AC549" s="49">
        <f t="shared" si="66"/>
        <v>0</v>
      </c>
      <c r="AD549" s="50">
        <v>0</v>
      </c>
      <c r="AE549" s="47">
        <v>39953</v>
      </c>
      <c r="AF549" s="51" t="s">
        <v>516</v>
      </c>
      <c r="AG549" s="52" t="s">
        <v>517</v>
      </c>
      <c r="AH549" s="53" t="s">
        <v>1246</v>
      </c>
      <c r="AI549" s="79"/>
      <c r="AJ549" s="80"/>
      <c r="AK549" s="81"/>
      <c r="AL549" s="80"/>
      <c r="AM549" s="80"/>
      <c r="AN549" s="80"/>
      <c r="AO549" s="80"/>
      <c r="AP549" s="80"/>
      <c r="AQ549" s="80"/>
      <c r="AR549" s="80"/>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0"/>
      <c r="CB549" s="80"/>
      <c r="CC549" s="80"/>
      <c r="CD549" s="80"/>
      <c r="CE549" s="80"/>
      <c r="CF549" s="80"/>
      <c r="CG549" s="80"/>
      <c r="CH549" s="80"/>
      <c r="CI549" s="80"/>
      <c r="CJ549" s="80"/>
      <c r="CK549" s="82"/>
      <c r="CL549" s="12"/>
      <c r="CM549" s="82"/>
      <c r="CN549" s="12"/>
      <c r="CO549" s="82"/>
      <c r="CP549" s="12"/>
      <c r="CQ549" s="83">
        <f t="shared" si="67"/>
        <v>0</v>
      </c>
      <c r="CR549" s="84"/>
      <c r="CS549" s="13"/>
      <c r="CT549" s="85"/>
      <c r="CU549" s="86"/>
      <c r="CV549" s="11"/>
      <c r="CW549" s="86"/>
      <c r="CX549" s="84"/>
      <c r="CY549" s="86"/>
    </row>
    <row r="550" spans="1:103" ht="25.5" x14ac:dyDescent="0.2">
      <c r="A550" s="43">
        <v>39953</v>
      </c>
      <c r="B550" s="44" t="s">
        <v>1114</v>
      </c>
      <c r="C550" s="44" t="s">
        <v>1043</v>
      </c>
      <c r="D550" s="45" t="s">
        <v>1092</v>
      </c>
      <c r="E550" s="11"/>
      <c r="F550" s="12"/>
      <c r="G550" s="12"/>
      <c r="H550" s="12">
        <v>30</v>
      </c>
      <c r="I550" s="12">
        <v>5</v>
      </c>
      <c r="J550" s="12">
        <v>4</v>
      </c>
      <c r="K550" s="12">
        <v>1</v>
      </c>
      <c r="L550" s="12"/>
      <c r="M550" s="12"/>
      <c r="N550" s="12"/>
      <c r="O550" s="12"/>
      <c r="P550" s="12"/>
      <c r="Q550" s="12"/>
      <c r="R550" s="12"/>
      <c r="S550" s="12"/>
      <c r="T550" s="13"/>
      <c r="U550" s="46"/>
      <c r="V550" s="47"/>
      <c r="W550" s="48">
        <f t="shared" si="62"/>
        <v>0</v>
      </c>
      <c r="X550" s="48">
        <f t="shared" si="63"/>
        <v>0</v>
      </c>
      <c r="Y550" s="48">
        <f t="shared" si="64"/>
        <v>0</v>
      </c>
      <c r="Z550" s="48">
        <f t="shared" si="65"/>
        <v>0</v>
      </c>
      <c r="AA550" s="48"/>
      <c r="AB550" s="48"/>
      <c r="AC550" s="49">
        <f t="shared" si="66"/>
        <v>0</v>
      </c>
      <c r="AD550" s="50">
        <v>0</v>
      </c>
      <c r="AE550" s="47">
        <v>39954</v>
      </c>
      <c r="AF550" s="51" t="s">
        <v>516</v>
      </c>
      <c r="AG550" s="52" t="s">
        <v>517</v>
      </c>
      <c r="AH550" s="53" t="s">
        <v>320</v>
      </c>
      <c r="AI550" s="79"/>
      <c r="AJ550" s="80"/>
      <c r="AK550" s="81"/>
      <c r="AL550" s="80"/>
      <c r="AM550" s="80"/>
      <c r="AN550" s="80"/>
      <c r="AO550" s="80"/>
      <c r="AP550" s="80"/>
      <c r="AQ550" s="80"/>
      <c r="AR550" s="80"/>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0"/>
      <c r="CB550" s="80"/>
      <c r="CC550" s="80"/>
      <c r="CD550" s="80"/>
      <c r="CE550" s="80"/>
      <c r="CF550" s="80"/>
      <c r="CG550" s="80"/>
      <c r="CH550" s="80"/>
      <c r="CI550" s="80"/>
      <c r="CJ550" s="80"/>
      <c r="CK550" s="82"/>
      <c r="CL550" s="12"/>
      <c r="CM550" s="82"/>
      <c r="CN550" s="12"/>
      <c r="CO550" s="82"/>
      <c r="CP550" s="12"/>
      <c r="CQ550" s="83">
        <f t="shared" si="67"/>
        <v>0</v>
      </c>
      <c r="CR550" s="84"/>
      <c r="CS550" s="13"/>
      <c r="CT550" s="85"/>
      <c r="CU550" s="86"/>
      <c r="CV550" s="11"/>
      <c r="CW550" s="86"/>
      <c r="CX550" s="84"/>
      <c r="CY550" s="86"/>
    </row>
    <row r="551" spans="1:103" ht="102" x14ac:dyDescent="0.2">
      <c r="A551" s="43">
        <v>39954</v>
      </c>
      <c r="B551" s="44" t="s">
        <v>1301</v>
      </c>
      <c r="C551" s="44" t="s">
        <v>533</v>
      </c>
      <c r="D551" s="45" t="s">
        <v>1118</v>
      </c>
      <c r="E551" s="11"/>
      <c r="F551" s="12"/>
      <c r="G551" s="12"/>
      <c r="H551" s="12">
        <f>380*5</f>
        <v>1900</v>
      </c>
      <c r="I551" s="12">
        <v>380</v>
      </c>
      <c r="J551" s="12"/>
      <c r="K551" s="12">
        <v>380</v>
      </c>
      <c r="L551" s="12">
        <v>1</v>
      </c>
      <c r="M551" s="12"/>
      <c r="N551" s="12"/>
      <c r="O551" s="12"/>
      <c r="P551" s="12"/>
      <c r="Q551" s="12"/>
      <c r="R551" s="12"/>
      <c r="S551" s="12"/>
      <c r="T551" s="13"/>
      <c r="U551" s="46"/>
      <c r="V551" s="47"/>
      <c r="W551" s="48">
        <f t="shared" si="62"/>
        <v>49590000</v>
      </c>
      <c r="X551" s="48">
        <f t="shared" si="63"/>
        <v>32300000</v>
      </c>
      <c r="Y551" s="48">
        <f t="shared" si="64"/>
        <v>0</v>
      </c>
      <c r="Z551" s="48">
        <f t="shared" si="65"/>
        <v>0</v>
      </c>
      <c r="AA551" s="48"/>
      <c r="AB551" s="48"/>
      <c r="AC551" s="49">
        <f t="shared" si="66"/>
        <v>81890000</v>
      </c>
      <c r="AD551" s="50">
        <v>0</v>
      </c>
      <c r="AE551" s="47">
        <v>39954</v>
      </c>
      <c r="AF551" s="51" t="s">
        <v>1016</v>
      </c>
      <c r="AG551" s="52" t="s">
        <v>565</v>
      </c>
      <c r="AH551" s="53" t="s">
        <v>318</v>
      </c>
      <c r="AI551" s="79"/>
      <c r="AJ551" s="80"/>
      <c r="AK551" s="81"/>
      <c r="AL551" s="80"/>
      <c r="AM551" s="80"/>
      <c r="AN551" s="80"/>
      <c r="AO551" s="80"/>
      <c r="AP551" s="80"/>
      <c r="AQ551" s="80"/>
      <c r="AR551" s="80"/>
      <c r="AS551" s="80"/>
      <c r="AT551" s="80"/>
      <c r="AU551" s="80">
        <v>380</v>
      </c>
      <c r="AV551" s="80">
        <f>380*56000</f>
        <v>21280000</v>
      </c>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0"/>
      <c r="CB551" s="80"/>
      <c r="CC551" s="80"/>
      <c r="CD551" s="80"/>
      <c r="CE551" s="80"/>
      <c r="CF551" s="80"/>
      <c r="CG551" s="80"/>
      <c r="CH551" s="80"/>
      <c r="CI551" s="80"/>
      <c r="CJ551" s="80"/>
      <c r="CK551" s="82">
        <v>380</v>
      </c>
      <c r="CL551" s="12">
        <f>380*38500</f>
        <v>14630000</v>
      </c>
      <c r="CM551" s="82">
        <v>380</v>
      </c>
      <c r="CN551" s="12">
        <f>380*36000</f>
        <v>13680000</v>
      </c>
      <c r="CO551" s="82"/>
      <c r="CP551" s="12"/>
      <c r="CQ551" s="83">
        <f t="shared" si="67"/>
        <v>49590000</v>
      </c>
      <c r="CR551" s="84"/>
      <c r="CS551" s="13"/>
      <c r="CT551" s="85">
        <v>380</v>
      </c>
      <c r="CU551" s="86">
        <f>380*85000</f>
        <v>32300000</v>
      </c>
      <c r="CV551" s="11"/>
      <c r="CW551" s="86"/>
      <c r="CX551" s="84"/>
      <c r="CY551" s="86"/>
    </row>
    <row r="552" spans="1:103" ht="38.25" x14ac:dyDescent="0.2">
      <c r="A552" s="43">
        <v>39954</v>
      </c>
      <c r="B552" s="44" t="s">
        <v>1301</v>
      </c>
      <c r="C552" s="44" t="s">
        <v>1019</v>
      </c>
      <c r="D552" s="45" t="s">
        <v>1118</v>
      </c>
      <c r="E552" s="11"/>
      <c r="F552" s="12"/>
      <c r="G552" s="12"/>
      <c r="H552" s="12">
        <v>9</v>
      </c>
      <c r="I552" s="12">
        <v>2</v>
      </c>
      <c r="J552" s="12"/>
      <c r="K552" s="12">
        <v>2</v>
      </c>
      <c r="L552" s="12"/>
      <c r="M552" s="12"/>
      <c r="N552" s="12"/>
      <c r="O552" s="12"/>
      <c r="P552" s="12"/>
      <c r="Q552" s="12"/>
      <c r="R552" s="12"/>
      <c r="S552" s="12"/>
      <c r="T552" s="13">
        <v>150</v>
      </c>
      <c r="U552" s="46" t="s">
        <v>1024</v>
      </c>
      <c r="V552" s="47"/>
      <c r="W552" s="48">
        <f t="shared" si="62"/>
        <v>0</v>
      </c>
      <c r="X552" s="48">
        <f t="shared" si="63"/>
        <v>0</v>
      </c>
      <c r="Y552" s="48">
        <f t="shared" si="64"/>
        <v>0</v>
      </c>
      <c r="Z552" s="48">
        <f t="shared" si="65"/>
        <v>0</v>
      </c>
      <c r="AA552" s="48"/>
      <c r="AB552" s="48"/>
      <c r="AC552" s="49">
        <f t="shared" si="66"/>
        <v>0</v>
      </c>
      <c r="AD552" s="50">
        <v>0</v>
      </c>
      <c r="AE552" s="47">
        <v>39954</v>
      </c>
      <c r="AF552" s="51" t="s">
        <v>516</v>
      </c>
      <c r="AG552" s="52" t="s">
        <v>517</v>
      </c>
      <c r="AH552" s="53" t="s">
        <v>1025</v>
      </c>
      <c r="AI552" s="79"/>
      <c r="AJ552" s="80"/>
      <c r="AK552" s="81"/>
      <c r="AL552" s="80"/>
      <c r="AM552" s="80"/>
      <c r="AN552" s="80"/>
      <c r="AO552" s="80"/>
      <c r="AP552" s="80"/>
      <c r="AQ552" s="80"/>
      <c r="AR552" s="80"/>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0"/>
      <c r="CB552" s="80"/>
      <c r="CC552" s="80"/>
      <c r="CD552" s="80"/>
      <c r="CE552" s="80"/>
      <c r="CF552" s="80"/>
      <c r="CG552" s="80"/>
      <c r="CH552" s="80"/>
      <c r="CI552" s="80"/>
      <c r="CJ552" s="80"/>
      <c r="CK552" s="82"/>
      <c r="CL552" s="12"/>
      <c r="CM552" s="82"/>
      <c r="CN552" s="12"/>
      <c r="CO552" s="82"/>
      <c r="CP552" s="12"/>
      <c r="CQ552" s="83">
        <f t="shared" si="67"/>
        <v>0</v>
      </c>
      <c r="CR552" s="84"/>
      <c r="CS552" s="13"/>
      <c r="CT552" s="85"/>
      <c r="CU552" s="86"/>
      <c r="CV552" s="11"/>
      <c r="CW552" s="86"/>
      <c r="CX552" s="84"/>
      <c r="CY552" s="86"/>
    </row>
    <row r="553" spans="1:103" ht="25.5" x14ac:dyDescent="0.2">
      <c r="A553" s="43">
        <v>39954</v>
      </c>
      <c r="B553" s="44" t="s">
        <v>1301</v>
      </c>
      <c r="C553" s="44" t="s">
        <v>1020</v>
      </c>
      <c r="D553" s="45" t="s">
        <v>1118</v>
      </c>
      <c r="E553" s="11"/>
      <c r="F553" s="12"/>
      <c r="G553" s="12"/>
      <c r="H553" s="12">
        <v>23</v>
      </c>
      <c r="I553" s="12">
        <v>4</v>
      </c>
      <c r="J553" s="12"/>
      <c r="K553" s="12">
        <v>4</v>
      </c>
      <c r="L553" s="12"/>
      <c r="M553" s="12"/>
      <c r="N553" s="12"/>
      <c r="O553" s="12"/>
      <c r="P553" s="12"/>
      <c r="Q553" s="12"/>
      <c r="R553" s="12"/>
      <c r="S553" s="12"/>
      <c r="T553" s="13"/>
      <c r="U553" s="46"/>
      <c r="V553" s="47"/>
      <c r="W553" s="48">
        <f t="shared" si="62"/>
        <v>0</v>
      </c>
      <c r="X553" s="48">
        <f t="shared" si="63"/>
        <v>0</v>
      </c>
      <c r="Y553" s="48">
        <f t="shared" si="64"/>
        <v>0</v>
      </c>
      <c r="Z553" s="48">
        <f t="shared" si="65"/>
        <v>0</v>
      </c>
      <c r="AA553" s="48"/>
      <c r="AB553" s="48"/>
      <c r="AC553" s="49">
        <f t="shared" si="66"/>
        <v>0</v>
      </c>
      <c r="AD553" s="50">
        <v>0</v>
      </c>
      <c r="AE553" s="47">
        <v>39954</v>
      </c>
      <c r="AF553" s="51" t="s">
        <v>516</v>
      </c>
      <c r="AG553" s="52" t="s">
        <v>517</v>
      </c>
      <c r="AH553" s="53"/>
      <c r="AI553" s="79"/>
      <c r="AJ553" s="80"/>
      <c r="AK553" s="81"/>
      <c r="AL553" s="80"/>
      <c r="AM553" s="80"/>
      <c r="AN553" s="80"/>
      <c r="AO553" s="80"/>
      <c r="AP553" s="80"/>
      <c r="AQ553" s="80"/>
      <c r="AR553" s="80"/>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0"/>
      <c r="CB553" s="80"/>
      <c r="CC553" s="80"/>
      <c r="CD553" s="80"/>
      <c r="CE553" s="80"/>
      <c r="CF553" s="80"/>
      <c r="CG553" s="80"/>
      <c r="CH553" s="80"/>
      <c r="CI553" s="80"/>
      <c r="CJ553" s="80"/>
      <c r="CK553" s="82"/>
      <c r="CL553" s="12"/>
      <c r="CM553" s="82"/>
      <c r="CN553" s="12"/>
      <c r="CO553" s="82"/>
      <c r="CP553" s="12"/>
      <c r="CQ553" s="83">
        <f t="shared" si="67"/>
        <v>0</v>
      </c>
      <c r="CR553" s="84"/>
      <c r="CS553" s="13"/>
      <c r="CT553" s="85"/>
      <c r="CU553" s="86"/>
      <c r="CV553" s="11"/>
      <c r="CW553" s="86"/>
      <c r="CX553" s="84"/>
      <c r="CY553" s="86"/>
    </row>
    <row r="554" spans="1:103" ht="63.75" x14ac:dyDescent="0.2">
      <c r="A554" s="43">
        <v>39954</v>
      </c>
      <c r="B554" s="44" t="s">
        <v>1301</v>
      </c>
      <c r="C554" s="44" t="s">
        <v>1021</v>
      </c>
      <c r="D554" s="45" t="s">
        <v>1118</v>
      </c>
      <c r="E554" s="11"/>
      <c r="F554" s="12"/>
      <c r="G554" s="12"/>
      <c r="H554" s="12">
        <v>115</v>
      </c>
      <c r="I554" s="12">
        <v>23</v>
      </c>
      <c r="J554" s="12"/>
      <c r="K554" s="12">
        <v>23</v>
      </c>
      <c r="L554" s="12"/>
      <c r="M554" s="12"/>
      <c r="N554" s="12"/>
      <c r="O554" s="12"/>
      <c r="P554" s="12"/>
      <c r="Q554" s="12"/>
      <c r="R554" s="12"/>
      <c r="S554" s="12"/>
      <c r="T554" s="13">
        <v>840</v>
      </c>
      <c r="U554" s="46" t="s">
        <v>1026</v>
      </c>
      <c r="V554" s="47"/>
      <c r="W554" s="48">
        <f t="shared" si="62"/>
        <v>0</v>
      </c>
      <c r="X554" s="48">
        <f t="shared" si="63"/>
        <v>0</v>
      </c>
      <c r="Y554" s="48">
        <f t="shared" si="64"/>
        <v>0</v>
      </c>
      <c r="Z554" s="48">
        <f t="shared" si="65"/>
        <v>0</v>
      </c>
      <c r="AA554" s="48"/>
      <c r="AB554" s="48"/>
      <c r="AC554" s="49">
        <f t="shared" si="66"/>
        <v>0</v>
      </c>
      <c r="AD554" s="50">
        <v>0</v>
      </c>
      <c r="AE554" s="47">
        <v>39954</v>
      </c>
      <c r="AF554" s="51" t="s">
        <v>516</v>
      </c>
      <c r="AG554" s="52" t="s">
        <v>517</v>
      </c>
      <c r="AH554" s="53" t="s">
        <v>1027</v>
      </c>
      <c r="AI554" s="79"/>
      <c r="AJ554" s="80"/>
      <c r="AK554" s="81"/>
      <c r="AL554" s="80"/>
      <c r="AM554" s="80"/>
      <c r="AN554" s="80"/>
      <c r="AO554" s="80"/>
      <c r="AP554" s="80"/>
      <c r="AQ554" s="80"/>
      <c r="AR554" s="80"/>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0"/>
      <c r="CB554" s="80"/>
      <c r="CC554" s="80"/>
      <c r="CD554" s="80"/>
      <c r="CE554" s="80"/>
      <c r="CF554" s="80"/>
      <c r="CG554" s="80"/>
      <c r="CH554" s="80"/>
      <c r="CI554" s="80"/>
      <c r="CJ554" s="80"/>
      <c r="CK554" s="82"/>
      <c r="CL554" s="12"/>
      <c r="CM554" s="82"/>
      <c r="CN554" s="12"/>
      <c r="CO554" s="82"/>
      <c r="CP554" s="12"/>
      <c r="CQ554" s="83">
        <f t="shared" si="67"/>
        <v>0</v>
      </c>
      <c r="CR554" s="84"/>
      <c r="CS554" s="13"/>
      <c r="CT554" s="85"/>
      <c r="CU554" s="86"/>
      <c r="CV554" s="11"/>
      <c r="CW554" s="86"/>
      <c r="CX554" s="84"/>
      <c r="CY554" s="86"/>
    </row>
    <row r="555" spans="1:103" ht="25.5" x14ac:dyDescent="0.2">
      <c r="A555" s="43">
        <v>39954</v>
      </c>
      <c r="B555" s="44" t="s">
        <v>1301</v>
      </c>
      <c r="C555" s="44" t="s">
        <v>1022</v>
      </c>
      <c r="D555" s="45" t="s">
        <v>1118</v>
      </c>
      <c r="E555" s="11"/>
      <c r="F555" s="12"/>
      <c r="G555" s="12"/>
      <c r="H555" s="12">
        <v>33</v>
      </c>
      <c r="I555" s="12">
        <v>10</v>
      </c>
      <c r="J555" s="12"/>
      <c r="K555" s="12">
        <v>10</v>
      </c>
      <c r="L555" s="12"/>
      <c r="M555" s="12"/>
      <c r="N555" s="12"/>
      <c r="O555" s="12"/>
      <c r="P555" s="12"/>
      <c r="Q555" s="12"/>
      <c r="R555" s="12"/>
      <c r="S555" s="12"/>
      <c r="T555" s="13"/>
      <c r="U555" s="46"/>
      <c r="V555" s="47"/>
      <c r="W555" s="48">
        <f t="shared" si="62"/>
        <v>0</v>
      </c>
      <c r="X555" s="48">
        <f t="shared" si="63"/>
        <v>0</v>
      </c>
      <c r="Y555" s="48">
        <f t="shared" si="64"/>
        <v>0</v>
      </c>
      <c r="Z555" s="48">
        <f t="shared" si="65"/>
        <v>0</v>
      </c>
      <c r="AA555" s="48"/>
      <c r="AB555" s="48"/>
      <c r="AC555" s="49">
        <f t="shared" si="66"/>
        <v>0</v>
      </c>
      <c r="AD555" s="50">
        <v>0</v>
      </c>
      <c r="AE555" s="47">
        <v>39954</v>
      </c>
      <c r="AF555" s="51" t="s">
        <v>516</v>
      </c>
      <c r="AG555" s="52" t="s">
        <v>517</v>
      </c>
      <c r="AH555" s="53" t="s">
        <v>1041</v>
      </c>
      <c r="AI555" s="79"/>
      <c r="AJ555" s="80"/>
      <c r="AK555" s="81"/>
      <c r="AL555" s="80"/>
      <c r="AM555" s="80"/>
      <c r="AN555" s="80"/>
      <c r="AO555" s="80"/>
      <c r="AP555" s="80"/>
      <c r="AQ555" s="80"/>
      <c r="AR555" s="80"/>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0"/>
      <c r="CB555" s="80"/>
      <c r="CC555" s="80"/>
      <c r="CD555" s="80"/>
      <c r="CE555" s="80"/>
      <c r="CF555" s="80"/>
      <c r="CG555" s="80"/>
      <c r="CH555" s="80"/>
      <c r="CI555" s="80"/>
      <c r="CJ555" s="80"/>
      <c r="CK555" s="82"/>
      <c r="CL555" s="12"/>
      <c r="CM555" s="82"/>
      <c r="CN555" s="12"/>
      <c r="CO555" s="82"/>
      <c r="CP555" s="12"/>
      <c r="CQ555" s="83">
        <f t="shared" si="67"/>
        <v>0</v>
      </c>
      <c r="CR555" s="84"/>
      <c r="CS555" s="13"/>
      <c r="CT555" s="85"/>
      <c r="CU555" s="86"/>
      <c r="CV555" s="11"/>
      <c r="CW555" s="86"/>
      <c r="CX555" s="84"/>
      <c r="CY555" s="86"/>
    </row>
    <row r="556" spans="1:103" ht="25.5" x14ac:dyDescent="0.2">
      <c r="A556" s="43">
        <v>39954</v>
      </c>
      <c r="B556" s="44" t="s">
        <v>1301</v>
      </c>
      <c r="C556" s="44" t="s">
        <v>1023</v>
      </c>
      <c r="D556" s="45" t="s">
        <v>1118</v>
      </c>
      <c r="E556" s="11"/>
      <c r="F556" s="12">
        <v>1</v>
      </c>
      <c r="G556" s="12"/>
      <c r="H556" s="12"/>
      <c r="I556" s="12"/>
      <c r="J556" s="12"/>
      <c r="K556" s="12"/>
      <c r="L556" s="12">
        <v>1</v>
      </c>
      <c r="M556" s="12">
        <v>1</v>
      </c>
      <c r="N556" s="12"/>
      <c r="O556" s="12"/>
      <c r="P556" s="12"/>
      <c r="Q556" s="12"/>
      <c r="R556" s="12"/>
      <c r="S556" s="12"/>
      <c r="T556" s="13"/>
      <c r="U556" s="46"/>
      <c r="V556" s="47"/>
      <c r="W556" s="48">
        <f t="shared" si="62"/>
        <v>0</v>
      </c>
      <c r="X556" s="48">
        <f t="shared" si="63"/>
        <v>0</v>
      </c>
      <c r="Y556" s="48">
        <f t="shared" si="64"/>
        <v>0</v>
      </c>
      <c r="Z556" s="48">
        <f t="shared" si="65"/>
        <v>0</v>
      </c>
      <c r="AA556" s="48"/>
      <c r="AB556" s="48"/>
      <c r="AC556" s="49">
        <f t="shared" si="66"/>
        <v>0</v>
      </c>
      <c r="AD556" s="50">
        <v>0</v>
      </c>
      <c r="AE556" s="47">
        <v>39954</v>
      </c>
      <c r="AF556" s="51" t="s">
        <v>516</v>
      </c>
      <c r="AG556" s="52" t="s">
        <v>517</v>
      </c>
      <c r="AH556" s="53" t="s">
        <v>1042</v>
      </c>
      <c r="AI556" s="79"/>
      <c r="AJ556" s="80"/>
      <c r="AK556" s="81"/>
      <c r="AL556" s="80"/>
      <c r="AM556" s="80"/>
      <c r="AN556" s="80"/>
      <c r="AO556" s="80"/>
      <c r="AP556" s="80"/>
      <c r="AQ556" s="80"/>
      <c r="AR556" s="80"/>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0"/>
      <c r="CB556" s="80"/>
      <c r="CC556" s="80"/>
      <c r="CD556" s="80"/>
      <c r="CE556" s="80"/>
      <c r="CF556" s="80"/>
      <c r="CG556" s="80"/>
      <c r="CH556" s="80"/>
      <c r="CI556" s="80"/>
      <c r="CJ556" s="80"/>
      <c r="CK556" s="82"/>
      <c r="CL556" s="12"/>
      <c r="CM556" s="82"/>
      <c r="CN556" s="12"/>
      <c r="CO556" s="82"/>
      <c r="CP556" s="12"/>
      <c r="CQ556" s="83">
        <f t="shared" si="67"/>
        <v>0</v>
      </c>
      <c r="CR556" s="84"/>
      <c r="CS556" s="13"/>
      <c r="CT556" s="85"/>
      <c r="CU556" s="86"/>
      <c r="CV556" s="11"/>
      <c r="CW556" s="86"/>
      <c r="CX556" s="84"/>
      <c r="CY556" s="86"/>
    </row>
    <row r="557" spans="1:103" ht="51" x14ac:dyDescent="0.2">
      <c r="A557" s="43">
        <v>39955</v>
      </c>
      <c r="B557" s="44" t="s">
        <v>1224</v>
      </c>
      <c r="C557" s="44" t="s">
        <v>1055</v>
      </c>
      <c r="D557" s="45" t="s">
        <v>1118</v>
      </c>
      <c r="E557" s="11"/>
      <c r="F557" s="12"/>
      <c r="G557" s="12"/>
      <c r="H557" s="12">
        <f>70*5</f>
        <v>350</v>
      </c>
      <c r="I557" s="12">
        <v>70</v>
      </c>
      <c r="J557" s="12"/>
      <c r="K557" s="12">
        <v>70</v>
      </c>
      <c r="L557" s="12"/>
      <c r="M557" s="12"/>
      <c r="N557" s="12"/>
      <c r="O557" s="12"/>
      <c r="P557" s="12"/>
      <c r="Q557" s="12"/>
      <c r="R557" s="12"/>
      <c r="S557" s="12"/>
      <c r="T557" s="13"/>
      <c r="U557" s="46"/>
      <c r="V557" s="47"/>
      <c r="W557" s="48">
        <f t="shared" si="62"/>
        <v>0</v>
      </c>
      <c r="X557" s="48">
        <f t="shared" si="63"/>
        <v>0</v>
      </c>
      <c r="Y557" s="48">
        <f t="shared" si="64"/>
        <v>0</v>
      </c>
      <c r="Z557" s="48">
        <f t="shared" si="65"/>
        <v>0</v>
      </c>
      <c r="AA557" s="48"/>
      <c r="AB557" s="48"/>
      <c r="AC557" s="49">
        <f t="shared" si="66"/>
        <v>0</v>
      </c>
      <c r="AD557" s="50">
        <v>0</v>
      </c>
      <c r="AE557" s="47">
        <v>39966</v>
      </c>
      <c r="AF557" s="51" t="s">
        <v>1016</v>
      </c>
      <c r="AG557" s="52" t="s">
        <v>517</v>
      </c>
      <c r="AH557" s="53" t="s">
        <v>16</v>
      </c>
      <c r="AI557" s="79"/>
      <c r="AJ557" s="80"/>
      <c r="AK557" s="81"/>
      <c r="AL557" s="80"/>
      <c r="AM557" s="80"/>
      <c r="AN557" s="80"/>
      <c r="AO557" s="80"/>
      <c r="AP557" s="80"/>
      <c r="AQ557" s="80"/>
      <c r="AR557" s="80"/>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0"/>
      <c r="CB557" s="80"/>
      <c r="CC557" s="80"/>
      <c r="CD557" s="80"/>
      <c r="CE557" s="80"/>
      <c r="CF557" s="80"/>
      <c r="CG557" s="80"/>
      <c r="CH557" s="80"/>
      <c r="CI557" s="80"/>
      <c r="CJ557" s="80"/>
      <c r="CK557" s="82"/>
      <c r="CL557" s="12"/>
      <c r="CM557" s="82"/>
      <c r="CN557" s="12"/>
      <c r="CO557" s="82"/>
      <c r="CP557" s="12"/>
      <c r="CQ557" s="83">
        <f t="shared" si="67"/>
        <v>0</v>
      </c>
      <c r="CR557" s="84"/>
      <c r="CS557" s="13"/>
      <c r="CT557" s="85"/>
      <c r="CU557" s="86"/>
      <c r="CV557" s="11"/>
      <c r="CW557" s="86"/>
      <c r="CX557" s="84"/>
      <c r="CY557" s="86"/>
    </row>
    <row r="558" spans="1:103" ht="25.5" x14ac:dyDescent="0.2">
      <c r="A558" s="43">
        <v>39955</v>
      </c>
      <c r="B558" s="44" t="s">
        <v>1097</v>
      </c>
      <c r="C558" s="44" t="s">
        <v>460</v>
      </c>
      <c r="D558" s="45" t="s">
        <v>1118</v>
      </c>
      <c r="E558" s="11"/>
      <c r="F558" s="12"/>
      <c r="G558" s="12"/>
      <c r="H558" s="12">
        <f>99*5</f>
        <v>495</v>
      </c>
      <c r="I558" s="12">
        <v>99</v>
      </c>
      <c r="J558" s="12"/>
      <c r="K558" s="12"/>
      <c r="L558" s="12"/>
      <c r="M558" s="12"/>
      <c r="N558" s="12"/>
      <c r="O558" s="12"/>
      <c r="P558" s="12"/>
      <c r="Q558" s="12"/>
      <c r="R558" s="12"/>
      <c r="S558" s="12"/>
      <c r="T558" s="13"/>
      <c r="U558" s="46"/>
      <c r="V558" s="47"/>
      <c r="W558" s="48">
        <f t="shared" si="62"/>
        <v>0</v>
      </c>
      <c r="X558" s="48">
        <f t="shared" si="63"/>
        <v>0</v>
      </c>
      <c r="Y558" s="48">
        <f t="shared" si="64"/>
        <v>0</v>
      </c>
      <c r="Z558" s="48">
        <f t="shared" si="65"/>
        <v>0</v>
      </c>
      <c r="AA558" s="48"/>
      <c r="AB558" s="48"/>
      <c r="AC558" s="49">
        <f t="shared" si="66"/>
        <v>0</v>
      </c>
      <c r="AD558" s="50">
        <v>0</v>
      </c>
      <c r="AE558" s="47">
        <v>39982</v>
      </c>
      <c r="AF558" s="51" t="s">
        <v>516</v>
      </c>
      <c r="AG558" s="52" t="s">
        <v>517</v>
      </c>
      <c r="AH558" s="53" t="s">
        <v>1281</v>
      </c>
      <c r="AI558" s="79"/>
      <c r="AJ558" s="80"/>
      <c r="AK558" s="81"/>
      <c r="AL558" s="80"/>
      <c r="AM558" s="80"/>
      <c r="AN558" s="80"/>
      <c r="AO558" s="80"/>
      <c r="AP558" s="80"/>
      <c r="AQ558" s="80"/>
      <c r="AR558" s="80"/>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0"/>
      <c r="CB558" s="80"/>
      <c r="CC558" s="80"/>
      <c r="CD558" s="80"/>
      <c r="CE558" s="80"/>
      <c r="CF558" s="80"/>
      <c r="CG558" s="80"/>
      <c r="CH558" s="80"/>
      <c r="CI558" s="80"/>
      <c r="CJ558" s="80"/>
      <c r="CK558" s="82"/>
      <c r="CL558" s="12"/>
      <c r="CM558" s="82"/>
      <c r="CN558" s="12"/>
      <c r="CO558" s="82"/>
      <c r="CP558" s="12"/>
      <c r="CQ558" s="83">
        <f t="shared" si="67"/>
        <v>0</v>
      </c>
      <c r="CR558" s="84"/>
      <c r="CS558" s="13"/>
      <c r="CT558" s="85"/>
      <c r="CU558" s="86"/>
      <c r="CV558" s="11"/>
      <c r="CW558" s="86"/>
      <c r="CX558" s="84"/>
      <c r="CY558" s="86"/>
    </row>
    <row r="559" spans="1:103" ht="25.5" x14ac:dyDescent="0.2">
      <c r="A559" s="43">
        <v>39956</v>
      </c>
      <c r="B559" s="44" t="s">
        <v>1094</v>
      </c>
      <c r="C559" s="44" t="s">
        <v>145</v>
      </c>
      <c r="D559" s="45" t="s">
        <v>1118</v>
      </c>
      <c r="E559" s="11"/>
      <c r="F559" s="12"/>
      <c r="G559" s="12"/>
      <c r="H559" s="12">
        <v>150</v>
      </c>
      <c r="I559" s="12">
        <v>30</v>
      </c>
      <c r="J559" s="12"/>
      <c r="K559" s="12">
        <v>30</v>
      </c>
      <c r="L559" s="12"/>
      <c r="M559" s="12"/>
      <c r="N559" s="12"/>
      <c r="O559" s="12"/>
      <c r="P559" s="12"/>
      <c r="Q559" s="12"/>
      <c r="R559" s="12"/>
      <c r="S559" s="12"/>
      <c r="T559" s="13"/>
      <c r="U559" s="46"/>
      <c r="V559" s="47"/>
      <c r="W559" s="48">
        <f t="shared" si="62"/>
        <v>0</v>
      </c>
      <c r="X559" s="48">
        <f t="shared" si="63"/>
        <v>0</v>
      </c>
      <c r="Y559" s="48">
        <f t="shared" si="64"/>
        <v>0</v>
      </c>
      <c r="Z559" s="48">
        <f t="shared" si="65"/>
        <v>0</v>
      </c>
      <c r="AA559" s="48"/>
      <c r="AB559" s="48"/>
      <c r="AC559" s="49">
        <f t="shared" si="66"/>
        <v>0</v>
      </c>
      <c r="AD559" s="50">
        <v>0</v>
      </c>
      <c r="AE559" s="47">
        <v>39959</v>
      </c>
      <c r="AF559" s="51" t="s">
        <v>516</v>
      </c>
      <c r="AG559" s="52" t="s">
        <v>517</v>
      </c>
      <c r="AH559" s="53" t="s">
        <v>146</v>
      </c>
      <c r="AI559" s="79"/>
      <c r="AJ559" s="80"/>
      <c r="AK559" s="81"/>
      <c r="AL559" s="80"/>
      <c r="AM559" s="80"/>
      <c r="AN559" s="80"/>
      <c r="AO559" s="80"/>
      <c r="AP559" s="80"/>
      <c r="AQ559" s="80"/>
      <c r="AR559" s="80"/>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0"/>
      <c r="CB559" s="80"/>
      <c r="CC559" s="80"/>
      <c r="CD559" s="80"/>
      <c r="CE559" s="80"/>
      <c r="CF559" s="80"/>
      <c r="CG559" s="80"/>
      <c r="CH559" s="80"/>
      <c r="CI559" s="80"/>
      <c r="CJ559" s="80"/>
      <c r="CK559" s="82"/>
      <c r="CL559" s="12"/>
      <c r="CM559" s="82"/>
      <c r="CN559" s="12"/>
      <c r="CO559" s="82"/>
      <c r="CP559" s="12"/>
      <c r="CQ559" s="83">
        <f t="shared" si="67"/>
        <v>0</v>
      </c>
      <c r="CR559" s="84"/>
      <c r="CS559" s="13"/>
      <c r="CT559" s="85"/>
      <c r="CU559" s="86"/>
      <c r="CV559" s="11"/>
      <c r="CW559" s="86"/>
      <c r="CX559" s="84"/>
      <c r="CY559" s="86"/>
    </row>
    <row r="560" spans="1:103" ht="25.5" x14ac:dyDescent="0.2">
      <c r="A560" s="43">
        <v>39957</v>
      </c>
      <c r="B560" s="44" t="s">
        <v>625</v>
      </c>
      <c r="C560" s="44" t="s">
        <v>1282</v>
      </c>
      <c r="D560" s="45" t="s">
        <v>1117</v>
      </c>
      <c r="E560" s="11"/>
      <c r="F560" s="12"/>
      <c r="G560" s="12"/>
      <c r="H560" s="12">
        <v>415</v>
      </c>
      <c r="I560" s="12">
        <v>83</v>
      </c>
      <c r="J560" s="12"/>
      <c r="K560" s="12">
        <v>83</v>
      </c>
      <c r="L560" s="12"/>
      <c r="M560" s="12"/>
      <c r="N560" s="12"/>
      <c r="O560" s="12"/>
      <c r="P560" s="12"/>
      <c r="Q560" s="12"/>
      <c r="R560" s="12"/>
      <c r="S560" s="12"/>
      <c r="T560" s="13"/>
      <c r="U560" s="46"/>
      <c r="V560" s="47"/>
      <c r="W560" s="48">
        <f t="shared" si="62"/>
        <v>0</v>
      </c>
      <c r="X560" s="48">
        <f t="shared" si="63"/>
        <v>0</v>
      </c>
      <c r="Y560" s="48">
        <f t="shared" si="64"/>
        <v>0</v>
      </c>
      <c r="Z560" s="48">
        <f t="shared" si="65"/>
        <v>0</v>
      </c>
      <c r="AA560" s="48"/>
      <c r="AB560" s="48"/>
      <c r="AC560" s="49">
        <f t="shared" si="66"/>
        <v>0</v>
      </c>
      <c r="AD560" s="50">
        <v>0</v>
      </c>
      <c r="AE560" s="47">
        <v>39959</v>
      </c>
      <c r="AF560" s="51" t="s">
        <v>516</v>
      </c>
      <c r="AG560" s="52" t="s">
        <v>517</v>
      </c>
      <c r="AH560" s="53"/>
      <c r="AI560" s="79"/>
      <c r="AJ560" s="80"/>
      <c r="AK560" s="81"/>
      <c r="AL560" s="80"/>
      <c r="AM560" s="80"/>
      <c r="AN560" s="80"/>
      <c r="AO560" s="80"/>
      <c r="AP560" s="80"/>
      <c r="AQ560" s="80"/>
      <c r="AR560" s="80"/>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0"/>
      <c r="CB560" s="80"/>
      <c r="CC560" s="80"/>
      <c r="CD560" s="80"/>
      <c r="CE560" s="80"/>
      <c r="CF560" s="80"/>
      <c r="CG560" s="80"/>
      <c r="CH560" s="80"/>
      <c r="CI560" s="80"/>
      <c r="CJ560" s="80"/>
      <c r="CK560" s="82"/>
      <c r="CL560" s="12"/>
      <c r="CM560" s="82"/>
      <c r="CN560" s="12"/>
      <c r="CO560" s="82"/>
      <c r="CP560" s="12"/>
      <c r="CQ560" s="83">
        <f t="shared" si="67"/>
        <v>0</v>
      </c>
      <c r="CR560" s="84"/>
      <c r="CS560" s="13"/>
      <c r="CT560" s="85"/>
      <c r="CU560" s="86"/>
      <c r="CV560" s="11"/>
      <c r="CW560" s="86"/>
      <c r="CX560" s="84"/>
      <c r="CY560" s="86"/>
    </row>
    <row r="561" spans="1:103" ht="51" x14ac:dyDescent="0.2">
      <c r="A561" s="43">
        <v>39958</v>
      </c>
      <c r="B561" s="44" t="s">
        <v>625</v>
      </c>
      <c r="C561" s="44" t="s">
        <v>662</v>
      </c>
      <c r="D561" s="45" t="s">
        <v>1092</v>
      </c>
      <c r="E561" s="11"/>
      <c r="F561" s="12"/>
      <c r="G561" s="12"/>
      <c r="H561" s="12"/>
      <c r="I561" s="12"/>
      <c r="J561" s="12"/>
      <c r="K561" s="12"/>
      <c r="L561" s="12">
        <v>3</v>
      </c>
      <c r="M561" s="12"/>
      <c r="N561" s="12"/>
      <c r="O561" s="12"/>
      <c r="P561" s="12"/>
      <c r="Q561" s="12"/>
      <c r="R561" s="12"/>
      <c r="S561" s="12"/>
      <c r="T561" s="13"/>
      <c r="U561" s="46"/>
      <c r="V561" s="47"/>
      <c r="W561" s="48">
        <f t="shared" si="62"/>
        <v>0</v>
      </c>
      <c r="X561" s="48">
        <f t="shared" si="63"/>
        <v>0</v>
      </c>
      <c r="Y561" s="48">
        <f t="shared" si="64"/>
        <v>0</v>
      </c>
      <c r="Z561" s="48">
        <f t="shared" si="65"/>
        <v>0</v>
      </c>
      <c r="AA561" s="48"/>
      <c r="AB561" s="48"/>
      <c r="AC561" s="49">
        <f t="shared" si="66"/>
        <v>0</v>
      </c>
      <c r="AD561" s="50">
        <v>0</v>
      </c>
      <c r="AE561" s="47">
        <v>39982</v>
      </c>
      <c r="AF561" s="51" t="s">
        <v>1016</v>
      </c>
      <c r="AG561" s="52" t="s">
        <v>517</v>
      </c>
      <c r="AH561" s="53" t="s">
        <v>17</v>
      </c>
      <c r="AI561" s="79"/>
      <c r="AJ561" s="80"/>
      <c r="AK561" s="81"/>
      <c r="AL561" s="80"/>
      <c r="AM561" s="80"/>
      <c r="AN561" s="80"/>
      <c r="AO561" s="80"/>
      <c r="AP561" s="80"/>
      <c r="AQ561" s="80"/>
      <c r="AR561" s="80"/>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0"/>
      <c r="CB561" s="80"/>
      <c r="CC561" s="80"/>
      <c r="CD561" s="80"/>
      <c r="CE561" s="80"/>
      <c r="CF561" s="80"/>
      <c r="CG561" s="80"/>
      <c r="CH561" s="80"/>
      <c r="CI561" s="80"/>
      <c r="CJ561" s="80"/>
      <c r="CK561" s="82"/>
      <c r="CL561" s="12"/>
      <c r="CM561" s="82"/>
      <c r="CN561" s="12"/>
      <c r="CO561" s="82"/>
      <c r="CP561" s="12"/>
      <c r="CQ561" s="83">
        <f t="shared" si="67"/>
        <v>0</v>
      </c>
      <c r="CR561" s="84"/>
      <c r="CS561" s="13"/>
      <c r="CT561" s="85"/>
      <c r="CU561" s="86"/>
      <c r="CV561" s="11"/>
      <c r="CW561" s="86"/>
      <c r="CX561" s="84"/>
      <c r="CY561" s="86"/>
    </row>
    <row r="562" spans="1:103" ht="25.5" x14ac:dyDescent="0.2">
      <c r="A562" s="43">
        <v>39958</v>
      </c>
      <c r="B562" s="44" t="s">
        <v>688</v>
      </c>
      <c r="C562" s="44" t="s">
        <v>815</v>
      </c>
      <c r="D562" s="45" t="s">
        <v>1117</v>
      </c>
      <c r="E562" s="11"/>
      <c r="F562" s="12"/>
      <c r="G562" s="12"/>
      <c r="H562" s="12">
        <v>106</v>
      </c>
      <c r="I562" s="12">
        <v>21</v>
      </c>
      <c r="J562" s="12"/>
      <c r="K562" s="12">
        <v>21</v>
      </c>
      <c r="L562" s="12"/>
      <c r="M562" s="12"/>
      <c r="N562" s="12"/>
      <c r="O562" s="12"/>
      <c r="P562" s="12"/>
      <c r="Q562" s="12"/>
      <c r="R562" s="12"/>
      <c r="S562" s="12"/>
      <c r="T562" s="13"/>
      <c r="U562" s="46"/>
      <c r="V562" s="47"/>
      <c r="W562" s="48">
        <f t="shared" si="62"/>
        <v>0</v>
      </c>
      <c r="X562" s="48">
        <f t="shared" si="63"/>
        <v>0</v>
      </c>
      <c r="Y562" s="48">
        <f t="shared" si="64"/>
        <v>0</v>
      </c>
      <c r="Z562" s="48">
        <f t="shared" si="65"/>
        <v>0</v>
      </c>
      <c r="AA562" s="48"/>
      <c r="AB562" s="48"/>
      <c r="AC562" s="49">
        <f t="shared" si="66"/>
        <v>0</v>
      </c>
      <c r="AD562" s="50">
        <v>0</v>
      </c>
      <c r="AE562" s="47">
        <v>39959</v>
      </c>
      <c r="AF562" s="51" t="s">
        <v>516</v>
      </c>
      <c r="AG562" s="52" t="s">
        <v>517</v>
      </c>
      <c r="AH562" s="53" t="s">
        <v>1192</v>
      </c>
      <c r="AI562" s="79"/>
      <c r="AJ562" s="80"/>
      <c r="AK562" s="81"/>
      <c r="AL562" s="80"/>
      <c r="AM562" s="80"/>
      <c r="AN562" s="80"/>
      <c r="AO562" s="80"/>
      <c r="AP562" s="80"/>
      <c r="AQ562" s="80"/>
      <c r="AR562" s="80"/>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0"/>
      <c r="CB562" s="80"/>
      <c r="CC562" s="80"/>
      <c r="CD562" s="80"/>
      <c r="CE562" s="80"/>
      <c r="CF562" s="80"/>
      <c r="CG562" s="80"/>
      <c r="CH562" s="80"/>
      <c r="CI562" s="80"/>
      <c r="CJ562" s="80"/>
      <c r="CK562" s="82"/>
      <c r="CL562" s="12"/>
      <c r="CM562" s="82"/>
      <c r="CN562" s="12"/>
      <c r="CO562" s="82"/>
      <c r="CP562" s="12"/>
      <c r="CQ562" s="83">
        <f t="shared" si="67"/>
        <v>0</v>
      </c>
      <c r="CR562" s="84"/>
      <c r="CS562" s="13"/>
      <c r="CT562" s="85"/>
      <c r="CU562" s="86"/>
      <c r="CV562" s="11"/>
      <c r="CW562" s="86"/>
      <c r="CX562" s="84"/>
      <c r="CY562" s="86"/>
    </row>
    <row r="563" spans="1:103" ht="38.25" x14ac:dyDescent="0.2">
      <c r="A563" s="43">
        <v>39958</v>
      </c>
      <c r="B563" s="44" t="s">
        <v>1097</v>
      </c>
      <c r="C563" s="44" t="s">
        <v>497</v>
      </c>
      <c r="D563" s="45" t="s">
        <v>1092</v>
      </c>
      <c r="E563" s="11">
        <v>1</v>
      </c>
      <c r="F563" s="12">
        <v>1</v>
      </c>
      <c r="G563" s="12"/>
      <c r="H563" s="12"/>
      <c r="I563" s="12"/>
      <c r="J563" s="12"/>
      <c r="K563" s="12"/>
      <c r="L563" s="12"/>
      <c r="M563" s="12"/>
      <c r="N563" s="12"/>
      <c r="O563" s="12"/>
      <c r="P563" s="12"/>
      <c r="Q563" s="12"/>
      <c r="R563" s="12"/>
      <c r="S563" s="12"/>
      <c r="T563" s="13"/>
      <c r="U563" s="46"/>
      <c r="V563" s="47"/>
      <c r="W563" s="48">
        <f t="shared" si="62"/>
        <v>0</v>
      </c>
      <c r="X563" s="48">
        <f t="shared" si="63"/>
        <v>0</v>
      </c>
      <c r="Y563" s="48">
        <f t="shared" si="64"/>
        <v>0</v>
      </c>
      <c r="Z563" s="48">
        <f t="shared" si="65"/>
        <v>0</v>
      </c>
      <c r="AA563" s="48"/>
      <c r="AB563" s="48"/>
      <c r="AC563" s="49">
        <f t="shared" si="66"/>
        <v>0</v>
      </c>
      <c r="AD563" s="50">
        <v>0</v>
      </c>
      <c r="AE563" s="47">
        <v>39959</v>
      </c>
      <c r="AF563" s="51" t="s">
        <v>516</v>
      </c>
      <c r="AG563" s="52" t="s">
        <v>517</v>
      </c>
      <c r="AH563" s="53" t="s">
        <v>153</v>
      </c>
      <c r="AI563" s="79"/>
      <c r="AJ563" s="80"/>
      <c r="AK563" s="81"/>
      <c r="AL563" s="80"/>
      <c r="AM563" s="80"/>
      <c r="AN563" s="80"/>
      <c r="AO563" s="80"/>
      <c r="AP563" s="80"/>
      <c r="AQ563" s="80"/>
      <c r="AR563" s="80"/>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0"/>
      <c r="CB563" s="80"/>
      <c r="CC563" s="80"/>
      <c r="CD563" s="80"/>
      <c r="CE563" s="80"/>
      <c r="CF563" s="80"/>
      <c r="CG563" s="80"/>
      <c r="CH563" s="80"/>
      <c r="CI563" s="80"/>
      <c r="CJ563" s="80"/>
      <c r="CK563" s="82"/>
      <c r="CL563" s="12"/>
      <c r="CM563" s="82"/>
      <c r="CN563" s="12"/>
      <c r="CO563" s="82"/>
      <c r="CP563" s="12"/>
      <c r="CQ563" s="83">
        <f t="shared" si="67"/>
        <v>0</v>
      </c>
      <c r="CR563" s="84"/>
      <c r="CS563" s="13"/>
      <c r="CT563" s="85"/>
      <c r="CU563" s="86"/>
      <c r="CV563" s="11"/>
      <c r="CW563" s="86"/>
      <c r="CX563" s="84"/>
      <c r="CY563" s="86"/>
    </row>
    <row r="564" spans="1:103" ht="12.75" x14ac:dyDescent="0.2">
      <c r="A564" s="43">
        <v>39958</v>
      </c>
      <c r="B564" s="44" t="s">
        <v>437</v>
      </c>
      <c r="C564" s="44" t="s">
        <v>114</v>
      </c>
      <c r="D564" s="45" t="s">
        <v>1117</v>
      </c>
      <c r="E564" s="11"/>
      <c r="F564" s="12"/>
      <c r="G564" s="12"/>
      <c r="H564" s="12">
        <f>138*5</f>
        <v>690</v>
      </c>
      <c r="I564" s="12">
        <v>138</v>
      </c>
      <c r="J564" s="12"/>
      <c r="K564" s="12">
        <v>138</v>
      </c>
      <c r="L564" s="12"/>
      <c r="M564" s="12"/>
      <c r="N564" s="12"/>
      <c r="O564" s="12"/>
      <c r="P564" s="12"/>
      <c r="Q564" s="12"/>
      <c r="R564" s="12"/>
      <c r="S564" s="12"/>
      <c r="T564" s="13"/>
      <c r="U564" s="46"/>
      <c r="V564" s="47"/>
      <c r="W564" s="48">
        <f t="shared" si="62"/>
        <v>0</v>
      </c>
      <c r="X564" s="48">
        <f t="shared" si="63"/>
        <v>0</v>
      </c>
      <c r="Y564" s="48">
        <f t="shared" si="64"/>
        <v>0</v>
      </c>
      <c r="Z564" s="48">
        <f t="shared" si="65"/>
        <v>0</v>
      </c>
      <c r="AA564" s="48"/>
      <c r="AB564" s="48"/>
      <c r="AC564" s="49">
        <f t="shared" si="66"/>
        <v>0</v>
      </c>
      <c r="AD564" s="50">
        <v>0</v>
      </c>
      <c r="AE564" s="47">
        <v>40081</v>
      </c>
      <c r="AF564" s="51" t="s">
        <v>1016</v>
      </c>
      <c r="AG564" s="52" t="s">
        <v>565</v>
      </c>
      <c r="AH564" s="53"/>
      <c r="AI564" s="79"/>
      <c r="AJ564" s="80"/>
      <c r="AK564" s="81"/>
      <c r="AL564" s="80"/>
      <c r="AM564" s="80"/>
      <c r="AN564" s="80"/>
      <c r="AO564" s="80"/>
      <c r="AP564" s="80"/>
      <c r="AQ564" s="80"/>
      <c r="AR564" s="80"/>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0"/>
      <c r="CB564" s="80"/>
      <c r="CC564" s="80"/>
      <c r="CD564" s="80"/>
      <c r="CE564" s="80"/>
      <c r="CF564" s="80"/>
      <c r="CG564" s="80"/>
      <c r="CH564" s="80"/>
      <c r="CI564" s="80"/>
      <c r="CJ564" s="80"/>
      <c r="CK564" s="82"/>
      <c r="CL564" s="12"/>
      <c r="CM564" s="82"/>
      <c r="CN564" s="12"/>
      <c r="CO564" s="82"/>
      <c r="CP564" s="12"/>
      <c r="CQ564" s="83">
        <f t="shared" si="67"/>
        <v>0</v>
      </c>
      <c r="CR564" s="84"/>
      <c r="CS564" s="13"/>
      <c r="CT564" s="85"/>
      <c r="CU564" s="86"/>
      <c r="CV564" s="11"/>
      <c r="CW564" s="86"/>
      <c r="CX564" s="84"/>
      <c r="CY564" s="86"/>
    </row>
    <row r="565" spans="1:103" ht="25.5" x14ac:dyDescent="0.2">
      <c r="A565" s="43">
        <v>39959</v>
      </c>
      <c r="B565" s="44" t="s">
        <v>625</v>
      </c>
      <c r="C565" s="44" t="s">
        <v>964</v>
      </c>
      <c r="D565" s="45" t="s">
        <v>1092</v>
      </c>
      <c r="E565" s="11">
        <v>5</v>
      </c>
      <c r="F565" s="12"/>
      <c r="G565" s="12"/>
      <c r="H565" s="12">
        <v>5</v>
      </c>
      <c r="I565" s="12">
        <v>1</v>
      </c>
      <c r="J565" s="12">
        <v>1</v>
      </c>
      <c r="K565" s="12"/>
      <c r="L565" s="12"/>
      <c r="M565" s="12"/>
      <c r="N565" s="12"/>
      <c r="O565" s="12"/>
      <c r="P565" s="12"/>
      <c r="Q565" s="12"/>
      <c r="R565" s="12"/>
      <c r="S565" s="12"/>
      <c r="T565" s="13"/>
      <c r="U565" s="46"/>
      <c r="V565" s="47"/>
      <c r="W565" s="48">
        <f t="shared" si="62"/>
        <v>0</v>
      </c>
      <c r="X565" s="48">
        <f t="shared" si="63"/>
        <v>0</v>
      </c>
      <c r="Y565" s="48">
        <f t="shared" si="64"/>
        <v>0</v>
      </c>
      <c r="Z565" s="48">
        <f t="shared" si="65"/>
        <v>0</v>
      </c>
      <c r="AA565" s="48"/>
      <c r="AB565" s="48"/>
      <c r="AC565" s="49">
        <f t="shared" si="66"/>
        <v>0</v>
      </c>
      <c r="AD565" s="50">
        <v>0</v>
      </c>
      <c r="AE565" s="47">
        <v>39960</v>
      </c>
      <c r="AF565" s="51" t="s">
        <v>516</v>
      </c>
      <c r="AG565" s="52" t="s">
        <v>517</v>
      </c>
      <c r="AH565" s="53" t="s">
        <v>441</v>
      </c>
      <c r="AI565" s="79"/>
      <c r="AJ565" s="80"/>
      <c r="AK565" s="81"/>
      <c r="AL565" s="80"/>
      <c r="AM565" s="80"/>
      <c r="AN565" s="80"/>
      <c r="AO565" s="80"/>
      <c r="AP565" s="80"/>
      <c r="AQ565" s="80"/>
      <c r="AR565" s="80"/>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0"/>
      <c r="CB565" s="80"/>
      <c r="CC565" s="80"/>
      <c r="CD565" s="80"/>
      <c r="CE565" s="80"/>
      <c r="CF565" s="80"/>
      <c r="CG565" s="80"/>
      <c r="CH565" s="80"/>
      <c r="CI565" s="80"/>
      <c r="CJ565" s="80"/>
      <c r="CK565" s="82"/>
      <c r="CL565" s="12"/>
      <c r="CM565" s="82"/>
      <c r="CN565" s="12"/>
      <c r="CO565" s="82"/>
      <c r="CP565" s="12"/>
      <c r="CQ565" s="83">
        <f t="shared" si="67"/>
        <v>0</v>
      </c>
      <c r="CR565" s="84"/>
      <c r="CS565" s="13"/>
      <c r="CT565" s="85"/>
      <c r="CU565" s="86"/>
      <c r="CV565" s="11"/>
      <c r="CW565" s="86"/>
      <c r="CX565" s="84"/>
      <c r="CY565" s="86"/>
    </row>
    <row r="566" spans="1:103" ht="25.5" x14ac:dyDescent="0.2">
      <c r="A566" s="43">
        <v>39961</v>
      </c>
      <c r="B566" s="44" t="s">
        <v>1097</v>
      </c>
      <c r="C566" s="44" t="s">
        <v>125</v>
      </c>
      <c r="D566" s="45" t="s">
        <v>1092</v>
      </c>
      <c r="E566" s="11"/>
      <c r="F566" s="12"/>
      <c r="G566" s="12"/>
      <c r="H566" s="12">
        <v>6</v>
      </c>
      <c r="I566" s="12">
        <v>1</v>
      </c>
      <c r="J566" s="12">
        <v>1</v>
      </c>
      <c r="K566" s="12"/>
      <c r="L566" s="12"/>
      <c r="M566" s="12"/>
      <c r="N566" s="12"/>
      <c r="O566" s="12"/>
      <c r="P566" s="12"/>
      <c r="Q566" s="12"/>
      <c r="R566" s="12"/>
      <c r="S566" s="12"/>
      <c r="T566" s="13"/>
      <c r="U566" s="46"/>
      <c r="V566" s="47"/>
      <c r="W566" s="48">
        <f t="shared" si="62"/>
        <v>0</v>
      </c>
      <c r="X566" s="48">
        <f t="shared" si="63"/>
        <v>0</v>
      </c>
      <c r="Y566" s="48">
        <f t="shared" si="64"/>
        <v>0</v>
      </c>
      <c r="Z566" s="48">
        <f t="shared" si="65"/>
        <v>0</v>
      </c>
      <c r="AA566" s="48"/>
      <c r="AB566" s="48"/>
      <c r="AC566" s="49">
        <f t="shared" si="66"/>
        <v>0</v>
      </c>
      <c r="AD566" s="50">
        <v>0</v>
      </c>
      <c r="AE566" s="47">
        <v>39962</v>
      </c>
      <c r="AF566" s="51" t="s">
        <v>516</v>
      </c>
      <c r="AG566" s="52" t="s">
        <v>517</v>
      </c>
      <c r="AH566" s="53" t="s">
        <v>147</v>
      </c>
      <c r="AI566" s="79"/>
      <c r="AJ566" s="80"/>
      <c r="AK566" s="81"/>
      <c r="AL566" s="80"/>
      <c r="AM566" s="80"/>
      <c r="AN566" s="80"/>
      <c r="AO566" s="80"/>
      <c r="AP566" s="80"/>
      <c r="AQ566" s="80"/>
      <c r="AR566" s="80"/>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0"/>
      <c r="CB566" s="80"/>
      <c r="CC566" s="80"/>
      <c r="CD566" s="80"/>
      <c r="CE566" s="80"/>
      <c r="CF566" s="80"/>
      <c r="CG566" s="80"/>
      <c r="CH566" s="80"/>
      <c r="CI566" s="80"/>
      <c r="CJ566" s="80"/>
      <c r="CK566" s="82"/>
      <c r="CL566" s="12"/>
      <c r="CM566" s="82"/>
      <c r="CN566" s="12"/>
      <c r="CO566" s="82"/>
      <c r="CP566" s="12"/>
      <c r="CQ566" s="83">
        <f t="shared" si="67"/>
        <v>0</v>
      </c>
      <c r="CR566" s="84"/>
      <c r="CS566" s="13"/>
      <c r="CT566" s="85"/>
      <c r="CU566" s="86"/>
      <c r="CV566" s="11"/>
      <c r="CW566" s="86"/>
      <c r="CX566" s="84"/>
      <c r="CY566" s="86"/>
    </row>
    <row r="567" spans="1:103" ht="51" x14ac:dyDescent="0.2">
      <c r="A567" s="43">
        <v>39961</v>
      </c>
      <c r="B567" s="64" t="s">
        <v>632</v>
      </c>
      <c r="C567" s="44" t="s">
        <v>1243</v>
      </c>
      <c r="D567" s="44" t="s">
        <v>1117</v>
      </c>
      <c r="E567" s="11"/>
      <c r="F567" s="12"/>
      <c r="G567" s="12"/>
      <c r="H567" s="12">
        <v>198</v>
      </c>
      <c r="I567" s="12">
        <v>36</v>
      </c>
      <c r="J567" s="12"/>
      <c r="K567" s="12">
        <v>36</v>
      </c>
      <c r="L567" s="12"/>
      <c r="M567" s="12"/>
      <c r="N567" s="12"/>
      <c r="O567" s="12"/>
      <c r="P567" s="12"/>
      <c r="Q567" s="12"/>
      <c r="R567" s="12"/>
      <c r="S567" s="12"/>
      <c r="T567" s="13"/>
      <c r="U567" s="46"/>
      <c r="V567" s="47"/>
      <c r="W567" s="48">
        <f t="shared" si="62"/>
        <v>0</v>
      </c>
      <c r="X567" s="48">
        <f t="shared" si="63"/>
        <v>0</v>
      </c>
      <c r="Y567" s="48">
        <f t="shared" si="64"/>
        <v>0</v>
      </c>
      <c r="Z567" s="48">
        <f t="shared" si="65"/>
        <v>0</v>
      </c>
      <c r="AA567" s="48"/>
      <c r="AB567" s="48"/>
      <c r="AC567" s="49">
        <f t="shared" si="66"/>
        <v>0</v>
      </c>
      <c r="AD567" s="50">
        <v>0</v>
      </c>
      <c r="AE567" s="47">
        <v>39962</v>
      </c>
      <c r="AF567" s="51" t="s">
        <v>516</v>
      </c>
      <c r="AG567" s="52" t="s">
        <v>517</v>
      </c>
      <c r="AH567" s="53" t="s">
        <v>1057</v>
      </c>
      <c r="AI567" s="79"/>
      <c r="AJ567" s="80"/>
      <c r="AK567" s="81"/>
      <c r="AL567" s="80"/>
      <c r="AM567" s="80"/>
      <c r="AN567" s="80"/>
      <c r="AO567" s="80"/>
      <c r="AP567" s="80"/>
      <c r="AQ567" s="80"/>
      <c r="AR567" s="80"/>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0"/>
      <c r="CB567" s="80"/>
      <c r="CC567" s="80"/>
      <c r="CD567" s="80"/>
      <c r="CE567" s="80"/>
      <c r="CF567" s="80"/>
      <c r="CG567" s="80"/>
      <c r="CH567" s="80"/>
      <c r="CI567" s="80"/>
      <c r="CJ567" s="80"/>
      <c r="CK567" s="82"/>
      <c r="CL567" s="12"/>
      <c r="CM567" s="82"/>
      <c r="CN567" s="12"/>
      <c r="CO567" s="82"/>
      <c r="CP567" s="12"/>
      <c r="CQ567" s="83">
        <f t="shared" si="67"/>
        <v>0</v>
      </c>
      <c r="CR567" s="84"/>
      <c r="CS567" s="13"/>
      <c r="CT567" s="85"/>
      <c r="CU567" s="86"/>
      <c r="CV567" s="11"/>
      <c r="CW567" s="86"/>
      <c r="CX567" s="84"/>
      <c r="CY567" s="86"/>
    </row>
    <row r="568" spans="1:103" ht="25.5" x14ac:dyDescent="0.2">
      <c r="A568" s="43">
        <v>39961</v>
      </c>
      <c r="B568" s="44" t="s">
        <v>781</v>
      </c>
      <c r="C568" s="44" t="s">
        <v>1011</v>
      </c>
      <c r="D568" s="45" t="s">
        <v>1092</v>
      </c>
      <c r="E568" s="11"/>
      <c r="F568" s="12"/>
      <c r="G568" s="12"/>
      <c r="H568" s="12">
        <v>28</v>
      </c>
      <c r="I568" s="12">
        <v>4</v>
      </c>
      <c r="J568" s="12"/>
      <c r="K568" s="12">
        <v>4</v>
      </c>
      <c r="L568" s="12"/>
      <c r="M568" s="12"/>
      <c r="N568" s="12"/>
      <c r="O568" s="12"/>
      <c r="P568" s="12"/>
      <c r="Q568" s="12"/>
      <c r="R568" s="12"/>
      <c r="S568" s="12"/>
      <c r="T568" s="13"/>
      <c r="U568" s="46"/>
      <c r="V568" s="47"/>
      <c r="W568" s="48">
        <f t="shared" si="62"/>
        <v>0</v>
      </c>
      <c r="X568" s="48">
        <f t="shared" si="63"/>
        <v>0</v>
      </c>
      <c r="Y568" s="48">
        <f t="shared" si="64"/>
        <v>0</v>
      </c>
      <c r="Z568" s="48">
        <f t="shared" si="65"/>
        <v>0</v>
      </c>
      <c r="AA568" s="48"/>
      <c r="AB568" s="48"/>
      <c r="AC568" s="49">
        <f t="shared" si="66"/>
        <v>0</v>
      </c>
      <c r="AD568" s="50">
        <v>0</v>
      </c>
      <c r="AE568" s="47">
        <v>39962</v>
      </c>
      <c r="AF568" s="51" t="s">
        <v>516</v>
      </c>
      <c r="AG568" s="52" t="s">
        <v>517</v>
      </c>
      <c r="AH568" s="53" t="s">
        <v>148</v>
      </c>
      <c r="AI568" s="79"/>
      <c r="AJ568" s="80"/>
      <c r="AK568" s="81"/>
      <c r="AL568" s="80"/>
      <c r="AM568" s="80"/>
      <c r="AN568" s="80"/>
      <c r="AO568" s="80"/>
      <c r="AP568" s="80"/>
      <c r="AQ568" s="80"/>
      <c r="AR568" s="80"/>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0"/>
      <c r="CB568" s="80"/>
      <c r="CC568" s="80"/>
      <c r="CD568" s="80"/>
      <c r="CE568" s="80"/>
      <c r="CF568" s="80"/>
      <c r="CG568" s="80"/>
      <c r="CH568" s="80"/>
      <c r="CI568" s="80"/>
      <c r="CJ568" s="80"/>
      <c r="CK568" s="82"/>
      <c r="CL568" s="12"/>
      <c r="CM568" s="82"/>
      <c r="CN568" s="12"/>
      <c r="CO568" s="82"/>
      <c r="CP568" s="12"/>
      <c r="CQ568" s="83">
        <f t="shared" si="67"/>
        <v>0</v>
      </c>
      <c r="CR568" s="84"/>
      <c r="CS568" s="13"/>
      <c r="CT568" s="85"/>
      <c r="CU568" s="86"/>
      <c r="CV568" s="11"/>
      <c r="CW568" s="86"/>
      <c r="CX568" s="84"/>
      <c r="CY568" s="86"/>
    </row>
    <row r="569" spans="1:103" ht="25.5" x14ac:dyDescent="0.2">
      <c r="A569" s="43">
        <v>39962</v>
      </c>
      <c r="B569" s="44" t="s">
        <v>300</v>
      </c>
      <c r="C569" s="44" t="s">
        <v>151</v>
      </c>
      <c r="D569" s="45" t="s">
        <v>1118</v>
      </c>
      <c r="E569" s="11"/>
      <c r="F569" s="12"/>
      <c r="G569" s="12"/>
      <c r="H569" s="12"/>
      <c r="I569" s="12"/>
      <c r="J569" s="12"/>
      <c r="K569" s="12"/>
      <c r="L569" s="12"/>
      <c r="M569" s="12"/>
      <c r="N569" s="12"/>
      <c r="O569" s="12"/>
      <c r="P569" s="12"/>
      <c r="Q569" s="12"/>
      <c r="R569" s="12"/>
      <c r="S569" s="12"/>
      <c r="T569" s="13"/>
      <c r="U569" s="46"/>
      <c r="V569" s="47">
        <v>39962</v>
      </c>
      <c r="W569" s="48">
        <f t="shared" si="62"/>
        <v>0</v>
      </c>
      <c r="X569" s="48">
        <f t="shared" si="63"/>
        <v>0</v>
      </c>
      <c r="Y569" s="48">
        <f t="shared" si="64"/>
        <v>0</v>
      </c>
      <c r="Z569" s="48">
        <f t="shared" si="65"/>
        <v>22475000</v>
      </c>
      <c r="AA569" s="48"/>
      <c r="AB569" s="48"/>
      <c r="AC569" s="49">
        <f t="shared" si="66"/>
        <v>22475000</v>
      </c>
      <c r="AD569" s="50">
        <v>0</v>
      </c>
      <c r="AE569" s="47">
        <v>39962</v>
      </c>
      <c r="AF569" s="51" t="s">
        <v>1016</v>
      </c>
      <c r="AG569" s="52" t="s">
        <v>565</v>
      </c>
      <c r="AH569" s="53" t="s">
        <v>152</v>
      </c>
      <c r="AI569" s="79"/>
      <c r="AJ569" s="80"/>
      <c r="AK569" s="81"/>
      <c r="AL569" s="80"/>
      <c r="AM569" s="80"/>
      <c r="AN569" s="80"/>
      <c r="AO569" s="80"/>
      <c r="AP569" s="80"/>
      <c r="AQ569" s="80"/>
      <c r="AR569" s="80"/>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0"/>
      <c r="CB569" s="80"/>
      <c r="CC569" s="80"/>
      <c r="CD569" s="80"/>
      <c r="CE569" s="80"/>
      <c r="CF569" s="80"/>
      <c r="CG569" s="80"/>
      <c r="CH569" s="80"/>
      <c r="CI569" s="80"/>
      <c r="CJ569" s="80"/>
      <c r="CK569" s="82"/>
      <c r="CL569" s="12"/>
      <c r="CM569" s="82"/>
      <c r="CN569" s="12"/>
      <c r="CO569" s="82"/>
      <c r="CP569" s="12"/>
      <c r="CQ569" s="83">
        <f t="shared" si="67"/>
        <v>0</v>
      </c>
      <c r="CR569" s="84">
        <v>25000</v>
      </c>
      <c r="CS569" s="13">
        <f>25000*899</f>
        <v>22475000</v>
      </c>
      <c r="CT569" s="85"/>
      <c r="CU569" s="86"/>
      <c r="CV569" s="11"/>
      <c r="CW569" s="86"/>
      <c r="CX569" s="84"/>
      <c r="CY569" s="86"/>
    </row>
    <row r="570" spans="1:103" ht="63.75" x14ac:dyDescent="0.2">
      <c r="A570" s="43">
        <v>39962</v>
      </c>
      <c r="B570" s="44" t="s">
        <v>300</v>
      </c>
      <c r="C570" s="44" t="s">
        <v>1431</v>
      </c>
      <c r="D570" s="45" t="s">
        <v>1117</v>
      </c>
      <c r="E570" s="11"/>
      <c r="F570" s="12"/>
      <c r="G570" s="12"/>
      <c r="H570" s="12">
        <f>134*5</f>
        <v>670</v>
      </c>
      <c r="I570" s="12">
        <v>134</v>
      </c>
      <c r="J570" s="12"/>
      <c r="K570" s="12">
        <v>134</v>
      </c>
      <c r="L570" s="12"/>
      <c r="M570" s="12"/>
      <c r="N570" s="12"/>
      <c r="O570" s="12"/>
      <c r="P570" s="12"/>
      <c r="Q570" s="12"/>
      <c r="R570" s="12"/>
      <c r="S570" s="12"/>
      <c r="T570" s="13"/>
      <c r="U570" s="46"/>
      <c r="V570" s="47"/>
      <c r="W570" s="48">
        <f t="shared" si="62"/>
        <v>0</v>
      </c>
      <c r="X570" s="48">
        <f t="shared" si="63"/>
        <v>0</v>
      </c>
      <c r="Y570" s="48">
        <f t="shared" si="64"/>
        <v>0</v>
      </c>
      <c r="Z570" s="48">
        <f t="shared" si="65"/>
        <v>0</v>
      </c>
      <c r="AA570" s="48"/>
      <c r="AB570" s="48"/>
      <c r="AC570" s="49">
        <f t="shared" si="66"/>
        <v>0</v>
      </c>
      <c r="AD570" s="50">
        <v>0</v>
      </c>
      <c r="AE570" s="47">
        <v>39965</v>
      </c>
      <c r="AF570" s="51" t="s">
        <v>1016</v>
      </c>
      <c r="AG570" s="52" t="s">
        <v>517</v>
      </c>
      <c r="AH570" s="53" t="s">
        <v>18</v>
      </c>
      <c r="AI570" s="79"/>
      <c r="AJ570" s="80"/>
      <c r="AK570" s="81"/>
      <c r="AL570" s="80"/>
      <c r="AM570" s="80"/>
      <c r="AN570" s="80"/>
      <c r="AO570" s="80"/>
      <c r="AP570" s="80"/>
      <c r="AQ570" s="80"/>
      <c r="AR570" s="80"/>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0"/>
      <c r="CB570" s="80"/>
      <c r="CC570" s="80"/>
      <c r="CD570" s="80"/>
      <c r="CE570" s="80"/>
      <c r="CF570" s="80"/>
      <c r="CG570" s="80"/>
      <c r="CH570" s="80"/>
      <c r="CI570" s="80"/>
      <c r="CJ570" s="80"/>
      <c r="CK570" s="82"/>
      <c r="CL570" s="12"/>
      <c r="CM570" s="82"/>
      <c r="CN570" s="12"/>
      <c r="CO570" s="82"/>
      <c r="CP570" s="12"/>
      <c r="CQ570" s="83">
        <f t="shared" si="67"/>
        <v>0</v>
      </c>
      <c r="CR570" s="84"/>
      <c r="CS570" s="13"/>
      <c r="CT570" s="85"/>
      <c r="CU570" s="86"/>
      <c r="CV570" s="11"/>
      <c r="CW570" s="86"/>
      <c r="CX570" s="84"/>
      <c r="CY570" s="86"/>
    </row>
    <row r="571" spans="1:103" ht="25.5" x14ac:dyDescent="0.2">
      <c r="A571" s="43">
        <v>39962</v>
      </c>
      <c r="B571" s="44" t="s">
        <v>1226</v>
      </c>
      <c r="C571" s="44" t="s">
        <v>1058</v>
      </c>
      <c r="D571" s="45" t="s">
        <v>1095</v>
      </c>
      <c r="E571" s="11"/>
      <c r="F571" s="12"/>
      <c r="G571" s="12">
        <v>2</v>
      </c>
      <c r="H571" s="12"/>
      <c r="I571" s="12"/>
      <c r="J571" s="12"/>
      <c r="K571" s="12"/>
      <c r="L571" s="12"/>
      <c r="M571" s="12"/>
      <c r="N571" s="12"/>
      <c r="O571" s="12"/>
      <c r="P571" s="12"/>
      <c r="Q571" s="12"/>
      <c r="R571" s="12"/>
      <c r="S571" s="12"/>
      <c r="T571" s="13"/>
      <c r="U571" s="46"/>
      <c r="V571" s="47"/>
      <c r="W571" s="48">
        <f t="shared" si="62"/>
        <v>0</v>
      </c>
      <c r="X571" s="48">
        <f t="shared" si="63"/>
        <v>0</v>
      </c>
      <c r="Y571" s="48">
        <f t="shared" si="64"/>
        <v>0</v>
      </c>
      <c r="Z571" s="48">
        <f t="shared" si="65"/>
        <v>0</v>
      </c>
      <c r="AA571" s="48"/>
      <c r="AB571" s="48"/>
      <c r="AC571" s="49">
        <f t="shared" si="66"/>
        <v>0</v>
      </c>
      <c r="AD571" s="50">
        <v>0</v>
      </c>
      <c r="AE571" s="47">
        <v>39965</v>
      </c>
      <c r="AF571" s="51" t="s">
        <v>516</v>
      </c>
      <c r="AG571" s="52" t="s">
        <v>517</v>
      </c>
      <c r="AH571" s="53" t="s">
        <v>1059</v>
      </c>
      <c r="AI571" s="79"/>
      <c r="AJ571" s="80"/>
      <c r="AK571" s="81"/>
      <c r="AL571" s="80"/>
      <c r="AM571" s="80"/>
      <c r="AN571" s="80"/>
      <c r="AO571" s="80"/>
      <c r="AP571" s="80"/>
      <c r="AQ571" s="80"/>
      <c r="AR571" s="80"/>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0"/>
      <c r="CB571" s="80"/>
      <c r="CC571" s="80"/>
      <c r="CD571" s="80"/>
      <c r="CE571" s="80"/>
      <c r="CF571" s="80"/>
      <c r="CG571" s="80"/>
      <c r="CH571" s="80"/>
      <c r="CI571" s="80"/>
      <c r="CJ571" s="80"/>
      <c r="CK571" s="82"/>
      <c r="CL571" s="12"/>
      <c r="CM571" s="82"/>
      <c r="CN571" s="12"/>
      <c r="CO571" s="82"/>
      <c r="CP571" s="12"/>
      <c r="CQ571" s="83">
        <f t="shared" si="67"/>
        <v>0</v>
      </c>
      <c r="CR571" s="84"/>
      <c r="CS571" s="13"/>
      <c r="CT571" s="85"/>
      <c r="CU571" s="86"/>
      <c r="CV571" s="11"/>
      <c r="CW571" s="86"/>
      <c r="CX571" s="84"/>
      <c r="CY571" s="86"/>
    </row>
    <row r="572" spans="1:103" ht="25.5" x14ac:dyDescent="0.2">
      <c r="A572" s="43">
        <v>39962</v>
      </c>
      <c r="B572" s="44" t="s">
        <v>688</v>
      </c>
      <c r="C572" s="44" t="s">
        <v>1460</v>
      </c>
      <c r="D572" s="45" t="s">
        <v>1117</v>
      </c>
      <c r="E572" s="11"/>
      <c r="F572" s="12"/>
      <c r="G572" s="12"/>
      <c r="H572" s="12">
        <v>2145</v>
      </c>
      <c r="I572" s="12">
        <f>345+84</f>
        <v>429</v>
      </c>
      <c r="J572" s="12"/>
      <c r="K572" s="12">
        <f>67+8</f>
        <v>75</v>
      </c>
      <c r="L572" s="12"/>
      <c r="M572" s="12"/>
      <c r="N572" s="12"/>
      <c r="O572" s="12"/>
      <c r="P572" s="12"/>
      <c r="Q572" s="12"/>
      <c r="R572" s="12"/>
      <c r="S572" s="12"/>
      <c r="T572" s="13"/>
      <c r="U572" s="46"/>
      <c r="V572" s="47"/>
      <c r="W572" s="48">
        <f t="shared" si="62"/>
        <v>0</v>
      </c>
      <c r="X572" s="48">
        <f t="shared" si="63"/>
        <v>0</v>
      </c>
      <c r="Y572" s="48">
        <f t="shared" si="64"/>
        <v>0</v>
      </c>
      <c r="Z572" s="48">
        <f t="shared" si="65"/>
        <v>0</v>
      </c>
      <c r="AA572" s="48"/>
      <c r="AB572" s="48"/>
      <c r="AC572" s="49">
        <f t="shared" si="66"/>
        <v>0</v>
      </c>
      <c r="AD572" s="50">
        <v>0</v>
      </c>
      <c r="AE572" s="47">
        <v>39962</v>
      </c>
      <c r="AF572" s="51" t="s">
        <v>516</v>
      </c>
      <c r="AG572" s="52" t="s">
        <v>517</v>
      </c>
      <c r="AH572" s="53"/>
      <c r="AI572" s="79"/>
      <c r="AJ572" s="80"/>
      <c r="AK572" s="81"/>
      <c r="AL572" s="80"/>
      <c r="AM572" s="80"/>
      <c r="AN572" s="80"/>
      <c r="AO572" s="80"/>
      <c r="AP572" s="80"/>
      <c r="AQ572" s="80"/>
      <c r="AR572" s="80"/>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0"/>
      <c r="CB572" s="80"/>
      <c r="CC572" s="80"/>
      <c r="CD572" s="80"/>
      <c r="CE572" s="80"/>
      <c r="CF572" s="80"/>
      <c r="CG572" s="80"/>
      <c r="CH572" s="80"/>
      <c r="CI572" s="80"/>
      <c r="CJ572" s="80"/>
      <c r="CK572" s="82"/>
      <c r="CL572" s="12"/>
      <c r="CM572" s="82"/>
      <c r="CN572" s="12"/>
      <c r="CO572" s="82"/>
      <c r="CP572" s="12"/>
      <c r="CQ572" s="83">
        <f t="shared" si="67"/>
        <v>0</v>
      </c>
      <c r="CR572" s="84"/>
      <c r="CS572" s="13"/>
      <c r="CT572" s="85"/>
      <c r="CU572" s="86"/>
      <c r="CV572" s="11"/>
      <c r="CW572" s="86"/>
      <c r="CX572" s="84"/>
      <c r="CY572" s="86"/>
    </row>
    <row r="573" spans="1:103" ht="153" x14ac:dyDescent="0.2">
      <c r="A573" s="43">
        <v>39965</v>
      </c>
      <c r="B573" s="44" t="s">
        <v>1224</v>
      </c>
      <c r="C573" s="44" t="s">
        <v>1447</v>
      </c>
      <c r="D573" s="45" t="s">
        <v>134</v>
      </c>
      <c r="E573" s="11"/>
      <c r="F573" s="12"/>
      <c r="G573" s="12"/>
      <c r="H573" s="12">
        <v>1000</v>
      </c>
      <c r="I573" s="12">
        <v>200</v>
      </c>
      <c r="J573" s="12">
        <v>4</v>
      </c>
      <c r="K573" s="12">
        <v>196</v>
      </c>
      <c r="L573" s="12">
        <v>1</v>
      </c>
      <c r="M573" s="12"/>
      <c r="N573" s="12"/>
      <c r="O573" s="12">
        <v>1</v>
      </c>
      <c r="P573" s="12"/>
      <c r="Q573" s="12"/>
      <c r="R573" s="12"/>
      <c r="S573" s="12"/>
      <c r="T573" s="13"/>
      <c r="U573" s="46"/>
      <c r="V573" s="47"/>
      <c r="W573" s="48">
        <f t="shared" si="62"/>
        <v>0</v>
      </c>
      <c r="X573" s="48">
        <f t="shared" si="63"/>
        <v>0</v>
      </c>
      <c r="Y573" s="48">
        <f t="shared" si="64"/>
        <v>0</v>
      </c>
      <c r="Z573" s="48">
        <f t="shared" si="65"/>
        <v>0</v>
      </c>
      <c r="AA573" s="48"/>
      <c r="AB573" s="48"/>
      <c r="AC573" s="49">
        <f t="shared" si="66"/>
        <v>0</v>
      </c>
      <c r="AD573" s="50">
        <v>0</v>
      </c>
      <c r="AE573" s="47">
        <v>39965</v>
      </c>
      <c r="AF573" s="51" t="s">
        <v>1016</v>
      </c>
      <c r="AG573" s="52" t="s">
        <v>517</v>
      </c>
      <c r="AH573" s="53" t="s">
        <v>19</v>
      </c>
      <c r="AI573" s="79"/>
      <c r="AJ573" s="80"/>
      <c r="AK573" s="81"/>
      <c r="AL573" s="80"/>
      <c r="AM573" s="80"/>
      <c r="AN573" s="80"/>
      <c r="AO573" s="80"/>
      <c r="AP573" s="80"/>
      <c r="AQ573" s="80"/>
      <c r="AR573" s="80"/>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0"/>
      <c r="CB573" s="80"/>
      <c r="CC573" s="80"/>
      <c r="CD573" s="80"/>
      <c r="CE573" s="80"/>
      <c r="CF573" s="80"/>
      <c r="CG573" s="80"/>
      <c r="CH573" s="80"/>
      <c r="CI573" s="80"/>
      <c r="CJ573" s="80"/>
      <c r="CK573" s="82"/>
      <c r="CL573" s="12"/>
      <c r="CM573" s="82"/>
      <c r="CN573" s="12"/>
      <c r="CO573" s="82"/>
      <c r="CP573" s="12"/>
      <c r="CQ573" s="83">
        <f t="shared" si="67"/>
        <v>0</v>
      </c>
      <c r="CR573" s="84"/>
      <c r="CS573" s="13"/>
      <c r="CT573" s="85"/>
      <c r="CU573" s="86"/>
      <c r="CV573" s="11"/>
      <c r="CW573" s="86"/>
      <c r="CX573" s="84"/>
      <c r="CY573" s="86"/>
    </row>
    <row r="574" spans="1:103" ht="12.75" x14ac:dyDescent="0.2">
      <c r="A574" s="43">
        <v>39965</v>
      </c>
      <c r="B574" s="44" t="s">
        <v>688</v>
      </c>
      <c r="C574" s="44" t="s">
        <v>673</v>
      </c>
      <c r="D574" s="45" t="s">
        <v>1117</v>
      </c>
      <c r="E574" s="11"/>
      <c r="F574" s="12"/>
      <c r="G574" s="12"/>
      <c r="H574" s="12">
        <v>150</v>
      </c>
      <c r="I574" s="12">
        <v>50</v>
      </c>
      <c r="J574" s="12"/>
      <c r="K574" s="12"/>
      <c r="L574" s="12"/>
      <c r="M574" s="12"/>
      <c r="N574" s="12"/>
      <c r="O574" s="12"/>
      <c r="P574" s="12"/>
      <c r="Q574" s="12"/>
      <c r="R574" s="12"/>
      <c r="S574" s="12"/>
      <c r="T574" s="13"/>
      <c r="U574" s="46"/>
      <c r="V574" s="47"/>
      <c r="W574" s="48">
        <f t="shared" si="62"/>
        <v>0</v>
      </c>
      <c r="X574" s="48">
        <f t="shared" si="63"/>
        <v>0</v>
      </c>
      <c r="Y574" s="48">
        <f t="shared" si="64"/>
        <v>0</v>
      </c>
      <c r="Z574" s="48">
        <f t="shared" si="65"/>
        <v>0</v>
      </c>
      <c r="AA574" s="48"/>
      <c r="AB574" s="48"/>
      <c r="AC574" s="49">
        <f t="shared" si="66"/>
        <v>0</v>
      </c>
      <c r="AD574" s="50">
        <v>0</v>
      </c>
      <c r="AE574" s="47">
        <v>39996</v>
      </c>
      <c r="AF574" s="51" t="s">
        <v>1016</v>
      </c>
      <c r="AG574" s="52" t="s">
        <v>565</v>
      </c>
      <c r="AH574" s="53" t="s">
        <v>317</v>
      </c>
      <c r="AI574" s="79"/>
      <c r="AJ574" s="80"/>
      <c r="AK574" s="81"/>
      <c r="AL574" s="80"/>
      <c r="AM574" s="80"/>
      <c r="AN574" s="80"/>
      <c r="AO574" s="80"/>
      <c r="AP574" s="80"/>
      <c r="AQ574" s="80"/>
      <c r="AR574" s="80"/>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0"/>
      <c r="CB574" s="80"/>
      <c r="CC574" s="80"/>
      <c r="CD574" s="80"/>
      <c r="CE574" s="80"/>
      <c r="CF574" s="80"/>
      <c r="CG574" s="80"/>
      <c r="CH574" s="80"/>
      <c r="CI574" s="80"/>
      <c r="CJ574" s="80"/>
      <c r="CK574" s="82"/>
      <c r="CL574" s="12"/>
      <c r="CM574" s="82"/>
      <c r="CN574" s="12"/>
      <c r="CO574" s="82"/>
      <c r="CP574" s="12"/>
      <c r="CQ574" s="83">
        <f t="shared" si="67"/>
        <v>0</v>
      </c>
      <c r="CR574" s="84"/>
      <c r="CS574" s="13"/>
      <c r="CT574" s="85"/>
      <c r="CU574" s="86"/>
      <c r="CV574" s="11"/>
      <c r="CW574" s="86"/>
      <c r="CX574" s="84"/>
      <c r="CY574" s="86"/>
    </row>
    <row r="575" spans="1:103" ht="38.25" x14ac:dyDescent="0.2">
      <c r="A575" s="43">
        <v>39966</v>
      </c>
      <c r="B575" s="44" t="s">
        <v>904</v>
      </c>
      <c r="C575" s="44" t="s">
        <v>431</v>
      </c>
      <c r="D575" s="45" t="s">
        <v>1117</v>
      </c>
      <c r="E575" s="11"/>
      <c r="F575" s="12"/>
      <c r="G575" s="12"/>
      <c r="H575" s="12">
        <v>230</v>
      </c>
      <c r="I575" s="12">
        <v>46</v>
      </c>
      <c r="J575" s="12"/>
      <c r="K575" s="12">
        <v>46</v>
      </c>
      <c r="L575" s="12"/>
      <c r="M575" s="12"/>
      <c r="N575" s="12"/>
      <c r="O575" s="12"/>
      <c r="P575" s="12"/>
      <c r="Q575" s="12"/>
      <c r="R575" s="12"/>
      <c r="S575" s="12"/>
      <c r="T575" s="13"/>
      <c r="U575" s="46"/>
      <c r="V575" s="47"/>
      <c r="W575" s="48">
        <f t="shared" si="62"/>
        <v>0</v>
      </c>
      <c r="X575" s="48">
        <f t="shared" si="63"/>
        <v>0</v>
      </c>
      <c r="Y575" s="48">
        <f t="shared" si="64"/>
        <v>0</v>
      </c>
      <c r="Z575" s="48">
        <f t="shared" si="65"/>
        <v>0</v>
      </c>
      <c r="AA575" s="48"/>
      <c r="AB575" s="48"/>
      <c r="AC575" s="49">
        <f t="shared" si="66"/>
        <v>0</v>
      </c>
      <c r="AD575" s="50">
        <v>0</v>
      </c>
      <c r="AE575" s="47">
        <v>39972</v>
      </c>
      <c r="AF575" s="51" t="s">
        <v>516</v>
      </c>
      <c r="AG575" s="52" t="s">
        <v>517</v>
      </c>
      <c r="AH575" s="53" t="s">
        <v>432</v>
      </c>
      <c r="AI575" s="79"/>
      <c r="AJ575" s="80"/>
      <c r="AK575" s="81"/>
      <c r="AL575" s="80"/>
      <c r="AM575" s="80"/>
      <c r="AN575" s="80"/>
      <c r="AO575" s="80"/>
      <c r="AP575" s="80"/>
      <c r="AQ575" s="80"/>
      <c r="AR575" s="80"/>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0"/>
      <c r="CB575" s="80"/>
      <c r="CC575" s="80"/>
      <c r="CD575" s="80"/>
      <c r="CE575" s="80"/>
      <c r="CF575" s="80"/>
      <c r="CG575" s="80"/>
      <c r="CH575" s="80"/>
      <c r="CI575" s="80"/>
      <c r="CJ575" s="80"/>
      <c r="CK575" s="82"/>
      <c r="CL575" s="12"/>
      <c r="CM575" s="82"/>
      <c r="CN575" s="12"/>
      <c r="CO575" s="82"/>
      <c r="CP575" s="12"/>
      <c r="CQ575" s="83">
        <f t="shared" si="67"/>
        <v>0</v>
      </c>
      <c r="CR575" s="84"/>
      <c r="CS575" s="13"/>
      <c r="CT575" s="85"/>
      <c r="CU575" s="86"/>
      <c r="CV575" s="11"/>
      <c r="CW575" s="86"/>
      <c r="CX575" s="84"/>
      <c r="CY575" s="86"/>
    </row>
    <row r="576" spans="1:103" ht="38.25" x14ac:dyDescent="0.2">
      <c r="A576" s="43">
        <v>39967</v>
      </c>
      <c r="B576" s="44" t="s">
        <v>1301</v>
      </c>
      <c r="C576" s="44" t="s">
        <v>429</v>
      </c>
      <c r="D576" s="45" t="s">
        <v>1118</v>
      </c>
      <c r="E576" s="11"/>
      <c r="F576" s="12"/>
      <c r="G576" s="12"/>
      <c r="H576" s="12"/>
      <c r="I576" s="12"/>
      <c r="J576" s="12"/>
      <c r="K576" s="12"/>
      <c r="L576" s="12"/>
      <c r="M576" s="12"/>
      <c r="N576" s="12"/>
      <c r="O576" s="12"/>
      <c r="P576" s="12"/>
      <c r="Q576" s="12"/>
      <c r="R576" s="12"/>
      <c r="S576" s="12"/>
      <c r="T576" s="13"/>
      <c r="U576" s="46"/>
      <c r="V576" s="47"/>
      <c r="W576" s="48">
        <f t="shared" si="62"/>
        <v>0</v>
      </c>
      <c r="X576" s="48">
        <f t="shared" si="63"/>
        <v>0</v>
      </c>
      <c r="Y576" s="48">
        <f t="shared" si="64"/>
        <v>0</v>
      </c>
      <c r="Z576" s="48">
        <f t="shared" si="65"/>
        <v>0</v>
      </c>
      <c r="AA576" s="48"/>
      <c r="AB576" s="48"/>
      <c r="AC576" s="49">
        <f t="shared" si="66"/>
        <v>0</v>
      </c>
      <c r="AD576" s="50">
        <v>0</v>
      </c>
      <c r="AE576" s="47">
        <v>39906</v>
      </c>
      <c r="AF576" s="51" t="s">
        <v>516</v>
      </c>
      <c r="AG576" s="52" t="s">
        <v>517</v>
      </c>
      <c r="AH576" s="53" t="s">
        <v>430</v>
      </c>
      <c r="AI576" s="79"/>
      <c r="AJ576" s="80"/>
      <c r="AK576" s="81"/>
      <c r="AL576" s="80"/>
      <c r="AM576" s="80"/>
      <c r="AN576" s="80"/>
      <c r="AO576" s="80"/>
      <c r="AP576" s="80"/>
      <c r="AQ576" s="80"/>
      <c r="AR576" s="80"/>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0"/>
      <c r="CB576" s="80"/>
      <c r="CC576" s="80"/>
      <c r="CD576" s="80"/>
      <c r="CE576" s="80"/>
      <c r="CF576" s="80"/>
      <c r="CG576" s="80"/>
      <c r="CH576" s="80"/>
      <c r="CI576" s="80"/>
      <c r="CJ576" s="80"/>
      <c r="CK576" s="82"/>
      <c r="CL576" s="12"/>
      <c r="CM576" s="82"/>
      <c r="CN576" s="12"/>
      <c r="CO576" s="82"/>
      <c r="CP576" s="12"/>
      <c r="CQ576" s="83">
        <f t="shared" si="67"/>
        <v>0</v>
      </c>
      <c r="CR576" s="84"/>
      <c r="CS576" s="13"/>
      <c r="CT576" s="85"/>
      <c r="CU576" s="86"/>
      <c r="CV576" s="11"/>
      <c r="CW576" s="86"/>
      <c r="CX576" s="84"/>
      <c r="CY576" s="86"/>
    </row>
    <row r="577" spans="1:104" ht="38.25" x14ac:dyDescent="0.2">
      <c r="A577" s="43">
        <v>39967</v>
      </c>
      <c r="B577" s="44" t="s">
        <v>600</v>
      </c>
      <c r="C577" s="44" t="s">
        <v>614</v>
      </c>
      <c r="D577" s="45" t="s">
        <v>1118</v>
      </c>
      <c r="E577" s="11">
        <v>1</v>
      </c>
      <c r="F577" s="12"/>
      <c r="G577" s="12"/>
      <c r="H577" s="12"/>
      <c r="I577" s="12"/>
      <c r="J577" s="12"/>
      <c r="K577" s="12"/>
      <c r="L577" s="12"/>
      <c r="M577" s="12"/>
      <c r="N577" s="12"/>
      <c r="O577" s="12"/>
      <c r="P577" s="12"/>
      <c r="Q577" s="12"/>
      <c r="R577" s="12"/>
      <c r="S577" s="12"/>
      <c r="T577" s="13"/>
      <c r="U577" s="46"/>
      <c r="V577" s="47"/>
      <c r="W577" s="48">
        <f t="shared" si="62"/>
        <v>0</v>
      </c>
      <c r="X577" s="48">
        <f t="shared" si="63"/>
        <v>0</v>
      </c>
      <c r="Y577" s="48">
        <f t="shared" si="64"/>
        <v>0</v>
      </c>
      <c r="Z577" s="48">
        <f t="shared" si="65"/>
        <v>0</v>
      </c>
      <c r="AA577" s="48"/>
      <c r="AB577" s="48"/>
      <c r="AC577" s="49">
        <f t="shared" si="66"/>
        <v>0</v>
      </c>
      <c r="AD577" s="50">
        <v>0</v>
      </c>
      <c r="AE577" s="47">
        <v>39974</v>
      </c>
      <c r="AF577" s="51" t="s">
        <v>516</v>
      </c>
      <c r="AG577" s="52" t="s">
        <v>517</v>
      </c>
      <c r="AH577" s="53" t="s">
        <v>572</v>
      </c>
      <c r="AI577" s="79"/>
      <c r="AJ577" s="80"/>
      <c r="AK577" s="81"/>
      <c r="AL577" s="80"/>
      <c r="AM577" s="80"/>
      <c r="AN577" s="80"/>
      <c r="AO577" s="80"/>
      <c r="AP577" s="80"/>
      <c r="AQ577" s="80"/>
      <c r="AR577" s="80"/>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0"/>
      <c r="CB577" s="80"/>
      <c r="CC577" s="80"/>
      <c r="CD577" s="80"/>
      <c r="CE577" s="80"/>
      <c r="CF577" s="80"/>
      <c r="CG577" s="80"/>
      <c r="CH577" s="80"/>
      <c r="CI577" s="80"/>
      <c r="CJ577" s="80"/>
      <c r="CK577" s="82"/>
      <c r="CL577" s="12"/>
      <c r="CM577" s="82"/>
      <c r="CN577" s="12"/>
      <c r="CO577" s="82"/>
      <c r="CP577" s="12"/>
      <c r="CQ577" s="83">
        <f t="shared" si="67"/>
        <v>0</v>
      </c>
      <c r="CR577" s="84"/>
      <c r="CS577" s="13"/>
      <c r="CT577" s="85"/>
      <c r="CU577" s="86"/>
      <c r="CV577" s="11"/>
      <c r="CW577" s="86"/>
      <c r="CX577" s="84"/>
      <c r="CY577" s="86"/>
    </row>
    <row r="578" spans="1:104" ht="38.25" x14ac:dyDescent="0.2">
      <c r="A578" s="43">
        <v>39967</v>
      </c>
      <c r="B578" s="44" t="s">
        <v>1046</v>
      </c>
      <c r="C578" s="44" t="s">
        <v>1046</v>
      </c>
      <c r="D578" s="45" t="s">
        <v>1068</v>
      </c>
      <c r="E578" s="11"/>
      <c r="F578" s="12"/>
      <c r="G578" s="12"/>
      <c r="H578" s="12"/>
      <c r="I578" s="12"/>
      <c r="J578" s="12"/>
      <c r="K578" s="12"/>
      <c r="L578" s="12"/>
      <c r="M578" s="12"/>
      <c r="N578" s="12"/>
      <c r="O578" s="12"/>
      <c r="P578" s="12"/>
      <c r="Q578" s="12"/>
      <c r="R578" s="12"/>
      <c r="S578" s="12"/>
      <c r="T578" s="13"/>
      <c r="U578" s="46"/>
      <c r="V578" s="47">
        <v>40036</v>
      </c>
      <c r="W578" s="48">
        <f t="shared" si="62"/>
        <v>0</v>
      </c>
      <c r="X578" s="48">
        <f t="shared" si="63"/>
        <v>0</v>
      </c>
      <c r="Y578" s="48">
        <f t="shared" si="64"/>
        <v>0</v>
      </c>
      <c r="Z578" s="48">
        <f t="shared" si="65"/>
        <v>0</v>
      </c>
      <c r="AA578" s="48">
        <f>500*22000</f>
        <v>11000000</v>
      </c>
      <c r="AB578" s="48"/>
      <c r="AC578" s="49">
        <f t="shared" si="66"/>
        <v>11000000</v>
      </c>
      <c r="AD578" s="50">
        <v>0</v>
      </c>
      <c r="AE578" s="47">
        <v>39967</v>
      </c>
      <c r="AF578" s="51" t="s">
        <v>1016</v>
      </c>
      <c r="AG578" s="52" t="s">
        <v>565</v>
      </c>
      <c r="AH578" s="54" t="s">
        <v>319</v>
      </c>
      <c r="AI578" s="79"/>
      <c r="AJ578" s="80"/>
      <c r="AK578" s="81"/>
      <c r="AL578" s="80"/>
      <c r="AM578" s="80"/>
      <c r="AN578" s="80"/>
      <c r="AO578" s="80"/>
      <c r="AP578" s="80"/>
      <c r="AQ578" s="80"/>
      <c r="AR578" s="80"/>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0"/>
      <c r="CB578" s="80"/>
      <c r="CC578" s="80"/>
      <c r="CD578" s="80"/>
      <c r="CE578" s="80"/>
      <c r="CF578" s="80"/>
      <c r="CG578" s="80"/>
      <c r="CH578" s="80"/>
      <c r="CI578" s="80"/>
      <c r="CJ578" s="80"/>
      <c r="CK578" s="82"/>
      <c r="CL578" s="12"/>
      <c r="CM578" s="82"/>
      <c r="CN578" s="12"/>
      <c r="CO578" s="82"/>
      <c r="CP578" s="12"/>
      <c r="CQ578" s="83">
        <f t="shared" si="67"/>
        <v>0</v>
      </c>
      <c r="CR578" s="84"/>
      <c r="CS578" s="13"/>
      <c r="CT578" s="85"/>
      <c r="CU578" s="86"/>
      <c r="CV578" s="11"/>
      <c r="CW578" s="86"/>
      <c r="CX578" s="84"/>
      <c r="CY578" s="86"/>
    </row>
    <row r="579" spans="1:104" ht="38.25" x14ac:dyDescent="0.2">
      <c r="A579" s="43">
        <v>39967</v>
      </c>
      <c r="B579" s="44" t="s">
        <v>413</v>
      </c>
      <c r="C579" s="44" t="s">
        <v>1338</v>
      </c>
      <c r="D579" s="45" t="s">
        <v>1092</v>
      </c>
      <c r="E579" s="11"/>
      <c r="F579" s="12"/>
      <c r="G579" s="12"/>
      <c r="H579" s="12"/>
      <c r="I579" s="12"/>
      <c r="J579" s="12"/>
      <c r="K579" s="12"/>
      <c r="L579" s="12">
        <v>1</v>
      </c>
      <c r="M579" s="12"/>
      <c r="N579" s="12"/>
      <c r="O579" s="12"/>
      <c r="P579" s="12"/>
      <c r="Q579" s="12"/>
      <c r="R579" s="12"/>
      <c r="S579" s="12"/>
      <c r="T579" s="13"/>
      <c r="U579" s="46"/>
      <c r="V579" s="47"/>
      <c r="W579" s="48">
        <f t="shared" ref="W579:W642" si="68">CQ579</f>
        <v>0</v>
      </c>
      <c r="X579" s="48">
        <f t="shared" ref="X579:X642" si="69">CU579</f>
        <v>0</v>
      </c>
      <c r="Y579" s="48">
        <f t="shared" ref="Y579:Y642" si="70">CW579+CY579</f>
        <v>0</v>
      </c>
      <c r="Z579" s="48">
        <f t="shared" ref="Z579:Z642" si="71">CS579</f>
        <v>0</v>
      </c>
      <c r="AA579" s="48"/>
      <c r="AB579" s="48"/>
      <c r="AC579" s="49">
        <f t="shared" ref="AC579:AC642" si="72">W579+X579+Y579+Z579+AA579+AB579</f>
        <v>0</v>
      </c>
      <c r="AD579" s="50">
        <v>0</v>
      </c>
      <c r="AE579" s="47">
        <v>39990</v>
      </c>
      <c r="AF579" s="51" t="s">
        <v>1016</v>
      </c>
      <c r="AG579" s="52" t="s">
        <v>565</v>
      </c>
      <c r="AH579" s="53" t="s">
        <v>1191</v>
      </c>
      <c r="AI579" s="79"/>
      <c r="AJ579" s="80"/>
      <c r="AK579" s="81"/>
      <c r="AL579" s="80"/>
      <c r="AM579" s="80"/>
      <c r="AN579" s="80"/>
      <c r="AO579" s="80"/>
      <c r="AP579" s="80"/>
      <c r="AQ579" s="80"/>
      <c r="AR579" s="80"/>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0"/>
      <c r="CB579" s="80"/>
      <c r="CC579" s="80"/>
      <c r="CD579" s="80"/>
      <c r="CE579" s="80"/>
      <c r="CF579" s="80"/>
      <c r="CG579" s="80"/>
      <c r="CH579" s="80"/>
      <c r="CI579" s="80"/>
      <c r="CJ579" s="80"/>
      <c r="CK579" s="82"/>
      <c r="CL579" s="12"/>
      <c r="CM579" s="82"/>
      <c r="CN579" s="12"/>
      <c r="CO579" s="82"/>
      <c r="CP579" s="12"/>
      <c r="CQ579" s="83">
        <f t="shared" ref="CQ579:CQ642" si="73">AJ579+AL579+AN579+AP579+AR579+AT579+AV579+AX579+AZ579+BB579+BD579+BF579+BH579+BJ579+BL579+BN579+BP579+BR579+BT579+BV579+BX579+BZ579+CB579+CD579+CF579+CH579+CJ579+CL579+CN579+CP579</f>
        <v>0</v>
      </c>
      <c r="CR579" s="84"/>
      <c r="CS579" s="13"/>
      <c r="CT579" s="85"/>
      <c r="CU579" s="86"/>
      <c r="CV579" s="11"/>
      <c r="CW579" s="86"/>
      <c r="CX579" s="84"/>
      <c r="CY579" s="86"/>
    </row>
    <row r="580" spans="1:104" ht="38.25" x14ac:dyDescent="0.2">
      <c r="A580" s="43">
        <v>39968</v>
      </c>
      <c r="B580" s="44" t="s">
        <v>1093</v>
      </c>
      <c r="C580" s="44" t="s">
        <v>1454</v>
      </c>
      <c r="D580" s="45" t="s">
        <v>1118</v>
      </c>
      <c r="E580" s="11"/>
      <c r="F580" s="12"/>
      <c r="G580" s="12"/>
      <c r="H580" s="12"/>
      <c r="I580" s="12"/>
      <c r="J580" s="12"/>
      <c r="K580" s="12"/>
      <c r="L580" s="12"/>
      <c r="M580" s="12"/>
      <c r="N580" s="12"/>
      <c r="O580" s="12"/>
      <c r="P580" s="12"/>
      <c r="Q580" s="12"/>
      <c r="R580" s="12"/>
      <c r="S580" s="12"/>
      <c r="T580" s="13"/>
      <c r="U580" s="46"/>
      <c r="V580" s="47"/>
      <c r="W580" s="48">
        <f t="shared" si="68"/>
        <v>0</v>
      </c>
      <c r="X580" s="48">
        <f t="shared" si="69"/>
        <v>0</v>
      </c>
      <c r="Y580" s="48">
        <f t="shared" si="70"/>
        <v>0</v>
      </c>
      <c r="Z580" s="48">
        <f t="shared" si="71"/>
        <v>0</v>
      </c>
      <c r="AA580" s="48">
        <v>35729100</v>
      </c>
      <c r="AB580" s="48"/>
      <c r="AC580" s="49">
        <f t="shared" si="72"/>
        <v>35729100</v>
      </c>
      <c r="AD580" s="50">
        <v>0</v>
      </c>
      <c r="AE580" s="47">
        <v>39968</v>
      </c>
      <c r="AF580" s="51" t="s">
        <v>1016</v>
      </c>
      <c r="AG580" s="52" t="s">
        <v>565</v>
      </c>
      <c r="AH580" s="53" t="s">
        <v>448</v>
      </c>
      <c r="AI580" s="79"/>
      <c r="AJ580" s="80"/>
      <c r="AK580" s="81"/>
      <c r="AL580" s="80"/>
      <c r="AM580" s="80"/>
      <c r="AN580" s="80"/>
      <c r="AO580" s="80"/>
      <c r="AP580" s="80"/>
      <c r="AQ580" s="80"/>
      <c r="AR580" s="80"/>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0"/>
      <c r="CB580" s="80"/>
      <c r="CC580" s="80"/>
      <c r="CD580" s="80"/>
      <c r="CE580" s="80"/>
      <c r="CF580" s="80"/>
      <c r="CG580" s="80"/>
      <c r="CH580" s="80"/>
      <c r="CI580" s="80"/>
      <c r="CJ580" s="80"/>
      <c r="CK580" s="82"/>
      <c r="CL580" s="12"/>
      <c r="CM580" s="82"/>
      <c r="CN580" s="12"/>
      <c r="CO580" s="82"/>
      <c r="CP580" s="12"/>
      <c r="CQ580" s="83">
        <f t="shared" si="73"/>
        <v>0</v>
      </c>
      <c r="CR580" s="84"/>
      <c r="CS580" s="13"/>
      <c r="CT580" s="85"/>
      <c r="CU580" s="86"/>
      <c r="CV580" s="11"/>
      <c r="CW580" s="86"/>
      <c r="CX580" s="84"/>
      <c r="CY580" s="86"/>
    </row>
    <row r="581" spans="1:104" ht="25.5" x14ac:dyDescent="0.2">
      <c r="A581" s="43">
        <v>39968</v>
      </c>
      <c r="B581" s="44" t="s">
        <v>1097</v>
      </c>
      <c r="C581" s="44" t="s">
        <v>434</v>
      </c>
      <c r="D581" s="45" t="s">
        <v>1092</v>
      </c>
      <c r="E581" s="11"/>
      <c r="F581" s="12"/>
      <c r="G581" s="12"/>
      <c r="H581" s="12">
        <v>57</v>
      </c>
      <c r="I581" s="12">
        <v>8</v>
      </c>
      <c r="J581" s="12"/>
      <c r="K581" s="12">
        <v>8</v>
      </c>
      <c r="L581" s="12"/>
      <c r="M581" s="12"/>
      <c r="N581" s="12"/>
      <c r="O581" s="12"/>
      <c r="P581" s="12"/>
      <c r="Q581" s="12"/>
      <c r="R581" s="12"/>
      <c r="S581" s="12"/>
      <c r="T581" s="13"/>
      <c r="U581" s="46"/>
      <c r="V581" s="47"/>
      <c r="W581" s="48">
        <f t="shared" si="68"/>
        <v>0</v>
      </c>
      <c r="X581" s="48">
        <f t="shared" si="69"/>
        <v>0</v>
      </c>
      <c r="Y581" s="48">
        <f t="shared" si="70"/>
        <v>0</v>
      </c>
      <c r="Z581" s="48">
        <f t="shared" si="71"/>
        <v>0</v>
      </c>
      <c r="AA581" s="48"/>
      <c r="AB581" s="48"/>
      <c r="AC581" s="49">
        <f t="shared" si="72"/>
        <v>0</v>
      </c>
      <c r="AD581" s="50">
        <v>0</v>
      </c>
      <c r="AE581" s="47">
        <v>39972</v>
      </c>
      <c r="AF581" s="51" t="s">
        <v>516</v>
      </c>
      <c r="AG581" s="52" t="s">
        <v>517</v>
      </c>
      <c r="AH581" s="53" t="s">
        <v>268</v>
      </c>
      <c r="AI581" s="79"/>
      <c r="AJ581" s="80"/>
      <c r="AK581" s="81"/>
      <c r="AL581" s="80"/>
      <c r="AM581" s="80"/>
      <c r="AN581" s="80"/>
      <c r="AO581" s="80"/>
      <c r="AP581" s="80"/>
      <c r="AQ581" s="80"/>
      <c r="AR581" s="80"/>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0"/>
      <c r="CB581" s="80"/>
      <c r="CC581" s="80"/>
      <c r="CD581" s="80"/>
      <c r="CE581" s="80"/>
      <c r="CF581" s="80"/>
      <c r="CG581" s="80"/>
      <c r="CH581" s="80"/>
      <c r="CI581" s="80"/>
      <c r="CJ581" s="80"/>
      <c r="CK581" s="82"/>
      <c r="CL581" s="12"/>
      <c r="CM581" s="82"/>
      <c r="CN581" s="12"/>
      <c r="CO581" s="82"/>
      <c r="CP581" s="12"/>
      <c r="CQ581" s="83">
        <f t="shared" si="73"/>
        <v>0</v>
      </c>
      <c r="CR581" s="84"/>
      <c r="CS581" s="13"/>
      <c r="CT581" s="85"/>
      <c r="CU581" s="86"/>
      <c r="CV581" s="11"/>
      <c r="CW581" s="86"/>
      <c r="CX581" s="84"/>
      <c r="CY581" s="86"/>
    </row>
    <row r="582" spans="1:104" ht="25.5" x14ac:dyDescent="0.2">
      <c r="A582" s="43">
        <v>39968</v>
      </c>
      <c r="B582" s="44" t="s">
        <v>1097</v>
      </c>
      <c r="C582" s="44" t="s">
        <v>125</v>
      </c>
      <c r="D582" s="45" t="s">
        <v>1092</v>
      </c>
      <c r="E582" s="11"/>
      <c r="F582" s="12"/>
      <c r="G582" s="12"/>
      <c r="H582" s="12">
        <v>3</v>
      </c>
      <c r="I582" s="12">
        <v>1</v>
      </c>
      <c r="J582" s="12"/>
      <c r="K582" s="12">
        <v>1</v>
      </c>
      <c r="L582" s="12"/>
      <c r="M582" s="12"/>
      <c r="N582" s="12"/>
      <c r="O582" s="12"/>
      <c r="P582" s="12"/>
      <c r="Q582" s="12"/>
      <c r="R582" s="12"/>
      <c r="S582" s="12"/>
      <c r="T582" s="13"/>
      <c r="U582" s="46"/>
      <c r="V582" s="47"/>
      <c r="W582" s="48">
        <f t="shared" si="68"/>
        <v>0</v>
      </c>
      <c r="X582" s="48">
        <f t="shared" si="69"/>
        <v>0</v>
      </c>
      <c r="Y582" s="48">
        <f t="shared" si="70"/>
        <v>0</v>
      </c>
      <c r="Z582" s="48">
        <f t="shared" si="71"/>
        <v>0</v>
      </c>
      <c r="AA582" s="48"/>
      <c r="AB582" s="48"/>
      <c r="AC582" s="49">
        <f t="shared" si="72"/>
        <v>0</v>
      </c>
      <c r="AD582" s="50">
        <v>0</v>
      </c>
      <c r="AE582" s="47">
        <v>39972</v>
      </c>
      <c r="AF582" s="51" t="s">
        <v>516</v>
      </c>
      <c r="AG582" s="52" t="s">
        <v>517</v>
      </c>
      <c r="AH582" s="53" t="s">
        <v>269</v>
      </c>
      <c r="AI582" s="79"/>
      <c r="AJ582" s="80"/>
      <c r="AK582" s="81"/>
      <c r="AL582" s="80"/>
      <c r="AM582" s="80"/>
      <c r="AN582" s="80"/>
      <c r="AO582" s="80"/>
      <c r="AP582" s="80"/>
      <c r="AQ582" s="80"/>
      <c r="AR582" s="80"/>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0"/>
      <c r="CB582" s="80"/>
      <c r="CC582" s="80"/>
      <c r="CD582" s="80"/>
      <c r="CE582" s="80"/>
      <c r="CF582" s="80"/>
      <c r="CG582" s="80"/>
      <c r="CH582" s="80"/>
      <c r="CI582" s="80"/>
      <c r="CJ582" s="80"/>
      <c r="CK582" s="82"/>
      <c r="CL582" s="12"/>
      <c r="CM582" s="82"/>
      <c r="CN582" s="12"/>
      <c r="CO582" s="82"/>
      <c r="CP582" s="12"/>
      <c r="CQ582" s="83">
        <f t="shared" si="73"/>
        <v>0</v>
      </c>
      <c r="CR582" s="84"/>
      <c r="CS582" s="13"/>
      <c r="CT582" s="85"/>
      <c r="CU582" s="86"/>
      <c r="CV582" s="11"/>
      <c r="CW582" s="86"/>
      <c r="CX582" s="84"/>
      <c r="CY582" s="86"/>
    </row>
    <row r="583" spans="1:104" ht="25.5" x14ac:dyDescent="0.2">
      <c r="A583" s="43">
        <v>39968</v>
      </c>
      <c r="B583" s="44" t="s">
        <v>1097</v>
      </c>
      <c r="C583" s="44" t="s">
        <v>1037</v>
      </c>
      <c r="D583" s="45" t="s">
        <v>1118</v>
      </c>
      <c r="E583" s="11"/>
      <c r="F583" s="12"/>
      <c r="G583" s="12"/>
      <c r="H583" s="12">
        <f>995*5</f>
        <v>4975</v>
      </c>
      <c r="I583" s="12">
        <v>995</v>
      </c>
      <c r="J583" s="12"/>
      <c r="K583" s="12">
        <v>995</v>
      </c>
      <c r="L583" s="12"/>
      <c r="M583" s="12"/>
      <c r="N583" s="12"/>
      <c r="O583" s="12"/>
      <c r="P583" s="12"/>
      <c r="Q583" s="12"/>
      <c r="R583" s="12"/>
      <c r="S583" s="12"/>
      <c r="T583" s="13"/>
      <c r="U583" s="46"/>
      <c r="V583" s="47"/>
      <c r="W583" s="48">
        <f t="shared" si="68"/>
        <v>0</v>
      </c>
      <c r="X583" s="48">
        <f t="shared" si="69"/>
        <v>0</v>
      </c>
      <c r="Y583" s="48">
        <f t="shared" si="70"/>
        <v>0</v>
      </c>
      <c r="Z583" s="48">
        <f t="shared" si="71"/>
        <v>0</v>
      </c>
      <c r="AA583" s="48"/>
      <c r="AB583" s="48"/>
      <c r="AC583" s="49">
        <f t="shared" si="72"/>
        <v>0</v>
      </c>
      <c r="AD583" s="50">
        <v>0</v>
      </c>
      <c r="AE583" s="47">
        <v>39981</v>
      </c>
      <c r="AF583" s="51" t="s">
        <v>1016</v>
      </c>
      <c r="AG583" s="52" t="s">
        <v>565</v>
      </c>
      <c r="AH583" s="53" t="s">
        <v>819</v>
      </c>
      <c r="AI583" s="79"/>
      <c r="AJ583" s="80"/>
      <c r="AK583" s="81"/>
      <c r="AL583" s="80"/>
      <c r="AM583" s="80"/>
      <c r="AN583" s="80"/>
      <c r="AO583" s="80"/>
      <c r="AP583" s="80"/>
      <c r="AQ583" s="80"/>
      <c r="AR583" s="80"/>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0"/>
      <c r="CB583" s="80"/>
      <c r="CC583" s="80"/>
      <c r="CD583" s="80"/>
      <c r="CE583" s="80"/>
      <c r="CF583" s="80"/>
      <c r="CG583" s="80"/>
      <c r="CH583" s="80"/>
      <c r="CI583" s="80"/>
      <c r="CJ583" s="80"/>
      <c r="CK583" s="82"/>
      <c r="CL583" s="12"/>
      <c r="CM583" s="82"/>
      <c r="CN583" s="12"/>
      <c r="CO583" s="82"/>
      <c r="CP583" s="12"/>
      <c r="CQ583" s="83">
        <f t="shared" si="73"/>
        <v>0</v>
      </c>
      <c r="CR583" s="84"/>
      <c r="CS583" s="13"/>
      <c r="CT583" s="85"/>
      <c r="CU583" s="86"/>
      <c r="CV583" s="11"/>
      <c r="CW583" s="86"/>
      <c r="CX583" s="84"/>
      <c r="CY583" s="86"/>
    </row>
    <row r="584" spans="1:104" ht="25.5" x14ac:dyDescent="0.2">
      <c r="A584" s="43">
        <v>39968</v>
      </c>
      <c r="B584" s="44" t="s">
        <v>632</v>
      </c>
      <c r="C584" s="44" t="s">
        <v>1243</v>
      </c>
      <c r="D584" s="45" t="s">
        <v>1117</v>
      </c>
      <c r="E584" s="11"/>
      <c r="F584" s="12"/>
      <c r="G584" s="12"/>
      <c r="H584" s="12">
        <v>25</v>
      </c>
      <c r="I584" s="12">
        <v>3</v>
      </c>
      <c r="J584" s="12"/>
      <c r="K584" s="12">
        <v>3</v>
      </c>
      <c r="L584" s="12"/>
      <c r="M584" s="12"/>
      <c r="N584" s="12"/>
      <c r="O584" s="12"/>
      <c r="P584" s="12"/>
      <c r="Q584" s="12"/>
      <c r="R584" s="12"/>
      <c r="S584" s="12"/>
      <c r="T584" s="13"/>
      <c r="U584" s="46"/>
      <c r="V584" s="47"/>
      <c r="W584" s="48">
        <f t="shared" si="68"/>
        <v>0</v>
      </c>
      <c r="X584" s="48">
        <f t="shared" si="69"/>
        <v>0</v>
      </c>
      <c r="Y584" s="48">
        <f t="shared" si="70"/>
        <v>0</v>
      </c>
      <c r="Z584" s="48">
        <f t="shared" si="71"/>
        <v>0</v>
      </c>
      <c r="AA584" s="48"/>
      <c r="AB584" s="48"/>
      <c r="AC584" s="49">
        <f t="shared" si="72"/>
        <v>0</v>
      </c>
      <c r="AD584" s="50">
        <v>0</v>
      </c>
      <c r="AE584" s="47">
        <v>39972</v>
      </c>
      <c r="AF584" s="51" t="s">
        <v>516</v>
      </c>
      <c r="AG584" s="52" t="s">
        <v>517</v>
      </c>
      <c r="AH584" s="53" t="s">
        <v>270</v>
      </c>
      <c r="AI584" s="79"/>
      <c r="AJ584" s="80"/>
      <c r="AK584" s="81"/>
      <c r="AL584" s="80"/>
      <c r="AM584" s="80"/>
      <c r="AN584" s="80"/>
      <c r="AO584" s="80"/>
      <c r="AP584" s="80"/>
      <c r="AQ584" s="80"/>
      <c r="AR584" s="80"/>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0"/>
      <c r="CB584" s="80"/>
      <c r="CC584" s="80"/>
      <c r="CD584" s="80"/>
      <c r="CE584" s="80"/>
      <c r="CF584" s="80"/>
      <c r="CG584" s="80"/>
      <c r="CH584" s="80"/>
      <c r="CI584" s="80"/>
      <c r="CJ584" s="80"/>
      <c r="CK584" s="82"/>
      <c r="CL584" s="12"/>
      <c r="CM584" s="82"/>
      <c r="CN584" s="12"/>
      <c r="CO584" s="82"/>
      <c r="CP584" s="12"/>
      <c r="CQ584" s="83">
        <f t="shared" si="73"/>
        <v>0</v>
      </c>
      <c r="CR584" s="84"/>
      <c r="CS584" s="13"/>
      <c r="CT584" s="85"/>
      <c r="CU584" s="86"/>
      <c r="CV584" s="11"/>
      <c r="CW584" s="86"/>
      <c r="CX584" s="84"/>
      <c r="CY584" s="86"/>
    </row>
    <row r="585" spans="1:104" ht="25.5" x14ac:dyDescent="0.2">
      <c r="A585" s="43">
        <v>39968</v>
      </c>
      <c r="B585" s="44" t="s">
        <v>1136</v>
      </c>
      <c r="C585" s="44" t="s">
        <v>307</v>
      </c>
      <c r="D585" s="45" t="s">
        <v>1092</v>
      </c>
      <c r="E585" s="11"/>
      <c r="F585" s="12">
        <v>1</v>
      </c>
      <c r="G585" s="12"/>
      <c r="H585" s="12"/>
      <c r="I585" s="12"/>
      <c r="J585" s="12"/>
      <c r="K585" s="12"/>
      <c r="L585" s="12"/>
      <c r="M585" s="12"/>
      <c r="N585" s="12"/>
      <c r="O585" s="12"/>
      <c r="P585" s="12"/>
      <c r="Q585" s="12"/>
      <c r="R585" s="12"/>
      <c r="S585" s="12"/>
      <c r="T585" s="13"/>
      <c r="U585" s="46"/>
      <c r="V585" s="47"/>
      <c r="W585" s="48">
        <f t="shared" si="68"/>
        <v>0</v>
      </c>
      <c r="X585" s="48">
        <f t="shared" si="69"/>
        <v>0</v>
      </c>
      <c r="Y585" s="48">
        <f t="shared" si="70"/>
        <v>0</v>
      </c>
      <c r="Z585" s="48">
        <f t="shared" si="71"/>
        <v>0</v>
      </c>
      <c r="AA585" s="48"/>
      <c r="AB585" s="48"/>
      <c r="AC585" s="49">
        <f t="shared" si="72"/>
        <v>0</v>
      </c>
      <c r="AD585" s="50">
        <v>0</v>
      </c>
      <c r="AE585" s="47">
        <v>39972</v>
      </c>
      <c r="AF585" s="51" t="s">
        <v>516</v>
      </c>
      <c r="AG585" s="52" t="s">
        <v>517</v>
      </c>
      <c r="AH585" s="53" t="s">
        <v>267</v>
      </c>
      <c r="AI585" s="79"/>
      <c r="AJ585" s="80"/>
      <c r="AK585" s="81"/>
      <c r="AL585" s="80"/>
      <c r="AM585" s="80"/>
      <c r="AN585" s="80"/>
      <c r="AO585" s="80"/>
      <c r="AP585" s="80"/>
      <c r="AQ585" s="80"/>
      <c r="AR585" s="80"/>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0"/>
      <c r="CB585" s="80"/>
      <c r="CC585" s="80"/>
      <c r="CD585" s="80"/>
      <c r="CE585" s="80"/>
      <c r="CF585" s="80"/>
      <c r="CG585" s="80"/>
      <c r="CH585" s="80"/>
      <c r="CI585" s="80"/>
      <c r="CJ585" s="80"/>
      <c r="CK585" s="82"/>
      <c r="CL585" s="12"/>
      <c r="CM585" s="82"/>
      <c r="CN585" s="12"/>
      <c r="CO585" s="82"/>
      <c r="CP585" s="12"/>
      <c r="CQ585" s="83">
        <f t="shared" si="73"/>
        <v>0</v>
      </c>
      <c r="CR585" s="84"/>
      <c r="CS585" s="13"/>
      <c r="CT585" s="85"/>
      <c r="CU585" s="86"/>
      <c r="CV585" s="11"/>
      <c r="CW585" s="86"/>
      <c r="CX585" s="84"/>
      <c r="CY585" s="86"/>
    </row>
    <row r="586" spans="1:104" ht="51" x14ac:dyDescent="0.2">
      <c r="A586" s="43">
        <v>39969</v>
      </c>
      <c r="B586" s="44" t="s">
        <v>904</v>
      </c>
      <c r="C586" s="44" t="s">
        <v>1004</v>
      </c>
      <c r="D586" s="45" t="s">
        <v>1095</v>
      </c>
      <c r="E586" s="11">
        <v>4</v>
      </c>
      <c r="F586" s="12">
        <v>4</v>
      </c>
      <c r="G586" s="12">
        <v>1</v>
      </c>
      <c r="H586" s="12"/>
      <c r="I586" s="12"/>
      <c r="J586" s="12"/>
      <c r="K586" s="12"/>
      <c r="L586" s="12"/>
      <c r="M586" s="12"/>
      <c r="N586" s="12"/>
      <c r="O586" s="12"/>
      <c r="P586" s="12"/>
      <c r="Q586" s="12"/>
      <c r="R586" s="12"/>
      <c r="S586" s="12"/>
      <c r="T586" s="13"/>
      <c r="U586" s="46"/>
      <c r="V586" s="47"/>
      <c r="W586" s="48">
        <f t="shared" si="68"/>
        <v>0</v>
      </c>
      <c r="X586" s="48">
        <f t="shared" si="69"/>
        <v>0</v>
      </c>
      <c r="Y586" s="48">
        <f t="shared" si="70"/>
        <v>0</v>
      </c>
      <c r="Z586" s="48">
        <f t="shared" si="71"/>
        <v>0</v>
      </c>
      <c r="AA586" s="48"/>
      <c r="AB586" s="48"/>
      <c r="AC586" s="49">
        <f t="shared" si="72"/>
        <v>0</v>
      </c>
      <c r="AD586" s="50">
        <v>0</v>
      </c>
      <c r="AE586" s="47">
        <v>39972</v>
      </c>
      <c r="AF586" s="51" t="s">
        <v>516</v>
      </c>
      <c r="AG586" s="52" t="s">
        <v>517</v>
      </c>
      <c r="AH586" s="53" t="s">
        <v>139</v>
      </c>
      <c r="AI586" s="79"/>
      <c r="AJ586" s="80"/>
      <c r="AK586" s="81"/>
      <c r="AL586" s="80"/>
      <c r="AM586" s="80"/>
      <c r="AN586" s="80"/>
      <c r="AO586" s="80"/>
      <c r="AP586" s="80"/>
      <c r="AQ586" s="80"/>
      <c r="AR586" s="80"/>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0"/>
      <c r="CB586" s="80"/>
      <c r="CC586" s="80"/>
      <c r="CD586" s="80"/>
      <c r="CE586" s="80"/>
      <c r="CF586" s="80"/>
      <c r="CG586" s="80"/>
      <c r="CH586" s="80"/>
      <c r="CI586" s="80"/>
      <c r="CJ586" s="80"/>
      <c r="CK586" s="82"/>
      <c r="CL586" s="12"/>
      <c r="CM586" s="82"/>
      <c r="CN586" s="12"/>
      <c r="CO586" s="82"/>
      <c r="CP586" s="12"/>
      <c r="CQ586" s="83">
        <f t="shared" si="73"/>
        <v>0</v>
      </c>
      <c r="CR586" s="84"/>
      <c r="CS586" s="13"/>
      <c r="CT586" s="85"/>
      <c r="CU586" s="86"/>
      <c r="CV586" s="11"/>
      <c r="CW586" s="86"/>
      <c r="CX586" s="84"/>
      <c r="CY586" s="86"/>
    </row>
    <row r="587" spans="1:104" ht="89.25" x14ac:dyDescent="0.2">
      <c r="A587" s="43">
        <v>39969</v>
      </c>
      <c r="B587" s="44" t="s">
        <v>600</v>
      </c>
      <c r="C587" s="44" t="s">
        <v>376</v>
      </c>
      <c r="D587" s="45" t="s">
        <v>751</v>
      </c>
      <c r="E587" s="11"/>
      <c r="F587" s="12"/>
      <c r="G587" s="12"/>
      <c r="H587" s="12"/>
      <c r="I587" s="12"/>
      <c r="J587" s="12"/>
      <c r="K587" s="12"/>
      <c r="L587" s="12"/>
      <c r="M587" s="12"/>
      <c r="N587" s="12"/>
      <c r="O587" s="12"/>
      <c r="P587" s="12"/>
      <c r="Q587" s="12"/>
      <c r="R587" s="12"/>
      <c r="S587" s="12"/>
      <c r="T587" s="13"/>
      <c r="U587" s="46"/>
      <c r="V587" s="47">
        <v>40024</v>
      </c>
      <c r="W587" s="48">
        <f t="shared" si="68"/>
        <v>0</v>
      </c>
      <c r="X587" s="48">
        <f t="shared" si="69"/>
        <v>0</v>
      </c>
      <c r="Y587" s="48">
        <f t="shared" si="70"/>
        <v>0</v>
      </c>
      <c r="Z587" s="48">
        <f t="shared" si="71"/>
        <v>0</v>
      </c>
      <c r="AA587" s="48">
        <v>26657300</v>
      </c>
      <c r="AB587" s="48"/>
      <c r="AC587" s="49">
        <f t="shared" si="72"/>
        <v>26657300</v>
      </c>
      <c r="AD587" s="50">
        <v>0</v>
      </c>
      <c r="AE587" s="47">
        <v>39969</v>
      </c>
      <c r="AF587" s="51" t="s">
        <v>1016</v>
      </c>
      <c r="AG587" s="52" t="s">
        <v>565</v>
      </c>
      <c r="AH587" s="54" t="s">
        <v>369</v>
      </c>
      <c r="AI587" s="79"/>
      <c r="AJ587" s="80"/>
      <c r="AK587" s="81"/>
      <c r="AL587" s="80"/>
      <c r="AM587" s="80"/>
      <c r="AN587" s="80"/>
      <c r="AO587" s="80"/>
      <c r="AP587" s="80"/>
      <c r="AQ587" s="80"/>
      <c r="AR587" s="80"/>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0"/>
      <c r="CB587" s="80"/>
      <c r="CC587" s="80"/>
      <c r="CD587" s="80"/>
      <c r="CE587" s="80"/>
      <c r="CF587" s="80"/>
      <c r="CG587" s="80"/>
      <c r="CH587" s="80"/>
      <c r="CI587" s="80"/>
      <c r="CJ587" s="80"/>
      <c r="CK587" s="82"/>
      <c r="CL587" s="12"/>
      <c r="CM587" s="82"/>
      <c r="CN587" s="12"/>
      <c r="CO587" s="82"/>
      <c r="CP587" s="12"/>
      <c r="CQ587" s="83">
        <f t="shared" si="73"/>
        <v>0</v>
      </c>
      <c r="CR587" s="84"/>
      <c r="CS587" s="13"/>
      <c r="CT587" s="85"/>
      <c r="CU587" s="86"/>
      <c r="CV587" s="11"/>
      <c r="CW587" s="86"/>
      <c r="CX587" s="84"/>
      <c r="CY587" s="86"/>
    </row>
    <row r="588" spans="1:104" ht="51" x14ac:dyDescent="0.2">
      <c r="A588" s="43">
        <v>39969</v>
      </c>
      <c r="B588" s="44" t="s">
        <v>1136</v>
      </c>
      <c r="C588" s="44" t="s">
        <v>1327</v>
      </c>
      <c r="D588" s="45" t="s">
        <v>1117</v>
      </c>
      <c r="E588" s="11"/>
      <c r="F588" s="12"/>
      <c r="G588" s="12"/>
      <c r="H588" s="12">
        <v>250</v>
      </c>
      <c r="I588" s="12">
        <v>50</v>
      </c>
      <c r="J588" s="12"/>
      <c r="K588" s="12">
        <v>50</v>
      </c>
      <c r="L588" s="12"/>
      <c r="M588" s="12"/>
      <c r="N588" s="12"/>
      <c r="O588" s="12"/>
      <c r="P588" s="12"/>
      <c r="Q588" s="12">
        <v>1</v>
      </c>
      <c r="R588" s="12">
        <v>2</v>
      </c>
      <c r="S588" s="12">
        <v>1</v>
      </c>
      <c r="T588" s="13"/>
      <c r="U588" s="46" t="s">
        <v>1178</v>
      </c>
      <c r="V588" s="47">
        <v>40009</v>
      </c>
      <c r="W588" s="48">
        <f t="shared" si="68"/>
        <v>0</v>
      </c>
      <c r="X588" s="48">
        <f t="shared" si="69"/>
        <v>0</v>
      </c>
      <c r="Y588" s="48">
        <f t="shared" si="70"/>
        <v>13059000</v>
      </c>
      <c r="Z588" s="48">
        <f t="shared" si="71"/>
        <v>0</v>
      </c>
      <c r="AA588" s="48"/>
      <c r="AB588" s="48"/>
      <c r="AC588" s="49">
        <f t="shared" si="72"/>
        <v>13059000</v>
      </c>
      <c r="AD588" s="50">
        <v>0</v>
      </c>
      <c r="AE588" s="47">
        <v>39972</v>
      </c>
      <c r="AF588" s="51" t="s">
        <v>1016</v>
      </c>
      <c r="AG588" s="52" t="s">
        <v>565</v>
      </c>
      <c r="AH588" s="53" t="s">
        <v>271</v>
      </c>
      <c r="AI588" s="79"/>
      <c r="AJ588" s="80"/>
      <c r="AK588" s="81"/>
      <c r="AL588" s="80"/>
      <c r="AM588" s="80"/>
      <c r="AN588" s="80"/>
      <c r="AO588" s="80"/>
      <c r="AP588" s="80"/>
      <c r="AQ588" s="80"/>
      <c r="AR588" s="80"/>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0"/>
      <c r="CB588" s="80"/>
      <c r="CC588" s="80"/>
      <c r="CD588" s="80"/>
      <c r="CE588" s="80"/>
      <c r="CF588" s="80"/>
      <c r="CG588" s="80"/>
      <c r="CH588" s="80"/>
      <c r="CI588" s="80"/>
      <c r="CJ588" s="80"/>
      <c r="CK588" s="82"/>
      <c r="CL588" s="12"/>
      <c r="CM588" s="82"/>
      <c r="CN588" s="12"/>
      <c r="CO588" s="82"/>
      <c r="CP588" s="12"/>
      <c r="CQ588" s="83">
        <f t="shared" si="73"/>
        <v>0</v>
      </c>
      <c r="CR588" s="84"/>
      <c r="CS588" s="13"/>
      <c r="CT588" s="85"/>
      <c r="CU588" s="86"/>
      <c r="CV588" s="11"/>
      <c r="CW588" s="86"/>
      <c r="CX588" s="84">
        <f>528+30</f>
        <v>558</v>
      </c>
      <c r="CY588" s="86">
        <f>528*23000+30*30500</f>
        <v>13059000</v>
      </c>
      <c r="CZ588" s="9" t="s">
        <v>410</v>
      </c>
    </row>
    <row r="589" spans="1:104" ht="25.5" x14ac:dyDescent="0.2">
      <c r="A589" s="43">
        <v>39969</v>
      </c>
      <c r="B589" s="44" t="s">
        <v>437</v>
      </c>
      <c r="C589" s="44" t="s">
        <v>1300</v>
      </c>
      <c r="D589" s="45" t="s">
        <v>1117</v>
      </c>
      <c r="E589" s="11"/>
      <c r="F589" s="12"/>
      <c r="G589" s="12"/>
      <c r="H589" s="12">
        <f>56*5</f>
        <v>280</v>
      </c>
      <c r="I589" s="12">
        <v>56</v>
      </c>
      <c r="J589" s="12"/>
      <c r="K589" s="12">
        <v>56</v>
      </c>
      <c r="L589" s="12"/>
      <c r="M589" s="12"/>
      <c r="N589" s="12"/>
      <c r="O589" s="12"/>
      <c r="P589" s="12"/>
      <c r="Q589" s="12"/>
      <c r="R589" s="12"/>
      <c r="S589" s="12"/>
      <c r="T589" s="13"/>
      <c r="U589" s="46"/>
      <c r="V589" s="47"/>
      <c r="W589" s="48">
        <f t="shared" si="68"/>
        <v>0</v>
      </c>
      <c r="X589" s="48">
        <f t="shared" si="69"/>
        <v>0</v>
      </c>
      <c r="Y589" s="48">
        <f t="shared" si="70"/>
        <v>0</v>
      </c>
      <c r="Z589" s="48">
        <f t="shared" si="71"/>
        <v>0</v>
      </c>
      <c r="AA589" s="48"/>
      <c r="AB589" s="48"/>
      <c r="AC589" s="49">
        <f t="shared" si="72"/>
        <v>0</v>
      </c>
      <c r="AD589" s="50">
        <v>0</v>
      </c>
      <c r="AE589" s="47">
        <v>40045</v>
      </c>
      <c r="AF589" s="51" t="s">
        <v>1016</v>
      </c>
      <c r="AG589" s="52" t="s">
        <v>565</v>
      </c>
      <c r="AH589" s="53" t="s">
        <v>317</v>
      </c>
      <c r="AI589" s="79"/>
      <c r="AJ589" s="80"/>
      <c r="AK589" s="81"/>
      <c r="AL589" s="80"/>
      <c r="AM589" s="80"/>
      <c r="AN589" s="80"/>
      <c r="AO589" s="80"/>
      <c r="AP589" s="80"/>
      <c r="AQ589" s="80"/>
      <c r="AR589" s="80"/>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0"/>
      <c r="CB589" s="80"/>
      <c r="CC589" s="80"/>
      <c r="CD589" s="80"/>
      <c r="CE589" s="80"/>
      <c r="CF589" s="80"/>
      <c r="CG589" s="80"/>
      <c r="CH589" s="80"/>
      <c r="CI589" s="80"/>
      <c r="CJ589" s="80"/>
      <c r="CK589" s="82"/>
      <c r="CL589" s="12"/>
      <c r="CM589" s="82"/>
      <c r="CN589" s="12"/>
      <c r="CO589" s="82"/>
      <c r="CP589" s="12"/>
      <c r="CQ589" s="83">
        <f t="shared" si="73"/>
        <v>0</v>
      </c>
      <c r="CR589" s="84"/>
      <c r="CS589" s="13"/>
      <c r="CT589" s="85"/>
      <c r="CU589" s="86"/>
      <c r="CV589" s="11"/>
      <c r="CW589" s="86"/>
      <c r="CX589" s="84"/>
      <c r="CY589" s="86"/>
    </row>
    <row r="590" spans="1:104" ht="102" x14ac:dyDescent="0.2">
      <c r="A590" s="43">
        <v>39970</v>
      </c>
      <c r="B590" s="44" t="s">
        <v>1067</v>
      </c>
      <c r="C590" s="44" t="s">
        <v>1346</v>
      </c>
      <c r="D590" s="45" t="s">
        <v>1118</v>
      </c>
      <c r="E590" s="11"/>
      <c r="F590" s="12"/>
      <c r="G590" s="12">
        <v>1</v>
      </c>
      <c r="H590" s="12">
        <v>630</v>
      </c>
      <c r="I590" s="12">
        <v>126</v>
      </c>
      <c r="J590" s="12">
        <v>10</v>
      </c>
      <c r="K590" s="12">
        <v>116</v>
      </c>
      <c r="L590" s="12"/>
      <c r="M590" s="12"/>
      <c r="N590" s="12"/>
      <c r="O590" s="12"/>
      <c r="P590" s="12"/>
      <c r="Q590" s="12"/>
      <c r="R590" s="12"/>
      <c r="S590" s="12"/>
      <c r="T590" s="13"/>
      <c r="U590" s="46" t="s">
        <v>1179</v>
      </c>
      <c r="V590" s="47"/>
      <c r="W590" s="48">
        <f t="shared" si="68"/>
        <v>0</v>
      </c>
      <c r="X590" s="48">
        <f t="shared" si="69"/>
        <v>0</v>
      </c>
      <c r="Y590" s="48">
        <f t="shared" si="70"/>
        <v>0</v>
      </c>
      <c r="Z590" s="48">
        <f t="shared" si="71"/>
        <v>0</v>
      </c>
      <c r="AA590" s="48"/>
      <c r="AB590" s="48"/>
      <c r="AC590" s="49">
        <f t="shared" si="72"/>
        <v>0</v>
      </c>
      <c r="AD590" s="50">
        <v>0</v>
      </c>
      <c r="AE590" s="47">
        <v>39972</v>
      </c>
      <c r="AF590" s="51" t="s">
        <v>516</v>
      </c>
      <c r="AG590" s="52" t="s">
        <v>517</v>
      </c>
      <c r="AH590" s="53" t="s">
        <v>576</v>
      </c>
      <c r="AI590" s="79"/>
      <c r="AJ590" s="80"/>
      <c r="AK590" s="81"/>
      <c r="AL590" s="80"/>
      <c r="AM590" s="80"/>
      <c r="AN590" s="80"/>
      <c r="AO590" s="80"/>
      <c r="AP590" s="80"/>
      <c r="AQ590" s="80"/>
      <c r="AR590" s="80"/>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0"/>
      <c r="CB590" s="80"/>
      <c r="CC590" s="80"/>
      <c r="CD590" s="80"/>
      <c r="CE590" s="80"/>
      <c r="CF590" s="80"/>
      <c r="CG590" s="80"/>
      <c r="CH590" s="80"/>
      <c r="CI590" s="80"/>
      <c r="CJ590" s="80"/>
      <c r="CK590" s="82"/>
      <c r="CL590" s="12"/>
      <c r="CM590" s="82"/>
      <c r="CN590" s="12"/>
      <c r="CO590" s="82"/>
      <c r="CP590" s="12"/>
      <c r="CQ590" s="83">
        <f t="shared" si="73"/>
        <v>0</v>
      </c>
      <c r="CR590" s="84"/>
      <c r="CS590" s="13"/>
      <c r="CT590" s="85"/>
      <c r="CU590" s="86"/>
      <c r="CV590" s="11"/>
      <c r="CW590" s="86"/>
      <c r="CX590" s="84"/>
      <c r="CY590" s="86"/>
    </row>
    <row r="591" spans="1:104" ht="51" x14ac:dyDescent="0.2">
      <c r="A591" s="43">
        <v>39970</v>
      </c>
      <c r="B591" s="44" t="s">
        <v>1067</v>
      </c>
      <c r="C591" s="44" t="s">
        <v>1017</v>
      </c>
      <c r="D591" s="45" t="s">
        <v>1118</v>
      </c>
      <c r="E591" s="11"/>
      <c r="F591" s="12"/>
      <c r="G591" s="12"/>
      <c r="H591" s="12">
        <v>15</v>
      </c>
      <c r="I591" s="12">
        <v>3</v>
      </c>
      <c r="J591" s="12"/>
      <c r="K591" s="12">
        <v>3</v>
      </c>
      <c r="L591" s="12"/>
      <c r="M591" s="12"/>
      <c r="N591" s="12"/>
      <c r="O591" s="12"/>
      <c r="P591" s="12"/>
      <c r="Q591" s="12"/>
      <c r="R591" s="12"/>
      <c r="S591" s="12"/>
      <c r="T591" s="13"/>
      <c r="U591" s="46"/>
      <c r="V591" s="47"/>
      <c r="W591" s="48">
        <f t="shared" si="68"/>
        <v>0</v>
      </c>
      <c r="X591" s="48">
        <f t="shared" si="69"/>
        <v>0</v>
      </c>
      <c r="Y591" s="48">
        <f t="shared" si="70"/>
        <v>0</v>
      </c>
      <c r="Z591" s="48">
        <f t="shared" si="71"/>
        <v>0</v>
      </c>
      <c r="AA591" s="48"/>
      <c r="AB591" s="48"/>
      <c r="AC591" s="49">
        <f t="shared" si="72"/>
        <v>0</v>
      </c>
      <c r="AD591" s="50">
        <v>0</v>
      </c>
      <c r="AE591" s="47">
        <v>39974</v>
      </c>
      <c r="AF591" s="51" t="s">
        <v>516</v>
      </c>
      <c r="AG591" s="52" t="s">
        <v>517</v>
      </c>
      <c r="AH591" s="53" t="s">
        <v>700</v>
      </c>
      <c r="AI591" s="79"/>
      <c r="AJ591" s="80"/>
      <c r="AK591" s="81"/>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0"/>
      <c r="CB591" s="80"/>
      <c r="CC591" s="80"/>
      <c r="CD591" s="80"/>
      <c r="CE591" s="80"/>
      <c r="CF591" s="80"/>
      <c r="CG591" s="80"/>
      <c r="CH591" s="80"/>
      <c r="CI591" s="80"/>
      <c r="CJ591" s="80"/>
      <c r="CK591" s="82"/>
      <c r="CL591" s="12"/>
      <c r="CM591" s="82"/>
      <c r="CN591" s="12"/>
      <c r="CO591" s="82"/>
      <c r="CP591" s="12"/>
      <c r="CQ591" s="83">
        <f t="shared" si="73"/>
        <v>0</v>
      </c>
      <c r="CR591" s="84"/>
      <c r="CS591" s="13"/>
      <c r="CT591" s="85"/>
      <c r="CU591" s="86"/>
      <c r="CV591" s="11"/>
      <c r="CW591" s="86"/>
      <c r="CX591" s="84"/>
      <c r="CY591" s="86"/>
    </row>
    <row r="592" spans="1:104" ht="38.25" x14ac:dyDescent="0.2">
      <c r="A592" s="43">
        <v>39970</v>
      </c>
      <c r="B592" s="44" t="s">
        <v>1097</v>
      </c>
      <c r="C592" s="44" t="s">
        <v>124</v>
      </c>
      <c r="D592" s="45" t="s">
        <v>1118</v>
      </c>
      <c r="E592" s="11"/>
      <c r="F592" s="12"/>
      <c r="G592" s="12"/>
      <c r="H592" s="12">
        <v>3175</v>
      </c>
      <c r="I592" s="12">
        <v>635</v>
      </c>
      <c r="J592" s="12">
        <v>10</v>
      </c>
      <c r="K592" s="12">
        <v>10</v>
      </c>
      <c r="L592" s="12"/>
      <c r="M592" s="12"/>
      <c r="N592" s="12"/>
      <c r="O592" s="12"/>
      <c r="P592" s="12"/>
      <c r="Q592" s="12"/>
      <c r="R592" s="12"/>
      <c r="S592" s="12"/>
      <c r="T592" s="13"/>
      <c r="U592" s="46"/>
      <c r="V592" s="47"/>
      <c r="W592" s="48">
        <f t="shared" si="68"/>
        <v>0</v>
      </c>
      <c r="X592" s="48">
        <f t="shared" si="69"/>
        <v>0</v>
      </c>
      <c r="Y592" s="48">
        <f t="shared" si="70"/>
        <v>0</v>
      </c>
      <c r="Z592" s="48">
        <f t="shared" si="71"/>
        <v>0</v>
      </c>
      <c r="AA592" s="48"/>
      <c r="AB592" s="48"/>
      <c r="AC592" s="49">
        <f t="shared" si="72"/>
        <v>0</v>
      </c>
      <c r="AD592" s="50">
        <v>0</v>
      </c>
      <c r="AE592" s="47">
        <v>39972</v>
      </c>
      <c r="AF592" s="51" t="s">
        <v>1016</v>
      </c>
      <c r="AG592" s="52" t="s">
        <v>565</v>
      </c>
      <c r="AH592" s="53" t="s">
        <v>55</v>
      </c>
      <c r="AI592" s="79"/>
      <c r="AJ592" s="80"/>
      <c r="AK592" s="81"/>
      <c r="AL592" s="80"/>
      <c r="AM592" s="80"/>
      <c r="AN592" s="80"/>
      <c r="AO592" s="80"/>
      <c r="AP592" s="80"/>
      <c r="AQ592" s="80"/>
      <c r="AR592" s="80"/>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0"/>
      <c r="CB592" s="80"/>
      <c r="CC592" s="80"/>
      <c r="CD592" s="80"/>
      <c r="CE592" s="80"/>
      <c r="CF592" s="80"/>
      <c r="CG592" s="80"/>
      <c r="CH592" s="80"/>
      <c r="CI592" s="80"/>
      <c r="CJ592" s="80"/>
      <c r="CK592" s="82"/>
      <c r="CL592" s="12"/>
      <c r="CM592" s="82"/>
      <c r="CN592" s="12"/>
      <c r="CO592" s="82"/>
      <c r="CP592" s="12"/>
      <c r="CQ592" s="83">
        <f t="shared" si="73"/>
        <v>0</v>
      </c>
      <c r="CR592" s="84"/>
      <c r="CS592" s="13"/>
      <c r="CT592" s="85"/>
      <c r="CU592" s="86"/>
      <c r="CV592" s="11"/>
      <c r="CW592" s="86"/>
      <c r="CX592" s="84"/>
      <c r="CY592" s="86"/>
    </row>
    <row r="593" spans="1:103" ht="114.75" x14ac:dyDescent="0.2">
      <c r="A593" s="43">
        <v>39970</v>
      </c>
      <c r="B593" s="44" t="s">
        <v>600</v>
      </c>
      <c r="C593" s="44" t="s">
        <v>573</v>
      </c>
      <c r="D593" s="45" t="s">
        <v>1116</v>
      </c>
      <c r="E593" s="11"/>
      <c r="F593" s="12"/>
      <c r="G593" s="12"/>
      <c r="H593" s="12"/>
      <c r="I593" s="12"/>
      <c r="J593" s="12"/>
      <c r="K593" s="12"/>
      <c r="L593" s="12"/>
      <c r="M593" s="12"/>
      <c r="N593" s="12"/>
      <c r="O593" s="12"/>
      <c r="P593" s="12"/>
      <c r="Q593" s="12"/>
      <c r="R593" s="12"/>
      <c r="S593" s="12"/>
      <c r="T593" s="13"/>
      <c r="U593" s="46" t="s">
        <v>574</v>
      </c>
      <c r="V593" s="47"/>
      <c r="W593" s="48">
        <f t="shared" si="68"/>
        <v>0</v>
      </c>
      <c r="X593" s="48">
        <f t="shared" si="69"/>
        <v>0</v>
      </c>
      <c r="Y593" s="48">
        <f t="shared" si="70"/>
        <v>0</v>
      </c>
      <c r="Z593" s="48">
        <f t="shared" si="71"/>
        <v>0</v>
      </c>
      <c r="AA593" s="48"/>
      <c r="AB593" s="48"/>
      <c r="AC593" s="49">
        <f t="shared" si="72"/>
        <v>0</v>
      </c>
      <c r="AD593" s="50">
        <v>0</v>
      </c>
      <c r="AE593" s="47">
        <v>39974</v>
      </c>
      <c r="AF593" s="51" t="s">
        <v>516</v>
      </c>
      <c r="AG593" s="52" t="s">
        <v>517</v>
      </c>
      <c r="AH593" s="53" t="s">
        <v>575</v>
      </c>
      <c r="AI593" s="79"/>
      <c r="AJ593" s="80"/>
      <c r="AK593" s="81"/>
      <c r="AL593" s="80"/>
      <c r="AM593" s="80"/>
      <c r="AN593" s="80"/>
      <c r="AO593" s="80"/>
      <c r="AP593" s="80"/>
      <c r="AQ593" s="80"/>
      <c r="AR593" s="80"/>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0"/>
      <c r="CB593" s="80"/>
      <c r="CC593" s="80"/>
      <c r="CD593" s="80"/>
      <c r="CE593" s="80"/>
      <c r="CF593" s="80"/>
      <c r="CG593" s="80"/>
      <c r="CH593" s="80"/>
      <c r="CI593" s="80"/>
      <c r="CJ593" s="80"/>
      <c r="CK593" s="82"/>
      <c r="CL593" s="12"/>
      <c r="CM593" s="82"/>
      <c r="CN593" s="12"/>
      <c r="CO593" s="82"/>
      <c r="CP593" s="12"/>
      <c r="CQ593" s="83">
        <f t="shared" si="73"/>
        <v>0</v>
      </c>
      <c r="CR593" s="84"/>
      <c r="CS593" s="13"/>
      <c r="CT593" s="85"/>
      <c r="CU593" s="86"/>
      <c r="CV593" s="11"/>
      <c r="CW593" s="86"/>
      <c r="CX593" s="84"/>
      <c r="CY593" s="86"/>
    </row>
    <row r="594" spans="1:103" ht="25.5" x14ac:dyDescent="0.2">
      <c r="A594" s="43">
        <v>39970</v>
      </c>
      <c r="B594" s="44" t="s">
        <v>600</v>
      </c>
      <c r="C594" s="44" t="s">
        <v>376</v>
      </c>
      <c r="D594" s="45" t="s">
        <v>134</v>
      </c>
      <c r="E594" s="11"/>
      <c r="F594" s="12"/>
      <c r="G594" s="12"/>
      <c r="H594" s="12">
        <v>15</v>
      </c>
      <c r="I594" s="12">
        <v>8</v>
      </c>
      <c r="J594" s="12">
        <v>1</v>
      </c>
      <c r="K594" s="12">
        <v>7</v>
      </c>
      <c r="L594" s="12"/>
      <c r="M594" s="12"/>
      <c r="N594" s="12"/>
      <c r="O594" s="12"/>
      <c r="P594" s="12"/>
      <c r="Q594" s="12"/>
      <c r="R594" s="12"/>
      <c r="S594" s="12"/>
      <c r="T594" s="13"/>
      <c r="U594" s="46"/>
      <c r="V594" s="47"/>
      <c r="W594" s="48">
        <f t="shared" si="68"/>
        <v>0</v>
      </c>
      <c r="X594" s="48">
        <f t="shared" si="69"/>
        <v>0</v>
      </c>
      <c r="Y594" s="48">
        <f t="shared" si="70"/>
        <v>0</v>
      </c>
      <c r="Z594" s="48">
        <f t="shared" si="71"/>
        <v>0</v>
      </c>
      <c r="AA594" s="48"/>
      <c r="AB594" s="48"/>
      <c r="AC594" s="49">
        <f t="shared" si="72"/>
        <v>0</v>
      </c>
      <c r="AD594" s="50">
        <v>0</v>
      </c>
      <c r="AE594" s="47">
        <v>39974</v>
      </c>
      <c r="AF594" s="51" t="s">
        <v>516</v>
      </c>
      <c r="AG594" s="52" t="s">
        <v>517</v>
      </c>
      <c r="AH594" s="53" t="s">
        <v>571</v>
      </c>
      <c r="AI594" s="79"/>
      <c r="AJ594" s="80"/>
      <c r="AK594" s="81"/>
      <c r="AL594" s="80"/>
      <c r="AM594" s="80"/>
      <c r="AN594" s="80"/>
      <c r="AO594" s="80"/>
      <c r="AP594" s="80"/>
      <c r="AQ594" s="80"/>
      <c r="AR594" s="80"/>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0"/>
      <c r="CB594" s="80"/>
      <c r="CC594" s="80"/>
      <c r="CD594" s="80"/>
      <c r="CE594" s="80"/>
      <c r="CF594" s="80"/>
      <c r="CG594" s="80"/>
      <c r="CH594" s="80"/>
      <c r="CI594" s="80"/>
      <c r="CJ594" s="80"/>
      <c r="CK594" s="82"/>
      <c r="CL594" s="12"/>
      <c r="CM594" s="82"/>
      <c r="CN594" s="12"/>
      <c r="CO594" s="82"/>
      <c r="CP594" s="12"/>
      <c r="CQ594" s="83">
        <f t="shared" si="73"/>
        <v>0</v>
      </c>
      <c r="CR594" s="84"/>
      <c r="CS594" s="13"/>
      <c r="CT594" s="85"/>
      <c r="CU594" s="86"/>
      <c r="CV594" s="11"/>
      <c r="CW594" s="86"/>
      <c r="CX594" s="84"/>
      <c r="CY594" s="86"/>
    </row>
    <row r="595" spans="1:103" ht="38.25" x14ac:dyDescent="0.2">
      <c r="A595" s="43">
        <v>39970</v>
      </c>
      <c r="B595" s="44" t="s">
        <v>1136</v>
      </c>
      <c r="C595" s="44" t="s">
        <v>1180</v>
      </c>
      <c r="D595" s="45" t="s">
        <v>1116</v>
      </c>
      <c r="E595" s="11"/>
      <c r="F595" s="12">
        <v>6</v>
      </c>
      <c r="G595" s="12"/>
      <c r="H595" s="12">
        <v>6</v>
      </c>
      <c r="I595" s="12">
        <v>1</v>
      </c>
      <c r="J595" s="12"/>
      <c r="K595" s="12">
        <v>1</v>
      </c>
      <c r="L595" s="12"/>
      <c r="M595" s="12"/>
      <c r="N595" s="12"/>
      <c r="O595" s="12"/>
      <c r="P595" s="12"/>
      <c r="Q595" s="12"/>
      <c r="R595" s="12"/>
      <c r="S595" s="12"/>
      <c r="T595" s="13"/>
      <c r="U595" s="46"/>
      <c r="V595" s="47"/>
      <c r="W595" s="48">
        <f t="shared" si="68"/>
        <v>0</v>
      </c>
      <c r="X595" s="48">
        <f t="shared" si="69"/>
        <v>0</v>
      </c>
      <c r="Y595" s="48">
        <f t="shared" si="70"/>
        <v>0</v>
      </c>
      <c r="Z595" s="48">
        <f t="shared" si="71"/>
        <v>0</v>
      </c>
      <c r="AA595" s="48"/>
      <c r="AB595" s="48"/>
      <c r="AC595" s="49">
        <f t="shared" si="72"/>
        <v>0</v>
      </c>
      <c r="AD595" s="50">
        <v>0</v>
      </c>
      <c r="AE595" s="47">
        <v>39972</v>
      </c>
      <c r="AF595" s="51" t="s">
        <v>516</v>
      </c>
      <c r="AG595" s="52" t="s">
        <v>517</v>
      </c>
      <c r="AH595" s="53" t="s">
        <v>1181</v>
      </c>
      <c r="AI595" s="79"/>
      <c r="AJ595" s="80"/>
      <c r="AK595" s="81"/>
      <c r="AL595" s="80"/>
      <c r="AM595" s="80"/>
      <c r="AN595" s="80"/>
      <c r="AO595" s="80"/>
      <c r="AP595" s="80"/>
      <c r="AQ595" s="80"/>
      <c r="AR595" s="80"/>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0"/>
      <c r="CB595" s="80"/>
      <c r="CC595" s="80"/>
      <c r="CD595" s="80"/>
      <c r="CE595" s="80"/>
      <c r="CF595" s="80"/>
      <c r="CG595" s="80"/>
      <c r="CH595" s="80"/>
      <c r="CI595" s="80"/>
      <c r="CJ595" s="80"/>
      <c r="CK595" s="82"/>
      <c r="CL595" s="12"/>
      <c r="CM595" s="82"/>
      <c r="CN595" s="12"/>
      <c r="CO595" s="82"/>
      <c r="CP595" s="12"/>
      <c r="CQ595" s="83">
        <f t="shared" si="73"/>
        <v>0</v>
      </c>
      <c r="CR595" s="84"/>
      <c r="CS595" s="13"/>
      <c r="CT595" s="85"/>
      <c r="CU595" s="86"/>
      <c r="CV595" s="11"/>
      <c r="CW595" s="86"/>
      <c r="CX595" s="84"/>
      <c r="CY595" s="86"/>
    </row>
    <row r="596" spans="1:103" ht="140.25" x14ac:dyDescent="0.2">
      <c r="A596" s="43">
        <v>39971</v>
      </c>
      <c r="B596" s="44" t="s">
        <v>1091</v>
      </c>
      <c r="C596" s="44" t="s">
        <v>288</v>
      </c>
      <c r="D596" s="45" t="s">
        <v>1118</v>
      </c>
      <c r="E596" s="11"/>
      <c r="F596" s="12"/>
      <c r="G596" s="12"/>
      <c r="H596" s="12">
        <v>347</v>
      </c>
      <c r="I596" s="12">
        <v>89</v>
      </c>
      <c r="J596" s="12">
        <v>27</v>
      </c>
      <c r="K596" s="12">
        <v>54</v>
      </c>
      <c r="L596" s="12"/>
      <c r="M596" s="12"/>
      <c r="N596" s="12">
        <v>2</v>
      </c>
      <c r="O596" s="12">
        <v>1</v>
      </c>
      <c r="P596" s="12"/>
      <c r="Q596" s="12"/>
      <c r="R596" s="12"/>
      <c r="S596" s="12"/>
      <c r="T596" s="13"/>
      <c r="U596" s="46"/>
      <c r="V596" s="47"/>
      <c r="W596" s="48">
        <f t="shared" si="68"/>
        <v>0</v>
      </c>
      <c r="X596" s="48">
        <f t="shared" si="69"/>
        <v>0</v>
      </c>
      <c r="Y596" s="48">
        <f t="shared" si="70"/>
        <v>0</v>
      </c>
      <c r="Z596" s="48">
        <f t="shared" si="71"/>
        <v>0</v>
      </c>
      <c r="AA596" s="48"/>
      <c r="AB596" s="48"/>
      <c r="AC596" s="49">
        <f t="shared" si="72"/>
        <v>0</v>
      </c>
      <c r="AD596" s="50">
        <v>0</v>
      </c>
      <c r="AE596" s="47">
        <v>39972</v>
      </c>
      <c r="AF596" s="51" t="s">
        <v>516</v>
      </c>
      <c r="AG596" s="52" t="s">
        <v>517</v>
      </c>
      <c r="AH596" s="53" t="s">
        <v>570</v>
      </c>
      <c r="AI596" s="79"/>
      <c r="AJ596" s="80"/>
      <c r="AK596" s="81"/>
      <c r="AL596" s="80"/>
      <c r="AM596" s="80"/>
      <c r="AN596" s="80"/>
      <c r="AO596" s="80"/>
      <c r="AP596" s="80"/>
      <c r="AQ596" s="80"/>
      <c r="AR596" s="80"/>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0"/>
      <c r="CB596" s="80"/>
      <c r="CC596" s="80"/>
      <c r="CD596" s="80"/>
      <c r="CE596" s="80"/>
      <c r="CF596" s="80"/>
      <c r="CG596" s="80"/>
      <c r="CH596" s="80"/>
      <c r="CI596" s="80"/>
      <c r="CJ596" s="80"/>
      <c r="CK596" s="82"/>
      <c r="CL596" s="12"/>
      <c r="CM596" s="82"/>
      <c r="CN596" s="12"/>
      <c r="CO596" s="82"/>
      <c r="CP596" s="12"/>
      <c r="CQ596" s="83">
        <f t="shared" si="73"/>
        <v>0</v>
      </c>
      <c r="CR596" s="84"/>
      <c r="CS596" s="13"/>
      <c r="CT596" s="85"/>
      <c r="CU596" s="86"/>
      <c r="CV596" s="11"/>
      <c r="CW596" s="86"/>
      <c r="CX596" s="84"/>
      <c r="CY596" s="86"/>
    </row>
    <row r="597" spans="1:103" ht="38.25" x14ac:dyDescent="0.2">
      <c r="A597" s="43">
        <v>39972</v>
      </c>
      <c r="B597" s="44" t="s">
        <v>1127</v>
      </c>
      <c r="C597" s="44" t="s">
        <v>116</v>
      </c>
      <c r="D597" s="45" t="s">
        <v>1116</v>
      </c>
      <c r="E597" s="11"/>
      <c r="F597" s="12">
        <v>5</v>
      </c>
      <c r="G597" s="12"/>
      <c r="H597" s="12">
        <v>5</v>
      </c>
      <c r="I597" s="12">
        <v>1</v>
      </c>
      <c r="J597" s="12">
        <v>1</v>
      </c>
      <c r="K597" s="12"/>
      <c r="L597" s="12"/>
      <c r="M597" s="12"/>
      <c r="N597" s="12"/>
      <c r="O597" s="12"/>
      <c r="P597" s="12"/>
      <c r="Q597" s="12"/>
      <c r="R597" s="12"/>
      <c r="S597" s="12"/>
      <c r="T597" s="13"/>
      <c r="U597" s="46"/>
      <c r="V597" s="47"/>
      <c r="W597" s="48">
        <f t="shared" si="68"/>
        <v>0</v>
      </c>
      <c r="X597" s="48">
        <f t="shared" si="69"/>
        <v>0</v>
      </c>
      <c r="Y597" s="48">
        <f t="shared" si="70"/>
        <v>0</v>
      </c>
      <c r="Z597" s="48">
        <f t="shared" si="71"/>
        <v>0</v>
      </c>
      <c r="AA597" s="48"/>
      <c r="AB597" s="48"/>
      <c r="AC597" s="49">
        <f t="shared" si="72"/>
        <v>0</v>
      </c>
      <c r="AD597" s="50">
        <v>0</v>
      </c>
      <c r="AE597" s="47">
        <v>39972</v>
      </c>
      <c r="AF597" s="51" t="s">
        <v>516</v>
      </c>
      <c r="AG597" s="52" t="s">
        <v>517</v>
      </c>
      <c r="AH597" s="53" t="s">
        <v>1181</v>
      </c>
      <c r="AI597" s="79"/>
      <c r="AJ597" s="80"/>
      <c r="AK597" s="81"/>
      <c r="AL597" s="80"/>
      <c r="AM597" s="80"/>
      <c r="AN597" s="80"/>
      <c r="AO597" s="80"/>
      <c r="AP597" s="80"/>
      <c r="AQ597" s="80"/>
      <c r="AR597" s="80"/>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0"/>
      <c r="CB597" s="80"/>
      <c r="CC597" s="80"/>
      <c r="CD597" s="80"/>
      <c r="CE597" s="80"/>
      <c r="CF597" s="80"/>
      <c r="CG597" s="80"/>
      <c r="CH597" s="80"/>
      <c r="CI597" s="80"/>
      <c r="CJ597" s="80"/>
      <c r="CK597" s="82"/>
      <c r="CL597" s="12"/>
      <c r="CM597" s="82"/>
      <c r="CN597" s="12"/>
      <c r="CO597" s="82"/>
      <c r="CP597" s="12"/>
      <c r="CQ597" s="83">
        <f t="shared" si="73"/>
        <v>0</v>
      </c>
      <c r="CR597" s="84"/>
      <c r="CS597" s="13"/>
      <c r="CT597" s="85"/>
      <c r="CU597" s="86"/>
      <c r="CV597" s="11"/>
      <c r="CW597" s="86"/>
      <c r="CX597" s="84"/>
      <c r="CY597" s="86"/>
    </row>
    <row r="598" spans="1:103" ht="25.5" x14ac:dyDescent="0.2">
      <c r="A598" s="43">
        <v>39972</v>
      </c>
      <c r="B598" s="44" t="s">
        <v>1091</v>
      </c>
      <c r="C598" s="44" t="s">
        <v>502</v>
      </c>
      <c r="D598" s="45" t="s">
        <v>134</v>
      </c>
      <c r="E598" s="11"/>
      <c r="F598" s="12"/>
      <c r="G598" s="12"/>
      <c r="H598" s="12">
        <v>500</v>
      </c>
      <c r="I598" s="12">
        <v>100</v>
      </c>
      <c r="J598" s="12"/>
      <c r="K598" s="12">
        <v>100</v>
      </c>
      <c r="L598" s="12"/>
      <c r="M598" s="12"/>
      <c r="N598" s="12"/>
      <c r="O598" s="12"/>
      <c r="P598" s="12"/>
      <c r="Q598" s="12"/>
      <c r="R598" s="12"/>
      <c r="S598" s="12"/>
      <c r="T598" s="13"/>
      <c r="U598" s="46"/>
      <c r="V598" s="47"/>
      <c r="W598" s="48">
        <f t="shared" si="68"/>
        <v>0</v>
      </c>
      <c r="X598" s="48">
        <f t="shared" si="69"/>
        <v>0</v>
      </c>
      <c r="Y598" s="48">
        <f t="shared" si="70"/>
        <v>0</v>
      </c>
      <c r="Z598" s="48">
        <f t="shared" si="71"/>
        <v>0</v>
      </c>
      <c r="AA598" s="48"/>
      <c r="AB598" s="48"/>
      <c r="AC598" s="49">
        <f t="shared" si="72"/>
        <v>0</v>
      </c>
      <c r="AD598" s="50">
        <v>0</v>
      </c>
      <c r="AE598" s="47">
        <v>39979</v>
      </c>
      <c r="AF598" s="51" t="s">
        <v>516</v>
      </c>
      <c r="AG598" s="52" t="s">
        <v>517</v>
      </c>
      <c r="AH598" s="53" t="s">
        <v>503</v>
      </c>
      <c r="AI598" s="79"/>
      <c r="AJ598" s="80"/>
      <c r="AK598" s="81"/>
      <c r="AL598" s="80"/>
      <c r="AM598" s="80"/>
      <c r="AN598" s="80"/>
      <c r="AO598" s="80"/>
      <c r="AP598" s="80"/>
      <c r="AQ598" s="80"/>
      <c r="AR598" s="80"/>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0"/>
      <c r="CB598" s="80"/>
      <c r="CC598" s="80"/>
      <c r="CD598" s="80"/>
      <c r="CE598" s="80"/>
      <c r="CF598" s="80"/>
      <c r="CG598" s="80"/>
      <c r="CH598" s="80"/>
      <c r="CI598" s="80"/>
      <c r="CJ598" s="80"/>
      <c r="CK598" s="82"/>
      <c r="CL598" s="12"/>
      <c r="CM598" s="82"/>
      <c r="CN598" s="12"/>
      <c r="CO598" s="82"/>
      <c r="CP598" s="12"/>
      <c r="CQ598" s="83">
        <f t="shared" si="73"/>
        <v>0</v>
      </c>
      <c r="CR598" s="84"/>
      <c r="CS598" s="13"/>
      <c r="CT598" s="85"/>
      <c r="CU598" s="86"/>
      <c r="CV598" s="11"/>
      <c r="CW598" s="86"/>
      <c r="CX598" s="84"/>
      <c r="CY598" s="86"/>
    </row>
    <row r="599" spans="1:103" ht="63.75" x14ac:dyDescent="0.2">
      <c r="A599" s="43">
        <v>39973</v>
      </c>
      <c r="B599" s="44" t="s">
        <v>688</v>
      </c>
      <c r="C599" s="44" t="s">
        <v>694</v>
      </c>
      <c r="D599" s="45" t="s">
        <v>1118</v>
      </c>
      <c r="E599" s="11"/>
      <c r="F599" s="12"/>
      <c r="G599" s="12"/>
      <c r="H599" s="12">
        <v>503</v>
      </c>
      <c r="I599" s="12">
        <v>83</v>
      </c>
      <c r="J599" s="12"/>
      <c r="K599" s="12">
        <v>83</v>
      </c>
      <c r="L599" s="12"/>
      <c r="M599" s="12"/>
      <c r="N599" s="12"/>
      <c r="O599" s="12"/>
      <c r="P599" s="12"/>
      <c r="Q599" s="12"/>
      <c r="R599" s="12"/>
      <c r="S599" s="12"/>
      <c r="T599" s="13"/>
      <c r="U599" s="46"/>
      <c r="V599" s="47"/>
      <c r="W599" s="48">
        <f t="shared" si="68"/>
        <v>0</v>
      </c>
      <c r="X599" s="48">
        <f t="shared" si="69"/>
        <v>0</v>
      </c>
      <c r="Y599" s="48">
        <f t="shared" si="70"/>
        <v>0</v>
      </c>
      <c r="Z599" s="48">
        <f t="shared" si="71"/>
        <v>0</v>
      </c>
      <c r="AA599" s="48"/>
      <c r="AB599" s="48"/>
      <c r="AC599" s="49">
        <f t="shared" si="72"/>
        <v>0</v>
      </c>
      <c r="AD599" s="50">
        <v>0</v>
      </c>
      <c r="AE599" s="47">
        <v>39974</v>
      </c>
      <c r="AF599" s="51" t="s">
        <v>516</v>
      </c>
      <c r="AG599" s="52" t="s">
        <v>517</v>
      </c>
      <c r="AH599" s="53" t="s">
        <v>577</v>
      </c>
      <c r="AI599" s="79"/>
      <c r="AJ599" s="80"/>
      <c r="AK599" s="81"/>
      <c r="AL599" s="80"/>
      <c r="AM599" s="80"/>
      <c r="AN599" s="80"/>
      <c r="AO599" s="80"/>
      <c r="AP599" s="80"/>
      <c r="AQ599" s="80"/>
      <c r="AR599" s="80"/>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0"/>
      <c r="CB599" s="80"/>
      <c r="CC599" s="80"/>
      <c r="CD599" s="80"/>
      <c r="CE599" s="80"/>
      <c r="CF599" s="80"/>
      <c r="CG599" s="80"/>
      <c r="CH599" s="80"/>
      <c r="CI599" s="80"/>
      <c r="CJ599" s="80"/>
      <c r="CK599" s="82"/>
      <c r="CL599" s="12"/>
      <c r="CM599" s="82"/>
      <c r="CN599" s="12"/>
      <c r="CO599" s="82"/>
      <c r="CP599" s="12"/>
      <c r="CQ599" s="83">
        <f t="shared" si="73"/>
        <v>0</v>
      </c>
      <c r="CR599" s="84"/>
      <c r="CS599" s="13"/>
      <c r="CT599" s="85"/>
      <c r="CU599" s="86"/>
      <c r="CV599" s="11"/>
      <c r="CW599" s="86"/>
      <c r="CX599" s="84"/>
      <c r="CY599" s="86"/>
    </row>
    <row r="600" spans="1:103" ht="25.5" x14ac:dyDescent="0.2">
      <c r="A600" s="43">
        <v>39974</v>
      </c>
      <c r="B600" s="44" t="s">
        <v>625</v>
      </c>
      <c r="C600" s="44" t="s">
        <v>1002</v>
      </c>
      <c r="D600" s="45" t="s">
        <v>1092</v>
      </c>
      <c r="E600" s="11"/>
      <c r="F600" s="12"/>
      <c r="G600" s="12"/>
      <c r="H600" s="12"/>
      <c r="I600" s="12"/>
      <c r="J600" s="12"/>
      <c r="K600" s="12"/>
      <c r="L600" s="12"/>
      <c r="M600" s="12"/>
      <c r="N600" s="12"/>
      <c r="O600" s="12"/>
      <c r="P600" s="12"/>
      <c r="Q600" s="12"/>
      <c r="R600" s="12"/>
      <c r="S600" s="12"/>
      <c r="T600" s="13"/>
      <c r="U600" s="46"/>
      <c r="V600" s="47"/>
      <c r="W600" s="48">
        <f t="shared" si="68"/>
        <v>0</v>
      </c>
      <c r="X600" s="48">
        <f t="shared" si="69"/>
        <v>0</v>
      </c>
      <c r="Y600" s="48">
        <f t="shared" si="70"/>
        <v>0</v>
      </c>
      <c r="Z600" s="48">
        <f t="shared" si="71"/>
        <v>0</v>
      </c>
      <c r="AA600" s="48"/>
      <c r="AB600" s="48"/>
      <c r="AC600" s="49">
        <f t="shared" si="72"/>
        <v>0</v>
      </c>
      <c r="AD600" s="50">
        <v>0</v>
      </c>
      <c r="AE600" s="47">
        <v>39974</v>
      </c>
      <c r="AF600" s="51" t="s">
        <v>516</v>
      </c>
      <c r="AG600" s="52" t="s">
        <v>517</v>
      </c>
      <c r="AH600" s="53" t="s">
        <v>699</v>
      </c>
      <c r="AI600" s="79"/>
      <c r="AJ600" s="80"/>
      <c r="AK600" s="81"/>
      <c r="AL600" s="80"/>
      <c r="AM600" s="80"/>
      <c r="AN600" s="80"/>
      <c r="AO600" s="80"/>
      <c r="AP600" s="80"/>
      <c r="AQ600" s="80"/>
      <c r="AR600" s="80"/>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0"/>
      <c r="CB600" s="80"/>
      <c r="CC600" s="80"/>
      <c r="CD600" s="80"/>
      <c r="CE600" s="80"/>
      <c r="CF600" s="80"/>
      <c r="CG600" s="80"/>
      <c r="CH600" s="80"/>
      <c r="CI600" s="80"/>
      <c r="CJ600" s="80"/>
      <c r="CK600" s="82"/>
      <c r="CL600" s="12"/>
      <c r="CM600" s="82"/>
      <c r="CN600" s="12"/>
      <c r="CO600" s="82"/>
      <c r="CP600" s="12"/>
      <c r="CQ600" s="83">
        <f t="shared" si="73"/>
        <v>0</v>
      </c>
      <c r="CR600" s="84"/>
      <c r="CS600" s="13"/>
      <c r="CT600" s="85"/>
      <c r="CU600" s="86"/>
      <c r="CV600" s="11"/>
      <c r="CW600" s="86"/>
      <c r="CX600" s="84"/>
      <c r="CY600" s="86"/>
    </row>
    <row r="601" spans="1:103" ht="38.25" x14ac:dyDescent="0.2">
      <c r="A601" s="43">
        <v>39974</v>
      </c>
      <c r="B601" s="44" t="s">
        <v>625</v>
      </c>
      <c r="C601" s="44" t="s">
        <v>293</v>
      </c>
      <c r="D601" s="45" t="s">
        <v>1092</v>
      </c>
      <c r="E601" s="11"/>
      <c r="F601" s="12">
        <v>5</v>
      </c>
      <c r="G601" s="12"/>
      <c r="H601" s="12">
        <v>105</v>
      </c>
      <c r="I601" s="12">
        <v>21</v>
      </c>
      <c r="J601" s="12">
        <v>5</v>
      </c>
      <c r="K601" s="12">
        <v>6</v>
      </c>
      <c r="L601" s="12"/>
      <c r="M601" s="12"/>
      <c r="N601" s="12"/>
      <c r="O601" s="12"/>
      <c r="P601" s="12"/>
      <c r="Q601" s="12"/>
      <c r="R601" s="12"/>
      <c r="S601" s="12"/>
      <c r="T601" s="13"/>
      <c r="U601" s="46"/>
      <c r="V601" s="47"/>
      <c r="W601" s="48">
        <f t="shared" si="68"/>
        <v>0</v>
      </c>
      <c r="X601" s="48">
        <f t="shared" si="69"/>
        <v>0</v>
      </c>
      <c r="Y601" s="48">
        <f t="shared" si="70"/>
        <v>0</v>
      </c>
      <c r="Z601" s="48">
        <f t="shared" si="71"/>
        <v>0</v>
      </c>
      <c r="AA601" s="48"/>
      <c r="AB601" s="48"/>
      <c r="AC601" s="49">
        <f t="shared" si="72"/>
        <v>0</v>
      </c>
      <c r="AD601" s="50">
        <v>0</v>
      </c>
      <c r="AE601" s="47">
        <v>39974</v>
      </c>
      <c r="AF601" s="51" t="s">
        <v>1016</v>
      </c>
      <c r="AG601" s="52" t="s">
        <v>565</v>
      </c>
      <c r="AH601" s="53" t="s">
        <v>1291</v>
      </c>
      <c r="AI601" s="79"/>
      <c r="AJ601" s="80"/>
      <c r="AK601" s="81"/>
      <c r="AL601" s="80"/>
      <c r="AM601" s="80"/>
      <c r="AN601" s="80"/>
      <c r="AO601" s="80"/>
      <c r="AP601" s="80"/>
      <c r="AQ601" s="80"/>
      <c r="AR601" s="80"/>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0"/>
      <c r="CB601" s="80"/>
      <c r="CC601" s="80"/>
      <c r="CD601" s="80"/>
      <c r="CE601" s="80"/>
      <c r="CF601" s="80"/>
      <c r="CG601" s="80"/>
      <c r="CH601" s="80"/>
      <c r="CI601" s="80"/>
      <c r="CJ601" s="80"/>
      <c r="CK601" s="82"/>
      <c r="CL601" s="12"/>
      <c r="CM601" s="82"/>
      <c r="CN601" s="12"/>
      <c r="CO601" s="82"/>
      <c r="CP601" s="12"/>
      <c r="CQ601" s="83">
        <f t="shared" si="73"/>
        <v>0</v>
      </c>
      <c r="CR601" s="84"/>
      <c r="CS601" s="13"/>
      <c r="CT601" s="85"/>
      <c r="CU601" s="86"/>
      <c r="CV601" s="11"/>
      <c r="CW601" s="86"/>
      <c r="CX601" s="84"/>
      <c r="CY601" s="86"/>
    </row>
    <row r="602" spans="1:103" ht="51" x14ac:dyDescent="0.2">
      <c r="A602" s="43">
        <v>39974</v>
      </c>
      <c r="B602" s="44" t="s">
        <v>625</v>
      </c>
      <c r="C602" s="44" t="s">
        <v>579</v>
      </c>
      <c r="D602" s="45" t="s">
        <v>134</v>
      </c>
      <c r="E602" s="11"/>
      <c r="F602" s="12"/>
      <c r="G602" s="12"/>
      <c r="H602" s="12">
        <f>103*5</f>
        <v>515</v>
      </c>
      <c r="I602" s="12">
        <v>103</v>
      </c>
      <c r="J602" s="12">
        <v>3</v>
      </c>
      <c r="K602" s="12">
        <v>100</v>
      </c>
      <c r="L602" s="12"/>
      <c r="M602" s="12">
        <v>2</v>
      </c>
      <c r="N602" s="12">
        <v>1</v>
      </c>
      <c r="O602" s="12"/>
      <c r="P602" s="12"/>
      <c r="Q602" s="12">
        <v>1</v>
      </c>
      <c r="R602" s="12"/>
      <c r="S602" s="12"/>
      <c r="T602" s="13"/>
      <c r="U602" s="46"/>
      <c r="V602" s="47"/>
      <c r="W602" s="48">
        <f t="shared" si="68"/>
        <v>0</v>
      </c>
      <c r="X602" s="48">
        <f t="shared" si="69"/>
        <v>0</v>
      </c>
      <c r="Y602" s="48">
        <f t="shared" si="70"/>
        <v>0</v>
      </c>
      <c r="Z602" s="48">
        <f t="shared" si="71"/>
        <v>0</v>
      </c>
      <c r="AA602" s="48"/>
      <c r="AB602" s="48"/>
      <c r="AC602" s="49">
        <f t="shared" si="72"/>
        <v>0</v>
      </c>
      <c r="AD602" s="50">
        <v>0</v>
      </c>
      <c r="AE602" s="47">
        <v>39974</v>
      </c>
      <c r="AF602" s="51" t="s">
        <v>516</v>
      </c>
      <c r="AG602" s="52" t="s">
        <v>517</v>
      </c>
      <c r="AH602" s="53" t="s">
        <v>695</v>
      </c>
      <c r="AI602" s="79"/>
      <c r="AJ602" s="80"/>
      <c r="AK602" s="81"/>
      <c r="AL602" s="80"/>
      <c r="AM602" s="80"/>
      <c r="AN602" s="80"/>
      <c r="AO602" s="80"/>
      <c r="AP602" s="80"/>
      <c r="AQ602" s="80"/>
      <c r="AR602" s="80"/>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0"/>
      <c r="CB602" s="80"/>
      <c r="CC602" s="80"/>
      <c r="CD602" s="80"/>
      <c r="CE602" s="80"/>
      <c r="CF602" s="80"/>
      <c r="CG602" s="80"/>
      <c r="CH602" s="80"/>
      <c r="CI602" s="80"/>
      <c r="CJ602" s="80"/>
      <c r="CK602" s="82"/>
      <c r="CL602" s="12"/>
      <c r="CM602" s="82"/>
      <c r="CN602" s="12"/>
      <c r="CO602" s="82"/>
      <c r="CP602" s="12"/>
      <c r="CQ602" s="83">
        <f t="shared" si="73"/>
        <v>0</v>
      </c>
      <c r="CR602" s="84"/>
      <c r="CS602" s="13"/>
      <c r="CT602" s="85"/>
      <c r="CU602" s="86"/>
      <c r="CV602" s="11"/>
      <c r="CW602" s="86"/>
      <c r="CX602" s="84"/>
      <c r="CY602" s="86"/>
    </row>
    <row r="603" spans="1:103" ht="28.5" customHeight="1" x14ac:dyDescent="0.2">
      <c r="A603" s="43">
        <v>39974</v>
      </c>
      <c r="B603" s="44" t="s">
        <v>625</v>
      </c>
      <c r="C603" s="44" t="s">
        <v>811</v>
      </c>
      <c r="D603" s="45" t="s">
        <v>1117</v>
      </c>
      <c r="E603" s="11"/>
      <c r="F603" s="12"/>
      <c r="G603" s="12"/>
      <c r="H603" s="12">
        <v>100</v>
      </c>
      <c r="I603" s="12">
        <v>20</v>
      </c>
      <c r="J603" s="12"/>
      <c r="K603" s="12">
        <v>20</v>
      </c>
      <c r="L603" s="12"/>
      <c r="M603" s="12"/>
      <c r="N603" s="12"/>
      <c r="O603" s="12"/>
      <c r="P603" s="12"/>
      <c r="Q603" s="12"/>
      <c r="R603" s="12"/>
      <c r="S603" s="12"/>
      <c r="T603" s="13"/>
      <c r="U603" s="46"/>
      <c r="V603" s="47"/>
      <c r="W603" s="48">
        <f t="shared" si="68"/>
        <v>0</v>
      </c>
      <c r="X603" s="48">
        <f t="shared" si="69"/>
        <v>0</v>
      </c>
      <c r="Y603" s="48">
        <f t="shared" si="70"/>
        <v>0</v>
      </c>
      <c r="Z603" s="48">
        <f t="shared" si="71"/>
        <v>0</v>
      </c>
      <c r="AA603" s="48"/>
      <c r="AB603" s="48"/>
      <c r="AC603" s="49">
        <f t="shared" si="72"/>
        <v>0</v>
      </c>
      <c r="AD603" s="50">
        <v>0</v>
      </c>
      <c r="AE603" s="47">
        <v>39974</v>
      </c>
      <c r="AF603" s="51" t="s">
        <v>516</v>
      </c>
      <c r="AG603" s="52" t="s">
        <v>517</v>
      </c>
      <c r="AH603" s="53" t="s">
        <v>697</v>
      </c>
      <c r="AI603" s="79"/>
      <c r="AJ603" s="80"/>
      <c r="AK603" s="81"/>
      <c r="AL603" s="80"/>
      <c r="AM603" s="80"/>
      <c r="AN603" s="80"/>
      <c r="AO603" s="80"/>
      <c r="AP603" s="80"/>
      <c r="AQ603" s="80"/>
      <c r="AR603" s="80"/>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0"/>
      <c r="CB603" s="80"/>
      <c r="CC603" s="80"/>
      <c r="CD603" s="80"/>
      <c r="CE603" s="80"/>
      <c r="CF603" s="80"/>
      <c r="CG603" s="80"/>
      <c r="CH603" s="80"/>
      <c r="CI603" s="80"/>
      <c r="CJ603" s="80"/>
      <c r="CK603" s="82"/>
      <c r="CL603" s="12"/>
      <c r="CM603" s="82"/>
      <c r="CN603" s="12"/>
      <c r="CO603" s="82"/>
      <c r="CP603" s="12"/>
      <c r="CQ603" s="83">
        <f t="shared" si="73"/>
        <v>0</v>
      </c>
      <c r="CR603" s="84"/>
      <c r="CS603" s="13"/>
      <c r="CT603" s="85"/>
      <c r="CU603" s="86"/>
      <c r="CV603" s="11"/>
      <c r="CW603" s="86"/>
      <c r="CX603" s="84"/>
      <c r="CY603" s="86"/>
    </row>
    <row r="604" spans="1:103" ht="51" x14ac:dyDescent="0.2">
      <c r="A604" s="43">
        <v>39974</v>
      </c>
      <c r="B604" s="44" t="s">
        <v>625</v>
      </c>
      <c r="C604" s="44" t="s">
        <v>1051</v>
      </c>
      <c r="D604" s="45" t="s">
        <v>1118</v>
      </c>
      <c r="E604" s="11"/>
      <c r="F604" s="12"/>
      <c r="G604" s="12"/>
      <c r="H604" s="12"/>
      <c r="I604" s="12"/>
      <c r="J604" s="12"/>
      <c r="K604" s="12"/>
      <c r="L604" s="12">
        <v>1</v>
      </c>
      <c r="M604" s="12"/>
      <c r="N604" s="12"/>
      <c r="O604" s="12"/>
      <c r="P604" s="12"/>
      <c r="Q604" s="12"/>
      <c r="R604" s="12"/>
      <c r="S604" s="12"/>
      <c r="T604" s="13"/>
      <c r="U604" s="46"/>
      <c r="V604" s="47"/>
      <c r="W604" s="48">
        <f t="shared" si="68"/>
        <v>0</v>
      </c>
      <c r="X604" s="48">
        <f t="shared" si="69"/>
        <v>0</v>
      </c>
      <c r="Y604" s="48">
        <f t="shared" si="70"/>
        <v>0</v>
      </c>
      <c r="Z604" s="48">
        <f t="shared" si="71"/>
        <v>0</v>
      </c>
      <c r="AA604" s="48"/>
      <c r="AB604" s="48"/>
      <c r="AC604" s="49">
        <f t="shared" si="72"/>
        <v>0</v>
      </c>
      <c r="AD604" s="50">
        <v>0</v>
      </c>
      <c r="AE604" s="47">
        <v>39974</v>
      </c>
      <c r="AF604" s="51" t="s">
        <v>516</v>
      </c>
      <c r="AG604" s="52" t="s">
        <v>517</v>
      </c>
      <c r="AH604" s="53" t="s">
        <v>698</v>
      </c>
      <c r="AI604" s="79"/>
      <c r="AJ604" s="80"/>
      <c r="AK604" s="81"/>
      <c r="AL604" s="80"/>
      <c r="AM604" s="80"/>
      <c r="AN604" s="80"/>
      <c r="AO604" s="80"/>
      <c r="AP604" s="80"/>
      <c r="AQ604" s="80"/>
      <c r="AR604" s="80"/>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80"/>
      <c r="CB604" s="80"/>
      <c r="CC604" s="80"/>
      <c r="CD604" s="80"/>
      <c r="CE604" s="80"/>
      <c r="CF604" s="80"/>
      <c r="CG604" s="80"/>
      <c r="CH604" s="80"/>
      <c r="CI604" s="80"/>
      <c r="CJ604" s="80"/>
      <c r="CK604" s="82"/>
      <c r="CL604" s="12"/>
      <c r="CM604" s="82"/>
      <c r="CN604" s="12"/>
      <c r="CO604" s="82"/>
      <c r="CP604" s="12"/>
      <c r="CQ604" s="83">
        <f t="shared" si="73"/>
        <v>0</v>
      </c>
      <c r="CR604" s="84"/>
      <c r="CS604" s="13"/>
      <c r="CT604" s="85"/>
      <c r="CU604" s="86"/>
      <c r="CV604" s="11"/>
      <c r="CW604" s="86"/>
      <c r="CX604" s="84"/>
      <c r="CY604" s="86"/>
    </row>
    <row r="605" spans="1:103" ht="25.5" x14ac:dyDescent="0.2">
      <c r="A605" s="43">
        <v>39974</v>
      </c>
      <c r="B605" s="44" t="s">
        <v>625</v>
      </c>
      <c r="C605" s="44" t="s">
        <v>579</v>
      </c>
      <c r="D605" s="45" t="s">
        <v>1092</v>
      </c>
      <c r="E605" s="11">
        <v>2</v>
      </c>
      <c r="F605" s="12"/>
      <c r="G605" s="12"/>
      <c r="H605" s="12">
        <v>5</v>
      </c>
      <c r="I605" s="12">
        <v>1</v>
      </c>
      <c r="J605" s="12">
        <v>1</v>
      </c>
      <c r="K605" s="12"/>
      <c r="L605" s="12"/>
      <c r="M605" s="12"/>
      <c r="N605" s="12"/>
      <c r="O605" s="12"/>
      <c r="P605" s="12"/>
      <c r="Q605" s="12"/>
      <c r="R605" s="12"/>
      <c r="S605" s="12"/>
      <c r="T605" s="13"/>
      <c r="U605" s="46"/>
      <c r="V605" s="47"/>
      <c r="W605" s="48">
        <f t="shared" si="68"/>
        <v>0</v>
      </c>
      <c r="X605" s="48">
        <f t="shared" si="69"/>
        <v>0</v>
      </c>
      <c r="Y605" s="48">
        <f t="shared" si="70"/>
        <v>0</v>
      </c>
      <c r="Z605" s="48">
        <f t="shared" si="71"/>
        <v>0</v>
      </c>
      <c r="AA605" s="48"/>
      <c r="AB605" s="48"/>
      <c r="AC605" s="49">
        <f t="shared" si="72"/>
        <v>0</v>
      </c>
      <c r="AD605" s="50">
        <v>0</v>
      </c>
      <c r="AE605" s="47">
        <v>39974</v>
      </c>
      <c r="AF605" s="51" t="s">
        <v>1016</v>
      </c>
      <c r="AG605" s="52" t="s">
        <v>565</v>
      </c>
      <c r="AH605" s="53" t="s">
        <v>1292</v>
      </c>
      <c r="AI605" s="79"/>
      <c r="AJ605" s="80"/>
      <c r="AK605" s="81"/>
      <c r="AL605" s="80"/>
      <c r="AM605" s="80"/>
      <c r="AN605" s="80"/>
      <c r="AO605" s="80"/>
      <c r="AP605" s="80"/>
      <c r="AQ605" s="80"/>
      <c r="AR605" s="80"/>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80"/>
      <c r="CB605" s="80"/>
      <c r="CC605" s="80"/>
      <c r="CD605" s="80"/>
      <c r="CE605" s="80"/>
      <c r="CF605" s="80"/>
      <c r="CG605" s="80"/>
      <c r="CH605" s="80"/>
      <c r="CI605" s="80"/>
      <c r="CJ605" s="80"/>
      <c r="CK605" s="82"/>
      <c r="CL605" s="12"/>
      <c r="CM605" s="82"/>
      <c r="CN605" s="12"/>
      <c r="CO605" s="82"/>
      <c r="CP605" s="12"/>
      <c r="CQ605" s="83">
        <f t="shared" si="73"/>
        <v>0</v>
      </c>
      <c r="CR605" s="84"/>
      <c r="CS605" s="13"/>
      <c r="CT605" s="85"/>
      <c r="CU605" s="86"/>
      <c r="CV605" s="11"/>
      <c r="CW605" s="86"/>
      <c r="CX605" s="84"/>
      <c r="CY605" s="86"/>
    </row>
    <row r="606" spans="1:103" ht="25.5" x14ac:dyDescent="0.2">
      <c r="A606" s="43">
        <v>39974</v>
      </c>
      <c r="B606" s="44" t="s">
        <v>625</v>
      </c>
      <c r="C606" s="44" t="s">
        <v>141</v>
      </c>
      <c r="D606" s="45" t="s">
        <v>134</v>
      </c>
      <c r="E606" s="11"/>
      <c r="F606" s="12"/>
      <c r="G606" s="12"/>
      <c r="H606" s="12">
        <v>50</v>
      </c>
      <c r="I606" s="12">
        <v>10</v>
      </c>
      <c r="J606" s="12"/>
      <c r="K606" s="12">
        <v>10</v>
      </c>
      <c r="L606" s="12"/>
      <c r="M606" s="12"/>
      <c r="N606" s="12"/>
      <c r="O606" s="12"/>
      <c r="P606" s="12"/>
      <c r="Q606" s="12"/>
      <c r="R606" s="12"/>
      <c r="S606" s="12"/>
      <c r="T606" s="13"/>
      <c r="U606" s="46"/>
      <c r="V606" s="47"/>
      <c r="W606" s="48">
        <f t="shared" si="68"/>
        <v>0</v>
      </c>
      <c r="X606" s="48">
        <f t="shared" si="69"/>
        <v>0</v>
      </c>
      <c r="Y606" s="48">
        <f t="shared" si="70"/>
        <v>0</v>
      </c>
      <c r="Z606" s="48">
        <f t="shared" si="71"/>
        <v>0</v>
      </c>
      <c r="AA606" s="48"/>
      <c r="AB606" s="48"/>
      <c r="AC606" s="49">
        <f t="shared" si="72"/>
        <v>0</v>
      </c>
      <c r="AD606" s="50">
        <v>0</v>
      </c>
      <c r="AE606" s="47">
        <v>39974</v>
      </c>
      <c r="AF606" s="51" t="s">
        <v>516</v>
      </c>
      <c r="AG606" s="52" t="s">
        <v>517</v>
      </c>
      <c r="AH606" s="53"/>
      <c r="AI606" s="79"/>
      <c r="AJ606" s="80"/>
      <c r="AK606" s="81"/>
      <c r="AL606" s="80"/>
      <c r="AM606" s="80"/>
      <c r="AN606" s="80"/>
      <c r="AO606" s="80"/>
      <c r="AP606" s="80"/>
      <c r="AQ606" s="80"/>
      <c r="AR606" s="80"/>
      <c r="AS606" s="80"/>
      <c r="AT606" s="80"/>
      <c r="AU606" s="80"/>
      <c r="AV606" s="80"/>
      <c r="AW606" s="80"/>
      <c r="AX606" s="80"/>
      <c r="AY606" s="80"/>
      <c r="AZ606" s="80"/>
      <c r="BA606" s="80"/>
      <c r="BB606" s="80"/>
      <c r="BC606" s="80"/>
      <c r="BD606" s="80"/>
      <c r="BE606" s="80"/>
      <c r="BF606" s="80"/>
      <c r="BG606" s="80"/>
      <c r="BH606" s="80"/>
      <c r="BI606" s="80"/>
      <c r="BJ606" s="80"/>
      <c r="BK606" s="80"/>
      <c r="BL606" s="80"/>
      <c r="BM606" s="80"/>
      <c r="BN606" s="80"/>
      <c r="BO606" s="80"/>
      <c r="BP606" s="80"/>
      <c r="BQ606" s="80"/>
      <c r="BR606" s="80"/>
      <c r="BS606" s="80"/>
      <c r="BT606" s="80"/>
      <c r="BU606" s="80"/>
      <c r="BV606" s="80"/>
      <c r="BW606" s="80"/>
      <c r="BX606" s="80"/>
      <c r="BY606" s="80"/>
      <c r="BZ606" s="80"/>
      <c r="CA606" s="80"/>
      <c r="CB606" s="80"/>
      <c r="CC606" s="80"/>
      <c r="CD606" s="80"/>
      <c r="CE606" s="80"/>
      <c r="CF606" s="80"/>
      <c r="CG606" s="80"/>
      <c r="CH606" s="80"/>
      <c r="CI606" s="80"/>
      <c r="CJ606" s="80"/>
      <c r="CK606" s="82"/>
      <c r="CL606" s="12"/>
      <c r="CM606" s="82"/>
      <c r="CN606" s="12"/>
      <c r="CO606" s="82"/>
      <c r="CP606" s="12"/>
      <c r="CQ606" s="83">
        <f t="shared" si="73"/>
        <v>0</v>
      </c>
      <c r="CR606" s="84"/>
      <c r="CS606" s="13"/>
      <c r="CT606" s="85"/>
      <c r="CU606" s="86"/>
      <c r="CV606" s="11"/>
      <c r="CW606" s="86"/>
      <c r="CX606" s="84"/>
      <c r="CY606" s="86"/>
    </row>
    <row r="607" spans="1:103" ht="25.5" x14ac:dyDescent="0.2">
      <c r="A607" s="43">
        <v>39974</v>
      </c>
      <c r="B607" s="44" t="s">
        <v>632</v>
      </c>
      <c r="C607" s="44" t="s">
        <v>429</v>
      </c>
      <c r="D607" s="45" t="s">
        <v>1117</v>
      </c>
      <c r="E607" s="11"/>
      <c r="F607" s="12"/>
      <c r="G607" s="12"/>
      <c r="H607" s="12">
        <v>25</v>
      </c>
      <c r="I607" s="12">
        <v>5</v>
      </c>
      <c r="J607" s="12"/>
      <c r="K607" s="12">
        <v>5</v>
      </c>
      <c r="L607" s="12"/>
      <c r="M607" s="12"/>
      <c r="N607" s="12"/>
      <c r="O607" s="12"/>
      <c r="P607" s="12"/>
      <c r="Q607" s="12"/>
      <c r="R607" s="12"/>
      <c r="S607" s="12"/>
      <c r="T607" s="13"/>
      <c r="U607" s="46"/>
      <c r="V607" s="47"/>
      <c r="W607" s="48">
        <f t="shared" si="68"/>
        <v>0</v>
      </c>
      <c r="X607" s="48">
        <f t="shared" si="69"/>
        <v>0</v>
      </c>
      <c r="Y607" s="48">
        <f t="shared" si="70"/>
        <v>0</v>
      </c>
      <c r="Z607" s="48">
        <f t="shared" si="71"/>
        <v>0</v>
      </c>
      <c r="AA607" s="48"/>
      <c r="AB607" s="48"/>
      <c r="AC607" s="49">
        <f t="shared" si="72"/>
        <v>0</v>
      </c>
      <c r="AD607" s="50">
        <v>0</v>
      </c>
      <c r="AE607" s="47">
        <v>39974</v>
      </c>
      <c r="AF607" s="51" t="s">
        <v>516</v>
      </c>
      <c r="AG607" s="52" t="s">
        <v>517</v>
      </c>
      <c r="AH607" s="53"/>
      <c r="AI607" s="79"/>
      <c r="AJ607" s="80"/>
      <c r="AK607" s="81"/>
      <c r="AL607" s="80"/>
      <c r="AM607" s="80"/>
      <c r="AN607" s="80"/>
      <c r="AO607" s="80"/>
      <c r="AP607" s="80"/>
      <c r="AQ607" s="80"/>
      <c r="AR607" s="80"/>
      <c r="AS607" s="80"/>
      <c r="AT607" s="80"/>
      <c r="AU607" s="80"/>
      <c r="AV607" s="80"/>
      <c r="AW607" s="80"/>
      <c r="AX607" s="80"/>
      <c r="AY607" s="80"/>
      <c r="AZ607" s="80"/>
      <c r="BA607" s="80"/>
      <c r="BB607" s="80"/>
      <c r="BC607" s="80"/>
      <c r="BD607" s="80"/>
      <c r="BE607" s="80"/>
      <c r="BF607" s="80"/>
      <c r="BG607" s="80"/>
      <c r="BH607" s="80"/>
      <c r="BI607" s="80"/>
      <c r="BJ607" s="80"/>
      <c r="BK607" s="80"/>
      <c r="BL607" s="80"/>
      <c r="BM607" s="80"/>
      <c r="BN607" s="80"/>
      <c r="BO607" s="80"/>
      <c r="BP607" s="80"/>
      <c r="BQ607" s="80"/>
      <c r="BR607" s="80"/>
      <c r="BS607" s="80"/>
      <c r="BT607" s="80"/>
      <c r="BU607" s="80"/>
      <c r="BV607" s="80"/>
      <c r="BW607" s="80"/>
      <c r="BX607" s="80"/>
      <c r="BY607" s="80"/>
      <c r="BZ607" s="80"/>
      <c r="CA607" s="80"/>
      <c r="CB607" s="80"/>
      <c r="CC607" s="80"/>
      <c r="CD607" s="80"/>
      <c r="CE607" s="80"/>
      <c r="CF607" s="80"/>
      <c r="CG607" s="80"/>
      <c r="CH607" s="80"/>
      <c r="CI607" s="80"/>
      <c r="CJ607" s="80"/>
      <c r="CK607" s="82"/>
      <c r="CL607" s="12"/>
      <c r="CM607" s="82"/>
      <c r="CN607" s="12"/>
      <c r="CO607" s="82"/>
      <c r="CP607" s="12"/>
      <c r="CQ607" s="83">
        <f t="shared" si="73"/>
        <v>0</v>
      </c>
      <c r="CR607" s="84"/>
      <c r="CS607" s="13"/>
      <c r="CT607" s="85"/>
      <c r="CU607" s="86"/>
      <c r="CV607" s="11"/>
      <c r="CW607" s="86"/>
      <c r="CX607" s="84"/>
      <c r="CY607" s="86"/>
    </row>
    <row r="608" spans="1:103" ht="51" x14ac:dyDescent="0.2">
      <c r="A608" s="43">
        <v>39974</v>
      </c>
      <c r="B608" s="44" t="s">
        <v>1066</v>
      </c>
      <c r="C608" s="44" t="s">
        <v>284</v>
      </c>
      <c r="D608" s="45" t="s">
        <v>1117</v>
      </c>
      <c r="E608" s="11"/>
      <c r="F608" s="12"/>
      <c r="G608" s="12"/>
      <c r="H608" s="12">
        <v>495</v>
      </c>
      <c r="I608" s="12">
        <v>99</v>
      </c>
      <c r="J608" s="12">
        <v>3</v>
      </c>
      <c r="K608" s="12">
        <v>96</v>
      </c>
      <c r="L608" s="12"/>
      <c r="M608" s="12"/>
      <c r="N608" s="12"/>
      <c r="O608" s="12"/>
      <c r="P608" s="12"/>
      <c r="Q608" s="12"/>
      <c r="R608" s="12"/>
      <c r="S608" s="12"/>
      <c r="T608" s="13"/>
      <c r="U608" s="46"/>
      <c r="V608" s="47"/>
      <c r="W608" s="48">
        <f t="shared" si="68"/>
        <v>0</v>
      </c>
      <c r="X608" s="48">
        <f t="shared" si="69"/>
        <v>0</v>
      </c>
      <c r="Y608" s="48">
        <f t="shared" si="70"/>
        <v>0</v>
      </c>
      <c r="Z608" s="48">
        <f t="shared" si="71"/>
        <v>0</v>
      </c>
      <c r="AA608" s="48"/>
      <c r="AB608" s="48"/>
      <c r="AC608" s="49">
        <f t="shared" si="72"/>
        <v>0</v>
      </c>
      <c r="AD608" s="50">
        <v>0</v>
      </c>
      <c r="AE608" s="47">
        <v>39974</v>
      </c>
      <c r="AF608" s="51" t="s">
        <v>516</v>
      </c>
      <c r="AG608" s="52" t="s">
        <v>517</v>
      </c>
      <c r="AH608" s="53" t="s">
        <v>1047</v>
      </c>
      <c r="AI608" s="79"/>
      <c r="AJ608" s="80"/>
      <c r="AK608" s="81"/>
      <c r="AL608" s="80"/>
      <c r="AM608" s="80"/>
      <c r="AN608" s="80"/>
      <c r="AO608" s="80"/>
      <c r="AP608" s="80"/>
      <c r="AQ608" s="80"/>
      <c r="AR608" s="80"/>
      <c r="AS608" s="80"/>
      <c r="AT608" s="80"/>
      <c r="AU608" s="80"/>
      <c r="AV608" s="80"/>
      <c r="AW608" s="80"/>
      <c r="AX608" s="80"/>
      <c r="AY608" s="80"/>
      <c r="AZ608" s="80"/>
      <c r="BA608" s="80"/>
      <c r="BB608" s="80"/>
      <c r="BC608" s="80"/>
      <c r="BD608" s="80"/>
      <c r="BE608" s="80"/>
      <c r="BF608" s="80"/>
      <c r="BG608" s="80"/>
      <c r="BH608" s="80"/>
      <c r="BI608" s="80"/>
      <c r="BJ608" s="80"/>
      <c r="BK608" s="80"/>
      <c r="BL608" s="80"/>
      <c r="BM608" s="80"/>
      <c r="BN608" s="80"/>
      <c r="BO608" s="80"/>
      <c r="BP608" s="80"/>
      <c r="BQ608" s="80"/>
      <c r="BR608" s="80"/>
      <c r="BS608" s="80"/>
      <c r="BT608" s="80"/>
      <c r="BU608" s="80"/>
      <c r="BV608" s="80"/>
      <c r="BW608" s="80"/>
      <c r="BX608" s="80"/>
      <c r="BY608" s="80"/>
      <c r="BZ608" s="80"/>
      <c r="CA608" s="80"/>
      <c r="CB608" s="80"/>
      <c r="CC608" s="80"/>
      <c r="CD608" s="80"/>
      <c r="CE608" s="80"/>
      <c r="CF608" s="80"/>
      <c r="CG608" s="80"/>
      <c r="CH608" s="80"/>
      <c r="CI608" s="80"/>
      <c r="CJ608" s="80"/>
      <c r="CK608" s="82"/>
      <c r="CL608" s="12"/>
      <c r="CM608" s="82"/>
      <c r="CN608" s="12"/>
      <c r="CO608" s="82"/>
      <c r="CP608" s="12"/>
      <c r="CQ608" s="83">
        <f t="shared" si="73"/>
        <v>0</v>
      </c>
      <c r="CR608" s="84"/>
      <c r="CS608" s="13"/>
      <c r="CT608" s="85"/>
      <c r="CU608" s="86"/>
      <c r="CV608" s="11"/>
      <c r="CW608" s="86"/>
      <c r="CX608" s="84"/>
      <c r="CY608" s="86"/>
    </row>
    <row r="609" spans="1:103" ht="25.5" x14ac:dyDescent="0.2">
      <c r="A609" s="43">
        <v>39974</v>
      </c>
      <c r="B609" s="44" t="s">
        <v>1066</v>
      </c>
      <c r="C609" s="44" t="s">
        <v>716</v>
      </c>
      <c r="D609" s="45" t="s">
        <v>1117</v>
      </c>
      <c r="E609" s="11"/>
      <c r="F609" s="12"/>
      <c r="G609" s="12"/>
      <c r="H609" s="12">
        <v>195</v>
      </c>
      <c r="I609" s="12">
        <v>37</v>
      </c>
      <c r="J609" s="12">
        <v>2</v>
      </c>
      <c r="K609" s="12">
        <v>35</v>
      </c>
      <c r="L609" s="12"/>
      <c r="M609" s="12"/>
      <c r="N609" s="12"/>
      <c r="O609" s="12"/>
      <c r="P609" s="12"/>
      <c r="Q609" s="12"/>
      <c r="R609" s="12"/>
      <c r="S609" s="12"/>
      <c r="T609" s="13"/>
      <c r="U609" s="46"/>
      <c r="V609" s="47"/>
      <c r="W609" s="48">
        <f t="shared" si="68"/>
        <v>0</v>
      </c>
      <c r="X609" s="48">
        <f t="shared" si="69"/>
        <v>0</v>
      </c>
      <c r="Y609" s="48">
        <f t="shared" si="70"/>
        <v>0</v>
      </c>
      <c r="Z609" s="48">
        <f t="shared" si="71"/>
        <v>0</v>
      </c>
      <c r="AA609" s="48"/>
      <c r="AB609" s="48"/>
      <c r="AC609" s="49">
        <f t="shared" si="72"/>
        <v>0</v>
      </c>
      <c r="AD609" s="50">
        <v>0</v>
      </c>
      <c r="AE609" s="47">
        <v>39974</v>
      </c>
      <c r="AF609" s="51" t="s">
        <v>516</v>
      </c>
      <c r="AG609" s="52" t="s">
        <v>517</v>
      </c>
      <c r="AH609" s="53" t="s">
        <v>1143</v>
      </c>
      <c r="AI609" s="79"/>
      <c r="AJ609" s="80"/>
      <c r="AK609" s="81"/>
      <c r="AL609" s="80"/>
      <c r="AM609" s="80"/>
      <c r="AN609" s="80"/>
      <c r="AO609" s="80"/>
      <c r="AP609" s="80"/>
      <c r="AQ609" s="80"/>
      <c r="AR609" s="80"/>
      <c r="AS609" s="80"/>
      <c r="AT609" s="80"/>
      <c r="AU609" s="80"/>
      <c r="AV609" s="80"/>
      <c r="AW609" s="80"/>
      <c r="AX609" s="80"/>
      <c r="AY609" s="80"/>
      <c r="AZ609" s="80"/>
      <c r="BA609" s="80"/>
      <c r="BB609" s="80"/>
      <c r="BC609" s="80"/>
      <c r="BD609" s="80"/>
      <c r="BE609" s="80"/>
      <c r="BF609" s="80"/>
      <c r="BG609" s="80"/>
      <c r="BH609" s="80"/>
      <c r="BI609" s="80"/>
      <c r="BJ609" s="80"/>
      <c r="BK609" s="80"/>
      <c r="BL609" s="80"/>
      <c r="BM609" s="80"/>
      <c r="BN609" s="80"/>
      <c r="BO609" s="80"/>
      <c r="BP609" s="80"/>
      <c r="BQ609" s="80"/>
      <c r="BR609" s="80"/>
      <c r="BS609" s="80"/>
      <c r="BT609" s="80"/>
      <c r="BU609" s="80"/>
      <c r="BV609" s="80"/>
      <c r="BW609" s="80"/>
      <c r="BX609" s="80"/>
      <c r="BY609" s="80"/>
      <c r="BZ609" s="80"/>
      <c r="CA609" s="80"/>
      <c r="CB609" s="80"/>
      <c r="CC609" s="80"/>
      <c r="CD609" s="80"/>
      <c r="CE609" s="80"/>
      <c r="CF609" s="80"/>
      <c r="CG609" s="80"/>
      <c r="CH609" s="80"/>
      <c r="CI609" s="80"/>
      <c r="CJ609" s="80"/>
      <c r="CK609" s="82"/>
      <c r="CL609" s="12"/>
      <c r="CM609" s="82"/>
      <c r="CN609" s="12"/>
      <c r="CO609" s="82"/>
      <c r="CP609" s="12"/>
      <c r="CQ609" s="83">
        <f t="shared" si="73"/>
        <v>0</v>
      </c>
      <c r="CR609" s="84"/>
      <c r="CS609" s="13"/>
      <c r="CT609" s="85"/>
      <c r="CU609" s="86"/>
      <c r="CV609" s="11"/>
      <c r="CW609" s="86"/>
      <c r="CX609" s="84"/>
      <c r="CY609" s="86"/>
    </row>
    <row r="610" spans="1:103" ht="51" x14ac:dyDescent="0.2">
      <c r="A610" s="43">
        <v>39974</v>
      </c>
      <c r="B610" s="44" t="s">
        <v>765</v>
      </c>
      <c r="C610" s="44" t="s">
        <v>578</v>
      </c>
      <c r="D610" s="45" t="s">
        <v>1118</v>
      </c>
      <c r="E610" s="11"/>
      <c r="F610" s="12">
        <v>1</v>
      </c>
      <c r="G610" s="12"/>
      <c r="H610" s="12">
        <v>27</v>
      </c>
      <c r="I610" s="12">
        <v>5</v>
      </c>
      <c r="J610" s="12"/>
      <c r="K610" s="12">
        <v>5</v>
      </c>
      <c r="L610" s="12"/>
      <c r="M610" s="12"/>
      <c r="N610" s="12"/>
      <c r="O610" s="12"/>
      <c r="P610" s="12"/>
      <c r="Q610" s="12"/>
      <c r="R610" s="12"/>
      <c r="S610" s="12"/>
      <c r="T610" s="13"/>
      <c r="U610" s="46"/>
      <c r="V610" s="47"/>
      <c r="W610" s="48">
        <f t="shared" si="68"/>
        <v>0</v>
      </c>
      <c r="X610" s="48">
        <f t="shared" si="69"/>
        <v>0</v>
      </c>
      <c r="Y610" s="48">
        <f t="shared" si="70"/>
        <v>0</v>
      </c>
      <c r="Z610" s="48">
        <f t="shared" si="71"/>
        <v>0</v>
      </c>
      <c r="AA610" s="48"/>
      <c r="AB610" s="48"/>
      <c r="AC610" s="49">
        <f t="shared" si="72"/>
        <v>0</v>
      </c>
      <c r="AD610" s="50">
        <v>0</v>
      </c>
      <c r="AE610" s="47">
        <v>39974</v>
      </c>
      <c r="AF610" s="51" t="s">
        <v>516</v>
      </c>
      <c r="AG610" s="52" t="s">
        <v>517</v>
      </c>
      <c r="AH610" s="53" t="s">
        <v>1038</v>
      </c>
      <c r="AI610" s="79"/>
      <c r="AJ610" s="80"/>
      <c r="AK610" s="81"/>
      <c r="AL610" s="80"/>
      <c r="AM610" s="80"/>
      <c r="AN610" s="80"/>
      <c r="AO610" s="80"/>
      <c r="AP610" s="80"/>
      <c r="AQ610" s="80"/>
      <c r="AR610" s="80"/>
      <c r="AS610" s="80"/>
      <c r="AT610" s="80"/>
      <c r="AU610" s="80"/>
      <c r="AV610" s="80"/>
      <c r="AW610" s="80"/>
      <c r="AX610" s="80"/>
      <c r="AY610" s="80"/>
      <c r="AZ610" s="80"/>
      <c r="BA610" s="80"/>
      <c r="BB610" s="80"/>
      <c r="BC610" s="80"/>
      <c r="BD610" s="80"/>
      <c r="BE610" s="80"/>
      <c r="BF610" s="80"/>
      <c r="BG610" s="80"/>
      <c r="BH610" s="80"/>
      <c r="BI610" s="80"/>
      <c r="BJ610" s="80"/>
      <c r="BK610" s="80"/>
      <c r="BL610" s="80"/>
      <c r="BM610" s="80"/>
      <c r="BN610" s="80"/>
      <c r="BO610" s="80"/>
      <c r="BP610" s="80"/>
      <c r="BQ610" s="80"/>
      <c r="BR610" s="80"/>
      <c r="BS610" s="80"/>
      <c r="BT610" s="80"/>
      <c r="BU610" s="80"/>
      <c r="BV610" s="80"/>
      <c r="BW610" s="80"/>
      <c r="BX610" s="80"/>
      <c r="BY610" s="80"/>
      <c r="BZ610" s="80"/>
      <c r="CA610" s="80"/>
      <c r="CB610" s="80"/>
      <c r="CC610" s="80"/>
      <c r="CD610" s="80"/>
      <c r="CE610" s="80"/>
      <c r="CF610" s="80"/>
      <c r="CG610" s="80"/>
      <c r="CH610" s="80"/>
      <c r="CI610" s="80"/>
      <c r="CJ610" s="80"/>
      <c r="CK610" s="82"/>
      <c r="CL610" s="12"/>
      <c r="CM610" s="82"/>
      <c r="CN610" s="12"/>
      <c r="CO610" s="82"/>
      <c r="CP610" s="12"/>
      <c r="CQ610" s="83">
        <f t="shared" si="73"/>
        <v>0</v>
      </c>
      <c r="CR610" s="84"/>
      <c r="CS610" s="13"/>
      <c r="CT610" s="85"/>
      <c r="CU610" s="86"/>
      <c r="CV610" s="11"/>
      <c r="CW610" s="86"/>
      <c r="CX610" s="84"/>
      <c r="CY610" s="86"/>
    </row>
    <row r="611" spans="1:103" ht="38.25" x14ac:dyDescent="0.2">
      <c r="A611" s="43">
        <v>39975</v>
      </c>
      <c r="B611" s="44" t="s">
        <v>1067</v>
      </c>
      <c r="C611" s="44" t="s">
        <v>1346</v>
      </c>
      <c r="D611" s="45" t="s">
        <v>1118</v>
      </c>
      <c r="E611" s="11"/>
      <c r="F611" s="12"/>
      <c r="G611" s="12"/>
      <c r="H611" s="12">
        <v>300</v>
      </c>
      <c r="I611" s="12">
        <v>60</v>
      </c>
      <c r="J611" s="12"/>
      <c r="K611" s="12">
        <v>60</v>
      </c>
      <c r="L611" s="12"/>
      <c r="M611" s="12"/>
      <c r="N611" s="12"/>
      <c r="O611" s="12"/>
      <c r="P611" s="12"/>
      <c r="Q611" s="12"/>
      <c r="R611" s="12"/>
      <c r="S611" s="12"/>
      <c r="T611" s="13"/>
      <c r="U611" s="46"/>
      <c r="V611" s="47"/>
      <c r="W611" s="48">
        <f t="shared" si="68"/>
        <v>0</v>
      </c>
      <c r="X611" s="48">
        <f t="shared" si="69"/>
        <v>0</v>
      </c>
      <c r="Y611" s="48">
        <f t="shared" si="70"/>
        <v>0</v>
      </c>
      <c r="Z611" s="48">
        <f t="shared" si="71"/>
        <v>0</v>
      </c>
      <c r="AA611" s="48"/>
      <c r="AB611" s="48"/>
      <c r="AC611" s="49">
        <f t="shared" si="72"/>
        <v>0</v>
      </c>
      <c r="AD611" s="50">
        <v>0</v>
      </c>
      <c r="AE611" s="47">
        <v>39976</v>
      </c>
      <c r="AF611" s="51" t="s">
        <v>516</v>
      </c>
      <c r="AG611" s="52" t="s">
        <v>517</v>
      </c>
      <c r="AH611" s="53" t="s">
        <v>499</v>
      </c>
      <c r="AI611" s="79"/>
      <c r="AJ611" s="80"/>
      <c r="AK611" s="81"/>
      <c r="AL611" s="80"/>
      <c r="AM611" s="80"/>
      <c r="AN611" s="80"/>
      <c r="AO611" s="80"/>
      <c r="AP611" s="80"/>
      <c r="AQ611" s="80"/>
      <c r="AR611" s="80"/>
      <c r="AS611" s="80"/>
      <c r="AT611" s="80"/>
      <c r="AU611" s="80"/>
      <c r="AV611" s="80"/>
      <c r="AW611" s="80"/>
      <c r="AX611" s="80"/>
      <c r="AY611" s="80"/>
      <c r="AZ611" s="80"/>
      <c r="BA611" s="80"/>
      <c r="BB611" s="80"/>
      <c r="BC611" s="80"/>
      <c r="BD611" s="80"/>
      <c r="BE611" s="80"/>
      <c r="BF611" s="80"/>
      <c r="BG611" s="80"/>
      <c r="BH611" s="80"/>
      <c r="BI611" s="80"/>
      <c r="BJ611" s="80"/>
      <c r="BK611" s="80"/>
      <c r="BL611" s="80"/>
      <c r="BM611" s="80"/>
      <c r="BN611" s="80"/>
      <c r="BO611" s="80"/>
      <c r="BP611" s="80"/>
      <c r="BQ611" s="80"/>
      <c r="BR611" s="80"/>
      <c r="BS611" s="80"/>
      <c r="BT611" s="80"/>
      <c r="BU611" s="80"/>
      <c r="BV611" s="80"/>
      <c r="BW611" s="80"/>
      <c r="BX611" s="80"/>
      <c r="BY611" s="80"/>
      <c r="BZ611" s="80"/>
      <c r="CA611" s="80"/>
      <c r="CB611" s="80"/>
      <c r="CC611" s="80"/>
      <c r="CD611" s="80"/>
      <c r="CE611" s="80"/>
      <c r="CF611" s="80"/>
      <c r="CG611" s="80"/>
      <c r="CH611" s="80"/>
      <c r="CI611" s="80"/>
      <c r="CJ611" s="80"/>
      <c r="CK611" s="82"/>
      <c r="CL611" s="12"/>
      <c r="CM611" s="82"/>
      <c r="CN611" s="12"/>
      <c r="CO611" s="82"/>
      <c r="CP611" s="12"/>
      <c r="CQ611" s="83">
        <f t="shared" si="73"/>
        <v>0</v>
      </c>
      <c r="CR611" s="84"/>
      <c r="CS611" s="13"/>
      <c r="CT611" s="85"/>
      <c r="CU611" s="86"/>
      <c r="CV611" s="11"/>
      <c r="CW611" s="86"/>
      <c r="CX611" s="84"/>
      <c r="CY611" s="86"/>
    </row>
    <row r="612" spans="1:103" ht="25.5" x14ac:dyDescent="0.2">
      <c r="A612" s="43">
        <v>39975</v>
      </c>
      <c r="B612" s="44" t="s">
        <v>300</v>
      </c>
      <c r="C612" s="44" t="s">
        <v>945</v>
      </c>
      <c r="D612" s="45" t="s">
        <v>1092</v>
      </c>
      <c r="E612" s="11"/>
      <c r="F612" s="12"/>
      <c r="G612" s="12"/>
      <c r="H612" s="12">
        <v>500</v>
      </c>
      <c r="I612" s="12">
        <v>100</v>
      </c>
      <c r="J612" s="12"/>
      <c r="K612" s="12">
        <v>100</v>
      </c>
      <c r="L612" s="12"/>
      <c r="M612" s="12"/>
      <c r="N612" s="12"/>
      <c r="O612" s="12"/>
      <c r="P612" s="12"/>
      <c r="Q612" s="12"/>
      <c r="R612" s="12"/>
      <c r="S612" s="12"/>
      <c r="T612" s="13"/>
      <c r="U612" s="46"/>
      <c r="V612" s="47">
        <v>40036</v>
      </c>
      <c r="W612" s="48">
        <f t="shared" si="68"/>
        <v>7295200</v>
      </c>
      <c r="X612" s="48">
        <f t="shared" si="69"/>
        <v>8500000</v>
      </c>
      <c r="Y612" s="48">
        <f t="shared" si="70"/>
        <v>0</v>
      </c>
      <c r="Z612" s="48">
        <f t="shared" si="71"/>
        <v>0</v>
      </c>
      <c r="AA612" s="48"/>
      <c r="AB612" s="48"/>
      <c r="AC612" s="49">
        <f t="shared" si="72"/>
        <v>15795200</v>
      </c>
      <c r="AD612" s="50">
        <v>0</v>
      </c>
      <c r="AE612" s="47">
        <v>39976</v>
      </c>
      <c r="AF612" s="51" t="s">
        <v>1016</v>
      </c>
      <c r="AG612" s="52" t="s">
        <v>565</v>
      </c>
      <c r="AH612" s="53" t="s">
        <v>923</v>
      </c>
      <c r="AI612" s="79"/>
      <c r="AJ612" s="80"/>
      <c r="AK612" s="81"/>
      <c r="AL612" s="80"/>
      <c r="AM612" s="80"/>
      <c r="AN612" s="80"/>
      <c r="AO612" s="80"/>
      <c r="AP612" s="80"/>
      <c r="AQ612" s="80"/>
      <c r="AR612" s="80"/>
      <c r="AS612" s="80"/>
      <c r="AT612" s="80"/>
      <c r="AU612" s="80"/>
      <c r="AV612" s="80"/>
      <c r="AW612" s="80"/>
      <c r="AX612" s="80"/>
      <c r="AY612" s="80"/>
      <c r="AZ612" s="80"/>
      <c r="BA612" s="80"/>
      <c r="BB612" s="80"/>
      <c r="BC612" s="80"/>
      <c r="BD612" s="80"/>
      <c r="BE612" s="80"/>
      <c r="BF612" s="80"/>
      <c r="BG612" s="80"/>
      <c r="BH612" s="80"/>
      <c r="BI612" s="80"/>
      <c r="BJ612" s="80"/>
      <c r="BK612" s="80"/>
      <c r="BL612" s="80"/>
      <c r="BM612" s="80"/>
      <c r="BN612" s="80"/>
      <c r="BO612" s="80"/>
      <c r="BP612" s="80"/>
      <c r="BQ612" s="80"/>
      <c r="BR612" s="80"/>
      <c r="BS612" s="80"/>
      <c r="BT612" s="80"/>
      <c r="BU612" s="80"/>
      <c r="BV612" s="80"/>
      <c r="BW612" s="80"/>
      <c r="BX612" s="80"/>
      <c r="BY612" s="80"/>
      <c r="BZ612" s="80"/>
      <c r="CA612" s="80"/>
      <c r="CB612" s="80"/>
      <c r="CC612" s="80"/>
      <c r="CD612" s="80"/>
      <c r="CE612" s="80"/>
      <c r="CF612" s="80"/>
      <c r="CG612" s="80"/>
      <c r="CH612" s="80"/>
      <c r="CI612" s="80"/>
      <c r="CJ612" s="80"/>
      <c r="CK612" s="82">
        <v>100</v>
      </c>
      <c r="CL612" s="12">
        <f>100*36952</f>
        <v>3695200</v>
      </c>
      <c r="CM612" s="82">
        <v>100</v>
      </c>
      <c r="CN612" s="12">
        <f>100*36000</f>
        <v>3600000</v>
      </c>
      <c r="CO612" s="82"/>
      <c r="CP612" s="12"/>
      <c r="CQ612" s="83">
        <f t="shared" si="73"/>
        <v>7295200</v>
      </c>
      <c r="CR612" s="84"/>
      <c r="CS612" s="13"/>
      <c r="CT612" s="85">
        <v>100</v>
      </c>
      <c r="CU612" s="86">
        <f>100*85000</f>
        <v>8500000</v>
      </c>
      <c r="CV612" s="11"/>
      <c r="CW612" s="86"/>
      <c r="CX612" s="84"/>
      <c r="CY612" s="86"/>
    </row>
    <row r="613" spans="1:103" ht="25.5" x14ac:dyDescent="0.2">
      <c r="A613" s="43">
        <v>39975</v>
      </c>
      <c r="B613" s="44" t="s">
        <v>1224</v>
      </c>
      <c r="C613" s="44" t="s">
        <v>231</v>
      </c>
      <c r="D613" s="45" t="s">
        <v>1095</v>
      </c>
      <c r="E613" s="11">
        <v>1</v>
      </c>
      <c r="F613" s="12"/>
      <c r="G613" s="12">
        <v>5</v>
      </c>
      <c r="H613" s="12"/>
      <c r="I613" s="12"/>
      <c r="J613" s="12"/>
      <c r="K613" s="12"/>
      <c r="L613" s="12"/>
      <c r="M613" s="12"/>
      <c r="N613" s="12"/>
      <c r="O613" s="12"/>
      <c r="P613" s="12"/>
      <c r="Q613" s="12"/>
      <c r="R613" s="12"/>
      <c r="S613" s="12"/>
      <c r="T613" s="13"/>
      <c r="U613" s="46"/>
      <c r="V613" s="47"/>
      <c r="W613" s="48">
        <f t="shared" si="68"/>
        <v>0</v>
      </c>
      <c r="X613" s="48">
        <f t="shared" si="69"/>
        <v>0</v>
      </c>
      <c r="Y613" s="48">
        <f t="shared" si="70"/>
        <v>0</v>
      </c>
      <c r="Z613" s="48">
        <f t="shared" si="71"/>
        <v>0</v>
      </c>
      <c r="AA613" s="48"/>
      <c r="AB613" s="48"/>
      <c r="AC613" s="49">
        <f t="shared" si="72"/>
        <v>0</v>
      </c>
      <c r="AD613" s="50">
        <v>0</v>
      </c>
      <c r="AE613" s="47">
        <v>39976</v>
      </c>
      <c r="AF613" s="51" t="s">
        <v>516</v>
      </c>
      <c r="AG613" s="52" t="s">
        <v>517</v>
      </c>
      <c r="AH613" s="53" t="s">
        <v>137</v>
      </c>
      <c r="AI613" s="79"/>
      <c r="AJ613" s="80"/>
      <c r="AK613" s="81"/>
      <c r="AL613" s="80"/>
      <c r="AM613" s="80"/>
      <c r="AN613" s="80"/>
      <c r="AO613" s="80"/>
      <c r="AP613" s="80"/>
      <c r="AQ613" s="80"/>
      <c r="AR613" s="80"/>
      <c r="AS613" s="80"/>
      <c r="AT613" s="80"/>
      <c r="AU613" s="80"/>
      <c r="AV613" s="80"/>
      <c r="AW613" s="80"/>
      <c r="AX613" s="80"/>
      <c r="AY613" s="80"/>
      <c r="AZ613" s="80"/>
      <c r="BA613" s="80"/>
      <c r="BB613" s="80"/>
      <c r="BC613" s="80"/>
      <c r="BD613" s="80"/>
      <c r="BE613" s="80"/>
      <c r="BF613" s="80"/>
      <c r="BG613" s="80"/>
      <c r="BH613" s="80"/>
      <c r="BI613" s="80"/>
      <c r="BJ613" s="80"/>
      <c r="BK613" s="80"/>
      <c r="BL613" s="80"/>
      <c r="BM613" s="80"/>
      <c r="BN613" s="80"/>
      <c r="BO613" s="80"/>
      <c r="BP613" s="80"/>
      <c r="BQ613" s="80"/>
      <c r="BR613" s="80"/>
      <c r="BS613" s="80"/>
      <c r="BT613" s="80"/>
      <c r="BU613" s="80"/>
      <c r="BV613" s="80"/>
      <c r="BW613" s="80"/>
      <c r="BX613" s="80"/>
      <c r="BY613" s="80"/>
      <c r="BZ613" s="80"/>
      <c r="CA613" s="80"/>
      <c r="CB613" s="80"/>
      <c r="CC613" s="80"/>
      <c r="CD613" s="80"/>
      <c r="CE613" s="80"/>
      <c r="CF613" s="80"/>
      <c r="CG613" s="80"/>
      <c r="CH613" s="80"/>
      <c r="CI613" s="80"/>
      <c r="CJ613" s="80"/>
      <c r="CK613" s="82"/>
      <c r="CL613" s="12"/>
      <c r="CM613" s="82"/>
      <c r="CN613" s="12"/>
      <c r="CO613" s="82"/>
      <c r="CP613" s="12"/>
      <c r="CQ613" s="83">
        <f t="shared" si="73"/>
        <v>0</v>
      </c>
      <c r="CR613" s="84"/>
      <c r="CS613" s="13"/>
      <c r="CT613" s="85"/>
      <c r="CU613" s="86"/>
      <c r="CV613" s="11"/>
      <c r="CW613" s="86"/>
      <c r="CX613" s="84"/>
      <c r="CY613" s="86"/>
    </row>
    <row r="614" spans="1:103" ht="12.75" x14ac:dyDescent="0.2">
      <c r="A614" s="43">
        <v>39975</v>
      </c>
      <c r="B614" s="44" t="s">
        <v>688</v>
      </c>
      <c r="C614" s="44" t="s">
        <v>674</v>
      </c>
      <c r="D614" s="45" t="s">
        <v>1117</v>
      </c>
      <c r="E614" s="11"/>
      <c r="F614" s="12"/>
      <c r="G614" s="12"/>
      <c r="H614" s="12">
        <v>30</v>
      </c>
      <c r="I614" s="12">
        <v>6</v>
      </c>
      <c r="J614" s="12"/>
      <c r="K614" s="12">
        <v>6</v>
      </c>
      <c r="L614" s="12"/>
      <c r="M614" s="12"/>
      <c r="N614" s="12"/>
      <c r="O614" s="12"/>
      <c r="P614" s="12"/>
      <c r="Q614" s="12"/>
      <c r="R614" s="12"/>
      <c r="S614" s="12"/>
      <c r="T614" s="13"/>
      <c r="U614" s="46"/>
      <c r="V614" s="47"/>
      <c r="W614" s="48">
        <f t="shared" si="68"/>
        <v>0</v>
      </c>
      <c r="X614" s="48">
        <f t="shared" si="69"/>
        <v>0</v>
      </c>
      <c r="Y614" s="48">
        <f t="shared" si="70"/>
        <v>0</v>
      </c>
      <c r="Z614" s="48">
        <f t="shared" si="71"/>
        <v>0</v>
      </c>
      <c r="AA614" s="48"/>
      <c r="AB614" s="48"/>
      <c r="AC614" s="49">
        <f t="shared" si="72"/>
        <v>0</v>
      </c>
      <c r="AD614" s="50">
        <v>0</v>
      </c>
      <c r="AE614" s="47">
        <v>39996</v>
      </c>
      <c r="AF614" s="51" t="s">
        <v>1016</v>
      </c>
      <c r="AG614" s="52" t="s">
        <v>565</v>
      </c>
      <c r="AH614" s="53" t="s">
        <v>317</v>
      </c>
      <c r="AI614" s="79"/>
      <c r="AJ614" s="80"/>
      <c r="AK614" s="81"/>
      <c r="AL614" s="80"/>
      <c r="AM614" s="80"/>
      <c r="AN614" s="80"/>
      <c r="AO614" s="80"/>
      <c r="AP614" s="80"/>
      <c r="AQ614" s="80"/>
      <c r="AR614" s="80"/>
      <c r="AS614" s="80"/>
      <c r="AT614" s="80"/>
      <c r="AU614" s="80"/>
      <c r="AV614" s="80"/>
      <c r="AW614" s="80"/>
      <c r="AX614" s="80"/>
      <c r="AY614" s="80"/>
      <c r="AZ614" s="80"/>
      <c r="BA614" s="80"/>
      <c r="BB614" s="80"/>
      <c r="BC614" s="80"/>
      <c r="BD614" s="80"/>
      <c r="BE614" s="80"/>
      <c r="BF614" s="80"/>
      <c r="BG614" s="80"/>
      <c r="BH614" s="80"/>
      <c r="BI614" s="80"/>
      <c r="BJ614" s="80"/>
      <c r="BK614" s="80"/>
      <c r="BL614" s="80"/>
      <c r="BM614" s="80"/>
      <c r="BN614" s="80"/>
      <c r="BO614" s="80"/>
      <c r="BP614" s="80"/>
      <c r="BQ614" s="80"/>
      <c r="BR614" s="80"/>
      <c r="BS614" s="80"/>
      <c r="BT614" s="80"/>
      <c r="BU614" s="80"/>
      <c r="BV614" s="80"/>
      <c r="BW614" s="80"/>
      <c r="BX614" s="80"/>
      <c r="BY614" s="80"/>
      <c r="BZ614" s="80"/>
      <c r="CA614" s="80"/>
      <c r="CB614" s="80"/>
      <c r="CC614" s="80"/>
      <c r="CD614" s="80"/>
      <c r="CE614" s="80"/>
      <c r="CF614" s="80"/>
      <c r="CG614" s="80"/>
      <c r="CH614" s="80"/>
      <c r="CI614" s="80"/>
      <c r="CJ614" s="80"/>
      <c r="CK614" s="82"/>
      <c r="CL614" s="12"/>
      <c r="CM614" s="82"/>
      <c r="CN614" s="12"/>
      <c r="CO614" s="82"/>
      <c r="CP614" s="12"/>
      <c r="CQ614" s="83">
        <f t="shared" si="73"/>
        <v>0</v>
      </c>
      <c r="CR614" s="84"/>
      <c r="CS614" s="13"/>
      <c r="CT614" s="85"/>
      <c r="CU614" s="86"/>
      <c r="CV614" s="11"/>
      <c r="CW614" s="86"/>
      <c r="CX614" s="84"/>
      <c r="CY614" s="86"/>
    </row>
    <row r="615" spans="1:103" ht="25.5" x14ac:dyDescent="0.2">
      <c r="A615" s="43">
        <v>39976</v>
      </c>
      <c r="B615" s="44" t="s">
        <v>1067</v>
      </c>
      <c r="C615" s="44" t="s">
        <v>1346</v>
      </c>
      <c r="D615" s="45" t="s">
        <v>1118</v>
      </c>
      <c r="E615" s="11"/>
      <c r="F615" s="12"/>
      <c r="G615" s="12"/>
      <c r="H615" s="12">
        <v>105</v>
      </c>
      <c r="I615" s="12">
        <v>21</v>
      </c>
      <c r="J615" s="12">
        <v>1</v>
      </c>
      <c r="K615" s="12">
        <v>20</v>
      </c>
      <c r="L615" s="12"/>
      <c r="M615" s="12"/>
      <c r="N615" s="12"/>
      <c r="O615" s="12"/>
      <c r="P615" s="12"/>
      <c r="Q615" s="12"/>
      <c r="R615" s="12"/>
      <c r="S615" s="12"/>
      <c r="T615" s="13"/>
      <c r="U615" s="46"/>
      <c r="V615" s="47"/>
      <c r="W615" s="48">
        <f t="shared" si="68"/>
        <v>0</v>
      </c>
      <c r="X615" s="48">
        <f t="shared" si="69"/>
        <v>0</v>
      </c>
      <c r="Y615" s="48">
        <f t="shared" si="70"/>
        <v>0</v>
      </c>
      <c r="Z615" s="48">
        <f t="shared" si="71"/>
        <v>0</v>
      </c>
      <c r="AA615" s="48"/>
      <c r="AB615" s="48"/>
      <c r="AC615" s="49">
        <f t="shared" si="72"/>
        <v>0</v>
      </c>
      <c r="AD615" s="50">
        <v>0</v>
      </c>
      <c r="AE615" s="47">
        <v>40025</v>
      </c>
      <c r="AF615" s="51" t="s">
        <v>516</v>
      </c>
      <c r="AG615" s="52" t="s">
        <v>517</v>
      </c>
      <c r="AH615" s="53" t="s">
        <v>443</v>
      </c>
      <c r="AI615" s="79"/>
      <c r="AJ615" s="80"/>
      <c r="AK615" s="81"/>
      <c r="AL615" s="80"/>
      <c r="AM615" s="80"/>
      <c r="AN615" s="80"/>
      <c r="AO615" s="80"/>
      <c r="AP615" s="80"/>
      <c r="AQ615" s="80"/>
      <c r="AR615" s="80"/>
      <c r="AS615" s="80"/>
      <c r="AT615" s="80"/>
      <c r="AU615" s="80"/>
      <c r="AV615" s="80"/>
      <c r="AW615" s="80"/>
      <c r="AX615" s="80"/>
      <c r="AY615" s="80"/>
      <c r="AZ615" s="80"/>
      <c r="BA615" s="80"/>
      <c r="BB615" s="80"/>
      <c r="BC615" s="80"/>
      <c r="BD615" s="80"/>
      <c r="BE615" s="80"/>
      <c r="BF615" s="80"/>
      <c r="BG615" s="80"/>
      <c r="BH615" s="80"/>
      <c r="BI615" s="80"/>
      <c r="BJ615" s="80"/>
      <c r="BK615" s="80"/>
      <c r="BL615" s="80"/>
      <c r="BM615" s="80"/>
      <c r="BN615" s="80"/>
      <c r="BO615" s="80"/>
      <c r="BP615" s="80"/>
      <c r="BQ615" s="80"/>
      <c r="BR615" s="80"/>
      <c r="BS615" s="80"/>
      <c r="BT615" s="80"/>
      <c r="BU615" s="80"/>
      <c r="BV615" s="80"/>
      <c r="BW615" s="80"/>
      <c r="BX615" s="80"/>
      <c r="BY615" s="80"/>
      <c r="BZ615" s="80"/>
      <c r="CA615" s="80"/>
      <c r="CB615" s="80"/>
      <c r="CC615" s="80"/>
      <c r="CD615" s="80"/>
      <c r="CE615" s="80"/>
      <c r="CF615" s="80"/>
      <c r="CG615" s="80"/>
      <c r="CH615" s="80"/>
      <c r="CI615" s="80"/>
      <c r="CJ615" s="80"/>
      <c r="CK615" s="82"/>
      <c r="CL615" s="12"/>
      <c r="CM615" s="82"/>
      <c r="CN615" s="12"/>
      <c r="CO615" s="82"/>
      <c r="CP615" s="12"/>
      <c r="CQ615" s="83">
        <f t="shared" si="73"/>
        <v>0</v>
      </c>
      <c r="CR615" s="84"/>
      <c r="CS615" s="13"/>
      <c r="CT615" s="85"/>
      <c r="CU615" s="86"/>
      <c r="CV615" s="11"/>
      <c r="CW615" s="86"/>
      <c r="CX615" s="84"/>
      <c r="CY615" s="86"/>
    </row>
    <row r="616" spans="1:103" ht="38.25" x14ac:dyDescent="0.2">
      <c r="A616" s="43">
        <v>39976</v>
      </c>
      <c r="B616" s="44" t="s">
        <v>1226</v>
      </c>
      <c r="C616" s="44" t="s">
        <v>500</v>
      </c>
      <c r="D616" s="45" t="s">
        <v>133</v>
      </c>
      <c r="E616" s="11"/>
      <c r="F616" s="12"/>
      <c r="G616" s="12"/>
      <c r="H616" s="12"/>
      <c r="I616" s="12"/>
      <c r="J616" s="12"/>
      <c r="K616" s="12"/>
      <c r="L616" s="12"/>
      <c r="M616" s="12"/>
      <c r="N616" s="12"/>
      <c r="O616" s="12"/>
      <c r="P616" s="12"/>
      <c r="Q616" s="12"/>
      <c r="R616" s="12"/>
      <c r="S616" s="12"/>
      <c r="T616" s="13"/>
      <c r="U616" s="46"/>
      <c r="V616" s="47"/>
      <c r="W616" s="48">
        <f t="shared" si="68"/>
        <v>0</v>
      </c>
      <c r="X616" s="48">
        <f t="shared" si="69"/>
        <v>0</v>
      </c>
      <c r="Y616" s="48">
        <f t="shared" si="70"/>
        <v>0</v>
      </c>
      <c r="Z616" s="48">
        <f t="shared" si="71"/>
        <v>0</v>
      </c>
      <c r="AA616" s="48"/>
      <c r="AB616" s="48"/>
      <c r="AC616" s="49">
        <f t="shared" si="72"/>
        <v>0</v>
      </c>
      <c r="AD616" s="50">
        <v>0</v>
      </c>
      <c r="AE616" s="47">
        <v>39979</v>
      </c>
      <c r="AF616" s="51" t="s">
        <v>516</v>
      </c>
      <c r="AG616" s="52" t="s">
        <v>517</v>
      </c>
      <c r="AH616" s="53" t="s">
        <v>501</v>
      </c>
      <c r="AI616" s="79"/>
      <c r="AJ616" s="80"/>
      <c r="AK616" s="81"/>
      <c r="AL616" s="80"/>
      <c r="AM616" s="80"/>
      <c r="AN616" s="80"/>
      <c r="AO616" s="80"/>
      <c r="AP616" s="80"/>
      <c r="AQ616" s="80"/>
      <c r="AR616" s="80"/>
      <c r="AS616" s="80"/>
      <c r="AT616" s="80"/>
      <c r="AU616" s="80"/>
      <c r="AV616" s="80"/>
      <c r="AW616" s="80"/>
      <c r="AX616" s="80"/>
      <c r="AY616" s="80"/>
      <c r="AZ616" s="80"/>
      <c r="BA616" s="80"/>
      <c r="BB616" s="80"/>
      <c r="BC616" s="80"/>
      <c r="BD616" s="80"/>
      <c r="BE616" s="80"/>
      <c r="BF616" s="80"/>
      <c r="BG616" s="80"/>
      <c r="BH616" s="80"/>
      <c r="BI616" s="80"/>
      <c r="BJ616" s="80"/>
      <c r="BK616" s="80"/>
      <c r="BL616" s="80"/>
      <c r="BM616" s="80"/>
      <c r="BN616" s="80"/>
      <c r="BO616" s="80"/>
      <c r="BP616" s="80"/>
      <c r="BQ616" s="80"/>
      <c r="BR616" s="80"/>
      <c r="BS616" s="80"/>
      <c r="BT616" s="80"/>
      <c r="BU616" s="80"/>
      <c r="BV616" s="80"/>
      <c r="BW616" s="80"/>
      <c r="BX616" s="80"/>
      <c r="BY616" s="80"/>
      <c r="BZ616" s="80"/>
      <c r="CA616" s="80"/>
      <c r="CB616" s="80"/>
      <c r="CC616" s="80"/>
      <c r="CD616" s="80"/>
      <c r="CE616" s="80"/>
      <c r="CF616" s="80"/>
      <c r="CG616" s="80"/>
      <c r="CH616" s="80"/>
      <c r="CI616" s="80"/>
      <c r="CJ616" s="80"/>
      <c r="CK616" s="82"/>
      <c r="CL616" s="12"/>
      <c r="CM616" s="82"/>
      <c r="CN616" s="12"/>
      <c r="CO616" s="82"/>
      <c r="CP616" s="12"/>
      <c r="CQ616" s="83">
        <f t="shared" si="73"/>
        <v>0</v>
      </c>
      <c r="CR616" s="84"/>
      <c r="CS616" s="13"/>
      <c r="CT616" s="85"/>
      <c r="CU616" s="86"/>
      <c r="CV616" s="11"/>
      <c r="CW616" s="86"/>
      <c r="CX616" s="84"/>
      <c r="CY616" s="86"/>
    </row>
    <row r="617" spans="1:103" ht="51" x14ac:dyDescent="0.2">
      <c r="A617" s="43">
        <v>39976</v>
      </c>
      <c r="B617" s="44" t="s">
        <v>1094</v>
      </c>
      <c r="C617" s="44" t="s">
        <v>506</v>
      </c>
      <c r="D617" s="45" t="s">
        <v>1118</v>
      </c>
      <c r="E617" s="11"/>
      <c r="F617" s="12"/>
      <c r="G617" s="12"/>
      <c r="H617" s="12">
        <v>840</v>
      </c>
      <c r="I617" s="12">
        <v>168</v>
      </c>
      <c r="J617" s="12">
        <v>4</v>
      </c>
      <c r="K617" s="12">
        <v>164</v>
      </c>
      <c r="L617" s="12"/>
      <c r="M617" s="12"/>
      <c r="N617" s="12"/>
      <c r="O617" s="12"/>
      <c r="P617" s="12"/>
      <c r="Q617" s="12"/>
      <c r="R617" s="12"/>
      <c r="S617" s="12"/>
      <c r="T617" s="13"/>
      <c r="U617" s="46"/>
      <c r="V617" s="47"/>
      <c r="W617" s="48">
        <f t="shared" si="68"/>
        <v>0</v>
      </c>
      <c r="X617" s="48">
        <f t="shared" si="69"/>
        <v>0</v>
      </c>
      <c r="Y617" s="48">
        <f t="shared" si="70"/>
        <v>0</v>
      </c>
      <c r="Z617" s="48">
        <f t="shared" si="71"/>
        <v>0</v>
      </c>
      <c r="AA617" s="48"/>
      <c r="AB617" s="48"/>
      <c r="AC617" s="49">
        <f t="shared" si="72"/>
        <v>0</v>
      </c>
      <c r="AD617" s="50">
        <v>0</v>
      </c>
      <c r="AE617" s="47">
        <v>39979</v>
      </c>
      <c r="AF617" s="51" t="s">
        <v>1016</v>
      </c>
      <c r="AG617" s="52" t="s">
        <v>565</v>
      </c>
      <c r="AH617" s="53" t="s">
        <v>701</v>
      </c>
      <c r="AI617" s="79"/>
      <c r="AJ617" s="80"/>
      <c r="AK617" s="81"/>
      <c r="AL617" s="80"/>
      <c r="AM617" s="80"/>
      <c r="AN617" s="80"/>
      <c r="AO617" s="80"/>
      <c r="AP617" s="80"/>
      <c r="AQ617" s="80"/>
      <c r="AR617" s="80"/>
      <c r="AS617" s="80"/>
      <c r="AT617" s="80"/>
      <c r="AU617" s="80"/>
      <c r="AV617" s="80"/>
      <c r="AW617" s="80"/>
      <c r="AX617" s="80"/>
      <c r="AY617" s="80"/>
      <c r="AZ617" s="80"/>
      <c r="BA617" s="80"/>
      <c r="BB617" s="80"/>
      <c r="BC617" s="80"/>
      <c r="BD617" s="80"/>
      <c r="BE617" s="80"/>
      <c r="BF617" s="80"/>
      <c r="BG617" s="80"/>
      <c r="BH617" s="80"/>
      <c r="BI617" s="80"/>
      <c r="BJ617" s="80"/>
      <c r="BK617" s="80"/>
      <c r="BL617" s="80"/>
      <c r="BM617" s="80"/>
      <c r="BN617" s="80"/>
      <c r="BO617" s="80"/>
      <c r="BP617" s="80"/>
      <c r="BQ617" s="80"/>
      <c r="BR617" s="80"/>
      <c r="BS617" s="80"/>
      <c r="BT617" s="80"/>
      <c r="BU617" s="80"/>
      <c r="BV617" s="80"/>
      <c r="BW617" s="80"/>
      <c r="BX617" s="80"/>
      <c r="BY617" s="80"/>
      <c r="BZ617" s="80"/>
      <c r="CA617" s="80"/>
      <c r="CB617" s="80"/>
      <c r="CC617" s="80"/>
      <c r="CD617" s="80"/>
      <c r="CE617" s="80"/>
      <c r="CF617" s="80"/>
      <c r="CG617" s="80"/>
      <c r="CH617" s="80"/>
      <c r="CI617" s="80"/>
      <c r="CJ617" s="80"/>
      <c r="CK617" s="82"/>
      <c r="CL617" s="12"/>
      <c r="CM617" s="82"/>
      <c r="CN617" s="12"/>
      <c r="CO617" s="82"/>
      <c r="CP617" s="12"/>
      <c r="CQ617" s="83">
        <f t="shared" si="73"/>
        <v>0</v>
      </c>
      <c r="CR617" s="84"/>
      <c r="CS617" s="13"/>
      <c r="CT617" s="85"/>
      <c r="CU617" s="86"/>
      <c r="CV617" s="11"/>
      <c r="CW617" s="86"/>
      <c r="CX617" s="84"/>
      <c r="CY617" s="86"/>
    </row>
    <row r="618" spans="1:103" ht="51" x14ac:dyDescent="0.2">
      <c r="A618" s="43">
        <v>39976</v>
      </c>
      <c r="B618" s="44" t="s">
        <v>765</v>
      </c>
      <c r="C618" s="44" t="s">
        <v>504</v>
      </c>
      <c r="D618" s="45" t="s">
        <v>1118</v>
      </c>
      <c r="E618" s="11"/>
      <c r="F618" s="12"/>
      <c r="G618" s="12"/>
      <c r="H618" s="12">
        <f>1541*5</f>
        <v>7705</v>
      </c>
      <c r="I618" s="12">
        <v>1541</v>
      </c>
      <c r="J618" s="12"/>
      <c r="K618" s="12">
        <v>1541</v>
      </c>
      <c r="L618" s="12"/>
      <c r="M618" s="12"/>
      <c r="N618" s="12"/>
      <c r="O618" s="12"/>
      <c r="P618" s="12"/>
      <c r="Q618" s="12"/>
      <c r="R618" s="12"/>
      <c r="S618" s="12"/>
      <c r="T618" s="13"/>
      <c r="U618" s="46"/>
      <c r="V618" s="47"/>
      <c r="W618" s="48">
        <f t="shared" si="68"/>
        <v>0</v>
      </c>
      <c r="X618" s="48">
        <f t="shared" si="69"/>
        <v>0</v>
      </c>
      <c r="Y618" s="48">
        <f t="shared" si="70"/>
        <v>0</v>
      </c>
      <c r="Z618" s="48">
        <f t="shared" si="71"/>
        <v>0</v>
      </c>
      <c r="AA618" s="48"/>
      <c r="AB618" s="48"/>
      <c r="AC618" s="49">
        <f t="shared" si="72"/>
        <v>0</v>
      </c>
      <c r="AD618" s="50">
        <v>0</v>
      </c>
      <c r="AE618" s="47">
        <v>39979</v>
      </c>
      <c r="AF618" s="51" t="s">
        <v>1016</v>
      </c>
      <c r="AG618" s="52" t="s">
        <v>565</v>
      </c>
      <c r="AH618" s="53" t="s">
        <v>994</v>
      </c>
      <c r="AI618" s="79"/>
      <c r="AJ618" s="80"/>
      <c r="AK618" s="81"/>
      <c r="AL618" s="80"/>
      <c r="AM618" s="80"/>
      <c r="AN618" s="80"/>
      <c r="AO618" s="80"/>
      <c r="AP618" s="80"/>
      <c r="AQ618" s="80"/>
      <c r="AR618" s="80"/>
      <c r="AS618" s="80"/>
      <c r="AT618" s="80"/>
      <c r="AU618" s="80"/>
      <c r="AV618" s="80"/>
      <c r="AW618" s="80"/>
      <c r="AX618" s="80"/>
      <c r="AY618" s="80"/>
      <c r="AZ618" s="80"/>
      <c r="BA618" s="80"/>
      <c r="BB618" s="80"/>
      <c r="BC618" s="80"/>
      <c r="BD618" s="80"/>
      <c r="BE618" s="80"/>
      <c r="BF618" s="80"/>
      <c r="BG618" s="80"/>
      <c r="BH618" s="80"/>
      <c r="BI618" s="80"/>
      <c r="BJ618" s="80"/>
      <c r="BK618" s="80"/>
      <c r="BL618" s="80"/>
      <c r="BM618" s="80"/>
      <c r="BN618" s="80"/>
      <c r="BO618" s="80"/>
      <c r="BP618" s="80"/>
      <c r="BQ618" s="80"/>
      <c r="BR618" s="80"/>
      <c r="BS618" s="80"/>
      <c r="BT618" s="80"/>
      <c r="BU618" s="80"/>
      <c r="BV618" s="80"/>
      <c r="BW618" s="80"/>
      <c r="BX618" s="80"/>
      <c r="BY618" s="80"/>
      <c r="BZ618" s="80"/>
      <c r="CA618" s="80"/>
      <c r="CB618" s="80"/>
      <c r="CC618" s="80"/>
      <c r="CD618" s="80"/>
      <c r="CE618" s="80"/>
      <c r="CF618" s="80"/>
      <c r="CG618" s="80"/>
      <c r="CH618" s="80"/>
      <c r="CI618" s="80"/>
      <c r="CJ618" s="80"/>
      <c r="CK618" s="82"/>
      <c r="CL618" s="12"/>
      <c r="CM618" s="82"/>
      <c r="CN618" s="12"/>
      <c r="CO618" s="82"/>
      <c r="CP618" s="12"/>
      <c r="CQ618" s="83">
        <f t="shared" si="73"/>
        <v>0</v>
      </c>
      <c r="CR618" s="84"/>
      <c r="CS618" s="13"/>
      <c r="CT618" s="85"/>
      <c r="CU618" s="86"/>
      <c r="CV618" s="11"/>
      <c r="CW618" s="86"/>
      <c r="CX618" s="84"/>
      <c r="CY618" s="86"/>
    </row>
    <row r="619" spans="1:103" ht="38.25" x14ac:dyDescent="0.2">
      <c r="A619" s="43">
        <v>39976</v>
      </c>
      <c r="B619" s="44" t="s">
        <v>765</v>
      </c>
      <c r="C619" s="44" t="s">
        <v>766</v>
      </c>
      <c r="D619" s="45" t="s">
        <v>1118</v>
      </c>
      <c r="E619" s="11"/>
      <c r="F619" s="12"/>
      <c r="G619" s="12"/>
      <c r="H619" s="12">
        <f>784*5</f>
        <v>3920</v>
      </c>
      <c r="I619" s="12">
        <v>784</v>
      </c>
      <c r="J619" s="12"/>
      <c r="K619" s="12">
        <v>784</v>
      </c>
      <c r="L619" s="12"/>
      <c r="M619" s="12"/>
      <c r="N619" s="12"/>
      <c r="O619" s="12"/>
      <c r="P619" s="12"/>
      <c r="Q619" s="12"/>
      <c r="R619" s="12"/>
      <c r="S619" s="12"/>
      <c r="T619" s="13"/>
      <c r="U619" s="46"/>
      <c r="V619" s="47"/>
      <c r="W619" s="48">
        <f t="shared" si="68"/>
        <v>0</v>
      </c>
      <c r="X619" s="48">
        <f t="shared" si="69"/>
        <v>0</v>
      </c>
      <c r="Y619" s="48">
        <f t="shared" si="70"/>
        <v>0</v>
      </c>
      <c r="Z619" s="48">
        <f t="shared" si="71"/>
        <v>0</v>
      </c>
      <c r="AA619" s="48"/>
      <c r="AB619" s="48"/>
      <c r="AC619" s="49">
        <f t="shared" si="72"/>
        <v>0</v>
      </c>
      <c r="AD619" s="50">
        <v>0</v>
      </c>
      <c r="AE619" s="47">
        <v>39979</v>
      </c>
      <c r="AF619" s="51" t="s">
        <v>1016</v>
      </c>
      <c r="AG619" s="52" t="s">
        <v>565</v>
      </c>
      <c r="AH619" s="53" t="s">
        <v>995</v>
      </c>
      <c r="AI619" s="79"/>
      <c r="AJ619" s="80"/>
      <c r="AK619" s="81"/>
      <c r="AL619" s="80"/>
      <c r="AM619" s="80"/>
      <c r="AN619" s="80"/>
      <c r="AO619" s="80"/>
      <c r="AP619" s="80"/>
      <c r="AQ619" s="80"/>
      <c r="AR619" s="80"/>
      <c r="AS619" s="80"/>
      <c r="AT619" s="80"/>
      <c r="AU619" s="80"/>
      <c r="AV619" s="80"/>
      <c r="AW619" s="80"/>
      <c r="AX619" s="80"/>
      <c r="AY619" s="80"/>
      <c r="AZ619" s="80"/>
      <c r="BA619" s="80"/>
      <c r="BB619" s="80"/>
      <c r="BC619" s="80"/>
      <c r="BD619" s="80"/>
      <c r="BE619" s="80"/>
      <c r="BF619" s="80"/>
      <c r="BG619" s="80"/>
      <c r="BH619" s="80"/>
      <c r="BI619" s="80"/>
      <c r="BJ619" s="80"/>
      <c r="BK619" s="80"/>
      <c r="BL619" s="80"/>
      <c r="BM619" s="80"/>
      <c r="BN619" s="80"/>
      <c r="BO619" s="80"/>
      <c r="BP619" s="80"/>
      <c r="BQ619" s="80"/>
      <c r="BR619" s="80"/>
      <c r="BS619" s="80"/>
      <c r="BT619" s="80"/>
      <c r="BU619" s="80"/>
      <c r="BV619" s="80"/>
      <c r="BW619" s="80"/>
      <c r="BX619" s="80"/>
      <c r="BY619" s="80"/>
      <c r="BZ619" s="80"/>
      <c r="CA619" s="80"/>
      <c r="CB619" s="80"/>
      <c r="CC619" s="80"/>
      <c r="CD619" s="80"/>
      <c r="CE619" s="80"/>
      <c r="CF619" s="80"/>
      <c r="CG619" s="80"/>
      <c r="CH619" s="80"/>
      <c r="CI619" s="80"/>
      <c r="CJ619" s="80"/>
      <c r="CK619" s="82"/>
      <c r="CL619" s="12"/>
      <c r="CM619" s="82"/>
      <c r="CN619" s="12"/>
      <c r="CO619" s="82"/>
      <c r="CP619" s="12"/>
      <c r="CQ619" s="83">
        <f t="shared" si="73"/>
        <v>0</v>
      </c>
      <c r="CR619" s="84"/>
      <c r="CS619" s="13"/>
      <c r="CT619" s="85"/>
      <c r="CU619" s="86"/>
      <c r="CV619" s="11"/>
      <c r="CW619" s="86"/>
      <c r="CX619" s="84"/>
      <c r="CY619" s="86"/>
    </row>
    <row r="620" spans="1:103" ht="38.25" x14ac:dyDescent="0.2">
      <c r="A620" s="43">
        <v>39976</v>
      </c>
      <c r="B620" s="44" t="s">
        <v>765</v>
      </c>
      <c r="C620" s="44" t="s">
        <v>505</v>
      </c>
      <c r="D620" s="45" t="s">
        <v>1118</v>
      </c>
      <c r="E620" s="11"/>
      <c r="F620" s="12"/>
      <c r="G620" s="12"/>
      <c r="H620" s="12">
        <f>497*5</f>
        <v>2485</v>
      </c>
      <c r="I620" s="12">
        <v>497</v>
      </c>
      <c r="J620" s="12"/>
      <c r="K620" s="12">
        <v>497</v>
      </c>
      <c r="L620" s="12"/>
      <c r="M620" s="12"/>
      <c r="N620" s="12"/>
      <c r="O620" s="12"/>
      <c r="P620" s="12"/>
      <c r="Q620" s="12"/>
      <c r="R620" s="12"/>
      <c r="S620" s="12"/>
      <c r="T620" s="13"/>
      <c r="U620" s="46"/>
      <c r="V620" s="47"/>
      <c r="W620" s="48">
        <f t="shared" si="68"/>
        <v>0</v>
      </c>
      <c r="X620" s="48">
        <f t="shared" si="69"/>
        <v>0</v>
      </c>
      <c r="Y620" s="48">
        <f t="shared" si="70"/>
        <v>0</v>
      </c>
      <c r="Z620" s="48">
        <f t="shared" si="71"/>
        <v>0</v>
      </c>
      <c r="AA620" s="48"/>
      <c r="AB620" s="48"/>
      <c r="AC620" s="49">
        <f t="shared" si="72"/>
        <v>0</v>
      </c>
      <c r="AD620" s="50">
        <v>0</v>
      </c>
      <c r="AE620" s="47">
        <v>39979</v>
      </c>
      <c r="AF620" s="51" t="s">
        <v>1016</v>
      </c>
      <c r="AG620" s="52" t="s">
        <v>565</v>
      </c>
      <c r="AH620" s="53" t="s">
        <v>996</v>
      </c>
      <c r="AI620" s="79"/>
      <c r="AJ620" s="80"/>
      <c r="AK620" s="81"/>
      <c r="AL620" s="80"/>
      <c r="AM620" s="80"/>
      <c r="AN620" s="80"/>
      <c r="AO620" s="80"/>
      <c r="AP620" s="80"/>
      <c r="AQ620" s="80"/>
      <c r="AR620" s="80"/>
      <c r="AS620" s="80"/>
      <c r="AT620" s="80"/>
      <c r="AU620" s="80"/>
      <c r="AV620" s="80"/>
      <c r="AW620" s="80"/>
      <c r="AX620" s="80"/>
      <c r="AY620" s="80"/>
      <c r="AZ620" s="80"/>
      <c r="BA620" s="80"/>
      <c r="BB620" s="80"/>
      <c r="BC620" s="80"/>
      <c r="BD620" s="80"/>
      <c r="BE620" s="80"/>
      <c r="BF620" s="80"/>
      <c r="BG620" s="80"/>
      <c r="BH620" s="80"/>
      <c r="BI620" s="80"/>
      <c r="BJ620" s="80"/>
      <c r="BK620" s="80"/>
      <c r="BL620" s="80"/>
      <c r="BM620" s="80"/>
      <c r="BN620" s="80"/>
      <c r="BO620" s="80"/>
      <c r="BP620" s="80"/>
      <c r="BQ620" s="80"/>
      <c r="BR620" s="80"/>
      <c r="BS620" s="80"/>
      <c r="BT620" s="80"/>
      <c r="BU620" s="80"/>
      <c r="BV620" s="80"/>
      <c r="BW620" s="80"/>
      <c r="BX620" s="80"/>
      <c r="BY620" s="80"/>
      <c r="BZ620" s="80"/>
      <c r="CA620" s="80"/>
      <c r="CB620" s="80"/>
      <c r="CC620" s="80"/>
      <c r="CD620" s="80"/>
      <c r="CE620" s="80"/>
      <c r="CF620" s="80"/>
      <c r="CG620" s="80"/>
      <c r="CH620" s="80"/>
      <c r="CI620" s="80"/>
      <c r="CJ620" s="80"/>
      <c r="CK620" s="82"/>
      <c r="CL620" s="12"/>
      <c r="CM620" s="82"/>
      <c r="CN620" s="12"/>
      <c r="CO620" s="82"/>
      <c r="CP620" s="12"/>
      <c r="CQ620" s="83">
        <f t="shared" si="73"/>
        <v>0</v>
      </c>
      <c r="CR620" s="84"/>
      <c r="CS620" s="13"/>
      <c r="CT620" s="85"/>
      <c r="CU620" s="86"/>
      <c r="CV620" s="11"/>
      <c r="CW620" s="86"/>
      <c r="CX620" s="84"/>
      <c r="CY620" s="86"/>
    </row>
    <row r="621" spans="1:103" ht="51" x14ac:dyDescent="0.2">
      <c r="A621" s="43">
        <v>39976</v>
      </c>
      <c r="B621" s="44" t="s">
        <v>765</v>
      </c>
      <c r="C621" s="44" t="s">
        <v>578</v>
      </c>
      <c r="D621" s="45" t="s">
        <v>1118</v>
      </c>
      <c r="E621" s="11"/>
      <c r="F621" s="12"/>
      <c r="G621" s="12"/>
      <c r="H621" s="12">
        <f>468*5</f>
        <v>2340</v>
      </c>
      <c r="I621" s="12">
        <f>153+315</f>
        <v>468</v>
      </c>
      <c r="J621" s="12"/>
      <c r="K621" s="12">
        <v>468</v>
      </c>
      <c r="L621" s="12"/>
      <c r="M621" s="12"/>
      <c r="N621" s="12"/>
      <c r="O621" s="12"/>
      <c r="P621" s="12"/>
      <c r="Q621" s="12"/>
      <c r="R621" s="12"/>
      <c r="S621" s="12"/>
      <c r="T621" s="13"/>
      <c r="U621" s="46"/>
      <c r="V621" s="47"/>
      <c r="W621" s="48">
        <f t="shared" si="68"/>
        <v>0</v>
      </c>
      <c r="X621" s="48">
        <f t="shared" si="69"/>
        <v>0</v>
      </c>
      <c r="Y621" s="48">
        <f t="shared" si="70"/>
        <v>0</v>
      </c>
      <c r="Z621" s="48">
        <f t="shared" si="71"/>
        <v>0</v>
      </c>
      <c r="AA621" s="48"/>
      <c r="AB621" s="48"/>
      <c r="AC621" s="49">
        <f t="shared" si="72"/>
        <v>0</v>
      </c>
      <c r="AD621" s="50">
        <v>0</v>
      </c>
      <c r="AE621" s="47">
        <v>39979</v>
      </c>
      <c r="AF621" s="51" t="s">
        <v>1016</v>
      </c>
      <c r="AG621" s="52" t="s">
        <v>565</v>
      </c>
      <c r="AH621" s="53" t="s">
        <v>997</v>
      </c>
      <c r="AI621" s="79"/>
      <c r="AJ621" s="80"/>
      <c r="AK621" s="81"/>
      <c r="AL621" s="80"/>
      <c r="AM621" s="80"/>
      <c r="AN621" s="80"/>
      <c r="AO621" s="80"/>
      <c r="AP621" s="80"/>
      <c r="AQ621" s="80"/>
      <c r="AR621" s="80"/>
      <c r="AS621" s="80"/>
      <c r="AT621" s="80"/>
      <c r="AU621" s="80"/>
      <c r="AV621" s="80"/>
      <c r="AW621" s="80"/>
      <c r="AX621" s="80"/>
      <c r="AY621" s="80"/>
      <c r="AZ621" s="80"/>
      <c r="BA621" s="80"/>
      <c r="BB621" s="80"/>
      <c r="BC621" s="80"/>
      <c r="BD621" s="80"/>
      <c r="BE621" s="80"/>
      <c r="BF621" s="80"/>
      <c r="BG621" s="80"/>
      <c r="BH621" s="80"/>
      <c r="BI621" s="80"/>
      <c r="BJ621" s="80"/>
      <c r="BK621" s="80"/>
      <c r="BL621" s="80"/>
      <c r="BM621" s="80"/>
      <c r="BN621" s="80"/>
      <c r="BO621" s="80"/>
      <c r="BP621" s="80"/>
      <c r="BQ621" s="80"/>
      <c r="BR621" s="80"/>
      <c r="BS621" s="80"/>
      <c r="BT621" s="80"/>
      <c r="BU621" s="80"/>
      <c r="BV621" s="80"/>
      <c r="BW621" s="80"/>
      <c r="BX621" s="80"/>
      <c r="BY621" s="80"/>
      <c r="BZ621" s="80"/>
      <c r="CA621" s="80"/>
      <c r="CB621" s="80"/>
      <c r="CC621" s="80"/>
      <c r="CD621" s="80"/>
      <c r="CE621" s="80"/>
      <c r="CF621" s="80"/>
      <c r="CG621" s="80"/>
      <c r="CH621" s="80"/>
      <c r="CI621" s="80"/>
      <c r="CJ621" s="80"/>
      <c r="CK621" s="82"/>
      <c r="CL621" s="12"/>
      <c r="CM621" s="82"/>
      <c r="CN621" s="12"/>
      <c r="CO621" s="82"/>
      <c r="CP621" s="12"/>
      <c r="CQ621" s="83">
        <f t="shared" si="73"/>
        <v>0</v>
      </c>
      <c r="CR621" s="84"/>
      <c r="CS621" s="13"/>
      <c r="CT621" s="85"/>
      <c r="CU621" s="86"/>
      <c r="CV621" s="11"/>
      <c r="CW621" s="86"/>
      <c r="CX621" s="84"/>
      <c r="CY621" s="86"/>
    </row>
    <row r="622" spans="1:103" ht="25.5" x14ac:dyDescent="0.2">
      <c r="A622" s="43">
        <v>39976</v>
      </c>
      <c r="B622" s="44" t="s">
        <v>765</v>
      </c>
      <c r="C622" s="44" t="s">
        <v>1393</v>
      </c>
      <c r="D622" s="45" t="s">
        <v>1118</v>
      </c>
      <c r="E622" s="11"/>
      <c r="F622" s="12"/>
      <c r="G622" s="12"/>
      <c r="H622" s="12">
        <f>22*5</f>
        <v>110</v>
      </c>
      <c r="I622" s="12">
        <v>22</v>
      </c>
      <c r="J622" s="12"/>
      <c r="K622" s="12">
        <v>22</v>
      </c>
      <c r="L622" s="12"/>
      <c r="M622" s="12"/>
      <c r="N622" s="12"/>
      <c r="O622" s="12"/>
      <c r="P622" s="12"/>
      <c r="Q622" s="12"/>
      <c r="R622" s="12"/>
      <c r="S622" s="12"/>
      <c r="T622" s="13"/>
      <c r="U622" s="46"/>
      <c r="V622" s="47"/>
      <c r="W622" s="48">
        <f t="shared" si="68"/>
        <v>0</v>
      </c>
      <c r="X622" s="48">
        <f t="shared" si="69"/>
        <v>0</v>
      </c>
      <c r="Y622" s="48">
        <f t="shared" si="70"/>
        <v>0</v>
      </c>
      <c r="Z622" s="48">
        <f t="shared" si="71"/>
        <v>0</v>
      </c>
      <c r="AA622" s="48"/>
      <c r="AB622" s="48"/>
      <c r="AC622" s="49">
        <f t="shared" si="72"/>
        <v>0</v>
      </c>
      <c r="AD622" s="50">
        <v>0</v>
      </c>
      <c r="AE622" s="47">
        <v>39976</v>
      </c>
      <c r="AF622" s="51" t="s">
        <v>1016</v>
      </c>
      <c r="AG622" s="52" t="s">
        <v>565</v>
      </c>
      <c r="AH622" s="53" t="s">
        <v>706</v>
      </c>
      <c r="AI622" s="79"/>
      <c r="AJ622" s="80"/>
      <c r="AK622" s="81"/>
      <c r="AL622" s="80"/>
      <c r="AM622" s="80"/>
      <c r="AN622" s="80"/>
      <c r="AO622" s="80"/>
      <c r="AP622" s="80"/>
      <c r="AQ622" s="80"/>
      <c r="AR622" s="80"/>
      <c r="AS622" s="80"/>
      <c r="AT622" s="80"/>
      <c r="AU622" s="80"/>
      <c r="AV622" s="80"/>
      <c r="AW622" s="80"/>
      <c r="AX622" s="80"/>
      <c r="AY622" s="80"/>
      <c r="AZ622" s="80"/>
      <c r="BA622" s="80"/>
      <c r="BB622" s="80"/>
      <c r="BC622" s="80"/>
      <c r="BD622" s="80"/>
      <c r="BE622" s="80"/>
      <c r="BF622" s="80"/>
      <c r="BG622" s="80"/>
      <c r="BH622" s="80"/>
      <c r="BI622" s="80"/>
      <c r="BJ622" s="80"/>
      <c r="BK622" s="80"/>
      <c r="BL622" s="80"/>
      <c r="BM622" s="80"/>
      <c r="BN622" s="80"/>
      <c r="BO622" s="80"/>
      <c r="BP622" s="80"/>
      <c r="BQ622" s="80"/>
      <c r="BR622" s="80"/>
      <c r="BS622" s="80"/>
      <c r="BT622" s="80"/>
      <c r="BU622" s="80"/>
      <c r="BV622" s="80"/>
      <c r="BW622" s="80"/>
      <c r="BX622" s="80"/>
      <c r="BY622" s="80"/>
      <c r="BZ622" s="80"/>
      <c r="CA622" s="80"/>
      <c r="CB622" s="80"/>
      <c r="CC622" s="80"/>
      <c r="CD622" s="80"/>
      <c r="CE622" s="80"/>
      <c r="CF622" s="80"/>
      <c r="CG622" s="80"/>
      <c r="CH622" s="80"/>
      <c r="CI622" s="80"/>
      <c r="CJ622" s="80"/>
      <c r="CK622" s="82"/>
      <c r="CL622" s="12"/>
      <c r="CM622" s="82"/>
      <c r="CN622" s="12"/>
      <c r="CO622" s="82"/>
      <c r="CP622" s="12"/>
      <c r="CQ622" s="83">
        <f t="shared" si="73"/>
        <v>0</v>
      </c>
      <c r="CR622" s="84"/>
      <c r="CS622" s="13"/>
      <c r="CT622" s="85"/>
      <c r="CU622" s="86"/>
      <c r="CV622" s="11"/>
      <c r="CW622" s="86"/>
      <c r="CX622" s="84"/>
      <c r="CY622" s="86"/>
    </row>
    <row r="623" spans="1:103" ht="38.25" x14ac:dyDescent="0.2">
      <c r="A623" s="43">
        <v>39976</v>
      </c>
      <c r="B623" s="44" t="s">
        <v>765</v>
      </c>
      <c r="C623" s="44" t="s">
        <v>1454</v>
      </c>
      <c r="D623" s="45" t="s">
        <v>1118</v>
      </c>
      <c r="E623" s="11"/>
      <c r="F623" s="12"/>
      <c r="G623" s="12"/>
      <c r="H623" s="12"/>
      <c r="I623" s="12"/>
      <c r="J623" s="12"/>
      <c r="K623" s="12"/>
      <c r="L623" s="12"/>
      <c r="M623" s="12"/>
      <c r="N623" s="12"/>
      <c r="O623" s="12"/>
      <c r="P623" s="12"/>
      <c r="Q623" s="12"/>
      <c r="R623" s="12"/>
      <c r="S623" s="12"/>
      <c r="T623" s="13"/>
      <c r="U623" s="46"/>
      <c r="V623" s="47">
        <v>40038</v>
      </c>
      <c r="W623" s="48">
        <f t="shared" si="68"/>
        <v>0</v>
      </c>
      <c r="X623" s="48">
        <f t="shared" si="69"/>
        <v>255000000</v>
      </c>
      <c r="Y623" s="48">
        <f t="shared" si="70"/>
        <v>0</v>
      </c>
      <c r="Z623" s="48">
        <f t="shared" si="71"/>
        <v>0</v>
      </c>
      <c r="AA623" s="48"/>
      <c r="AB623" s="48"/>
      <c r="AC623" s="49">
        <f t="shared" si="72"/>
        <v>255000000</v>
      </c>
      <c r="AD623" s="50">
        <v>0</v>
      </c>
      <c r="AE623" s="47">
        <v>39976</v>
      </c>
      <c r="AF623" s="51" t="s">
        <v>1016</v>
      </c>
      <c r="AG623" s="52" t="s">
        <v>565</v>
      </c>
      <c r="AH623" s="53" t="s">
        <v>1044</v>
      </c>
      <c r="AI623" s="79"/>
      <c r="AJ623" s="80"/>
      <c r="AK623" s="81"/>
      <c r="AL623" s="80"/>
      <c r="AM623" s="80"/>
      <c r="AN623" s="80"/>
      <c r="AO623" s="80"/>
      <c r="AP623" s="80"/>
      <c r="AQ623" s="80"/>
      <c r="AR623" s="80"/>
      <c r="AS623" s="80"/>
      <c r="AT623" s="80"/>
      <c r="AU623" s="80"/>
      <c r="AV623" s="80"/>
      <c r="AW623" s="80"/>
      <c r="AX623" s="80"/>
      <c r="AY623" s="80"/>
      <c r="AZ623" s="80"/>
      <c r="BA623" s="80"/>
      <c r="BB623" s="80"/>
      <c r="BC623" s="80"/>
      <c r="BD623" s="80"/>
      <c r="BE623" s="80"/>
      <c r="BF623" s="80"/>
      <c r="BG623" s="80"/>
      <c r="BH623" s="80"/>
      <c r="BI623" s="80"/>
      <c r="BJ623" s="80"/>
      <c r="BK623" s="80"/>
      <c r="BL623" s="80"/>
      <c r="BM623" s="80"/>
      <c r="BN623" s="80"/>
      <c r="BO623" s="80"/>
      <c r="BP623" s="80"/>
      <c r="BQ623" s="80"/>
      <c r="BR623" s="80"/>
      <c r="BS623" s="80"/>
      <c r="BT623" s="80"/>
      <c r="BU623" s="80"/>
      <c r="BV623" s="80"/>
      <c r="BW623" s="80"/>
      <c r="BX623" s="80"/>
      <c r="BY623" s="80"/>
      <c r="BZ623" s="80"/>
      <c r="CA623" s="80"/>
      <c r="CB623" s="80"/>
      <c r="CC623" s="80"/>
      <c r="CD623" s="80"/>
      <c r="CE623" s="80"/>
      <c r="CF623" s="80"/>
      <c r="CG623" s="80"/>
      <c r="CH623" s="80"/>
      <c r="CI623" s="80"/>
      <c r="CJ623" s="80"/>
      <c r="CK623" s="82"/>
      <c r="CL623" s="12"/>
      <c r="CM623" s="82"/>
      <c r="CN623" s="12"/>
      <c r="CO623" s="82"/>
      <c r="CP623" s="12"/>
      <c r="CQ623" s="83">
        <f t="shared" si="73"/>
        <v>0</v>
      </c>
      <c r="CR623" s="84"/>
      <c r="CS623" s="13"/>
      <c r="CT623" s="85">
        <f>500+1000+1500</f>
        <v>3000</v>
      </c>
      <c r="CU623" s="86">
        <f>500*85000+1000*85000+1500*85000</f>
        <v>255000000</v>
      </c>
      <c r="CV623" s="11"/>
      <c r="CW623" s="86"/>
      <c r="CX623" s="84"/>
      <c r="CY623" s="86"/>
    </row>
    <row r="624" spans="1:103" ht="12.75" x14ac:dyDescent="0.2">
      <c r="A624" s="43">
        <v>39977</v>
      </c>
      <c r="B624" s="44" t="s">
        <v>300</v>
      </c>
      <c r="C624" s="44" t="s">
        <v>802</v>
      </c>
      <c r="D624" s="45" t="s">
        <v>1117</v>
      </c>
      <c r="E624" s="11"/>
      <c r="F624" s="12"/>
      <c r="G624" s="12"/>
      <c r="H624" s="12">
        <v>1052</v>
      </c>
      <c r="I624" s="12">
        <v>271</v>
      </c>
      <c r="J624" s="12"/>
      <c r="K624" s="12">
        <v>271</v>
      </c>
      <c r="L624" s="12"/>
      <c r="M624" s="12"/>
      <c r="N624" s="12"/>
      <c r="O624" s="12"/>
      <c r="P624" s="12"/>
      <c r="Q624" s="12"/>
      <c r="R624" s="12"/>
      <c r="S624" s="12"/>
      <c r="T624" s="13"/>
      <c r="U624" s="46"/>
      <c r="V624" s="47">
        <v>40049</v>
      </c>
      <c r="W624" s="48">
        <f t="shared" si="68"/>
        <v>0</v>
      </c>
      <c r="X624" s="48">
        <f t="shared" si="69"/>
        <v>0</v>
      </c>
      <c r="Y624" s="48">
        <f t="shared" si="70"/>
        <v>42000000</v>
      </c>
      <c r="Z624" s="48">
        <f t="shared" si="71"/>
        <v>0</v>
      </c>
      <c r="AA624" s="48"/>
      <c r="AB624" s="48"/>
      <c r="AC624" s="49">
        <f t="shared" si="72"/>
        <v>42000000</v>
      </c>
      <c r="AD624" s="50">
        <v>0</v>
      </c>
      <c r="AE624" s="47">
        <v>39979</v>
      </c>
      <c r="AF624" s="51" t="s">
        <v>1016</v>
      </c>
      <c r="AG624" s="52" t="s">
        <v>565</v>
      </c>
      <c r="AH624" s="53" t="s">
        <v>507</v>
      </c>
      <c r="AI624" s="79"/>
      <c r="AJ624" s="80"/>
      <c r="AK624" s="81"/>
      <c r="AL624" s="80"/>
      <c r="AM624" s="80"/>
      <c r="AN624" s="80"/>
      <c r="AO624" s="80"/>
      <c r="AP624" s="80"/>
      <c r="AQ624" s="80"/>
      <c r="AR624" s="80"/>
      <c r="AS624" s="80"/>
      <c r="AT624" s="80"/>
      <c r="AU624" s="80"/>
      <c r="AV624" s="80"/>
      <c r="AW624" s="80"/>
      <c r="AX624" s="80"/>
      <c r="AY624" s="80"/>
      <c r="AZ624" s="80"/>
      <c r="BA624" s="80"/>
      <c r="BB624" s="80"/>
      <c r="BC624" s="80"/>
      <c r="BD624" s="80"/>
      <c r="BE624" s="80"/>
      <c r="BF624" s="80"/>
      <c r="BG624" s="80"/>
      <c r="BH624" s="80"/>
      <c r="BI624" s="80"/>
      <c r="BJ624" s="80"/>
      <c r="BK624" s="80"/>
      <c r="BL624" s="80"/>
      <c r="BM624" s="80"/>
      <c r="BN624" s="80"/>
      <c r="BO624" s="80"/>
      <c r="BP624" s="80"/>
      <c r="BQ624" s="80"/>
      <c r="BR624" s="80"/>
      <c r="BS624" s="80"/>
      <c r="BT624" s="80"/>
      <c r="BU624" s="80"/>
      <c r="BV624" s="80"/>
      <c r="BW624" s="80"/>
      <c r="BX624" s="80"/>
      <c r="BY624" s="80"/>
      <c r="BZ624" s="80"/>
      <c r="CA624" s="80"/>
      <c r="CB624" s="80"/>
      <c r="CC624" s="80"/>
      <c r="CD624" s="80"/>
      <c r="CE624" s="80"/>
      <c r="CF624" s="80"/>
      <c r="CG624" s="80"/>
      <c r="CH624" s="80"/>
      <c r="CI624" s="80"/>
      <c r="CJ624" s="80"/>
      <c r="CK624" s="82"/>
      <c r="CL624" s="12"/>
      <c r="CM624" s="82"/>
      <c r="CN624" s="12"/>
      <c r="CO624" s="82"/>
      <c r="CP624" s="12"/>
      <c r="CQ624" s="83">
        <f t="shared" si="73"/>
        <v>0</v>
      </c>
      <c r="CR624" s="84"/>
      <c r="CS624" s="13"/>
      <c r="CT624" s="85"/>
      <c r="CU624" s="86"/>
      <c r="CV624" s="11"/>
      <c r="CW624" s="86"/>
      <c r="CX624" s="84">
        <v>2000</v>
      </c>
      <c r="CY624" s="86">
        <f>2000*21000</f>
        <v>42000000</v>
      </c>
    </row>
    <row r="625" spans="1:104" ht="25.5" x14ac:dyDescent="0.2">
      <c r="A625" s="43">
        <v>39977</v>
      </c>
      <c r="B625" s="44" t="s">
        <v>1301</v>
      </c>
      <c r="C625" s="44" t="s">
        <v>1302</v>
      </c>
      <c r="D625" s="45" t="s">
        <v>1118</v>
      </c>
      <c r="E625" s="11"/>
      <c r="F625" s="12"/>
      <c r="G625" s="12"/>
      <c r="H625" s="12">
        <v>20</v>
      </c>
      <c r="I625" s="12">
        <v>3</v>
      </c>
      <c r="J625" s="12"/>
      <c r="K625" s="12">
        <v>3</v>
      </c>
      <c r="L625" s="12"/>
      <c r="M625" s="12"/>
      <c r="N625" s="12"/>
      <c r="O625" s="12"/>
      <c r="P625" s="12"/>
      <c r="Q625" s="12"/>
      <c r="R625" s="12"/>
      <c r="S625" s="12"/>
      <c r="T625" s="13"/>
      <c r="U625" s="46"/>
      <c r="V625" s="47"/>
      <c r="W625" s="48">
        <f t="shared" si="68"/>
        <v>0</v>
      </c>
      <c r="X625" s="48">
        <f t="shared" si="69"/>
        <v>0</v>
      </c>
      <c r="Y625" s="48">
        <f t="shared" si="70"/>
        <v>0</v>
      </c>
      <c r="Z625" s="48">
        <f t="shared" si="71"/>
        <v>0</v>
      </c>
      <c r="AA625" s="48"/>
      <c r="AB625" s="48"/>
      <c r="AC625" s="49">
        <f t="shared" si="72"/>
        <v>0</v>
      </c>
      <c r="AD625" s="50">
        <v>0</v>
      </c>
      <c r="AE625" s="47">
        <v>39979</v>
      </c>
      <c r="AF625" s="51" t="s">
        <v>516</v>
      </c>
      <c r="AG625" s="52" t="s">
        <v>517</v>
      </c>
      <c r="AH625" s="53" t="s">
        <v>509</v>
      </c>
      <c r="AI625" s="79"/>
      <c r="AJ625" s="80"/>
      <c r="AK625" s="81"/>
      <c r="AL625" s="80"/>
      <c r="AM625" s="80"/>
      <c r="AN625" s="80"/>
      <c r="AO625" s="80"/>
      <c r="AP625" s="80"/>
      <c r="AQ625" s="80"/>
      <c r="AR625" s="80"/>
      <c r="AS625" s="80"/>
      <c r="AT625" s="80"/>
      <c r="AU625" s="80"/>
      <c r="AV625" s="80"/>
      <c r="AW625" s="80"/>
      <c r="AX625" s="80"/>
      <c r="AY625" s="80"/>
      <c r="AZ625" s="80"/>
      <c r="BA625" s="80"/>
      <c r="BB625" s="80"/>
      <c r="BC625" s="80"/>
      <c r="BD625" s="80"/>
      <c r="BE625" s="80"/>
      <c r="BF625" s="80"/>
      <c r="BG625" s="80"/>
      <c r="BH625" s="80"/>
      <c r="BI625" s="80"/>
      <c r="BJ625" s="80"/>
      <c r="BK625" s="80"/>
      <c r="BL625" s="80"/>
      <c r="BM625" s="80"/>
      <c r="BN625" s="80"/>
      <c r="BO625" s="80"/>
      <c r="BP625" s="80"/>
      <c r="BQ625" s="80"/>
      <c r="BR625" s="80"/>
      <c r="BS625" s="80"/>
      <c r="BT625" s="80"/>
      <c r="BU625" s="80"/>
      <c r="BV625" s="80"/>
      <c r="BW625" s="80"/>
      <c r="BX625" s="80"/>
      <c r="BY625" s="80"/>
      <c r="BZ625" s="80"/>
      <c r="CA625" s="80"/>
      <c r="CB625" s="80"/>
      <c r="CC625" s="80"/>
      <c r="CD625" s="80"/>
      <c r="CE625" s="80"/>
      <c r="CF625" s="80"/>
      <c r="CG625" s="80"/>
      <c r="CH625" s="80"/>
      <c r="CI625" s="80"/>
      <c r="CJ625" s="80"/>
      <c r="CK625" s="82"/>
      <c r="CL625" s="12"/>
      <c r="CM625" s="82"/>
      <c r="CN625" s="12"/>
      <c r="CO625" s="82"/>
      <c r="CP625" s="12"/>
      <c r="CQ625" s="83">
        <f t="shared" si="73"/>
        <v>0</v>
      </c>
      <c r="CR625" s="84"/>
      <c r="CS625" s="13"/>
      <c r="CT625" s="85"/>
      <c r="CU625" s="86"/>
      <c r="CV625" s="11"/>
      <c r="CW625" s="86"/>
      <c r="CX625" s="84"/>
      <c r="CY625" s="86"/>
    </row>
    <row r="626" spans="1:104" ht="25.5" x14ac:dyDescent="0.2">
      <c r="A626" s="43">
        <v>39977</v>
      </c>
      <c r="B626" s="44" t="s">
        <v>1094</v>
      </c>
      <c r="C626" s="44" t="s">
        <v>510</v>
      </c>
      <c r="D626" s="45" t="s">
        <v>1118</v>
      </c>
      <c r="E626" s="11"/>
      <c r="F626" s="12"/>
      <c r="G626" s="12"/>
      <c r="H626" s="12">
        <v>85</v>
      </c>
      <c r="I626" s="12">
        <v>17</v>
      </c>
      <c r="J626" s="12"/>
      <c r="K626" s="12">
        <v>17</v>
      </c>
      <c r="L626" s="12"/>
      <c r="M626" s="12"/>
      <c r="N626" s="12"/>
      <c r="O626" s="12"/>
      <c r="P626" s="12"/>
      <c r="Q626" s="12"/>
      <c r="R626" s="12"/>
      <c r="S626" s="12"/>
      <c r="T626" s="13"/>
      <c r="U626" s="46"/>
      <c r="V626" s="47"/>
      <c r="W626" s="48">
        <f t="shared" si="68"/>
        <v>0</v>
      </c>
      <c r="X626" s="48">
        <f t="shared" si="69"/>
        <v>0</v>
      </c>
      <c r="Y626" s="48">
        <f t="shared" si="70"/>
        <v>0</v>
      </c>
      <c r="Z626" s="48">
        <f t="shared" si="71"/>
        <v>0</v>
      </c>
      <c r="AA626" s="48"/>
      <c r="AB626" s="48"/>
      <c r="AC626" s="49">
        <f t="shared" si="72"/>
        <v>0</v>
      </c>
      <c r="AD626" s="50">
        <v>0</v>
      </c>
      <c r="AE626" s="47">
        <v>39979</v>
      </c>
      <c r="AF626" s="51" t="s">
        <v>1016</v>
      </c>
      <c r="AG626" s="52" t="s">
        <v>565</v>
      </c>
      <c r="AH626" s="53" t="s">
        <v>702</v>
      </c>
      <c r="AI626" s="79"/>
      <c r="AJ626" s="80"/>
      <c r="AK626" s="81"/>
      <c r="AL626" s="80"/>
      <c r="AM626" s="80"/>
      <c r="AN626" s="80"/>
      <c r="AO626" s="80"/>
      <c r="AP626" s="80"/>
      <c r="AQ626" s="80"/>
      <c r="AR626" s="80"/>
      <c r="AS626" s="80"/>
      <c r="AT626" s="80"/>
      <c r="AU626" s="80"/>
      <c r="AV626" s="80"/>
      <c r="AW626" s="80"/>
      <c r="AX626" s="80"/>
      <c r="AY626" s="80"/>
      <c r="AZ626" s="80"/>
      <c r="BA626" s="80"/>
      <c r="BB626" s="80"/>
      <c r="BC626" s="80"/>
      <c r="BD626" s="80"/>
      <c r="BE626" s="80"/>
      <c r="BF626" s="80"/>
      <c r="BG626" s="80"/>
      <c r="BH626" s="80"/>
      <c r="BI626" s="80"/>
      <c r="BJ626" s="80"/>
      <c r="BK626" s="80"/>
      <c r="BL626" s="80"/>
      <c r="BM626" s="80"/>
      <c r="BN626" s="80"/>
      <c r="BO626" s="80"/>
      <c r="BP626" s="80"/>
      <c r="BQ626" s="80"/>
      <c r="BR626" s="80"/>
      <c r="BS626" s="80"/>
      <c r="BT626" s="80"/>
      <c r="BU626" s="80"/>
      <c r="BV626" s="80"/>
      <c r="BW626" s="80"/>
      <c r="BX626" s="80"/>
      <c r="BY626" s="80"/>
      <c r="BZ626" s="80"/>
      <c r="CA626" s="80"/>
      <c r="CB626" s="80"/>
      <c r="CC626" s="80"/>
      <c r="CD626" s="80"/>
      <c r="CE626" s="80"/>
      <c r="CF626" s="80"/>
      <c r="CG626" s="80"/>
      <c r="CH626" s="80"/>
      <c r="CI626" s="80"/>
      <c r="CJ626" s="80"/>
      <c r="CK626" s="82"/>
      <c r="CL626" s="12"/>
      <c r="CM626" s="82"/>
      <c r="CN626" s="12"/>
      <c r="CO626" s="82"/>
      <c r="CP626" s="12"/>
      <c r="CQ626" s="83">
        <f t="shared" si="73"/>
        <v>0</v>
      </c>
      <c r="CR626" s="84"/>
      <c r="CS626" s="13"/>
      <c r="CT626" s="85"/>
      <c r="CU626" s="86"/>
      <c r="CV626" s="11"/>
      <c r="CW626" s="86"/>
      <c r="CX626" s="84"/>
      <c r="CY626" s="86"/>
    </row>
    <row r="627" spans="1:104" ht="51" x14ac:dyDescent="0.2">
      <c r="A627" s="43">
        <v>39977</v>
      </c>
      <c r="B627" s="44" t="s">
        <v>1094</v>
      </c>
      <c r="C627" s="44" t="s">
        <v>1014</v>
      </c>
      <c r="D627" s="45" t="s">
        <v>1118</v>
      </c>
      <c r="E627" s="11"/>
      <c r="F627" s="12"/>
      <c r="G627" s="12"/>
      <c r="H627" s="12">
        <v>1520</v>
      </c>
      <c r="I627" s="12">
        <v>304</v>
      </c>
      <c r="J627" s="12"/>
      <c r="K627" s="12">
        <v>304</v>
      </c>
      <c r="L627" s="12"/>
      <c r="M627" s="12"/>
      <c r="N627" s="12"/>
      <c r="O627" s="12"/>
      <c r="P627" s="12"/>
      <c r="Q627" s="12"/>
      <c r="R627" s="12"/>
      <c r="S627" s="12"/>
      <c r="T627" s="13"/>
      <c r="U627" s="46"/>
      <c r="V627" s="47"/>
      <c r="W627" s="48">
        <f t="shared" si="68"/>
        <v>0</v>
      </c>
      <c r="X627" s="48">
        <f t="shared" si="69"/>
        <v>0</v>
      </c>
      <c r="Y627" s="48">
        <f t="shared" si="70"/>
        <v>0</v>
      </c>
      <c r="Z627" s="48">
        <f t="shared" si="71"/>
        <v>0</v>
      </c>
      <c r="AA627" s="48"/>
      <c r="AB627" s="48"/>
      <c r="AC627" s="49">
        <f t="shared" si="72"/>
        <v>0</v>
      </c>
      <c r="AD627" s="50">
        <v>0</v>
      </c>
      <c r="AE627" s="47">
        <v>39979</v>
      </c>
      <c r="AF627" s="51" t="s">
        <v>1016</v>
      </c>
      <c r="AG627" s="52" t="s">
        <v>565</v>
      </c>
      <c r="AH627" s="53" t="s">
        <v>703</v>
      </c>
      <c r="AI627" s="79"/>
      <c r="AJ627" s="80"/>
      <c r="AK627" s="81"/>
      <c r="AL627" s="80"/>
      <c r="AM627" s="80"/>
      <c r="AN627" s="80"/>
      <c r="AO627" s="80"/>
      <c r="AP627" s="80"/>
      <c r="AQ627" s="80"/>
      <c r="AR627" s="80"/>
      <c r="AS627" s="80"/>
      <c r="AT627" s="80"/>
      <c r="AU627" s="80"/>
      <c r="AV627" s="80"/>
      <c r="AW627" s="80"/>
      <c r="AX627" s="80"/>
      <c r="AY627" s="80"/>
      <c r="AZ627" s="80"/>
      <c r="BA627" s="80"/>
      <c r="BB627" s="80"/>
      <c r="BC627" s="80"/>
      <c r="BD627" s="80"/>
      <c r="BE627" s="80"/>
      <c r="BF627" s="80"/>
      <c r="BG627" s="80"/>
      <c r="BH627" s="80"/>
      <c r="BI627" s="80"/>
      <c r="BJ627" s="80"/>
      <c r="BK627" s="80"/>
      <c r="BL627" s="80"/>
      <c r="BM627" s="80"/>
      <c r="BN627" s="80"/>
      <c r="BO627" s="80"/>
      <c r="BP627" s="80"/>
      <c r="BQ627" s="80"/>
      <c r="BR627" s="80"/>
      <c r="BS627" s="80"/>
      <c r="BT627" s="80"/>
      <c r="BU627" s="80"/>
      <c r="BV627" s="80"/>
      <c r="BW627" s="80"/>
      <c r="BX627" s="80"/>
      <c r="BY627" s="80"/>
      <c r="BZ627" s="80"/>
      <c r="CA627" s="80"/>
      <c r="CB627" s="80"/>
      <c r="CC627" s="80"/>
      <c r="CD627" s="80"/>
      <c r="CE627" s="80"/>
      <c r="CF627" s="80"/>
      <c r="CG627" s="80"/>
      <c r="CH627" s="80"/>
      <c r="CI627" s="80"/>
      <c r="CJ627" s="80"/>
      <c r="CK627" s="82"/>
      <c r="CL627" s="12"/>
      <c r="CM627" s="82"/>
      <c r="CN627" s="12"/>
      <c r="CO627" s="82"/>
      <c r="CP627" s="12"/>
      <c r="CQ627" s="83">
        <f t="shared" si="73"/>
        <v>0</v>
      </c>
      <c r="CR627" s="84"/>
      <c r="CS627" s="13"/>
      <c r="CT627" s="85"/>
      <c r="CU627" s="86"/>
      <c r="CV627" s="11"/>
      <c r="CW627" s="86"/>
      <c r="CX627" s="84"/>
      <c r="CY627" s="86"/>
    </row>
    <row r="628" spans="1:104" ht="51" x14ac:dyDescent="0.2">
      <c r="A628" s="43">
        <v>39977</v>
      </c>
      <c r="B628" s="44" t="s">
        <v>1094</v>
      </c>
      <c r="C628" s="44" t="s">
        <v>1010</v>
      </c>
      <c r="D628" s="45" t="s">
        <v>1118</v>
      </c>
      <c r="E628" s="11"/>
      <c r="F628" s="12"/>
      <c r="G628" s="12"/>
      <c r="H628" s="12">
        <v>305</v>
      </c>
      <c r="I628" s="12">
        <v>61</v>
      </c>
      <c r="J628" s="12"/>
      <c r="K628" s="12">
        <v>61</v>
      </c>
      <c r="L628" s="12"/>
      <c r="M628" s="12"/>
      <c r="N628" s="12"/>
      <c r="O628" s="12"/>
      <c r="P628" s="12"/>
      <c r="Q628" s="12"/>
      <c r="R628" s="12"/>
      <c r="S628" s="12"/>
      <c r="T628" s="13"/>
      <c r="U628" s="46"/>
      <c r="V628" s="47"/>
      <c r="W628" s="48">
        <f t="shared" si="68"/>
        <v>0</v>
      </c>
      <c r="X628" s="48">
        <f t="shared" si="69"/>
        <v>0</v>
      </c>
      <c r="Y628" s="48">
        <f t="shared" si="70"/>
        <v>0</v>
      </c>
      <c r="Z628" s="48">
        <f t="shared" si="71"/>
        <v>0</v>
      </c>
      <c r="AA628" s="48"/>
      <c r="AB628" s="48"/>
      <c r="AC628" s="49">
        <f t="shared" si="72"/>
        <v>0</v>
      </c>
      <c r="AD628" s="50">
        <v>0</v>
      </c>
      <c r="AE628" s="47">
        <v>39979</v>
      </c>
      <c r="AF628" s="51" t="s">
        <v>1016</v>
      </c>
      <c r="AG628" s="52" t="s">
        <v>565</v>
      </c>
      <c r="AH628" s="53" t="s">
        <v>704</v>
      </c>
      <c r="AI628" s="79"/>
      <c r="AJ628" s="80"/>
      <c r="AK628" s="81"/>
      <c r="AL628" s="80"/>
      <c r="AM628" s="80"/>
      <c r="AN628" s="80"/>
      <c r="AO628" s="80"/>
      <c r="AP628" s="80"/>
      <c r="AQ628" s="80"/>
      <c r="AR628" s="80"/>
      <c r="AS628" s="80"/>
      <c r="AT628" s="80"/>
      <c r="AU628" s="80"/>
      <c r="AV628" s="80"/>
      <c r="AW628" s="80"/>
      <c r="AX628" s="80"/>
      <c r="AY628" s="80"/>
      <c r="AZ628" s="80"/>
      <c r="BA628" s="80"/>
      <c r="BB628" s="80"/>
      <c r="BC628" s="80"/>
      <c r="BD628" s="80"/>
      <c r="BE628" s="80"/>
      <c r="BF628" s="80"/>
      <c r="BG628" s="80"/>
      <c r="BH628" s="80"/>
      <c r="BI628" s="80"/>
      <c r="BJ628" s="80"/>
      <c r="BK628" s="80"/>
      <c r="BL628" s="80"/>
      <c r="BM628" s="80"/>
      <c r="BN628" s="80"/>
      <c r="BO628" s="80"/>
      <c r="BP628" s="80"/>
      <c r="BQ628" s="80"/>
      <c r="BR628" s="80"/>
      <c r="BS628" s="80"/>
      <c r="BT628" s="80"/>
      <c r="BU628" s="80"/>
      <c r="BV628" s="80"/>
      <c r="BW628" s="80"/>
      <c r="BX628" s="80"/>
      <c r="BY628" s="80"/>
      <c r="BZ628" s="80"/>
      <c r="CA628" s="80"/>
      <c r="CB628" s="80"/>
      <c r="CC628" s="80"/>
      <c r="CD628" s="80"/>
      <c r="CE628" s="80"/>
      <c r="CF628" s="80"/>
      <c r="CG628" s="80"/>
      <c r="CH628" s="80"/>
      <c r="CI628" s="80"/>
      <c r="CJ628" s="80"/>
      <c r="CK628" s="82"/>
      <c r="CL628" s="12"/>
      <c r="CM628" s="82"/>
      <c r="CN628" s="12"/>
      <c r="CO628" s="82"/>
      <c r="CP628" s="12"/>
      <c r="CQ628" s="83">
        <f t="shared" si="73"/>
        <v>0</v>
      </c>
      <c r="CR628" s="84"/>
      <c r="CS628" s="13"/>
      <c r="CT628" s="85"/>
      <c r="CU628" s="86"/>
      <c r="CV628" s="11"/>
      <c r="CW628" s="86"/>
      <c r="CX628" s="84"/>
      <c r="CY628" s="86"/>
    </row>
    <row r="629" spans="1:104" ht="76.5" x14ac:dyDescent="0.2">
      <c r="A629" s="43">
        <v>39977</v>
      </c>
      <c r="B629" s="44" t="s">
        <v>1094</v>
      </c>
      <c r="C629" s="44" t="s">
        <v>929</v>
      </c>
      <c r="D629" s="45" t="s">
        <v>1118</v>
      </c>
      <c r="E629" s="11"/>
      <c r="F629" s="12"/>
      <c r="G629" s="12"/>
      <c r="H629" s="12">
        <v>2305</v>
      </c>
      <c r="I629" s="12">
        <v>461</v>
      </c>
      <c r="J629" s="12"/>
      <c r="K629" s="12">
        <v>461</v>
      </c>
      <c r="L629" s="12"/>
      <c r="M629" s="12"/>
      <c r="N629" s="12"/>
      <c r="O629" s="12"/>
      <c r="P629" s="12"/>
      <c r="Q629" s="12"/>
      <c r="R629" s="12"/>
      <c r="S629" s="12"/>
      <c r="T629" s="13"/>
      <c r="U629" s="46"/>
      <c r="V629" s="47"/>
      <c r="W629" s="48">
        <f t="shared" si="68"/>
        <v>0</v>
      </c>
      <c r="X629" s="48">
        <f t="shared" si="69"/>
        <v>0</v>
      </c>
      <c r="Y629" s="48">
        <f t="shared" si="70"/>
        <v>0</v>
      </c>
      <c r="Z629" s="48">
        <f t="shared" si="71"/>
        <v>0</v>
      </c>
      <c r="AA629" s="48"/>
      <c r="AB629" s="48"/>
      <c r="AC629" s="49">
        <f t="shared" si="72"/>
        <v>0</v>
      </c>
      <c r="AD629" s="50">
        <v>0</v>
      </c>
      <c r="AE629" s="47">
        <v>39979</v>
      </c>
      <c r="AF629" s="51" t="s">
        <v>1016</v>
      </c>
      <c r="AG629" s="52" t="s">
        <v>565</v>
      </c>
      <c r="AH629" s="53" t="s">
        <v>705</v>
      </c>
      <c r="AI629" s="79"/>
      <c r="AJ629" s="80"/>
      <c r="AK629" s="81"/>
      <c r="AL629" s="80"/>
      <c r="AM629" s="80"/>
      <c r="AN629" s="80"/>
      <c r="AO629" s="80"/>
      <c r="AP629" s="80"/>
      <c r="AQ629" s="80"/>
      <c r="AR629" s="80"/>
      <c r="AS629" s="80"/>
      <c r="AT629" s="80"/>
      <c r="AU629" s="80"/>
      <c r="AV629" s="80"/>
      <c r="AW629" s="80"/>
      <c r="AX629" s="80"/>
      <c r="AY629" s="80"/>
      <c r="AZ629" s="80"/>
      <c r="BA629" s="80"/>
      <c r="BB629" s="80"/>
      <c r="BC629" s="80"/>
      <c r="BD629" s="80"/>
      <c r="BE629" s="80"/>
      <c r="BF629" s="80"/>
      <c r="BG629" s="80"/>
      <c r="BH629" s="80"/>
      <c r="BI629" s="80"/>
      <c r="BJ629" s="80"/>
      <c r="BK629" s="80"/>
      <c r="BL629" s="80"/>
      <c r="BM629" s="80"/>
      <c r="BN629" s="80"/>
      <c r="BO629" s="80"/>
      <c r="BP629" s="80"/>
      <c r="BQ629" s="80"/>
      <c r="BR629" s="80"/>
      <c r="BS629" s="80"/>
      <c r="BT629" s="80"/>
      <c r="BU629" s="80"/>
      <c r="BV629" s="80"/>
      <c r="BW629" s="80"/>
      <c r="BX629" s="80"/>
      <c r="BY629" s="80"/>
      <c r="BZ629" s="80"/>
      <c r="CA629" s="80"/>
      <c r="CB629" s="80"/>
      <c r="CC629" s="80"/>
      <c r="CD629" s="80"/>
      <c r="CE629" s="80"/>
      <c r="CF629" s="80"/>
      <c r="CG629" s="80"/>
      <c r="CH629" s="80"/>
      <c r="CI629" s="80"/>
      <c r="CJ629" s="80"/>
      <c r="CK629" s="82"/>
      <c r="CL629" s="12"/>
      <c r="CM629" s="82"/>
      <c r="CN629" s="12"/>
      <c r="CO629" s="82"/>
      <c r="CP629" s="12"/>
      <c r="CQ629" s="83">
        <f t="shared" si="73"/>
        <v>0</v>
      </c>
      <c r="CR629" s="84"/>
      <c r="CS629" s="13"/>
      <c r="CT629" s="85"/>
      <c r="CU629" s="86"/>
      <c r="CV629" s="11"/>
      <c r="CW629" s="86"/>
      <c r="CX629" s="84"/>
      <c r="CY629" s="86"/>
    </row>
    <row r="630" spans="1:104" ht="25.5" x14ac:dyDescent="0.2">
      <c r="A630" s="43">
        <v>39977</v>
      </c>
      <c r="B630" s="44" t="s">
        <v>1094</v>
      </c>
      <c r="C630" s="44" t="s">
        <v>511</v>
      </c>
      <c r="D630" s="45" t="s">
        <v>1118</v>
      </c>
      <c r="E630" s="11"/>
      <c r="F630" s="12"/>
      <c r="G630" s="12"/>
      <c r="H630" s="12">
        <v>4400</v>
      </c>
      <c r="I630" s="12">
        <v>880</v>
      </c>
      <c r="J630" s="12"/>
      <c r="K630" s="12">
        <v>880</v>
      </c>
      <c r="L630" s="12"/>
      <c r="M630" s="12"/>
      <c r="N630" s="12"/>
      <c r="O630" s="12"/>
      <c r="P630" s="12"/>
      <c r="Q630" s="12"/>
      <c r="R630" s="12"/>
      <c r="S630" s="12"/>
      <c r="T630" s="13"/>
      <c r="U630" s="46"/>
      <c r="V630" s="47"/>
      <c r="W630" s="48">
        <f t="shared" si="68"/>
        <v>0</v>
      </c>
      <c r="X630" s="48">
        <f t="shared" si="69"/>
        <v>0</v>
      </c>
      <c r="Y630" s="48">
        <f t="shared" si="70"/>
        <v>0</v>
      </c>
      <c r="Z630" s="48">
        <f t="shared" si="71"/>
        <v>0</v>
      </c>
      <c r="AA630" s="48"/>
      <c r="AB630" s="48"/>
      <c r="AC630" s="49">
        <f t="shared" si="72"/>
        <v>0</v>
      </c>
      <c r="AD630" s="50">
        <v>0</v>
      </c>
      <c r="AE630" s="47">
        <v>39979</v>
      </c>
      <c r="AF630" s="51" t="s">
        <v>1016</v>
      </c>
      <c r="AG630" s="52" t="s">
        <v>565</v>
      </c>
      <c r="AH630" s="53" t="s">
        <v>706</v>
      </c>
      <c r="AI630" s="79"/>
      <c r="AJ630" s="80"/>
      <c r="AK630" s="81"/>
      <c r="AL630" s="80"/>
      <c r="AM630" s="80"/>
      <c r="AN630" s="80"/>
      <c r="AO630" s="80"/>
      <c r="AP630" s="80"/>
      <c r="AQ630" s="80"/>
      <c r="AR630" s="80"/>
      <c r="AS630" s="80"/>
      <c r="AT630" s="80"/>
      <c r="AU630" s="80"/>
      <c r="AV630" s="80"/>
      <c r="AW630" s="80"/>
      <c r="AX630" s="80"/>
      <c r="AY630" s="80"/>
      <c r="AZ630" s="80"/>
      <c r="BA630" s="80"/>
      <c r="BB630" s="80"/>
      <c r="BC630" s="80"/>
      <c r="BD630" s="80"/>
      <c r="BE630" s="80"/>
      <c r="BF630" s="80"/>
      <c r="BG630" s="80"/>
      <c r="BH630" s="80"/>
      <c r="BI630" s="80"/>
      <c r="BJ630" s="80"/>
      <c r="BK630" s="80"/>
      <c r="BL630" s="80"/>
      <c r="BM630" s="80"/>
      <c r="BN630" s="80"/>
      <c r="BO630" s="80"/>
      <c r="BP630" s="80"/>
      <c r="BQ630" s="80"/>
      <c r="BR630" s="80"/>
      <c r="BS630" s="80"/>
      <c r="BT630" s="80"/>
      <c r="BU630" s="80"/>
      <c r="BV630" s="80"/>
      <c r="BW630" s="80"/>
      <c r="BX630" s="80"/>
      <c r="BY630" s="80"/>
      <c r="BZ630" s="80"/>
      <c r="CA630" s="80"/>
      <c r="CB630" s="80"/>
      <c r="CC630" s="80"/>
      <c r="CD630" s="80"/>
      <c r="CE630" s="80"/>
      <c r="CF630" s="80"/>
      <c r="CG630" s="80"/>
      <c r="CH630" s="80"/>
      <c r="CI630" s="80"/>
      <c r="CJ630" s="80"/>
      <c r="CK630" s="82"/>
      <c r="CL630" s="12"/>
      <c r="CM630" s="82"/>
      <c r="CN630" s="12"/>
      <c r="CO630" s="82"/>
      <c r="CP630" s="12"/>
      <c r="CQ630" s="83">
        <f t="shared" si="73"/>
        <v>0</v>
      </c>
      <c r="CR630" s="84"/>
      <c r="CS630" s="13"/>
      <c r="CT630" s="85"/>
      <c r="CU630" s="86"/>
      <c r="CV630" s="11"/>
      <c r="CW630" s="86"/>
      <c r="CX630" s="84"/>
      <c r="CY630" s="86"/>
    </row>
    <row r="631" spans="1:104" ht="51" x14ac:dyDescent="0.2">
      <c r="A631" s="43">
        <v>39977</v>
      </c>
      <c r="B631" s="44" t="s">
        <v>1094</v>
      </c>
      <c r="C631" s="44" t="s">
        <v>1454</v>
      </c>
      <c r="D631" s="45" t="s">
        <v>1118</v>
      </c>
      <c r="E631" s="11"/>
      <c r="F631" s="12"/>
      <c r="G631" s="12"/>
      <c r="H631" s="12"/>
      <c r="I631" s="12"/>
      <c r="J631" s="12"/>
      <c r="K631" s="12"/>
      <c r="L631" s="12"/>
      <c r="M631" s="12"/>
      <c r="N631" s="12"/>
      <c r="O631" s="12"/>
      <c r="P631" s="12"/>
      <c r="Q631" s="12"/>
      <c r="R631" s="12"/>
      <c r="S631" s="12"/>
      <c r="T631" s="13"/>
      <c r="U631" s="46"/>
      <c r="V631" s="47">
        <v>40009</v>
      </c>
      <c r="W631" s="48">
        <f t="shared" si="68"/>
        <v>77000000</v>
      </c>
      <c r="X631" s="48">
        <f t="shared" si="69"/>
        <v>170000000</v>
      </c>
      <c r="Y631" s="48">
        <f t="shared" si="70"/>
        <v>0</v>
      </c>
      <c r="Z631" s="48">
        <f t="shared" si="71"/>
        <v>0</v>
      </c>
      <c r="AA631" s="48"/>
      <c r="AB631" s="48"/>
      <c r="AC631" s="49">
        <f t="shared" si="72"/>
        <v>247000000</v>
      </c>
      <c r="AD631" s="50">
        <v>0</v>
      </c>
      <c r="AE631" s="47">
        <v>39977</v>
      </c>
      <c r="AF631" s="51" t="s">
        <v>1016</v>
      </c>
      <c r="AG631" s="52" t="s">
        <v>565</v>
      </c>
      <c r="AH631" s="53" t="s">
        <v>1357</v>
      </c>
      <c r="AI631" s="79"/>
      <c r="AJ631" s="80"/>
      <c r="AK631" s="81"/>
      <c r="AL631" s="80"/>
      <c r="AM631" s="80"/>
      <c r="AN631" s="80"/>
      <c r="AO631" s="80"/>
      <c r="AP631" s="80"/>
      <c r="AQ631" s="80"/>
      <c r="AR631" s="80"/>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2">
        <v>2000</v>
      </c>
      <c r="CL631" s="12">
        <f>2000*38500</f>
        <v>77000000</v>
      </c>
      <c r="CM631" s="82"/>
      <c r="CN631" s="12"/>
      <c r="CO631" s="82"/>
      <c r="CP631" s="12"/>
      <c r="CQ631" s="83">
        <f t="shared" si="73"/>
        <v>77000000</v>
      </c>
      <c r="CR631" s="84"/>
      <c r="CS631" s="13"/>
      <c r="CT631" s="85">
        <f>1000+1000</f>
        <v>2000</v>
      </c>
      <c r="CU631" s="86">
        <f>1000*85000+1000*85000</f>
        <v>170000000</v>
      </c>
      <c r="CV631" s="11"/>
      <c r="CW631" s="86"/>
      <c r="CX631" s="84"/>
      <c r="CY631" s="86"/>
    </row>
    <row r="632" spans="1:104" ht="25.5" x14ac:dyDescent="0.2">
      <c r="A632" s="43">
        <v>39977</v>
      </c>
      <c r="B632" s="44" t="s">
        <v>781</v>
      </c>
      <c r="C632" s="44" t="s">
        <v>1163</v>
      </c>
      <c r="D632" s="45" t="s">
        <v>1118</v>
      </c>
      <c r="E632" s="11"/>
      <c r="F632" s="12"/>
      <c r="G632" s="12"/>
      <c r="H632" s="12">
        <v>85</v>
      </c>
      <c r="I632" s="12">
        <v>17</v>
      </c>
      <c r="J632" s="12">
        <v>3</v>
      </c>
      <c r="K632" s="12">
        <v>14</v>
      </c>
      <c r="L632" s="12"/>
      <c r="M632" s="12"/>
      <c r="N632" s="12"/>
      <c r="O632" s="12"/>
      <c r="P632" s="12"/>
      <c r="Q632" s="12"/>
      <c r="R632" s="12"/>
      <c r="S632" s="12"/>
      <c r="T632" s="13"/>
      <c r="U632" s="46"/>
      <c r="V632" s="47"/>
      <c r="W632" s="48">
        <f t="shared" si="68"/>
        <v>0</v>
      </c>
      <c r="X632" s="48">
        <f t="shared" si="69"/>
        <v>0</v>
      </c>
      <c r="Y632" s="48">
        <f t="shared" si="70"/>
        <v>0</v>
      </c>
      <c r="Z632" s="48">
        <f t="shared" si="71"/>
        <v>0</v>
      </c>
      <c r="AA632" s="48"/>
      <c r="AB632" s="48"/>
      <c r="AC632" s="49">
        <f t="shared" si="72"/>
        <v>0</v>
      </c>
      <c r="AD632" s="50">
        <v>0</v>
      </c>
      <c r="AE632" s="47">
        <v>39979</v>
      </c>
      <c r="AF632" s="51" t="s">
        <v>516</v>
      </c>
      <c r="AG632" s="52" t="s">
        <v>517</v>
      </c>
      <c r="AH632" s="53" t="s">
        <v>508</v>
      </c>
      <c r="AI632" s="79"/>
      <c r="AJ632" s="80"/>
      <c r="AK632" s="81"/>
      <c r="AL632" s="80"/>
      <c r="AM632" s="80"/>
      <c r="AN632" s="80"/>
      <c r="AO632" s="80"/>
      <c r="AP632" s="80"/>
      <c r="AQ632" s="80"/>
      <c r="AR632" s="80"/>
      <c r="AS632" s="80"/>
      <c r="AT632" s="80"/>
      <c r="AU632" s="80"/>
      <c r="AV632" s="80"/>
      <c r="AW632" s="80"/>
      <c r="AX632" s="80"/>
      <c r="AY632" s="80"/>
      <c r="AZ632" s="80"/>
      <c r="BA632" s="80"/>
      <c r="BB632" s="80"/>
      <c r="BC632" s="80"/>
      <c r="BD632" s="80"/>
      <c r="BE632" s="80"/>
      <c r="BF632" s="80"/>
      <c r="BG632" s="80"/>
      <c r="BH632" s="80"/>
      <c r="BI632" s="80"/>
      <c r="BJ632" s="80"/>
      <c r="BK632" s="80"/>
      <c r="BL632" s="80"/>
      <c r="BM632" s="80"/>
      <c r="BN632" s="80"/>
      <c r="BO632" s="80"/>
      <c r="BP632" s="80"/>
      <c r="BQ632" s="80"/>
      <c r="BR632" s="80"/>
      <c r="BS632" s="80"/>
      <c r="BT632" s="80"/>
      <c r="BU632" s="80"/>
      <c r="BV632" s="80"/>
      <c r="BW632" s="80"/>
      <c r="BX632" s="80"/>
      <c r="BY632" s="80"/>
      <c r="BZ632" s="80"/>
      <c r="CA632" s="80"/>
      <c r="CB632" s="80"/>
      <c r="CC632" s="80"/>
      <c r="CD632" s="80"/>
      <c r="CE632" s="80"/>
      <c r="CF632" s="80"/>
      <c r="CG632" s="80"/>
      <c r="CH632" s="80"/>
      <c r="CI632" s="80"/>
      <c r="CJ632" s="80"/>
      <c r="CK632" s="82"/>
      <c r="CL632" s="12"/>
      <c r="CM632" s="82"/>
      <c r="CN632" s="12"/>
      <c r="CO632" s="82"/>
      <c r="CP632" s="12"/>
      <c r="CQ632" s="83">
        <f t="shared" si="73"/>
        <v>0</v>
      </c>
      <c r="CR632" s="84"/>
      <c r="CS632" s="13"/>
      <c r="CT632" s="85"/>
      <c r="CU632" s="86"/>
      <c r="CV632" s="11"/>
      <c r="CW632" s="86"/>
      <c r="CX632" s="84"/>
      <c r="CY632" s="86"/>
    </row>
    <row r="633" spans="1:104" ht="38.25" x14ac:dyDescent="0.2">
      <c r="A633" s="43">
        <v>39980</v>
      </c>
      <c r="B633" s="44" t="s">
        <v>625</v>
      </c>
      <c r="C633" s="44" t="s">
        <v>536</v>
      </c>
      <c r="D633" s="45" t="s">
        <v>1118</v>
      </c>
      <c r="E633" s="11"/>
      <c r="F633" s="12"/>
      <c r="G633" s="12"/>
      <c r="H633" s="12">
        <v>2200</v>
      </c>
      <c r="I633" s="12">
        <v>538</v>
      </c>
      <c r="J633" s="12"/>
      <c r="K633" s="12">
        <v>538</v>
      </c>
      <c r="L633" s="12"/>
      <c r="M633" s="12"/>
      <c r="N633" s="12"/>
      <c r="O633" s="12"/>
      <c r="P633" s="12"/>
      <c r="Q633" s="12"/>
      <c r="R633" s="12"/>
      <c r="S633" s="12"/>
      <c r="T633" s="13"/>
      <c r="U633" s="46"/>
      <c r="V633" s="47"/>
      <c r="W633" s="48">
        <f t="shared" si="68"/>
        <v>0</v>
      </c>
      <c r="X633" s="48">
        <f t="shared" si="69"/>
        <v>0</v>
      </c>
      <c r="Y633" s="48">
        <f t="shared" si="70"/>
        <v>0</v>
      </c>
      <c r="Z633" s="48">
        <f t="shared" si="71"/>
        <v>0</v>
      </c>
      <c r="AA633" s="48"/>
      <c r="AB633" s="48"/>
      <c r="AC633" s="49">
        <f t="shared" si="72"/>
        <v>0</v>
      </c>
      <c r="AD633" s="50">
        <v>0</v>
      </c>
      <c r="AE633" s="47">
        <v>39983</v>
      </c>
      <c r="AF633" s="51" t="s">
        <v>1016</v>
      </c>
      <c r="AG633" s="52" t="s">
        <v>565</v>
      </c>
      <c r="AH633" s="53" t="s">
        <v>1293</v>
      </c>
      <c r="AI633" s="79"/>
      <c r="AJ633" s="80"/>
      <c r="AK633" s="81"/>
      <c r="AL633" s="80"/>
      <c r="AM633" s="80"/>
      <c r="AN633" s="80"/>
      <c r="AO633" s="80"/>
      <c r="AP633" s="80"/>
      <c r="AQ633" s="80"/>
      <c r="AR633" s="80"/>
      <c r="AS633" s="80"/>
      <c r="AT633" s="80"/>
      <c r="AU633" s="80"/>
      <c r="AV633" s="80"/>
      <c r="AW633" s="80"/>
      <c r="AX633" s="80"/>
      <c r="AY633" s="80"/>
      <c r="AZ633" s="80"/>
      <c r="BA633" s="80"/>
      <c r="BB633" s="80"/>
      <c r="BC633" s="80"/>
      <c r="BD633" s="80"/>
      <c r="BE633" s="80"/>
      <c r="BF633" s="80"/>
      <c r="BG633" s="80"/>
      <c r="BH633" s="80"/>
      <c r="BI633" s="80"/>
      <c r="BJ633" s="80"/>
      <c r="BK633" s="80"/>
      <c r="BL633" s="80"/>
      <c r="BM633" s="80"/>
      <c r="BN633" s="80"/>
      <c r="BO633" s="80"/>
      <c r="BP633" s="80"/>
      <c r="BQ633" s="80"/>
      <c r="BR633" s="80"/>
      <c r="BS633" s="80"/>
      <c r="BT633" s="80"/>
      <c r="BU633" s="80"/>
      <c r="BV633" s="80"/>
      <c r="BW633" s="80"/>
      <c r="BX633" s="80"/>
      <c r="BY633" s="80"/>
      <c r="BZ633" s="80"/>
      <c r="CA633" s="80"/>
      <c r="CB633" s="80"/>
      <c r="CC633" s="80"/>
      <c r="CD633" s="80"/>
      <c r="CE633" s="80"/>
      <c r="CF633" s="80"/>
      <c r="CG633" s="80"/>
      <c r="CH633" s="80"/>
      <c r="CI633" s="80"/>
      <c r="CJ633" s="80"/>
      <c r="CK633" s="82"/>
      <c r="CL633" s="12"/>
      <c r="CM633" s="82"/>
      <c r="CN633" s="12"/>
      <c r="CO633" s="82"/>
      <c r="CP633" s="12"/>
      <c r="CQ633" s="83">
        <f t="shared" si="73"/>
        <v>0</v>
      </c>
      <c r="CR633" s="84"/>
      <c r="CS633" s="13"/>
      <c r="CT633" s="85"/>
      <c r="CU633" s="86"/>
      <c r="CV633" s="11"/>
      <c r="CW633" s="86"/>
      <c r="CX633" s="84"/>
      <c r="CY633" s="86"/>
    </row>
    <row r="634" spans="1:104" ht="38.25" x14ac:dyDescent="0.2">
      <c r="A634" s="43">
        <v>39980</v>
      </c>
      <c r="B634" s="44" t="s">
        <v>625</v>
      </c>
      <c r="C634" s="44" t="s">
        <v>462</v>
      </c>
      <c r="D634" s="45" t="s">
        <v>1118</v>
      </c>
      <c r="E634" s="11"/>
      <c r="F634" s="12"/>
      <c r="G634" s="12"/>
      <c r="H634" s="12">
        <v>1400</v>
      </c>
      <c r="I634" s="12">
        <v>315</v>
      </c>
      <c r="J634" s="12"/>
      <c r="K634" s="12">
        <v>315</v>
      </c>
      <c r="L634" s="12"/>
      <c r="M634" s="12"/>
      <c r="N634" s="12"/>
      <c r="O634" s="12"/>
      <c r="P634" s="12"/>
      <c r="Q634" s="12"/>
      <c r="R634" s="12"/>
      <c r="S634" s="12"/>
      <c r="T634" s="13"/>
      <c r="U634" s="46"/>
      <c r="V634" s="47"/>
      <c r="W634" s="48">
        <f t="shared" si="68"/>
        <v>0</v>
      </c>
      <c r="X634" s="48">
        <f t="shared" si="69"/>
        <v>0</v>
      </c>
      <c r="Y634" s="48">
        <f t="shared" si="70"/>
        <v>0</v>
      </c>
      <c r="Z634" s="48">
        <f t="shared" si="71"/>
        <v>0</v>
      </c>
      <c r="AA634" s="48"/>
      <c r="AB634" s="48"/>
      <c r="AC634" s="49">
        <f t="shared" si="72"/>
        <v>0</v>
      </c>
      <c r="AD634" s="50">
        <v>0</v>
      </c>
      <c r="AE634" s="47">
        <v>39983</v>
      </c>
      <c r="AF634" s="51" t="s">
        <v>1016</v>
      </c>
      <c r="AG634" s="52" t="s">
        <v>565</v>
      </c>
      <c r="AH634" s="53" t="s">
        <v>1294</v>
      </c>
      <c r="AI634" s="79"/>
      <c r="AJ634" s="80"/>
      <c r="AK634" s="81"/>
      <c r="AL634" s="80"/>
      <c r="AM634" s="80"/>
      <c r="AN634" s="80"/>
      <c r="AO634" s="80"/>
      <c r="AP634" s="80"/>
      <c r="AQ634" s="80"/>
      <c r="AR634" s="80"/>
      <c r="AS634" s="80"/>
      <c r="AT634" s="80"/>
      <c r="AU634" s="80"/>
      <c r="AV634" s="80"/>
      <c r="AW634" s="80"/>
      <c r="AX634" s="80"/>
      <c r="AY634" s="80"/>
      <c r="AZ634" s="80"/>
      <c r="BA634" s="80"/>
      <c r="BB634" s="80"/>
      <c r="BC634" s="80"/>
      <c r="BD634" s="80"/>
      <c r="BE634" s="80"/>
      <c r="BF634" s="80"/>
      <c r="BG634" s="80"/>
      <c r="BH634" s="80"/>
      <c r="BI634" s="80"/>
      <c r="BJ634" s="80"/>
      <c r="BK634" s="80"/>
      <c r="BL634" s="80"/>
      <c r="BM634" s="80"/>
      <c r="BN634" s="80"/>
      <c r="BO634" s="80"/>
      <c r="BP634" s="80"/>
      <c r="BQ634" s="80"/>
      <c r="BR634" s="80"/>
      <c r="BS634" s="80"/>
      <c r="BT634" s="80"/>
      <c r="BU634" s="80"/>
      <c r="BV634" s="80"/>
      <c r="BW634" s="80"/>
      <c r="BX634" s="80"/>
      <c r="BY634" s="80"/>
      <c r="BZ634" s="80"/>
      <c r="CA634" s="80"/>
      <c r="CB634" s="80"/>
      <c r="CC634" s="80"/>
      <c r="CD634" s="80"/>
      <c r="CE634" s="80"/>
      <c r="CF634" s="80"/>
      <c r="CG634" s="80"/>
      <c r="CH634" s="80"/>
      <c r="CI634" s="80"/>
      <c r="CJ634" s="80"/>
      <c r="CK634" s="82"/>
      <c r="CL634" s="12"/>
      <c r="CM634" s="82"/>
      <c r="CN634" s="12"/>
      <c r="CO634" s="82"/>
      <c r="CP634" s="12"/>
      <c r="CQ634" s="83">
        <f t="shared" si="73"/>
        <v>0</v>
      </c>
      <c r="CR634" s="84"/>
      <c r="CS634" s="13"/>
      <c r="CT634" s="85"/>
      <c r="CU634" s="86"/>
      <c r="CV634" s="11"/>
      <c r="CW634" s="86"/>
      <c r="CX634" s="84"/>
      <c r="CY634" s="86"/>
    </row>
    <row r="635" spans="1:104" ht="38.25" x14ac:dyDescent="0.2">
      <c r="A635" s="43">
        <v>39980</v>
      </c>
      <c r="B635" s="44" t="s">
        <v>625</v>
      </c>
      <c r="C635" s="44" t="s">
        <v>944</v>
      </c>
      <c r="D635" s="45" t="s">
        <v>1118</v>
      </c>
      <c r="E635" s="11"/>
      <c r="F635" s="12"/>
      <c r="G635" s="12"/>
      <c r="H635" s="12">
        <v>1250</v>
      </c>
      <c r="I635" s="12">
        <v>300</v>
      </c>
      <c r="J635" s="12"/>
      <c r="K635" s="12">
        <v>300</v>
      </c>
      <c r="L635" s="12"/>
      <c r="M635" s="12"/>
      <c r="N635" s="12"/>
      <c r="O635" s="12"/>
      <c r="P635" s="12"/>
      <c r="Q635" s="12"/>
      <c r="R635" s="12"/>
      <c r="S635" s="12"/>
      <c r="T635" s="13"/>
      <c r="U635" s="46"/>
      <c r="V635" s="47"/>
      <c r="W635" s="48">
        <f t="shared" si="68"/>
        <v>0</v>
      </c>
      <c r="X635" s="48">
        <f t="shared" si="69"/>
        <v>0</v>
      </c>
      <c r="Y635" s="48">
        <f t="shared" si="70"/>
        <v>0</v>
      </c>
      <c r="Z635" s="48">
        <f t="shared" si="71"/>
        <v>0</v>
      </c>
      <c r="AA635" s="48"/>
      <c r="AB635" s="48"/>
      <c r="AC635" s="49">
        <f t="shared" si="72"/>
        <v>0</v>
      </c>
      <c r="AD635" s="50">
        <v>0</v>
      </c>
      <c r="AE635" s="47">
        <v>39983</v>
      </c>
      <c r="AF635" s="51" t="s">
        <v>1016</v>
      </c>
      <c r="AG635" s="52" t="s">
        <v>565</v>
      </c>
      <c r="AH635" s="53" t="s">
        <v>1271</v>
      </c>
      <c r="AI635" s="79"/>
      <c r="AJ635" s="80"/>
      <c r="AK635" s="81"/>
      <c r="AL635" s="80"/>
      <c r="AM635" s="80"/>
      <c r="AN635" s="80"/>
      <c r="AO635" s="80"/>
      <c r="AP635" s="80"/>
      <c r="AQ635" s="80"/>
      <c r="AR635" s="80"/>
      <c r="AS635" s="80"/>
      <c r="AT635" s="80"/>
      <c r="AU635" s="80"/>
      <c r="AV635" s="80"/>
      <c r="AW635" s="80"/>
      <c r="AX635" s="80"/>
      <c r="AY635" s="80"/>
      <c r="AZ635" s="80"/>
      <c r="BA635" s="80"/>
      <c r="BB635" s="80"/>
      <c r="BC635" s="80"/>
      <c r="BD635" s="80"/>
      <c r="BE635" s="80"/>
      <c r="BF635" s="80"/>
      <c r="BG635" s="80"/>
      <c r="BH635" s="80"/>
      <c r="BI635" s="80"/>
      <c r="BJ635" s="80"/>
      <c r="BK635" s="80"/>
      <c r="BL635" s="80"/>
      <c r="BM635" s="80"/>
      <c r="BN635" s="80"/>
      <c r="BO635" s="80"/>
      <c r="BP635" s="80"/>
      <c r="BQ635" s="80"/>
      <c r="BR635" s="80"/>
      <c r="BS635" s="80"/>
      <c r="BT635" s="80"/>
      <c r="BU635" s="80"/>
      <c r="BV635" s="80"/>
      <c r="BW635" s="80"/>
      <c r="BX635" s="80"/>
      <c r="BY635" s="80"/>
      <c r="BZ635" s="80"/>
      <c r="CA635" s="80"/>
      <c r="CB635" s="80"/>
      <c r="CC635" s="80"/>
      <c r="CD635" s="80"/>
      <c r="CE635" s="80"/>
      <c r="CF635" s="80"/>
      <c r="CG635" s="80"/>
      <c r="CH635" s="80"/>
      <c r="CI635" s="80"/>
      <c r="CJ635" s="80"/>
      <c r="CK635" s="82"/>
      <c r="CL635" s="12"/>
      <c r="CM635" s="82"/>
      <c r="CN635" s="12"/>
      <c r="CO635" s="82"/>
      <c r="CP635" s="12"/>
      <c r="CQ635" s="83">
        <f t="shared" si="73"/>
        <v>0</v>
      </c>
      <c r="CR635" s="84"/>
      <c r="CS635" s="13"/>
      <c r="CT635" s="85"/>
      <c r="CU635" s="86"/>
      <c r="CV635" s="11"/>
      <c r="CW635" s="86"/>
      <c r="CX635" s="84"/>
      <c r="CY635" s="86"/>
    </row>
    <row r="636" spans="1:104" ht="25.5" x14ac:dyDescent="0.2">
      <c r="A636" s="43">
        <v>39980</v>
      </c>
      <c r="B636" s="44" t="s">
        <v>904</v>
      </c>
      <c r="C636" s="44" t="s">
        <v>390</v>
      </c>
      <c r="D636" s="45" t="s">
        <v>1117</v>
      </c>
      <c r="E636" s="11"/>
      <c r="F636" s="12"/>
      <c r="G636" s="12"/>
      <c r="H636" s="12">
        <v>185</v>
      </c>
      <c r="I636" s="12">
        <v>37</v>
      </c>
      <c r="J636" s="12">
        <v>6</v>
      </c>
      <c r="K636" s="12">
        <v>31</v>
      </c>
      <c r="L636" s="12"/>
      <c r="M636" s="12"/>
      <c r="N636" s="12"/>
      <c r="O636" s="12"/>
      <c r="P636" s="12"/>
      <c r="Q636" s="12"/>
      <c r="R636" s="12"/>
      <c r="S636" s="12"/>
      <c r="T636" s="13"/>
      <c r="U636" s="46"/>
      <c r="V636" s="47"/>
      <c r="W636" s="48">
        <f t="shared" si="68"/>
        <v>0</v>
      </c>
      <c r="X636" s="48">
        <f t="shared" si="69"/>
        <v>0</v>
      </c>
      <c r="Y636" s="48">
        <f t="shared" si="70"/>
        <v>0</v>
      </c>
      <c r="Z636" s="48">
        <f t="shared" si="71"/>
        <v>0</v>
      </c>
      <c r="AA636" s="48"/>
      <c r="AB636" s="48"/>
      <c r="AC636" s="49">
        <f t="shared" si="72"/>
        <v>0</v>
      </c>
      <c r="AD636" s="50">
        <v>0</v>
      </c>
      <c r="AE636" s="47">
        <v>39987</v>
      </c>
      <c r="AF636" s="51" t="s">
        <v>516</v>
      </c>
      <c r="AG636" s="52" t="s">
        <v>517</v>
      </c>
      <c r="AH636" s="53" t="s">
        <v>1412</v>
      </c>
      <c r="AI636" s="79"/>
      <c r="AJ636" s="80"/>
      <c r="AK636" s="81"/>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80"/>
      <c r="BM636" s="80"/>
      <c r="BN636" s="80"/>
      <c r="BO636" s="80"/>
      <c r="BP636" s="80"/>
      <c r="BQ636" s="80"/>
      <c r="BR636" s="80"/>
      <c r="BS636" s="80"/>
      <c r="BT636" s="80"/>
      <c r="BU636" s="80"/>
      <c r="BV636" s="80"/>
      <c r="BW636" s="80"/>
      <c r="BX636" s="80"/>
      <c r="BY636" s="80"/>
      <c r="BZ636" s="80"/>
      <c r="CA636" s="80"/>
      <c r="CB636" s="80"/>
      <c r="CC636" s="80"/>
      <c r="CD636" s="80"/>
      <c r="CE636" s="80"/>
      <c r="CF636" s="80"/>
      <c r="CG636" s="80"/>
      <c r="CH636" s="80"/>
      <c r="CI636" s="80"/>
      <c r="CJ636" s="80"/>
      <c r="CK636" s="82"/>
      <c r="CL636" s="12"/>
      <c r="CM636" s="82"/>
      <c r="CN636" s="12"/>
      <c r="CO636" s="82"/>
      <c r="CP636" s="12"/>
      <c r="CQ636" s="83">
        <f t="shared" si="73"/>
        <v>0</v>
      </c>
      <c r="CR636" s="84"/>
      <c r="CS636" s="13"/>
      <c r="CT636" s="85"/>
      <c r="CU636" s="86"/>
      <c r="CV636" s="11"/>
      <c r="CW636" s="86"/>
      <c r="CX636" s="84"/>
      <c r="CY636" s="86"/>
    </row>
    <row r="637" spans="1:104" ht="51" x14ac:dyDescent="0.2">
      <c r="A637" s="43">
        <v>39980</v>
      </c>
      <c r="B637" s="44" t="s">
        <v>1224</v>
      </c>
      <c r="C637" s="44" t="s">
        <v>902</v>
      </c>
      <c r="D637" s="45" t="s">
        <v>1117</v>
      </c>
      <c r="E637" s="11"/>
      <c r="F637" s="12"/>
      <c r="G637" s="12"/>
      <c r="H637" s="12">
        <f>200*5</f>
        <v>1000</v>
      </c>
      <c r="I637" s="12">
        <v>200</v>
      </c>
      <c r="J637" s="12"/>
      <c r="K637" s="12">
        <v>200</v>
      </c>
      <c r="L637" s="12"/>
      <c r="M637" s="12"/>
      <c r="N637" s="12"/>
      <c r="O637" s="12"/>
      <c r="P637" s="12"/>
      <c r="Q637" s="12"/>
      <c r="R637" s="12"/>
      <c r="S637" s="12"/>
      <c r="T637" s="13"/>
      <c r="U637" s="46"/>
      <c r="V637" s="47">
        <v>40009</v>
      </c>
      <c r="W637" s="48">
        <f t="shared" si="68"/>
        <v>10556000</v>
      </c>
      <c r="X637" s="48">
        <f t="shared" si="69"/>
        <v>0</v>
      </c>
      <c r="Y637" s="48">
        <f t="shared" si="70"/>
        <v>17615000</v>
      </c>
      <c r="Z637" s="48">
        <f t="shared" si="71"/>
        <v>0</v>
      </c>
      <c r="AA637" s="48"/>
      <c r="AB637" s="48"/>
      <c r="AC637" s="49">
        <f t="shared" si="72"/>
        <v>28171000</v>
      </c>
      <c r="AD637" s="50">
        <v>0</v>
      </c>
      <c r="AE637" s="47">
        <v>39981</v>
      </c>
      <c r="AF637" s="51" t="s">
        <v>1016</v>
      </c>
      <c r="AG637" s="52" t="s">
        <v>565</v>
      </c>
      <c r="AH637" s="53" t="s">
        <v>1430</v>
      </c>
      <c r="AI637" s="79"/>
      <c r="AJ637" s="80"/>
      <c r="AK637" s="81"/>
      <c r="AL637" s="80"/>
      <c r="AM637" s="80"/>
      <c r="AN637" s="80"/>
      <c r="AO637" s="80"/>
      <c r="AP637" s="80"/>
      <c r="AQ637" s="80">
        <v>126</v>
      </c>
      <c r="AR637" s="80">
        <f>126*18000</f>
        <v>2268000</v>
      </c>
      <c r="AS637" s="80"/>
      <c r="AT637" s="80"/>
      <c r="AU637" s="80">
        <v>148</v>
      </c>
      <c r="AV637" s="80">
        <f>148*56000</f>
        <v>8288000</v>
      </c>
      <c r="AW637" s="80"/>
      <c r="AX637" s="80"/>
      <c r="AY637" s="80"/>
      <c r="AZ637" s="80"/>
      <c r="BA637" s="80"/>
      <c r="BB637" s="80"/>
      <c r="BC637" s="80"/>
      <c r="BD637" s="80"/>
      <c r="BE637" s="80"/>
      <c r="BF637" s="80"/>
      <c r="BG637" s="80"/>
      <c r="BH637" s="80"/>
      <c r="BI637" s="80"/>
      <c r="BJ637" s="80"/>
      <c r="BK637" s="80"/>
      <c r="BL637" s="80"/>
      <c r="BM637" s="80"/>
      <c r="BN637" s="80"/>
      <c r="BO637" s="80"/>
      <c r="BP637" s="80"/>
      <c r="BQ637" s="80"/>
      <c r="BR637" s="80"/>
      <c r="BS637" s="80"/>
      <c r="BT637" s="80"/>
      <c r="BU637" s="80"/>
      <c r="BV637" s="80"/>
      <c r="BW637" s="80"/>
      <c r="BX637" s="80"/>
      <c r="BY637" s="80"/>
      <c r="BZ637" s="80"/>
      <c r="CA637" s="80"/>
      <c r="CB637" s="80"/>
      <c r="CC637" s="80"/>
      <c r="CD637" s="80"/>
      <c r="CE637" s="80"/>
      <c r="CF637" s="80"/>
      <c r="CG637" s="80"/>
      <c r="CH637" s="80"/>
      <c r="CI637" s="80"/>
      <c r="CJ637" s="80"/>
      <c r="CK637" s="82"/>
      <c r="CL637" s="12"/>
      <c r="CM637" s="82"/>
      <c r="CN637" s="12"/>
      <c r="CO637" s="82"/>
      <c r="CP637" s="12"/>
      <c r="CQ637" s="83">
        <f t="shared" si="73"/>
        <v>10556000</v>
      </c>
      <c r="CR637" s="84"/>
      <c r="CS637" s="13"/>
      <c r="CT637" s="85"/>
      <c r="CU637" s="86"/>
      <c r="CV637" s="11"/>
      <c r="CW637" s="86"/>
      <c r="CX637" s="84">
        <f>284+217+68</f>
        <v>569</v>
      </c>
      <c r="CY637" s="86">
        <f>284*21000+314*30500+68*30500</f>
        <v>17615000</v>
      </c>
      <c r="CZ637" s="9" t="s">
        <v>409</v>
      </c>
    </row>
    <row r="638" spans="1:104" ht="25.5" x14ac:dyDescent="0.2">
      <c r="A638" s="43">
        <v>39980</v>
      </c>
      <c r="B638" s="44" t="s">
        <v>632</v>
      </c>
      <c r="C638" s="44" t="s">
        <v>1182</v>
      </c>
      <c r="D638" s="45" t="s">
        <v>1117</v>
      </c>
      <c r="E638" s="11"/>
      <c r="F638" s="12"/>
      <c r="G638" s="12"/>
      <c r="H638" s="12">
        <v>36</v>
      </c>
      <c r="I638" s="12">
        <v>4</v>
      </c>
      <c r="J638" s="12"/>
      <c r="K638" s="12">
        <v>4</v>
      </c>
      <c r="L638" s="12"/>
      <c r="M638" s="12"/>
      <c r="N638" s="12"/>
      <c r="O638" s="12"/>
      <c r="P638" s="12"/>
      <c r="Q638" s="12"/>
      <c r="R638" s="12"/>
      <c r="S638" s="12"/>
      <c r="T638" s="13"/>
      <c r="U638" s="46"/>
      <c r="V638" s="47"/>
      <c r="W638" s="48">
        <f t="shared" si="68"/>
        <v>0</v>
      </c>
      <c r="X638" s="48">
        <f t="shared" si="69"/>
        <v>0</v>
      </c>
      <c r="Y638" s="48">
        <f t="shared" si="70"/>
        <v>0</v>
      </c>
      <c r="Z638" s="48">
        <f t="shared" si="71"/>
        <v>0</v>
      </c>
      <c r="AA638" s="48"/>
      <c r="AB638" s="48"/>
      <c r="AC638" s="49">
        <f t="shared" si="72"/>
        <v>0</v>
      </c>
      <c r="AD638" s="50">
        <v>0</v>
      </c>
      <c r="AE638" s="47">
        <v>39987</v>
      </c>
      <c r="AF638" s="51" t="s">
        <v>516</v>
      </c>
      <c r="AG638" s="52" t="s">
        <v>517</v>
      </c>
      <c r="AH638" s="53" t="s">
        <v>1464</v>
      </c>
      <c r="AI638" s="79"/>
      <c r="AJ638" s="80"/>
      <c r="AK638" s="81"/>
      <c r="AL638" s="80"/>
      <c r="AM638" s="80"/>
      <c r="AN638" s="80"/>
      <c r="AO638" s="80"/>
      <c r="AP638" s="80"/>
      <c r="AQ638" s="80"/>
      <c r="AR638" s="80"/>
      <c r="AS638" s="80"/>
      <c r="AT638" s="80"/>
      <c r="AU638" s="80"/>
      <c r="AV638" s="80"/>
      <c r="AW638" s="80"/>
      <c r="AX638" s="80"/>
      <c r="AY638" s="80"/>
      <c r="AZ638" s="80"/>
      <c r="BA638" s="80"/>
      <c r="BB638" s="80"/>
      <c r="BC638" s="80"/>
      <c r="BD638" s="80"/>
      <c r="BE638" s="80"/>
      <c r="BF638" s="80"/>
      <c r="BG638" s="80"/>
      <c r="BH638" s="80"/>
      <c r="BI638" s="80"/>
      <c r="BJ638" s="80"/>
      <c r="BK638" s="80"/>
      <c r="BL638" s="80"/>
      <c r="BM638" s="80"/>
      <c r="BN638" s="80"/>
      <c r="BO638" s="80"/>
      <c r="BP638" s="80"/>
      <c r="BQ638" s="80"/>
      <c r="BR638" s="80"/>
      <c r="BS638" s="80"/>
      <c r="BT638" s="80"/>
      <c r="BU638" s="80"/>
      <c r="BV638" s="80"/>
      <c r="BW638" s="80"/>
      <c r="BX638" s="80"/>
      <c r="BY638" s="80"/>
      <c r="BZ638" s="80"/>
      <c r="CA638" s="80"/>
      <c r="CB638" s="80"/>
      <c r="CC638" s="80"/>
      <c r="CD638" s="80"/>
      <c r="CE638" s="80"/>
      <c r="CF638" s="80"/>
      <c r="CG638" s="80"/>
      <c r="CH638" s="80"/>
      <c r="CI638" s="80"/>
      <c r="CJ638" s="80"/>
      <c r="CK638" s="82"/>
      <c r="CL638" s="12"/>
      <c r="CM638" s="82"/>
      <c r="CN638" s="12"/>
      <c r="CO638" s="82"/>
      <c r="CP638" s="12"/>
      <c r="CQ638" s="83">
        <f t="shared" si="73"/>
        <v>0</v>
      </c>
      <c r="CR638" s="84"/>
      <c r="CS638" s="13"/>
      <c r="CT638" s="85"/>
      <c r="CU638" s="86"/>
      <c r="CV638" s="11"/>
      <c r="CW638" s="86"/>
      <c r="CX638" s="84"/>
      <c r="CY638" s="86"/>
    </row>
    <row r="639" spans="1:104" ht="25.5" x14ac:dyDescent="0.2">
      <c r="A639" s="43">
        <v>39981</v>
      </c>
      <c r="B639" s="44" t="s">
        <v>688</v>
      </c>
      <c r="C639" s="44" t="s">
        <v>815</v>
      </c>
      <c r="D639" s="45" t="s">
        <v>1118</v>
      </c>
      <c r="E639" s="11"/>
      <c r="F639" s="12"/>
      <c r="G639" s="12"/>
      <c r="H639" s="12">
        <v>275</v>
      </c>
      <c r="I639" s="12">
        <v>55</v>
      </c>
      <c r="J639" s="12"/>
      <c r="K639" s="12">
        <v>55</v>
      </c>
      <c r="L639" s="12"/>
      <c r="M639" s="12"/>
      <c r="N639" s="12"/>
      <c r="O639" s="12"/>
      <c r="P639" s="12"/>
      <c r="Q639" s="12"/>
      <c r="R639" s="12"/>
      <c r="S639" s="12"/>
      <c r="T639" s="13"/>
      <c r="U639" s="46"/>
      <c r="V639" s="47"/>
      <c r="W639" s="48">
        <f t="shared" si="68"/>
        <v>0</v>
      </c>
      <c r="X639" s="48">
        <f t="shared" si="69"/>
        <v>0</v>
      </c>
      <c r="Y639" s="48">
        <f t="shared" si="70"/>
        <v>0</v>
      </c>
      <c r="Z639" s="48">
        <f t="shared" si="71"/>
        <v>0</v>
      </c>
      <c r="AA639" s="48"/>
      <c r="AB639" s="48"/>
      <c r="AC639" s="49">
        <f t="shared" si="72"/>
        <v>0</v>
      </c>
      <c r="AD639" s="50">
        <v>0</v>
      </c>
      <c r="AE639" s="47">
        <v>39987</v>
      </c>
      <c r="AF639" s="51" t="s">
        <v>516</v>
      </c>
      <c r="AG639" s="52" t="s">
        <v>517</v>
      </c>
      <c r="AH639" s="53" t="s">
        <v>799</v>
      </c>
      <c r="AI639" s="79"/>
      <c r="AJ639" s="80"/>
      <c r="AK639" s="81"/>
      <c r="AL639" s="80"/>
      <c r="AM639" s="80"/>
      <c r="AN639" s="80"/>
      <c r="AO639" s="80"/>
      <c r="AP639" s="80"/>
      <c r="AQ639" s="80"/>
      <c r="AR639" s="80"/>
      <c r="AS639" s="80"/>
      <c r="AT639" s="80"/>
      <c r="AU639" s="80"/>
      <c r="AV639" s="80"/>
      <c r="AW639" s="80"/>
      <c r="AX639" s="80"/>
      <c r="AY639" s="80"/>
      <c r="AZ639" s="80"/>
      <c r="BA639" s="80"/>
      <c r="BB639" s="80"/>
      <c r="BC639" s="80"/>
      <c r="BD639" s="80"/>
      <c r="BE639" s="80"/>
      <c r="BF639" s="80"/>
      <c r="BG639" s="80"/>
      <c r="BH639" s="80"/>
      <c r="BI639" s="80"/>
      <c r="BJ639" s="80"/>
      <c r="BK639" s="80"/>
      <c r="BL639" s="80"/>
      <c r="BM639" s="80"/>
      <c r="BN639" s="80"/>
      <c r="BO639" s="80"/>
      <c r="BP639" s="80"/>
      <c r="BQ639" s="80"/>
      <c r="BR639" s="80"/>
      <c r="BS639" s="80"/>
      <c r="BT639" s="80"/>
      <c r="BU639" s="80"/>
      <c r="BV639" s="80"/>
      <c r="BW639" s="80"/>
      <c r="BX639" s="80"/>
      <c r="BY639" s="80"/>
      <c r="BZ639" s="80"/>
      <c r="CA639" s="80"/>
      <c r="CB639" s="80"/>
      <c r="CC639" s="80"/>
      <c r="CD639" s="80"/>
      <c r="CE639" s="80"/>
      <c r="CF639" s="80"/>
      <c r="CG639" s="80"/>
      <c r="CH639" s="80"/>
      <c r="CI639" s="80"/>
      <c r="CJ639" s="80"/>
      <c r="CK639" s="82"/>
      <c r="CL639" s="12"/>
      <c r="CM639" s="82"/>
      <c r="CN639" s="12"/>
      <c r="CO639" s="82"/>
      <c r="CP639" s="12"/>
      <c r="CQ639" s="83">
        <f t="shared" si="73"/>
        <v>0</v>
      </c>
      <c r="CR639" s="84"/>
      <c r="CS639" s="13"/>
      <c r="CT639" s="85"/>
      <c r="CU639" s="86"/>
      <c r="CV639" s="11"/>
      <c r="CW639" s="86"/>
      <c r="CX639" s="84"/>
      <c r="CY639" s="86"/>
    </row>
    <row r="640" spans="1:104" ht="127.5" x14ac:dyDescent="0.2">
      <c r="A640" s="43">
        <v>39981</v>
      </c>
      <c r="B640" s="57" t="s">
        <v>1097</v>
      </c>
      <c r="C640" s="44" t="s">
        <v>901</v>
      </c>
      <c r="D640" s="45" t="s">
        <v>1118</v>
      </c>
      <c r="E640" s="11"/>
      <c r="F640" s="12"/>
      <c r="G640" s="12"/>
      <c r="H640" s="12">
        <v>35</v>
      </c>
      <c r="I640" s="12">
        <v>7</v>
      </c>
      <c r="J640" s="12"/>
      <c r="K640" s="12">
        <v>7</v>
      </c>
      <c r="L640" s="12">
        <v>3</v>
      </c>
      <c r="M640" s="12">
        <v>1</v>
      </c>
      <c r="N640" s="12">
        <v>2</v>
      </c>
      <c r="O640" s="12"/>
      <c r="P640" s="12"/>
      <c r="Q640" s="12"/>
      <c r="R640" s="12"/>
      <c r="S640" s="12"/>
      <c r="T640" s="13"/>
      <c r="U640" s="46"/>
      <c r="V640" s="47">
        <v>40045</v>
      </c>
      <c r="W640" s="48">
        <f t="shared" si="68"/>
        <v>0</v>
      </c>
      <c r="X640" s="48">
        <f t="shared" si="69"/>
        <v>0</v>
      </c>
      <c r="Y640" s="48">
        <f t="shared" si="70"/>
        <v>0</v>
      </c>
      <c r="Z640" s="48">
        <f t="shared" si="71"/>
        <v>0</v>
      </c>
      <c r="AA640" s="48"/>
      <c r="AB640" s="48">
        <v>11506000</v>
      </c>
      <c r="AC640" s="49">
        <f t="shared" si="72"/>
        <v>11506000</v>
      </c>
      <c r="AD640" s="50">
        <v>0</v>
      </c>
      <c r="AE640" s="47">
        <v>39987</v>
      </c>
      <c r="AF640" s="51" t="s">
        <v>1016</v>
      </c>
      <c r="AG640" s="52" t="s">
        <v>565</v>
      </c>
      <c r="AH640" s="53" t="s">
        <v>20</v>
      </c>
      <c r="AI640" s="79"/>
      <c r="AJ640" s="80"/>
      <c r="AK640" s="81"/>
      <c r="AL640" s="80"/>
      <c r="AM640" s="80"/>
      <c r="AN640" s="80"/>
      <c r="AO640" s="80"/>
      <c r="AP640" s="80"/>
      <c r="AQ640" s="80"/>
      <c r="AR640" s="80"/>
      <c r="AS640" s="80"/>
      <c r="AT640" s="80"/>
      <c r="AU640" s="80"/>
      <c r="AV640" s="80"/>
      <c r="AW640" s="80"/>
      <c r="AX640" s="80"/>
      <c r="AY640" s="80"/>
      <c r="AZ640" s="80"/>
      <c r="BA640" s="80"/>
      <c r="BB640" s="80"/>
      <c r="BC640" s="80"/>
      <c r="BD640" s="80"/>
      <c r="BE640" s="80"/>
      <c r="BF640" s="80"/>
      <c r="BG640" s="80"/>
      <c r="BH640" s="80"/>
      <c r="BI640" s="80"/>
      <c r="BJ640" s="80"/>
      <c r="BK640" s="80"/>
      <c r="BL640" s="80"/>
      <c r="BM640" s="80"/>
      <c r="BN640" s="80"/>
      <c r="BO640" s="80"/>
      <c r="BP640" s="80"/>
      <c r="BQ640" s="80"/>
      <c r="BR640" s="80"/>
      <c r="BS640" s="80"/>
      <c r="BT640" s="80"/>
      <c r="BU640" s="80"/>
      <c r="BV640" s="80"/>
      <c r="BW640" s="80"/>
      <c r="BX640" s="80"/>
      <c r="BY640" s="80"/>
      <c r="BZ640" s="80"/>
      <c r="CA640" s="80"/>
      <c r="CB640" s="80"/>
      <c r="CC640" s="80"/>
      <c r="CD640" s="80"/>
      <c r="CE640" s="80"/>
      <c r="CF640" s="80"/>
      <c r="CG640" s="80"/>
      <c r="CH640" s="80"/>
      <c r="CI640" s="80"/>
      <c r="CJ640" s="80"/>
      <c r="CK640" s="82"/>
      <c r="CL640" s="12"/>
      <c r="CM640" s="82"/>
      <c r="CN640" s="12"/>
      <c r="CO640" s="82"/>
      <c r="CP640" s="12"/>
      <c r="CQ640" s="83">
        <f t="shared" si="73"/>
        <v>0</v>
      </c>
      <c r="CR640" s="84"/>
      <c r="CS640" s="13"/>
      <c r="CT640" s="85"/>
      <c r="CU640" s="86"/>
      <c r="CV640" s="11"/>
      <c r="CW640" s="86"/>
      <c r="CX640" s="84"/>
      <c r="CY640" s="86"/>
    </row>
    <row r="641" spans="1:103" ht="38.25" x14ac:dyDescent="0.2">
      <c r="A641" s="43">
        <v>39981</v>
      </c>
      <c r="B641" s="44" t="s">
        <v>781</v>
      </c>
      <c r="C641" s="44" t="s">
        <v>977</v>
      </c>
      <c r="D641" s="45" t="s">
        <v>1118</v>
      </c>
      <c r="E641" s="11"/>
      <c r="F641" s="12"/>
      <c r="G641" s="12"/>
      <c r="H641" s="12">
        <v>750</v>
      </c>
      <c r="I641" s="12">
        <v>150</v>
      </c>
      <c r="J641" s="12"/>
      <c r="K641" s="12">
        <v>150</v>
      </c>
      <c r="L641" s="12"/>
      <c r="M641" s="12"/>
      <c r="N641" s="12"/>
      <c r="O641" s="12"/>
      <c r="P641" s="12"/>
      <c r="Q641" s="12"/>
      <c r="R641" s="12"/>
      <c r="S641" s="12"/>
      <c r="T641" s="13"/>
      <c r="U641" s="46"/>
      <c r="V641" s="47"/>
      <c r="W641" s="48">
        <f t="shared" si="68"/>
        <v>0</v>
      </c>
      <c r="X641" s="48">
        <f t="shared" si="69"/>
        <v>0</v>
      </c>
      <c r="Y641" s="48">
        <f t="shared" si="70"/>
        <v>0</v>
      </c>
      <c r="Z641" s="48">
        <f t="shared" si="71"/>
        <v>0</v>
      </c>
      <c r="AA641" s="48"/>
      <c r="AB641" s="48"/>
      <c r="AC641" s="49">
        <f t="shared" si="72"/>
        <v>0</v>
      </c>
      <c r="AD641" s="50">
        <v>0</v>
      </c>
      <c r="AE641" s="47">
        <v>39981</v>
      </c>
      <c r="AF641" s="51" t="s">
        <v>516</v>
      </c>
      <c r="AG641" s="52" t="s">
        <v>517</v>
      </c>
      <c r="AH641" s="53" t="s">
        <v>1036</v>
      </c>
      <c r="AI641" s="79"/>
      <c r="AJ641" s="80"/>
      <c r="AK641" s="81"/>
      <c r="AL641" s="80"/>
      <c r="AM641" s="80"/>
      <c r="AN641" s="80"/>
      <c r="AO641" s="80"/>
      <c r="AP641" s="80"/>
      <c r="AQ641" s="80"/>
      <c r="AR641" s="80"/>
      <c r="AS641" s="80"/>
      <c r="AT641" s="80"/>
      <c r="AU641" s="80"/>
      <c r="AV641" s="80"/>
      <c r="AW641" s="80"/>
      <c r="AX641" s="80"/>
      <c r="AY641" s="80"/>
      <c r="AZ641" s="80"/>
      <c r="BA641" s="80"/>
      <c r="BB641" s="80"/>
      <c r="BC641" s="80"/>
      <c r="BD641" s="80"/>
      <c r="BE641" s="80"/>
      <c r="BF641" s="80"/>
      <c r="BG641" s="80"/>
      <c r="BH641" s="80"/>
      <c r="BI641" s="80"/>
      <c r="BJ641" s="80"/>
      <c r="BK641" s="80"/>
      <c r="BL641" s="80"/>
      <c r="BM641" s="80"/>
      <c r="BN641" s="80"/>
      <c r="BO641" s="80"/>
      <c r="BP641" s="80"/>
      <c r="BQ641" s="80"/>
      <c r="BR641" s="80"/>
      <c r="BS641" s="80"/>
      <c r="BT641" s="80"/>
      <c r="BU641" s="80"/>
      <c r="BV641" s="80"/>
      <c r="BW641" s="80"/>
      <c r="BX641" s="80"/>
      <c r="BY641" s="80"/>
      <c r="BZ641" s="80"/>
      <c r="CA641" s="80"/>
      <c r="CB641" s="80"/>
      <c r="CC641" s="80"/>
      <c r="CD641" s="80"/>
      <c r="CE641" s="80"/>
      <c r="CF641" s="80"/>
      <c r="CG641" s="80"/>
      <c r="CH641" s="80"/>
      <c r="CI641" s="80"/>
      <c r="CJ641" s="80"/>
      <c r="CK641" s="82"/>
      <c r="CL641" s="12"/>
      <c r="CM641" s="82"/>
      <c r="CN641" s="12"/>
      <c r="CO641" s="82"/>
      <c r="CP641" s="12"/>
      <c r="CQ641" s="83">
        <f t="shared" si="73"/>
        <v>0</v>
      </c>
      <c r="CR641" s="84"/>
      <c r="CS641" s="13"/>
      <c r="CT641" s="85"/>
      <c r="CU641" s="86"/>
      <c r="CV641" s="11"/>
      <c r="CW641" s="86"/>
      <c r="CX641" s="84"/>
      <c r="CY641" s="86"/>
    </row>
    <row r="642" spans="1:103" ht="25.5" x14ac:dyDescent="0.2">
      <c r="A642" s="43">
        <v>39981</v>
      </c>
      <c r="B642" s="44" t="s">
        <v>413</v>
      </c>
      <c r="C642" s="44" t="s">
        <v>1254</v>
      </c>
      <c r="D642" s="45" t="s">
        <v>1118</v>
      </c>
      <c r="E642" s="11"/>
      <c r="F642" s="12"/>
      <c r="G642" s="12"/>
      <c r="H642" s="12">
        <v>150</v>
      </c>
      <c r="I642" s="12">
        <v>30</v>
      </c>
      <c r="J642" s="12"/>
      <c r="K642" s="12">
        <v>30</v>
      </c>
      <c r="L642" s="12"/>
      <c r="M642" s="12"/>
      <c r="N642" s="12"/>
      <c r="O642" s="12"/>
      <c r="P642" s="12"/>
      <c r="Q642" s="12"/>
      <c r="R642" s="12"/>
      <c r="S642" s="12"/>
      <c r="T642" s="13"/>
      <c r="U642" s="46"/>
      <c r="V642" s="47"/>
      <c r="W642" s="48">
        <f t="shared" si="68"/>
        <v>0</v>
      </c>
      <c r="X642" s="48">
        <f t="shared" si="69"/>
        <v>0</v>
      </c>
      <c r="Y642" s="48">
        <f t="shared" si="70"/>
        <v>0</v>
      </c>
      <c r="Z642" s="48">
        <f t="shared" si="71"/>
        <v>0</v>
      </c>
      <c r="AA642" s="48"/>
      <c r="AB642" s="48"/>
      <c r="AC642" s="49">
        <f t="shared" si="72"/>
        <v>0</v>
      </c>
      <c r="AD642" s="50">
        <v>0</v>
      </c>
      <c r="AE642" s="47">
        <v>39981</v>
      </c>
      <c r="AF642" s="51" t="s">
        <v>1016</v>
      </c>
      <c r="AG642" s="52" t="s">
        <v>565</v>
      </c>
      <c r="AH642" s="53" t="s">
        <v>384</v>
      </c>
      <c r="AI642" s="79"/>
      <c r="AJ642" s="80"/>
      <c r="AK642" s="81"/>
      <c r="AL642" s="80"/>
      <c r="AM642" s="80"/>
      <c r="AN642" s="80"/>
      <c r="AO642" s="80"/>
      <c r="AP642" s="80"/>
      <c r="AQ642" s="80"/>
      <c r="AR642" s="80"/>
      <c r="AS642" s="80"/>
      <c r="AT642" s="80"/>
      <c r="AU642" s="80"/>
      <c r="AV642" s="80"/>
      <c r="AW642" s="80"/>
      <c r="AX642" s="80"/>
      <c r="AY642" s="80"/>
      <c r="AZ642" s="80"/>
      <c r="BA642" s="80"/>
      <c r="BB642" s="80"/>
      <c r="BC642" s="80"/>
      <c r="BD642" s="80"/>
      <c r="BE642" s="80"/>
      <c r="BF642" s="80"/>
      <c r="BG642" s="80"/>
      <c r="BH642" s="80"/>
      <c r="BI642" s="80"/>
      <c r="BJ642" s="80"/>
      <c r="BK642" s="80"/>
      <c r="BL642" s="80"/>
      <c r="BM642" s="80"/>
      <c r="BN642" s="80"/>
      <c r="BO642" s="80"/>
      <c r="BP642" s="80"/>
      <c r="BQ642" s="80"/>
      <c r="BR642" s="80"/>
      <c r="BS642" s="80"/>
      <c r="BT642" s="80"/>
      <c r="BU642" s="80"/>
      <c r="BV642" s="80"/>
      <c r="BW642" s="80"/>
      <c r="BX642" s="80"/>
      <c r="BY642" s="80"/>
      <c r="BZ642" s="80"/>
      <c r="CA642" s="80"/>
      <c r="CB642" s="80"/>
      <c r="CC642" s="80"/>
      <c r="CD642" s="80"/>
      <c r="CE642" s="80"/>
      <c r="CF642" s="80"/>
      <c r="CG642" s="80"/>
      <c r="CH642" s="80"/>
      <c r="CI642" s="80"/>
      <c r="CJ642" s="80"/>
      <c r="CK642" s="82"/>
      <c r="CL642" s="12"/>
      <c r="CM642" s="82"/>
      <c r="CN642" s="12"/>
      <c r="CO642" s="82"/>
      <c r="CP642" s="12"/>
      <c r="CQ642" s="83">
        <f t="shared" si="73"/>
        <v>0</v>
      </c>
      <c r="CR642" s="84"/>
      <c r="CS642" s="13"/>
      <c r="CT642" s="85"/>
      <c r="CU642" s="86"/>
      <c r="CV642" s="11"/>
      <c r="CW642" s="86"/>
      <c r="CX642" s="84"/>
      <c r="CY642" s="86"/>
    </row>
    <row r="643" spans="1:103" ht="25.5" x14ac:dyDescent="0.2">
      <c r="A643" s="43">
        <v>39981</v>
      </c>
      <c r="B643" s="44" t="s">
        <v>413</v>
      </c>
      <c r="C643" s="44" t="s">
        <v>528</v>
      </c>
      <c r="D643" s="45" t="s">
        <v>1118</v>
      </c>
      <c r="E643" s="11"/>
      <c r="F643" s="12"/>
      <c r="G643" s="12"/>
      <c r="H643" s="12">
        <v>100</v>
      </c>
      <c r="I643" s="12">
        <v>20</v>
      </c>
      <c r="J643" s="12"/>
      <c r="K643" s="12">
        <v>20</v>
      </c>
      <c r="L643" s="12"/>
      <c r="M643" s="12"/>
      <c r="N643" s="12"/>
      <c r="O643" s="12"/>
      <c r="P643" s="12"/>
      <c r="Q643" s="12"/>
      <c r="R643" s="12"/>
      <c r="S643" s="12"/>
      <c r="T643" s="13"/>
      <c r="U643" s="46"/>
      <c r="V643" s="47"/>
      <c r="W643" s="48">
        <f t="shared" ref="W643:W706" si="74">CQ643</f>
        <v>0</v>
      </c>
      <c r="X643" s="48">
        <f t="shared" ref="X643:X706" si="75">CU643</f>
        <v>0</v>
      </c>
      <c r="Y643" s="48">
        <f t="shared" ref="Y643:Y706" si="76">CW643+CY643</f>
        <v>0</v>
      </c>
      <c r="Z643" s="48">
        <f t="shared" ref="Z643:Z706" si="77">CS643</f>
        <v>0</v>
      </c>
      <c r="AA643" s="48"/>
      <c r="AB643" s="48"/>
      <c r="AC643" s="49">
        <f t="shared" ref="AC643:AC706" si="78">W643+X643+Y643+Z643+AA643+AB643</f>
        <v>0</v>
      </c>
      <c r="AD643" s="50">
        <v>0</v>
      </c>
      <c r="AE643" s="47">
        <v>39981</v>
      </c>
      <c r="AF643" s="51" t="s">
        <v>1016</v>
      </c>
      <c r="AG643" s="52" t="s">
        <v>565</v>
      </c>
      <c r="AH643" s="53" t="s">
        <v>384</v>
      </c>
      <c r="AI643" s="79"/>
      <c r="AJ643" s="80"/>
      <c r="AK643" s="81"/>
      <c r="AL643" s="80"/>
      <c r="AM643" s="80"/>
      <c r="AN643" s="80"/>
      <c r="AO643" s="80"/>
      <c r="AP643" s="80"/>
      <c r="AQ643" s="80"/>
      <c r="AR643" s="80"/>
      <c r="AS643" s="80"/>
      <c r="AT643" s="80"/>
      <c r="AU643" s="80"/>
      <c r="AV643" s="80"/>
      <c r="AW643" s="80"/>
      <c r="AX643" s="80"/>
      <c r="AY643" s="80"/>
      <c r="AZ643" s="80"/>
      <c r="BA643" s="80"/>
      <c r="BB643" s="80"/>
      <c r="BC643" s="80"/>
      <c r="BD643" s="80"/>
      <c r="BE643" s="80"/>
      <c r="BF643" s="80"/>
      <c r="BG643" s="80"/>
      <c r="BH643" s="80"/>
      <c r="BI643" s="80"/>
      <c r="BJ643" s="80"/>
      <c r="BK643" s="80"/>
      <c r="BL643" s="80"/>
      <c r="BM643" s="80"/>
      <c r="BN643" s="80"/>
      <c r="BO643" s="80"/>
      <c r="BP643" s="80"/>
      <c r="BQ643" s="80"/>
      <c r="BR643" s="80"/>
      <c r="BS643" s="80"/>
      <c r="BT643" s="80"/>
      <c r="BU643" s="80"/>
      <c r="BV643" s="80"/>
      <c r="BW643" s="80"/>
      <c r="BX643" s="80"/>
      <c r="BY643" s="80"/>
      <c r="BZ643" s="80"/>
      <c r="CA643" s="80"/>
      <c r="CB643" s="80"/>
      <c r="CC643" s="80"/>
      <c r="CD643" s="80"/>
      <c r="CE643" s="80"/>
      <c r="CF643" s="80"/>
      <c r="CG643" s="80"/>
      <c r="CH643" s="80"/>
      <c r="CI643" s="80"/>
      <c r="CJ643" s="80"/>
      <c r="CK643" s="82"/>
      <c r="CL643" s="12"/>
      <c r="CM643" s="82"/>
      <c r="CN643" s="12"/>
      <c r="CO643" s="82"/>
      <c r="CP643" s="12"/>
      <c r="CQ643" s="83">
        <f t="shared" ref="CQ643:CQ674" si="79">AJ643+AL643+AN643+AP643+AR643+AT643+AV643+AX643+AZ643+BB643+BD643+BF643+BH643+BJ643+BL643+BN643+BP643+BR643+BT643+BV643+BX643+BZ643+CB643+CD643+CF643+CH643+CJ643+CL643+CN643+CP643</f>
        <v>0</v>
      </c>
      <c r="CR643" s="84"/>
      <c r="CS643" s="13"/>
      <c r="CT643" s="85"/>
      <c r="CU643" s="86"/>
      <c r="CV643" s="11"/>
      <c r="CW643" s="86"/>
      <c r="CX643" s="84"/>
      <c r="CY643" s="86"/>
    </row>
    <row r="644" spans="1:103" ht="25.5" x14ac:dyDescent="0.2">
      <c r="A644" s="43">
        <v>39981</v>
      </c>
      <c r="B644" s="44" t="s">
        <v>413</v>
      </c>
      <c r="C644" s="44" t="s">
        <v>391</v>
      </c>
      <c r="D644" s="45" t="s">
        <v>1118</v>
      </c>
      <c r="E644" s="11"/>
      <c r="F644" s="12"/>
      <c r="G644" s="12"/>
      <c r="H644" s="12">
        <v>500</v>
      </c>
      <c r="I644" s="12">
        <v>100</v>
      </c>
      <c r="J644" s="12"/>
      <c r="K644" s="12">
        <v>100</v>
      </c>
      <c r="L644" s="12"/>
      <c r="M644" s="12"/>
      <c r="N644" s="12"/>
      <c r="O644" s="12"/>
      <c r="P644" s="12"/>
      <c r="Q644" s="12"/>
      <c r="R644" s="12"/>
      <c r="S644" s="12"/>
      <c r="T644" s="13"/>
      <c r="U644" s="46"/>
      <c r="V644" s="47"/>
      <c r="W644" s="48">
        <f t="shared" si="74"/>
        <v>0</v>
      </c>
      <c r="X644" s="48">
        <f t="shared" si="75"/>
        <v>0</v>
      </c>
      <c r="Y644" s="48">
        <f t="shared" si="76"/>
        <v>0</v>
      </c>
      <c r="Z644" s="48">
        <f t="shared" si="77"/>
        <v>0</v>
      </c>
      <c r="AA644" s="48"/>
      <c r="AB644" s="48"/>
      <c r="AC644" s="49">
        <f t="shared" si="78"/>
        <v>0</v>
      </c>
      <c r="AD644" s="50">
        <v>0</v>
      </c>
      <c r="AE644" s="47">
        <v>39981</v>
      </c>
      <c r="AF644" s="51" t="s">
        <v>1016</v>
      </c>
      <c r="AG644" s="52" t="s">
        <v>565</v>
      </c>
      <c r="AH644" s="53" t="s">
        <v>384</v>
      </c>
      <c r="AI644" s="79"/>
      <c r="AJ644" s="80"/>
      <c r="AK644" s="81"/>
      <c r="AL644" s="80"/>
      <c r="AM644" s="80"/>
      <c r="AN644" s="80"/>
      <c r="AO644" s="80"/>
      <c r="AP644" s="80"/>
      <c r="AQ644" s="80"/>
      <c r="AR644" s="80"/>
      <c r="AS644" s="80"/>
      <c r="AT644" s="80"/>
      <c r="AU644" s="80"/>
      <c r="AV644" s="80"/>
      <c r="AW644" s="80"/>
      <c r="AX644" s="80"/>
      <c r="AY644" s="80"/>
      <c r="AZ644" s="80"/>
      <c r="BA644" s="80"/>
      <c r="BB644" s="80"/>
      <c r="BC644" s="80"/>
      <c r="BD644" s="80"/>
      <c r="BE644" s="80"/>
      <c r="BF644" s="80"/>
      <c r="BG644" s="80"/>
      <c r="BH644" s="80"/>
      <c r="BI644" s="80"/>
      <c r="BJ644" s="80"/>
      <c r="BK644" s="80"/>
      <c r="BL644" s="80"/>
      <c r="BM644" s="80"/>
      <c r="BN644" s="80"/>
      <c r="BO644" s="80"/>
      <c r="BP644" s="80"/>
      <c r="BQ644" s="80"/>
      <c r="BR644" s="80"/>
      <c r="BS644" s="80"/>
      <c r="BT644" s="80"/>
      <c r="BU644" s="80"/>
      <c r="BV644" s="80"/>
      <c r="BW644" s="80"/>
      <c r="BX644" s="80"/>
      <c r="BY644" s="80"/>
      <c r="BZ644" s="80"/>
      <c r="CA644" s="80"/>
      <c r="CB644" s="80"/>
      <c r="CC644" s="80"/>
      <c r="CD644" s="80"/>
      <c r="CE644" s="80"/>
      <c r="CF644" s="80"/>
      <c r="CG644" s="80"/>
      <c r="CH644" s="80"/>
      <c r="CI644" s="80"/>
      <c r="CJ644" s="80"/>
      <c r="CK644" s="82"/>
      <c r="CL644" s="12"/>
      <c r="CM644" s="82"/>
      <c r="CN644" s="12"/>
      <c r="CO644" s="82"/>
      <c r="CP644" s="12"/>
      <c r="CQ644" s="83">
        <f t="shared" si="79"/>
        <v>0</v>
      </c>
      <c r="CR644" s="84"/>
      <c r="CS644" s="13"/>
      <c r="CT644" s="85"/>
      <c r="CU644" s="86"/>
      <c r="CV644" s="11"/>
      <c r="CW644" s="86"/>
      <c r="CX644" s="84"/>
      <c r="CY644" s="86"/>
    </row>
    <row r="645" spans="1:103" ht="25.5" x14ac:dyDescent="0.2">
      <c r="A645" s="43">
        <v>39981</v>
      </c>
      <c r="B645" s="44" t="s">
        <v>413</v>
      </c>
      <c r="C645" s="44" t="s">
        <v>1247</v>
      </c>
      <c r="D645" s="45" t="s">
        <v>1118</v>
      </c>
      <c r="E645" s="11"/>
      <c r="F645" s="12"/>
      <c r="G645" s="12"/>
      <c r="H645" s="12">
        <v>150</v>
      </c>
      <c r="I645" s="12">
        <v>30</v>
      </c>
      <c r="J645" s="12"/>
      <c r="K645" s="12">
        <v>30</v>
      </c>
      <c r="L645" s="12"/>
      <c r="M645" s="12"/>
      <c r="N645" s="12"/>
      <c r="O645" s="12"/>
      <c r="P645" s="12"/>
      <c r="Q645" s="12"/>
      <c r="R645" s="12"/>
      <c r="S645" s="12"/>
      <c r="T645" s="13"/>
      <c r="U645" s="46"/>
      <c r="V645" s="47"/>
      <c r="W645" s="48">
        <f t="shared" si="74"/>
        <v>0</v>
      </c>
      <c r="X645" s="48">
        <f t="shared" si="75"/>
        <v>0</v>
      </c>
      <c r="Y645" s="48">
        <f t="shared" si="76"/>
        <v>0</v>
      </c>
      <c r="Z645" s="48">
        <f t="shared" si="77"/>
        <v>0</v>
      </c>
      <c r="AA645" s="48"/>
      <c r="AB645" s="48"/>
      <c r="AC645" s="49">
        <f t="shared" si="78"/>
        <v>0</v>
      </c>
      <c r="AD645" s="50">
        <v>0</v>
      </c>
      <c r="AE645" s="47">
        <v>39981</v>
      </c>
      <c r="AF645" s="51" t="s">
        <v>1016</v>
      </c>
      <c r="AG645" s="52" t="s">
        <v>565</v>
      </c>
      <c r="AH645" s="53" t="s">
        <v>384</v>
      </c>
      <c r="AI645" s="79"/>
      <c r="AJ645" s="80"/>
      <c r="AK645" s="81"/>
      <c r="AL645" s="80"/>
      <c r="AM645" s="80"/>
      <c r="AN645" s="80"/>
      <c r="AO645" s="80"/>
      <c r="AP645" s="80"/>
      <c r="AQ645" s="80"/>
      <c r="AR645" s="80"/>
      <c r="AS645" s="80"/>
      <c r="AT645" s="80"/>
      <c r="AU645" s="80"/>
      <c r="AV645" s="80"/>
      <c r="AW645" s="80"/>
      <c r="AX645" s="80"/>
      <c r="AY645" s="80"/>
      <c r="AZ645" s="80"/>
      <c r="BA645" s="80"/>
      <c r="BB645" s="80"/>
      <c r="BC645" s="80"/>
      <c r="BD645" s="80"/>
      <c r="BE645" s="80"/>
      <c r="BF645" s="80"/>
      <c r="BG645" s="80"/>
      <c r="BH645" s="80"/>
      <c r="BI645" s="80"/>
      <c r="BJ645" s="80"/>
      <c r="BK645" s="80"/>
      <c r="BL645" s="80"/>
      <c r="BM645" s="80"/>
      <c r="BN645" s="80"/>
      <c r="BO645" s="80"/>
      <c r="BP645" s="80"/>
      <c r="BQ645" s="80"/>
      <c r="BR645" s="80"/>
      <c r="BS645" s="80"/>
      <c r="BT645" s="80"/>
      <c r="BU645" s="80"/>
      <c r="BV645" s="80"/>
      <c r="BW645" s="80"/>
      <c r="BX645" s="80"/>
      <c r="BY645" s="80"/>
      <c r="BZ645" s="80"/>
      <c r="CA645" s="80"/>
      <c r="CB645" s="80"/>
      <c r="CC645" s="80"/>
      <c r="CD645" s="80"/>
      <c r="CE645" s="80"/>
      <c r="CF645" s="80"/>
      <c r="CG645" s="80"/>
      <c r="CH645" s="80"/>
      <c r="CI645" s="80"/>
      <c r="CJ645" s="80"/>
      <c r="CK645" s="82"/>
      <c r="CL645" s="12"/>
      <c r="CM645" s="82"/>
      <c r="CN645" s="12"/>
      <c r="CO645" s="82"/>
      <c r="CP645" s="12"/>
      <c r="CQ645" s="83">
        <f t="shared" si="79"/>
        <v>0</v>
      </c>
      <c r="CR645" s="84"/>
      <c r="CS645" s="13"/>
      <c r="CT645" s="85"/>
      <c r="CU645" s="86"/>
      <c r="CV645" s="11"/>
      <c r="CW645" s="86"/>
      <c r="CX645" s="84"/>
      <c r="CY645" s="86"/>
    </row>
    <row r="646" spans="1:103" ht="25.5" x14ac:dyDescent="0.2">
      <c r="A646" s="43">
        <v>39981</v>
      </c>
      <c r="B646" s="44" t="s">
        <v>413</v>
      </c>
      <c r="C646" s="44" t="s">
        <v>529</v>
      </c>
      <c r="D646" s="45" t="s">
        <v>1118</v>
      </c>
      <c r="E646" s="11"/>
      <c r="F646" s="12"/>
      <c r="G646" s="12"/>
      <c r="H646" s="12">
        <v>400</v>
      </c>
      <c r="I646" s="12">
        <v>80</v>
      </c>
      <c r="J646" s="12"/>
      <c r="K646" s="12">
        <v>80</v>
      </c>
      <c r="L646" s="12"/>
      <c r="M646" s="12"/>
      <c r="N646" s="12"/>
      <c r="O646" s="12"/>
      <c r="P646" s="12"/>
      <c r="Q646" s="12"/>
      <c r="R646" s="12"/>
      <c r="S646" s="12"/>
      <c r="T646" s="13"/>
      <c r="U646" s="46"/>
      <c r="V646" s="47"/>
      <c r="W646" s="48">
        <f t="shared" si="74"/>
        <v>0</v>
      </c>
      <c r="X646" s="48">
        <f t="shared" si="75"/>
        <v>0</v>
      </c>
      <c r="Y646" s="48">
        <f t="shared" si="76"/>
        <v>0</v>
      </c>
      <c r="Z646" s="48">
        <f t="shared" si="77"/>
        <v>0</v>
      </c>
      <c r="AA646" s="48"/>
      <c r="AB646" s="48"/>
      <c r="AC646" s="49">
        <f t="shared" si="78"/>
        <v>0</v>
      </c>
      <c r="AD646" s="50">
        <v>0</v>
      </c>
      <c r="AE646" s="47">
        <v>39981</v>
      </c>
      <c r="AF646" s="51" t="s">
        <v>1016</v>
      </c>
      <c r="AG646" s="52" t="s">
        <v>565</v>
      </c>
      <c r="AH646" s="53" t="s">
        <v>384</v>
      </c>
      <c r="AI646" s="79"/>
      <c r="AJ646" s="80"/>
      <c r="AK646" s="81"/>
      <c r="AL646" s="80"/>
      <c r="AM646" s="80"/>
      <c r="AN646" s="80"/>
      <c r="AO646" s="80"/>
      <c r="AP646" s="80"/>
      <c r="AQ646" s="80"/>
      <c r="AR646" s="80"/>
      <c r="AS646" s="80"/>
      <c r="AT646" s="80"/>
      <c r="AU646" s="80"/>
      <c r="AV646" s="80"/>
      <c r="AW646" s="80"/>
      <c r="AX646" s="80"/>
      <c r="AY646" s="80"/>
      <c r="AZ646" s="80"/>
      <c r="BA646" s="80"/>
      <c r="BB646" s="80"/>
      <c r="BC646" s="80"/>
      <c r="BD646" s="80"/>
      <c r="BE646" s="80"/>
      <c r="BF646" s="80"/>
      <c r="BG646" s="80"/>
      <c r="BH646" s="80"/>
      <c r="BI646" s="80"/>
      <c r="BJ646" s="80"/>
      <c r="BK646" s="80"/>
      <c r="BL646" s="80"/>
      <c r="BM646" s="80"/>
      <c r="BN646" s="80"/>
      <c r="BO646" s="80"/>
      <c r="BP646" s="80"/>
      <c r="BQ646" s="80"/>
      <c r="BR646" s="80"/>
      <c r="BS646" s="80"/>
      <c r="BT646" s="80"/>
      <c r="BU646" s="80"/>
      <c r="BV646" s="80"/>
      <c r="BW646" s="80"/>
      <c r="BX646" s="80"/>
      <c r="BY646" s="80"/>
      <c r="BZ646" s="80"/>
      <c r="CA646" s="80"/>
      <c r="CB646" s="80"/>
      <c r="CC646" s="80"/>
      <c r="CD646" s="80"/>
      <c r="CE646" s="80"/>
      <c r="CF646" s="80"/>
      <c r="CG646" s="80"/>
      <c r="CH646" s="80"/>
      <c r="CI646" s="80"/>
      <c r="CJ646" s="80"/>
      <c r="CK646" s="82"/>
      <c r="CL646" s="12"/>
      <c r="CM646" s="82"/>
      <c r="CN646" s="12"/>
      <c r="CO646" s="82"/>
      <c r="CP646" s="12"/>
      <c r="CQ646" s="83">
        <f t="shared" si="79"/>
        <v>0</v>
      </c>
      <c r="CR646" s="84"/>
      <c r="CS646" s="13"/>
      <c r="CT646" s="85"/>
      <c r="CU646" s="86"/>
      <c r="CV646" s="11"/>
      <c r="CW646" s="86"/>
      <c r="CX646" s="84"/>
      <c r="CY646" s="86"/>
    </row>
    <row r="647" spans="1:103" ht="25.5" x14ac:dyDescent="0.2">
      <c r="A647" s="43">
        <v>39981</v>
      </c>
      <c r="B647" s="44" t="s">
        <v>413</v>
      </c>
      <c r="C647" s="44" t="s">
        <v>530</v>
      </c>
      <c r="D647" s="45" t="s">
        <v>1118</v>
      </c>
      <c r="E647" s="11"/>
      <c r="F647" s="12"/>
      <c r="G647" s="12"/>
      <c r="H647" s="12">
        <v>100</v>
      </c>
      <c r="I647" s="12">
        <v>20</v>
      </c>
      <c r="J647" s="12"/>
      <c r="K647" s="12">
        <v>20</v>
      </c>
      <c r="L647" s="12"/>
      <c r="M647" s="12"/>
      <c r="N647" s="12"/>
      <c r="O647" s="12"/>
      <c r="P647" s="12"/>
      <c r="Q647" s="12"/>
      <c r="R647" s="12"/>
      <c r="S647" s="12"/>
      <c r="T647" s="13"/>
      <c r="U647" s="46"/>
      <c r="V647" s="47"/>
      <c r="W647" s="48">
        <f t="shared" si="74"/>
        <v>0</v>
      </c>
      <c r="X647" s="48">
        <f t="shared" si="75"/>
        <v>0</v>
      </c>
      <c r="Y647" s="48">
        <f t="shared" si="76"/>
        <v>0</v>
      </c>
      <c r="Z647" s="48">
        <f t="shared" si="77"/>
        <v>0</v>
      </c>
      <c r="AA647" s="48"/>
      <c r="AB647" s="48"/>
      <c r="AC647" s="49">
        <f t="shared" si="78"/>
        <v>0</v>
      </c>
      <c r="AD647" s="50">
        <v>0</v>
      </c>
      <c r="AE647" s="47">
        <v>39981</v>
      </c>
      <c r="AF647" s="51" t="s">
        <v>1016</v>
      </c>
      <c r="AG647" s="52" t="s">
        <v>565</v>
      </c>
      <c r="AH647" s="53" t="s">
        <v>384</v>
      </c>
      <c r="AI647" s="79"/>
      <c r="AJ647" s="80"/>
      <c r="AK647" s="81"/>
      <c r="AL647" s="80"/>
      <c r="AM647" s="80"/>
      <c r="AN647" s="80"/>
      <c r="AO647" s="80"/>
      <c r="AP647" s="80"/>
      <c r="AQ647" s="80"/>
      <c r="AR647" s="80"/>
      <c r="AS647" s="80"/>
      <c r="AT647" s="80"/>
      <c r="AU647" s="80"/>
      <c r="AV647" s="80"/>
      <c r="AW647" s="80"/>
      <c r="AX647" s="80"/>
      <c r="AY647" s="80"/>
      <c r="AZ647" s="80"/>
      <c r="BA647" s="80"/>
      <c r="BB647" s="80"/>
      <c r="BC647" s="80"/>
      <c r="BD647" s="80"/>
      <c r="BE647" s="80"/>
      <c r="BF647" s="80"/>
      <c r="BG647" s="80"/>
      <c r="BH647" s="80"/>
      <c r="BI647" s="80"/>
      <c r="BJ647" s="80"/>
      <c r="BK647" s="80"/>
      <c r="BL647" s="80"/>
      <c r="BM647" s="80"/>
      <c r="BN647" s="80"/>
      <c r="BO647" s="80"/>
      <c r="BP647" s="80"/>
      <c r="BQ647" s="80"/>
      <c r="BR647" s="80"/>
      <c r="BS647" s="80"/>
      <c r="BT647" s="80"/>
      <c r="BU647" s="80"/>
      <c r="BV647" s="80"/>
      <c r="BW647" s="80"/>
      <c r="BX647" s="80"/>
      <c r="BY647" s="80"/>
      <c r="BZ647" s="80"/>
      <c r="CA647" s="80"/>
      <c r="CB647" s="80"/>
      <c r="CC647" s="80"/>
      <c r="CD647" s="80"/>
      <c r="CE647" s="80"/>
      <c r="CF647" s="80"/>
      <c r="CG647" s="80"/>
      <c r="CH647" s="80"/>
      <c r="CI647" s="80"/>
      <c r="CJ647" s="80"/>
      <c r="CK647" s="82"/>
      <c r="CL647" s="12"/>
      <c r="CM647" s="82"/>
      <c r="CN647" s="12"/>
      <c r="CO647" s="82"/>
      <c r="CP647" s="12"/>
      <c r="CQ647" s="83">
        <f t="shared" si="79"/>
        <v>0</v>
      </c>
      <c r="CR647" s="84"/>
      <c r="CS647" s="13"/>
      <c r="CT647" s="85"/>
      <c r="CU647" s="86"/>
      <c r="CV647" s="11"/>
      <c r="CW647" s="86"/>
      <c r="CX647" s="84"/>
      <c r="CY647" s="86"/>
    </row>
    <row r="648" spans="1:103" ht="25.5" x14ac:dyDescent="0.2">
      <c r="A648" s="43">
        <v>39981</v>
      </c>
      <c r="B648" s="44" t="s">
        <v>413</v>
      </c>
      <c r="C648" s="44" t="s">
        <v>804</v>
      </c>
      <c r="D648" s="45" t="s">
        <v>1118</v>
      </c>
      <c r="E648" s="11"/>
      <c r="F648" s="12"/>
      <c r="G648" s="12"/>
      <c r="H648" s="12">
        <v>50</v>
      </c>
      <c r="I648" s="12">
        <v>10</v>
      </c>
      <c r="J648" s="12"/>
      <c r="K648" s="12">
        <v>10</v>
      </c>
      <c r="L648" s="12"/>
      <c r="M648" s="12"/>
      <c r="N648" s="12"/>
      <c r="O648" s="12"/>
      <c r="P648" s="12"/>
      <c r="Q648" s="12"/>
      <c r="R648" s="12"/>
      <c r="S648" s="12"/>
      <c r="T648" s="13"/>
      <c r="U648" s="46"/>
      <c r="V648" s="47"/>
      <c r="W648" s="48">
        <f t="shared" si="74"/>
        <v>0</v>
      </c>
      <c r="X648" s="48">
        <f t="shared" si="75"/>
        <v>0</v>
      </c>
      <c r="Y648" s="48">
        <f t="shared" si="76"/>
        <v>0</v>
      </c>
      <c r="Z648" s="48">
        <f t="shared" si="77"/>
        <v>0</v>
      </c>
      <c r="AA648" s="48"/>
      <c r="AB648" s="48"/>
      <c r="AC648" s="49">
        <f t="shared" si="78"/>
        <v>0</v>
      </c>
      <c r="AD648" s="50">
        <v>0</v>
      </c>
      <c r="AE648" s="47">
        <v>39981</v>
      </c>
      <c r="AF648" s="51" t="s">
        <v>1016</v>
      </c>
      <c r="AG648" s="52" t="s">
        <v>565</v>
      </c>
      <c r="AH648" s="53" t="s">
        <v>384</v>
      </c>
      <c r="AI648" s="79"/>
      <c r="AJ648" s="80"/>
      <c r="AK648" s="81"/>
      <c r="AL648" s="80"/>
      <c r="AM648" s="80"/>
      <c r="AN648" s="80"/>
      <c r="AO648" s="80"/>
      <c r="AP648" s="80"/>
      <c r="AQ648" s="80"/>
      <c r="AR648" s="80"/>
      <c r="AS648" s="80"/>
      <c r="AT648" s="80"/>
      <c r="AU648" s="80"/>
      <c r="AV648" s="80"/>
      <c r="AW648" s="80"/>
      <c r="AX648" s="80"/>
      <c r="AY648" s="80"/>
      <c r="AZ648" s="80"/>
      <c r="BA648" s="80"/>
      <c r="BB648" s="80"/>
      <c r="BC648" s="80"/>
      <c r="BD648" s="80"/>
      <c r="BE648" s="80"/>
      <c r="BF648" s="80"/>
      <c r="BG648" s="80"/>
      <c r="BH648" s="80"/>
      <c r="BI648" s="80"/>
      <c r="BJ648" s="80"/>
      <c r="BK648" s="80"/>
      <c r="BL648" s="80"/>
      <c r="BM648" s="80"/>
      <c r="BN648" s="80"/>
      <c r="BO648" s="80"/>
      <c r="BP648" s="80"/>
      <c r="BQ648" s="80"/>
      <c r="BR648" s="80"/>
      <c r="BS648" s="80"/>
      <c r="BT648" s="80"/>
      <c r="BU648" s="80"/>
      <c r="BV648" s="80"/>
      <c r="BW648" s="80"/>
      <c r="BX648" s="80"/>
      <c r="BY648" s="80"/>
      <c r="BZ648" s="80"/>
      <c r="CA648" s="80"/>
      <c r="CB648" s="80"/>
      <c r="CC648" s="80"/>
      <c r="CD648" s="80"/>
      <c r="CE648" s="80"/>
      <c r="CF648" s="80"/>
      <c r="CG648" s="80"/>
      <c r="CH648" s="80"/>
      <c r="CI648" s="80"/>
      <c r="CJ648" s="80"/>
      <c r="CK648" s="82"/>
      <c r="CL648" s="12"/>
      <c r="CM648" s="82"/>
      <c r="CN648" s="12"/>
      <c r="CO648" s="82"/>
      <c r="CP648" s="12"/>
      <c r="CQ648" s="83">
        <f t="shared" si="79"/>
        <v>0</v>
      </c>
      <c r="CR648" s="84"/>
      <c r="CS648" s="13"/>
      <c r="CT648" s="85"/>
      <c r="CU648" s="86"/>
      <c r="CV648" s="11"/>
      <c r="CW648" s="86"/>
      <c r="CX648" s="84"/>
      <c r="CY648" s="86"/>
    </row>
    <row r="649" spans="1:103" ht="25.5" x14ac:dyDescent="0.2">
      <c r="A649" s="43">
        <v>39981</v>
      </c>
      <c r="B649" s="44" t="s">
        <v>413</v>
      </c>
      <c r="C649" s="44" t="s">
        <v>300</v>
      </c>
      <c r="D649" s="45" t="s">
        <v>1118</v>
      </c>
      <c r="E649" s="11"/>
      <c r="F649" s="12"/>
      <c r="G649" s="12"/>
      <c r="H649" s="12">
        <v>270</v>
      </c>
      <c r="I649" s="12">
        <v>54</v>
      </c>
      <c r="J649" s="12"/>
      <c r="K649" s="12">
        <v>54</v>
      </c>
      <c r="L649" s="12"/>
      <c r="M649" s="12"/>
      <c r="N649" s="12"/>
      <c r="O649" s="12"/>
      <c r="P649" s="12"/>
      <c r="Q649" s="12"/>
      <c r="R649" s="12"/>
      <c r="S649" s="12"/>
      <c r="T649" s="13"/>
      <c r="U649" s="46"/>
      <c r="V649" s="47"/>
      <c r="W649" s="48">
        <f t="shared" si="74"/>
        <v>0</v>
      </c>
      <c r="X649" s="48">
        <f t="shared" si="75"/>
        <v>0</v>
      </c>
      <c r="Y649" s="48">
        <f t="shared" si="76"/>
        <v>0</v>
      </c>
      <c r="Z649" s="48">
        <f t="shared" si="77"/>
        <v>0</v>
      </c>
      <c r="AA649" s="48"/>
      <c r="AB649" s="48"/>
      <c r="AC649" s="49">
        <f t="shared" si="78"/>
        <v>0</v>
      </c>
      <c r="AD649" s="50">
        <v>0</v>
      </c>
      <c r="AE649" s="47">
        <v>39981</v>
      </c>
      <c r="AF649" s="51" t="s">
        <v>1016</v>
      </c>
      <c r="AG649" s="52" t="s">
        <v>565</v>
      </c>
      <c r="AH649" s="53" t="s">
        <v>384</v>
      </c>
      <c r="AI649" s="79"/>
      <c r="AJ649" s="80"/>
      <c r="AK649" s="81"/>
      <c r="AL649" s="80"/>
      <c r="AM649" s="80"/>
      <c r="AN649" s="80"/>
      <c r="AO649" s="80"/>
      <c r="AP649" s="80"/>
      <c r="AQ649" s="80"/>
      <c r="AR649" s="80"/>
      <c r="AS649" s="80"/>
      <c r="AT649" s="80"/>
      <c r="AU649" s="80"/>
      <c r="AV649" s="80"/>
      <c r="AW649" s="80"/>
      <c r="AX649" s="80"/>
      <c r="AY649" s="80"/>
      <c r="AZ649" s="80"/>
      <c r="BA649" s="80"/>
      <c r="BB649" s="80"/>
      <c r="BC649" s="80"/>
      <c r="BD649" s="80"/>
      <c r="BE649" s="80"/>
      <c r="BF649" s="80"/>
      <c r="BG649" s="80"/>
      <c r="BH649" s="80"/>
      <c r="BI649" s="80"/>
      <c r="BJ649" s="80"/>
      <c r="BK649" s="80"/>
      <c r="BL649" s="80"/>
      <c r="BM649" s="80"/>
      <c r="BN649" s="80"/>
      <c r="BO649" s="80"/>
      <c r="BP649" s="80"/>
      <c r="BQ649" s="80"/>
      <c r="BR649" s="80"/>
      <c r="BS649" s="80"/>
      <c r="BT649" s="80"/>
      <c r="BU649" s="80"/>
      <c r="BV649" s="80"/>
      <c r="BW649" s="80"/>
      <c r="BX649" s="80"/>
      <c r="BY649" s="80"/>
      <c r="BZ649" s="80"/>
      <c r="CA649" s="80"/>
      <c r="CB649" s="80"/>
      <c r="CC649" s="80"/>
      <c r="CD649" s="80"/>
      <c r="CE649" s="80"/>
      <c r="CF649" s="80"/>
      <c r="CG649" s="80"/>
      <c r="CH649" s="80"/>
      <c r="CI649" s="80"/>
      <c r="CJ649" s="80"/>
      <c r="CK649" s="82"/>
      <c r="CL649" s="12"/>
      <c r="CM649" s="82"/>
      <c r="CN649" s="12"/>
      <c r="CO649" s="82"/>
      <c r="CP649" s="12"/>
      <c r="CQ649" s="83">
        <f t="shared" si="79"/>
        <v>0</v>
      </c>
      <c r="CR649" s="84"/>
      <c r="CS649" s="13"/>
      <c r="CT649" s="85"/>
      <c r="CU649" s="86"/>
      <c r="CV649" s="11"/>
      <c r="CW649" s="86"/>
      <c r="CX649" s="84"/>
      <c r="CY649" s="86"/>
    </row>
    <row r="650" spans="1:103" ht="25.5" x14ac:dyDescent="0.2">
      <c r="A650" s="43">
        <v>39981</v>
      </c>
      <c r="B650" s="44" t="s">
        <v>413</v>
      </c>
      <c r="C650" s="44" t="s">
        <v>1250</v>
      </c>
      <c r="D650" s="45" t="s">
        <v>1118</v>
      </c>
      <c r="E650" s="11"/>
      <c r="F650" s="12"/>
      <c r="G650" s="12"/>
      <c r="H650" s="12">
        <v>290</v>
      </c>
      <c r="I650" s="12">
        <v>58</v>
      </c>
      <c r="J650" s="12"/>
      <c r="K650" s="12">
        <v>58</v>
      </c>
      <c r="L650" s="12"/>
      <c r="M650" s="12"/>
      <c r="N650" s="12"/>
      <c r="O650" s="12"/>
      <c r="P650" s="12"/>
      <c r="Q650" s="12"/>
      <c r="R650" s="12"/>
      <c r="S650" s="12"/>
      <c r="T650" s="13"/>
      <c r="U650" s="46"/>
      <c r="V650" s="47"/>
      <c r="W650" s="48">
        <f t="shared" si="74"/>
        <v>0</v>
      </c>
      <c r="X650" s="48">
        <f t="shared" si="75"/>
        <v>0</v>
      </c>
      <c r="Y650" s="48">
        <f t="shared" si="76"/>
        <v>0</v>
      </c>
      <c r="Z650" s="48">
        <f t="shared" si="77"/>
        <v>0</v>
      </c>
      <c r="AA650" s="48"/>
      <c r="AB650" s="48"/>
      <c r="AC650" s="49">
        <f t="shared" si="78"/>
        <v>0</v>
      </c>
      <c r="AD650" s="50">
        <v>0</v>
      </c>
      <c r="AE650" s="47">
        <v>39981</v>
      </c>
      <c r="AF650" s="51" t="s">
        <v>1016</v>
      </c>
      <c r="AG650" s="52" t="s">
        <v>565</v>
      </c>
      <c r="AH650" s="53" t="s">
        <v>384</v>
      </c>
      <c r="AI650" s="79"/>
      <c r="AJ650" s="80"/>
      <c r="AK650" s="81"/>
      <c r="AL650" s="80"/>
      <c r="AM650" s="80"/>
      <c r="AN650" s="80"/>
      <c r="AO650" s="80"/>
      <c r="AP650" s="80"/>
      <c r="AQ650" s="80"/>
      <c r="AR650" s="80"/>
      <c r="AS650" s="80"/>
      <c r="AT650" s="80"/>
      <c r="AU650" s="80"/>
      <c r="AV650" s="80"/>
      <c r="AW650" s="80"/>
      <c r="AX650" s="80"/>
      <c r="AY650" s="80"/>
      <c r="AZ650" s="80"/>
      <c r="BA650" s="80"/>
      <c r="BB650" s="80"/>
      <c r="BC650" s="80"/>
      <c r="BD650" s="80"/>
      <c r="BE650" s="80"/>
      <c r="BF650" s="80"/>
      <c r="BG650" s="80"/>
      <c r="BH650" s="80"/>
      <c r="BI650" s="80"/>
      <c r="BJ650" s="80"/>
      <c r="BK650" s="80"/>
      <c r="BL650" s="80"/>
      <c r="BM650" s="80"/>
      <c r="BN650" s="80"/>
      <c r="BO650" s="80"/>
      <c r="BP650" s="80"/>
      <c r="BQ650" s="80"/>
      <c r="BR650" s="80"/>
      <c r="BS650" s="80"/>
      <c r="BT650" s="80"/>
      <c r="BU650" s="80"/>
      <c r="BV650" s="80"/>
      <c r="BW650" s="80"/>
      <c r="BX650" s="80"/>
      <c r="BY650" s="80"/>
      <c r="BZ650" s="80"/>
      <c r="CA650" s="80"/>
      <c r="CB650" s="80"/>
      <c r="CC650" s="80"/>
      <c r="CD650" s="80"/>
      <c r="CE650" s="80"/>
      <c r="CF650" s="80"/>
      <c r="CG650" s="80"/>
      <c r="CH650" s="80"/>
      <c r="CI650" s="80"/>
      <c r="CJ650" s="80"/>
      <c r="CK650" s="82"/>
      <c r="CL650" s="12"/>
      <c r="CM650" s="82"/>
      <c r="CN650" s="12"/>
      <c r="CO650" s="82"/>
      <c r="CP650" s="12"/>
      <c r="CQ650" s="83">
        <f t="shared" si="79"/>
        <v>0</v>
      </c>
      <c r="CR650" s="84"/>
      <c r="CS650" s="13"/>
      <c r="CT650" s="85"/>
      <c r="CU650" s="86"/>
      <c r="CV650" s="11"/>
      <c r="CW650" s="86"/>
      <c r="CX650" s="84"/>
      <c r="CY650" s="86"/>
    </row>
    <row r="651" spans="1:103" ht="89.25" x14ac:dyDescent="0.2">
      <c r="A651" s="43">
        <v>39981</v>
      </c>
      <c r="B651" s="44" t="s">
        <v>413</v>
      </c>
      <c r="C651" s="44" t="s">
        <v>1454</v>
      </c>
      <c r="D651" s="45" t="s">
        <v>1118</v>
      </c>
      <c r="E651" s="11"/>
      <c r="F651" s="12"/>
      <c r="G651" s="12"/>
      <c r="H651" s="12"/>
      <c r="I651" s="12"/>
      <c r="J651" s="12"/>
      <c r="K651" s="12"/>
      <c r="L651" s="12"/>
      <c r="M651" s="12"/>
      <c r="N651" s="12"/>
      <c r="O651" s="12"/>
      <c r="P651" s="12"/>
      <c r="Q651" s="12"/>
      <c r="R651" s="12"/>
      <c r="S651" s="12"/>
      <c r="T651" s="13">
        <v>2000</v>
      </c>
      <c r="U651" s="46" t="s">
        <v>531</v>
      </c>
      <c r="V651" s="47">
        <v>40021</v>
      </c>
      <c r="W651" s="48">
        <f t="shared" si="74"/>
        <v>74500000</v>
      </c>
      <c r="X651" s="48">
        <f t="shared" si="75"/>
        <v>85000000</v>
      </c>
      <c r="Y651" s="48">
        <f t="shared" si="76"/>
        <v>0</v>
      </c>
      <c r="Z651" s="48">
        <f t="shared" si="77"/>
        <v>0</v>
      </c>
      <c r="AA651" s="48"/>
      <c r="AB651" s="48"/>
      <c r="AC651" s="49">
        <f t="shared" si="78"/>
        <v>159500000</v>
      </c>
      <c r="AD651" s="50">
        <v>0</v>
      </c>
      <c r="AE651" s="47">
        <v>39981</v>
      </c>
      <c r="AF651" s="51" t="s">
        <v>1016</v>
      </c>
      <c r="AG651" s="52" t="s">
        <v>565</v>
      </c>
      <c r="AH651" s="53" t="s">
        <v>383</v>
      </c>
      <c r="AI651" s="79"/>
      <c r="AJ651" s="80"/>
      <c r="AK651" s="81"/>
      <c r="AL651" s="80"/>
      <c r="AM651" s="80"/>
      <c r="AN651" s="80"/>
      <c r="AO651" s="80"/>
      <c r="AP651" s="80"/>
      <c r="AQ651" s="80"/>
      <c r="AR651" s="80"/>
      <c r="AS651" s="80"/>
      <c r="AT651" s="80"/>
      <c r="AU651" s="80"/>
      <c r="AV651" s="80"/>
      <c r="AW651" s="80"/>
      <c r="AX651" s="80"/>
      <c r="AY651" s="80"/>
      <c r="AZ651" s="80"/>
      <c r="BA651" s="80"/>
      <c r="BB651" s="80"/>
      <c r="BC651" s="80"/>
      <c r="BD651" s="80"/>
      <c r="BE651" s="80"/>
      <c r="BF651" s="80"/>
      <c r="BG651" s="80"/>
      <c r="BH651" s="80"/>
      <c r="BI651" s="80"/>
      <c r="BJ651" s="80"/>
      <c r="BK651" s="80"/>
      <c r="BL651" s="80"/>
      <c r="BM651" s="80"/>
      <c r="BN651" s="80"/>
      <c r="BO651" s="80"/>
      <c r="BP651" s="80"/>
      <c r="BQ651" s="80"/>
      <c r="BR651" s="80"/>
      <c r="BS651" s="80"/>
      <c r="BT651" s="80"/>
      <c r="BU651" s="80"/>
      <c r="BV651" s="80"/>
      <c r="BW651" s="80"/>
      <c r="BX651" s="80"/>
      <c r="BY651" s="80"/>
      <c r="BZ651" s="80"/>
      <c r="CA651" s="80"/>
      <c r="CB651" s="80"/>
      <c r="CC651" s="80"/>
      <c r="CD651" s="80"/>
      <c r="CE651" s="80"/>
      <c r="CF651" s="80"/>
      <c r="CG651" s="80"/>
      <c r="CH651" s="80"/>
      <c r="CI651" s="80"/>
      <c r="CJ651" s="80"/>
      <c r="CK651" s="82">
        <v>1000</v>
      </c>
      <c r="CL651" s="12">
        <f>1000*38500</f>
        <v>38500000</v>
      </c>
      <c r="CM651" s="82">
        <v>1000</v>
      </c>
      <c r="CN651" s="12">
        <f>1000*36000</f>
        <v>36000000</v>
      </c>
      <c r="CO651" s="82"/>
      <c r="CP651" s="12"/>
      <c r="CQ651" s="83">
        <f t="shared" si="79"/>
        <v>74500000</v>
      </c>
      <c r="CR651" s="84"/>
      <c r="CS651" s="13"/>
      <c r="CT651" s="85">
        <v>1000</v>
      </c>
      <c r="CU651" s="86">
        <f>1000*85000</f>
        <v>85000000</v>
      </c>
      <c r="CV651" s="11"/>
      <c r="CW651" s="86"/>
      <c r="CX651" s="84"/>
      <c r="CY651" s="86"/>
    </row>
    <row r="652" spans="1:103" ht="76.5" x14ac:dyDescent="0.2">
      <c r="A652" s="43">
        <v>39983</v>
      </c>
      <c r="B652" s="44" t="s">
        <v>765</v>
      </c>
      <c r="C652" s="44" t="s">
        <v>578</v>
      </c>
      <c r="D652" s="45" t="s">
        <v>1092</v>
      </c>
      <c r="E652" s="11"/>
      <c r="F652" s="12"/>
      <c r="G652" s="12"/>
      <c r="H652" s="12"/>
      <c r="I652" s="12"/>
      <c r="J652" s="12"/>
      <c r="K652" s="12"/>
      <c r="L652" s="12"/>
      <c r="M652" s="12"/>
      <c r="N652" s="12"/>
      <c r="O652" s="12"/>
      <c r="P652" s="12"/>
      <c r="Q652" s="12"/>
      <c r="R652" s="12"/>
      <c r="S652" s="12"/>
      <c r="T652" s="13"/>
      <c r="U652" s="46"/>
      <c r="V652" s="47">
        <v>40030</v>
      </c>
      <c r="W652" s="48">
        <f t="shared" si="74"/>
        <v>0</v>
      </c>
      <c r="X652" s="48">
        <f t="shared" si="75"/>
        <v>0</v>
      </c>
      <c r="Y652" s="48">
        <f t="shared" si="76"/>
        <v>0</v>
      </c>
      <c r="Z652" s="48">
        <f t="shared" si="77"/>
        <v>0</v>
      </c>
      <c r="AA652" s="48">
        <v>195192736</v>
      </c>
      <c r="AB652" s="48"/>
      <c r="AC652" s="49">
        <f t="shared" si="78"/>
        <v>195192736</v>
      </c>
      <c r="AD652" s="50">
        <v>0</v>
      </c>
      <c r="AE652" s="47">
        <v>39988</v>
      </c>
      <c r="AF652" s="51" t="s">
        <v>1016</v>
      </c>
      <c r="AG652" s="52" t="s">
        <v>565</v>
      </c>
      <c r="AH652" s="54" t="s">
        <v>537</v>
      </c>
      <c r="AI652" s="79"/>
      <c r="AJ652" s="80"/>
      <c r="AK652" s="81"/>
      <c r="AL652" s="80"/>
      <c r="AM652" s="80"/>
      <c r="AN652" s="80"/>
      <c r="AO652" s="80"/>
      <c r="AP652" s="80"/>
      <c r="AQ652" s="80"/>
      <c r="AR652" s="80"/>
      <c r="AS652" s="80"/>
      <c r="AT652" s="80"/>
      <c r="AU652" s="80"/>
      <c r="AV652" s="80"/>
      <c r="AW652" s="80"/>
      <c r="AX652" s="80"/>
      <c r="AY652" s="80"/>
      <c r="AZ652" s="80"/>
      <c r="BA652" s="80"/>
      <c r="BB652" s="80"/>
      <c r="BC652" s="80"/>
      <c r="BD652" s="80"/>
      <c r="BE652" s="80"/>
      <c r="BF652" s="80"/>
      <c r="BG652" s="80"/>
      <c r="BH652" s="80"/>
      <c r="BI652" s="80"/>
      <c r="BJ652" s="80"/>
      <c r="BK652" s="80"/>
      <c r="BL652" s="80"/>
      <c r="BM652" s="80"/>
      <c r="BN652" s="80"/>
      <c r="BO652" s="80"/>
      <c r="BP652" s="80"/>
      <c r="BQ652" s="80"/>
      <c r="BR652" s="80"/>
      <c r="BS652" s="80"/>
      <c r="BT652" s="80"/>
      <c r="BU652" s="80"/>
      <c r="BV652" s="80"/>
      <c r="BW652" s="80"/>
      <c r="BX652" s="80"/>
      <c r="BY652" s="80"/>
      <c r="BZ652" s="80"/>
      <c r="CA652" s="80"/>
      <c r="CB652" s="80"/>
      <c r="CC652" s="80"/>
      <c r="CD652" s="80"/>
      <c r="CE652" s="80"/>
      <c r="CF652" s="80"/>
      <c r="CG652" s="80"/>
      <c r="CH652" s="80"/>
      <c r="CI652" s="80"/>
      <c r="CJ652" s="80"/>
      <c r="CK652" s="82"/>
      <c r="CL652" s="12"/>
      <c r="CM652" s="82"/>
      <c r="CN652" s="12"/>
      <c r="CO652" s="82"/>
      <c r="CP652" s="12"/>
      <c r="CQ652" s="83">
        <f t="shared" si="79"/>
        <v>0</v>
      </c>
      <c r="CR652" s="84"/>
      <c r="CS652" s="13"/>
      <c r="CT652" s="85"/>
      <c r="CU652" s="86"/>
      <c r="CV652" s="11"/>
      <c r="CW652" s="86"/>
      <c r="CX652" s="84"/>
      <c r="CY652" s="86"/>
    </row>
    <row r="653" spans="1:103" ht="51" x14ac:dyDescent="0.2">
      <c r="A653" s="43">
        <v>39984</v>
      </c>
      <c r="B653" s="44" t="s">
        <v>1097</v>
      </c>
      <c r="C653" s="44" t="s">
        <v>493</v>
      </c>
      <c r="D653" s="45" t="s">
        <v>1118</v>
      </c>
      <c r="E653" s="11"/>
      <c r="F653" s="12"/>
      <c r="G653" s="12"/>
      <c r="H653" s="12">
        <f>493*5</f>
        <v>2465</v>
      </c>
      <c r="I653" s="12">
        <v>493</v>
      </c>
      <c r="J653" s="12"/>
      <c r="K653" s="12"/>
      <c r="L653" s="12"/>
      <c r="M653" s="12"/>
      <c r="N653" s="12"/>
      <c r="O653" s="12"/>
      <c r="P653" s="12"/>
      <c r="Q653" s="12"/>
      <c r="R653" s="12"/>
      <c r="S653" s="12"/>
      <c r="T653" s="13"/>
      <c r="U653" s="46"/>
      <c r="V653" s="47">
        <v>40038</v>
      </c>
      <c r="W653" s="48">
        <f t="shared" si="74"/>
        <v>0</v>
      </c>
      <c r="X653" s="48">
        <f t="shared" si="75"/>
        <v>41904240.780000001</v>
      </c>
      <c r="Y653" s="48">
        <f t="shared" si="76"/>
        <v>0</v>
      </c>
      <c r="Z653" s="48">
        <f t="shared" si="77"/>
        <v>0</v>
      </c>
      <c r="AA653" s="48"/>
      <c r="AB653" s="48"/>
      <c r="AC653" s="49">
        <f t="shared" si="78"/>
        <v>41904240.780000001</v>
      </c>
      <c r="AD653" s="50">
        <v>0</v>
      </c>
      <c r="AE653" s="47">
        <v>40021</v>
      </c>
      <c r="AF653" s="51" t="s">
        <v>1016</v>
      </c>
      <c r="AG653" s="52" t="s">
        <v>565</v>
      </c>
      <c r="AH653" s="53" t="s">
        <v>1157</v>
      </c>
      <c r="AI653" s="79"/>
      <c r="AJ653" s="80"/>
      <c r="AK653" s="81"/>
      <c r="AL653" s="80"/>
      <c r="AM653" s="80"/>
      <c r="AN653" s="80"/>
      <c r="AO653" s="80"/>
      <c r="AP653" s="80"/>
      <c r="AQ653" s="80"/>
      <c r="AR653" s="80"/>
      <c r="AS653" s="80"/>
      <c r="AT653" s="80"/>
      <c r="AU653" s="80"/>
      <c r="AV653" s="80"/>
      <c r="AW653" s="80"/>
      <c r="AX653" s="80"/>
      <c r="AY653" s="80"/>
      <c r="AZ653" s="80"/>
      <c r="BA653" s="80"/>
      <c r="BB653" s="80"/>
      <c r="BC653" s="80"/>
      <c r="BD653" s="80"/>
      <c r="BE653" s="80"/>
      <c r="BF653" s="80"/>
      <c r="BG653" s="80"/>
      <c r="BH653" s="80"/>
      <c r="BI653" s="80"/>
      <c r="BJ653" s="80"/>
      <c r="BK653" s="80"/>
      <c r="BL653" s="80"/>
      <c r="BM653" s="80"/>
      <c r="BN653" s="80"/>
      <c r="BO653" s="80"/>
      <c r="BP653" s="80"/>
      <c r="BQ653" s="80"/>
      <c r="BR653" s="80"/>
      <c r="BS653" s="80"/>
      <c r="BT653" s="80"/>
      <c r="BU653" s="80"/>
      <c r="BV653" s="80"/>
      <c r="BW653" s="80"/>
      <c r="BX653" s="80"/>
      <c r="BY653" s="80"/>
      <c r="BZ653" s="80"/>
      <c r="CA653" s="80"/>
      <c r="CB653" s="80"/>
      <c r="CC653" s="80"/>
      <c r="CD653" s="80"/>
      <c r="CE653" s="80"/>
      <c r="CF653" s="80"/>
      <c r="CG653" s="80"/>
      <c r="CH653" s="80"/>
      <c r="CI653" s="80"/>
      <c r="CJ653" s="80"/>
      <c r="CK653" s="82"/>
      <c r="CL653" s="12"/>
      <c r="CM653" s="82"/>
      <c r="CN653" s="12"/>
      <c r="CO653" s="82"/>
      <c r="CP653" s="12"/>
      <c r="CQ653" s="83">
        <f t="shared" si="79"/>
        <v>0</v>
      </c>
      <c r="CR653" s="84"/>
      <c r="CS653" s="13"/>
      <c r="CT653" s="85">
        <v>493</v>
      </c>
      <c r="CU653" s="86">
        <f>493*84998.46</f>
        <v>41904240.780000001</v>
      </c>
      <c r="CV653" s="11"/>
      <c r="CW653" s="86"/>
      <c r="CX653" s="84"/>
      <c r="CY653" s="86"/>
    </row>
    <row r="654" spans="1:103" ht="25.5" x14ac:dyDescent="0.2">
      <c r="A654" s="43">
        <v>39986</v>
      </c>
      <c r="B654" s="44" t="s">
        <v>1067</v>
      </c>
      <c r="C654" s="44" t="s">
        <v>1346</v>
      </c>
      <c r="D654" s="45" t="s">
        <v>1118</v>
      </c>
      <c r="E654" s="11"/>
      <c r="F654" s="12">
        <v>2</v>
      </c>
      <c r="G654" s="12"/>
      <c r="H654" s="12">
        <v>115</v>
      </c>
      <c r="I654" s="12">
        <v>23</v>
      </c>
      <c r="J654" s="12">
        <v>3</v>
      </c>
      <c r="K654" s="12">
        <v>20</v>
      </c>
      <c r="L654" s="12"/>
      <c r="M654" s="12"/>
      <c r="N654" s="12"/>
      <c r="O654" s="12"/>
      <c r="P654" s="12"/>
      <c r="Q654" s="12"/>
      <c r="R654" s="12"/>
      <c r="S654" s="12"/>
      <c r="T654" s="13"/>
      <c r="U654" s="46"/>
      <c r="V654" s="47"/>
      <c r="W654" s="48">
        <f t="shared" si="74"/>
        <v>0</v>
      </c>
      <c r="X654" s="48">
        <f t="shared" si="75"/>
        <v>0</v>
      </c>
      <c r="Y654" s="48">
        <f t="shared" si="76"/>
        <v>0</v>
      </c>
      <c r="Z654" s="48">
        <f t="shared" si="77"/>
        <v>0</v>
      </c>
      <c r="AA654" s="48"/>
      <c r="AB654" s="48"/>
      <c r="AC654" s="49">
        <f t="shared" si="78"/>
        <v>0</v>
      </c>
      <c r="AD654" s="50">
        <v>0</v>
      </c>
      <c r="AE654" s="47">
        <v>39987</v>
      </c>
      <c r="AF654" s="51" t="s">
        <v>516</v>
      </c>
      <c r="AG654" s="52" t="s">
        <v>517</v>
      </c>
      <c r="AH654" s="53" t="s">
        <v>1356</v>
      </c>
      <c r="AI654" s="79"/>
      <c r="AJ654" s="80"/>
      <c r="AK654" s="81"/>
      <c r="AL654" s="80"/>
      <c r="AM654" s="80"/>
      <c r="AN654" s="80"/>
      <c r="AO654" s="80"/>
      <c r="AP654" s="80"/>
      <c r="AQ654" s="80"/>
      <c r="AR654" s="80"/>
      <c r="AS654" s="80"/>
      <c r="AT654" s="80"/>
      <c r="AU654" s="80"/>
      <c r="AV654" s="80"/>
      <c r="AW654" s="80"/>
      <c r="AX654" s="80"/>
      <c r="AY654" s="80"/>
      <c r="AZ654" s="80"/>
      <c r="BA654" s="80"/>
      <c r="BB654" s="80"/>
      <c r="BC654" s="80"/>
      <c r="BD654" s="80"/>
      <c r="BE654" s="80"/>
      <c r="BF654" s="80"/>
      <c r="BG654" s="80"/>
      <c r="BH654" s="80"/>
      <c r="BI654" s="80"/>
      <c r="BJ654" s="80"/>
      <c r="BK654" s="80"/>
      <c r="BL654" s="80"/>
      <c r="BM654" s="80"/>
      <c r="BN654" s="80"/>
      <c r="BO654" s="80"/>
      <c r="BP654" s="80"/>
      <c r="BQ654" s="80"/>
      <c r="BR654" s="80"/>
      <c r="BS654" s="80"/>
      <c r="BT654" s="80"/>
      <c r="BU654" s="80"/>
      <c r="BV654" s="80"/>
      <c r="BW654" s="80"/>
      <c r="BX654" s="80"/>
      <c r="BY654" s="80"/>
      <c r="BZ654" s="80"/>
      <c r="CA654" s="80"/>
      <c r="CB654" s="80"/>
      <c r="CC654" s="80"/>
      <c r="CD654" s="80"/>
      <c r="CE654" s="80"/>
      <c r="CF654" s="80"/>
      <c r="CG654" s="80"/>
      <c r="CH654" s="80"/>
      <c r="CI654" s="80"/>
      <c r="CJ654" s="80"/>
      <c r="CK654" s="82"/>
      <c r="CL654" s="12"/>
      <c r="CM654" s="82"/>
      <c r="CN654" s="12"/>
      <c r="CO654" s="82"/>
      <c r="CP654" s="12"/>
      <c r="CQ654" s="83">
        <f t="shared" si="79"/>
        <v>0</v>
      </c>
      <c r="CR654" s="84"/>
      <c r="CS654" s="13"/>
      <c r="CT654" s="85"/>
      <c r="CU654" s="86"/>
      <c r="CV654" s="11"/>
      <c r="CW654" s="86"/>
      <c r="CX654" s="84"/>
      <c r="CY654" s="86"/>
    </row>
    <row r="655" spans="1:103" ht="25.5" x14ac:dyDescent="0.2">
      <c r="A655" s="43">
        <v>39987</v>
      </c>
      <c r="B655" s="44" t="s">
        <v>625</v>
      </c>
      <c r="C655" s="44" t="s">
        <v>519</v>
      </c>
      <c r="D655" s="45" t="s">
        <v>1118</v>
      </c>
      <c r="E655" s="11"/>
      <c r="F655" s="12"/>
      <c r="G655" s="12"/>
      <c r="H655" s="12">
        <v>8</v>
      </c>
      <c r="I655" s="12">
        <v>2</v>
      </c>
      <c r="J655" s="12"/>
      <c r="K655" s="12">
        <v>2</v>
      </c>
      <c r="L655" s="12"/>
      <c r="M655" s="12"/>
      <c r="N655" s="12"/>
      <c r="O655" s="12"/>
      <c r="P655" s="12"/>
      <c r="Q655" s="12"/>
      <c r="R655" s="12"/>
      <c r="S655" s="12"/>
      <c r="T655" s="13"/>
      <c r="U655" s="46"/>
      <c r="V655" s="47"/>
      <c r="W655" s="48">
        <f t="shared" si="74"/>
        <v>0</v>
      </c>
      <c r="X655" s="48">
        <f t="shared" si="75"/>
        <v>0</v>
      </c>
      <c r="Y655" s="48">
        <f t="shared" si="76"/>
        <v>0</v>
      </c>
      <c r="Z655" s="48">
        <f t="shared" si="77"/>
        <v>0</v>
      </c>
      <c r="AA655" s="48"/>
      <c r="AB655" s="48"/>
      <c r="AC655" s="49">
        <f t="shared" si="78"/>
        <v>0</v>
      </c>
      <c r="AD655" s="50">
        <v>0</v>
      </c>
      <c r="AE655" s="47">
        <v>39988</v>
      </c>
      <c r="AF655" s="51" t="s">
        <v>516</v>
      </c>
      <c r="AG655" s="52" t="s">
        <v>517</v>
      </c>
      <c r="AH655" s="53" t="s">
        <v>168</v>
      </c>
      <c r="AI655" s="79"/>
      <c r="AJ655" s="80"/>
      <c r="AK655" s="81"/>
      <c r="AL655" s="80"/>
      <c r="AM655" s="80"/>
      <c r="AN655" s="80"/>
      <c r="AO655" s="80"/>
      <c r="AP655" s="80"/>
      <c r="AQ655" s="80"/>
      <c r="AR655" s="80"/>
      <c r="AS655" s="80"/>
      <c r="AT655" s="80"/>
      <c r="AU655" s="80"/>
      <c r="AV655" s="80"/>
      <c r="AW655" s="80"/>
      <c r="AX655" s="80"/>
      <c r="AY655" s="80"/>
      <c r="AZ655" s="80"/>
      <c r="BA655" s="80"/>
      <c r="BB655" s="80"/>
      <c r="BC655" s="80"/>
      <c r="BD655" s="80"/>
      <c r="BE655" s="80"/>
      <c r="BF655" s="80"/>
      <c r="BG655" s="80"/>
      <c r="BH655" s="80"/>
      <c r="BI655" s="80"/>
      <c r="BJ655" s="80"/>
      <c r="BK655" s="80"/>
      <c r="BL655" s="80"/>
      <c r="BM655" s="80"/>
      <c r="BN655" s="80"/>
      <c r="BO655" s="80"/>
      <c r="BP655" s="80"/>
      <c r="BQ655" s="80"/>
      <c r="BR655" s="80"/>
      <c r="BS655" s="80"/>
      <c r="BT655" s="80"/>
      <c r="BU655" s="80"/>
      <c r="BV655" s="80"/>
      <c r="BW655" s="80"/>
      <c r="BX655" s="80"/>
      <c r="BY655" s="80"/>
      <c r="BZ655" s="80"/>
      <c r="CA655" s="80"/>
      <c r="CB655" s="80"/>
      <c r="CC655" s="80"/>
      <c r="CD655" s="80"/>
      <c r="CE655" s="80"/>
      <c r="CF655" s="80"/>
      <c r="CG655" s="80"/>
      <c r="CH655" s="80"/>
      <c r="CI655" s="80"/>
      <c r="CJ655" s="80"/>
      <c r="CK655" s="82"/>
      <c r="CL655" s="12"/>
      <c r="CM655" s="82"/>
      <c r="CN655" s="12"/>
      <c r="CO655" s="82"/>
      <c r="CP655" s="12"/>
      <c r="CQ655" s="83">
        <f t="shared" si="79"/>
        <v>0</v>
      </c>
      <c r="CR655" s="84"/>
      <c r="CS655" s="13"/>
      <c r="CT655" s="85"/>
      <c r="CU655" s="86"/>
      <c r="CV655" s="11"/>
      <c r="CW655" s="86"/>
      <c r="CX655" s="84"/>
      <c r="CY655" s="86"/>
    </row>
    <row r="656" spans="1:103" ht="25.5" x14ac:dyDescent="0.2">
      <c r="A656" s="43">
        <v>39987</v>
      </c>
      <c r="B656" s="44" t="s">
        <v>625</v>
      </c>
      <c r="C656" s="44" t="s">
        <v>348</v>
      </c>
      <c r="D656" s="45" t="s">
        <v>1118</v>
      </c>
      <c r="E656" s="11"/>
      <c r="F656" s="12"/>
      <c r="G656" s="12"/>
      <c r="H656" s="12">
        <f>25*5</f>
        <v>125</v>
      </c>
      <c r="I656" s="12">
        <v>25</v>
      </c>
      <c r="J656" s="12"/>
      <c r="K656" s="12">
        <v>25</v>
      </c>
      <c r="L656" s="12"/>
      <c r="M656" s="12"/>
      <c r="N656" s="12"/>
      <c r="O656" s="12"/>
      <c r="P656" s="12"/>
      <c r="Q656" s="12"/>
      <c r="R656" s="12"/>
      <c r="S656" s="12"/>
      <c r="T656" s="13"/>
      <c r="U656" s="46"/>
      <c r="V656" s="47"/>
      <c r="W656" s="48">
        <f t="shared" si="74"/>
        <v>0</v>
      </c>
      <c r="X656" s="48">
        <f t="shared" si="75"/>
        <v>0</v>
      </c>
      <c r="Y656" s="48">
        <f t="shared" si="76"/>
        <v>0</v>
      </c>
      <c r="Z656" s="48">
        <f t="shared" si="77"/>
        <v>0</v>
      </c>
      <c r="AA656" s="48"/>
      <c r="AB656" s="48"/>
      <c r="AC656" s="49">
        <f t="shared" si="78"/>
        <v>0</v>
      </c>
      <c r="AD656" s="50">
        <v>0</v>
      </c>
      <c r="AE656" s="47">
        <v>39988</v>
      </c>
      <c r="AF656" s="51" t="s">
        <v>516</v>
      </c>
      <c r="AG656" s="52" t="s">
        <v>517</v>
      </c>
      <c r="AH656" s="53" t="s">
        <v>958</v>
      </c>
      <c r="AI656" s="79"/>
      <c r="AJ656" s="80"/>
      <c r="AK656" s="81"/>
      <c r="AL656" s="80"/>
      <c r="AM656" s="80"/>
      <c r="AN656" s="80"/>
      <c r="AO656" s="80"/>
      <c r="AP656" s="80"/>
      <c r="AQ656" s="80"/>
      <c r="AR656" s="80"/>
      <c r="AS656" s="80"/>
      <c r="AT656" s="80"/>
      <c r="AU656" s="80"/>
      <c r="AV656" s="80"/>
      <c r="AW656" s="80"/>
      <c r="AX656" s="80"/>
      <c r="AY656" s="80"/>
      <c r="AZ656" s="80"/>
      <c r="BA656" s="80"/>
      <c r="BB656" s="80"/>
      <c r="BC656" s="80"/>
      <c r="BD656" s="80"/>
      <c r="BE656" s="80"/>
      <c r="BF656" s="80"/>
      <c r="BG656" s="80"/>
      <c r="BH656" s="80"/>
      <c r="BI656" s="80"/>
      <c r="BJ656" s="80"/>
      <c r="BK656" s="80"/>
      <c r="BL656" s="80"/>
      <c r="BM656" s="80"/>
      <c r="BN656" s="80"/>
      <c r="BO656" s="80"/>
      <c r="BP656" s="80"/>
      <c r="BQ656" s="80"/>
      <c r="BR656" s="80"/>
      <c r="BS656" s="80"/>
      <c r="BT656" s="80"/>
      <c r="BU656" s="80"/>
      <c r="BV656" s="80"/>
      <c r="BW656" s="80"/>
      <c r="BX656" s="80"/>
      <c r="BY656" s="80"/>
      <c r="BZ656" s="80"/>
      <c r="CA656" s="80"/>
      <c r="CB656" s="80"/>
      <c r="CC656" s="80"/>
      <c r="CD656" s="80"/>
      <c r="CE656" s="80"/>
      <c r="CF656" s="80"/>
      <c r="CG656" s="80"/>
      <c r="CH656" s="80"/>
      <c r="CI656" s="80"/>
      <c r="CJ656" s="80"/>
      <c r="CK656" s="82"/>
      <c r="CL656" s="12"/>
      <c r="CM656" s="82"/>
      <c r="CN656" s="12"/>
      <c r="CO656" s="82"/>
      <c r="CP656" s="12"/>
      <c r="CQ656" s="83">
        <f t="shared" si="79"/>
        <v>0</v>
      </c>
      <c r="CR656" s="84"/>
      <c r="CS656" s="13"/>
      <c r="CT656" s="85"/>
      <c r="CU656" s="86"/>
      <c r="CV656" s="11"/>
      <c r="CW656" s="86"/>
      <c r="CX656" s="84"/>
      <c r="CY656" s="86"/>
    </row>
    <row r="657" spans="1:104" ht="38.25" x14ac:dyDescent="0.2">
      <c r="A657" s="43">
        <v>39987</v>
      </c>
      <c r="B657" s="44" t="s">
        <v>625</v>
      </c>
      <c r="C657" s="44" t="s">
        <v>1454</v>
      </c>
      <c r="D657" s="45" t="s">
        <v>1118</v>
      </c>
      <c r="E657" s="11"/>
      <c r="F657" s="12"/>
      <c r="G657" s="12"/>
      <c r="H657" s="12"/>
      <c r="I657" s="12"/>
      <c r="J657" s="12"/>
      <c r="K657" s="12"/>
      <c r="L657" s="12"/>
      <c r="M657" s="12"/>
      <c r="N657" s="12"/>
      <c r="O657" s="12"/>
      <c r="P657" s="12"/>
      <c r="Q657" s="12"/>
      <c r="R657" s="12"/>
      <c r="S657" s="12"/>
      <c r="T657" s="13"/>
      <c r="U657" s="46"/>
      <c r="V657" s="47">
        <v>40009</v>
      </c>
      <c r="W657" s="48">
        <f t="shared" si="74"/>
        <v>0</v>
      </c>
      <c r="X657" s="48">
        <f t="shared" si="75"/>
        <v>85000000</v>
      </c>
      <c r="Y657" s="48">
        <f t="shared" si="76"/>
        <v>0</v>
      </c>
      <c r="Z657" s="48">
        <f t="shared" si="77"/>
        <v>0</v>
      </c>
      <c r="AA657" s="48"/>
      <c r="AB657" s="48"/>
      <c r="AC657" s="49">
        <f t="shared" si="78"/>
        <v>85000000</v>
      </c>
      <c r="AD657" s="50">
        <v>0</v>
      </c>
      <c r="AE657" s="47">
        <v>39987</v>
      </c>
      <c r="AF657" s="51" t="s">
        <v>1016</v>
      </c>
      <c r="AG657" s="52" t="s">
        <v>565</v>
      </c>
      <c r="AH657" s="53" t="s">
        <v>1290</v>
      </c>
      <c r="AI657" s="79"/>
      <c r="AJ657" s="80"/>
      <c r="AK657" s="81"/>
      <c r="AL657" s="80"/>
      <c r="AM657" s="80"/>
      <c r="AN657" s="80"/>
      <c r="AO657" s="80"/>
      <c r="AP657" s="80"/>
      <c r="AQ657" s="80"/>
      <c r="AR657" s="80"/>
      <c r="AS657" s="80"/>
      <c r="AT657" s="80"/>
      <c r="AU657" s="80"/>
      <c r="AV657" s="80"/>
      <c r="AW657" s="80"/>
      <c r="AX657" s="80"/>
      <c r="AY657" s="80"/>
      <c r="AZ657" s="80"/>
      <c r="BA657" s="80"/>
      <c r="BB657" s="80"/>
      <c r="BC657" s="80"/>
      <c r="BD657" s="80"/>
      <c r="BE657" s="80"/>
      <c r="BF657" s="80"/>
      <c r="BG657" s="80"/>
      <c r="BH657" s="80"/>
      <c r="BI657" s="80"/>
      <c r="BJ657" s="80"/>
      <c r="BK657" s="80"/>
      <c r="BL657" s="80"/>
      <c r="BM657" s="80"/>
      <c r="BN657" s="80"/>
      <c r="BO657" s="80"/>
      <c r="BP657" s="80"/>
      <c r="BQ657" s="80"/>
      <c r="BR657" s="80"/>
      <c r="BS657" s="80"/>
      <c r="BT657" s="80"/>
      <c r="BU657" s="80"/>
      <c r="BV657" s="80"/>
      <c r="BW657" s="80"/>
      <c r="BX657" s="80"/>
      <c r="BY657" s="80"/>
      <c r="BZ657" s="80"/>
      <c r="CA657" s="80"/>
      <c r="CB657" s="80"/>
      <c r="CC657" s="80"/>
      <c r="CD657" s="80"/>
      <c r="CE657" s="80"/>
      <c r="CF657" s="80"/>
      <c r="CG657" s="80"/>
      <c r="CH657" s="80"/>
      <c r="CI657" s="80"/>
      <c r="CJ657" s="80"/>
      <c r="CK657" s="82"/>
      <c r="CL657" s="12"/>
      <c r="CM657" s="82"/>
      <c r="CN657" s="12"/>
      <c r="CO657" s="82"/>
      <c r="CP657" s="12"/>
      <c r="CQ657" s="83">
        <f t="shared" si="79"/>
        <v>0</v>
      </c>
      <c r="CR657" s="84"/>
      <c r="CS657" s="13"/>
      <c r="CT657" s="85">
        <v>1000</v>
      </c>
      <c r="CU657" s="86">
        <f>1000*85000</f>
        <v>85000000</v>
      </c>
      <c r="CV657" s="11"/>
      <c r="CW657" s="86"/>
      <c r="CX657" s="84"/>
      <c r="CY657" s="86"/>
    </row>
    <row r="658" spans="1:104" ht="51" x14ac:dyDescent="0.2">
      <c r="A658" s="43">
        <v>39987</v>
      </c>
      <c r="B658" s="44" t="s">
        <v>478</v>
      </c>
      <c r="C658" s="44" t="s">
        <v>478</v>
      </c>
      <c r="D658" s="45" t="s">
        <v>1118</v>
      </c>
      <c r="E658" s="11"/>
      <c r="F658" s="12"/>
      <c r="G658" s="12"/>
      <c r="H658" s="12">
        <v>88</v>
      </c>
      <c r="I658" s="12">
        <v>14</v>
      </c>
      <c r="J658" s="12">
        <v>4</v>
      </c>
      <c r="K658" s="12"/>
      <c r="L658" s="12"/>
      <c r="M658" s="12"/>
      <c r="N658" s="12"/>
      <c r="O658" s="12"/>
      <c r="P658" s="12"/>
      <c r="Q658" s="12"/>
      <c r="R658" s="12"/>
      <c r="S658" s="12"/>
      <c r="T658" s="13"/>
      <c r="U658" s="46"/>
      <c r="V658" s="47"/>
      <c r="W658" s="48">
        <f t="shared" si="74"/>
        <v>0</v>
      </c>
      <c r="X658" s="48">
        <f t="shared" si="75"/>
        <v>0</v>
      </c>
      <c r="Y658" s="48">
        <f t="shared" si="76"/>
        <v>0</v>
      </c>
      <c r="Z658" s="48">
        <f t="shared" si="77"/>
        <v>0</v>
      </c>
      <c r="AA658" s="48"/>
      <c r="AB658" s="48"/>
      <c r="AC658" s="49">
        <f t="shared" si="78"/>
        <v>0</v>
      </c>
      <c r="AD658" s="50">
        <v>0</v>
      </c>
      <c r="AE658" s="47">
        <v>39988</v>
      </c>
      <c r="AF658" s="51" t="s">
        <v>516</v>
      </c>
      <c r="AG658" s="52" t="s">
        <v>517</v>
      </c>
      <c r="AH658" s="53" t="s">
        <v>930</v>
      </c>
      <c r="AI658" s="79"/>
      <c r="AJ658" s="80"/>
      <c r="AK658" s="81"/>
      <c r="AL658" s="80"/>
      <c r="AM658" s="80"/>
      <c r="AN658" s="80"/>
      <c r="AO658" s="80"/>
      <c r="AP658" s="80"/>
      <c r="AQ658" s="80"/>
      <c r="AR658" s="80"/>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2"/>
      <c r="CL658" s="12"/>
      <c r="CM658" s="82"/>
      <c r="CN658" s="12"/>
      <c r="CO658" s="82"/>
      <c r="CP658" s="12"/>
      <c r="CQ658" s="83">
        <f t="shared" si="79"/>
        <v>0</v>
      </c>
      <c r="CR658" s="84"/>
      <c r="CS658" s="13"/>
      <c r="CT658" s="85"/>
      <c r="CU658" s="86"/>
      <c r="CV658" s="11"/>
      <c r="CW658" s="86"/>
      <c r="CX658" s="84"/>
      <c r="CY658" s="86"/>
    </row>
    <row r="659" spans="1:104" ht="38.25" x14ac:dyDescent="0.2">
      <c r="A659" s="43">
        <v>39988</v>
      </c>
      <c r="B659" s="44" t="s">
        <v>1127</v>
      </c>
      <c r="C659" s="44" t="s">
        <v>95</v>
      </c>
      <c r="D659" s="45" t="s">
        <v>1116</v>
      </c>
      <c r="E659" s="11"/>
      <c r="F659" s="12"/>
      <c r="G659" s="12"/>
      <c r="H659" s="12"/>
      <c r="I659" s="12"/>
      <c r="J659" s="12"/>
      <c r="K659" s="12"/>
      <c r="L659" s="12"/>
      <c r="M659" s="12"/>
      <c r="N659" s="12"/>
      <c r="O659" s="12"/>
      <c r="P659" s="12"/>
      <c r="Q659" s="12"/>
      <c r="R659" s="12"/>
      <c r="S659" s="12"/>
      <c r="T659" s="13"/>
      <c r="U659" s="46" t="s">
        <v>303</v>
      </c>
      <c r="V659" s="47"/>
      <c r="W659" s="48">
        <f t="shared" si="74"/>
        <v>0</v>
      </c>
      <c r="X659" s="48">
        <f t="shared" si="75"/>
        <v>0</v>
      </c>
      <c r="Y659" s="48">
        <f t="shared" si="76"/>
        <v>0</v>
      </c>
      <c r="Z659" s="48">
        <f t="shared" si="77"/>
        <v>0</v>
      </c>
      <c r="AA659" s="48"/>
      <c r="AB659" s="48"/>
      <c r="AC659" s="49">
        <f t="shared" si="78"/>
        <v>0</v>
      </c>
      <c r="AD659" s="50">
        <v>0</v>
      </c>
      <c r="AE659" s="47">
        <v>39989</v>
      </c>
      <c r="AF659" s="51" t="s">
        <v>516</v>
      </c>
      <c r="AG659" s="52" t="s">
        <v>517</v>
      </c>
      <c r="AH659" s="53" t="s">
        <v>304</v>
      </c>
      <c r="AI659" s="79"/>
      <c r="AJ659" s="80"/>
      <c r="AK659" s="81"/>
      <c r="AL659" s="80"/>
      <c r="AM659" s="80"/>
      <c r="AN659" s="80"/>
      <c r="AO659" s="80"/>
      <c r="AP659" s="80"/>
      <c r="AQ659" s="80"/>
      <c r="AR659" s="80"/>
      <c r="AS659" s="80"/>
      <c r="AT659" s="80"/>
      <c r="AU659" s="80"/>
      <c r="AV659" s="80"/>
      <c r="AW659" s="80"/>
      <c r="AX659" s="80"/>
      <c r="AY659" s="80"/>
      <c r="AZ659" s="80"/>
      <c r="BA659" s="80"/>
      <c r="BB659" s="80"/>
      <c r="BC659" s="80"/>
      <c r="BD659" s="80"/>
      <c r="BE659" s="80"/>
      <c r="BF659" s="80"/>
      <c r="BG659" s="80"/>
      <c r="BH659" s="80"/>
      <c r="BI659" s="80"/>
      <c r="BJ659" s="80"/>
      <c r="BK659" s="80"/>
      <c r="BL659" s="80"/>
      <c r="BM659" s="80"/>
      <c r="BN659" s="80"/>
      <c r="BO659" s="80"/>
      <c r="BP659" s="80"/>
      <c r="BQ659" s="80"/>
      <c r="BR659" s="80"/>
      <c r="BS659" s="80"/>
      <c r="BT659" s="80"/>
      <c r="BU659" s="80"/>
      <c r="BV659" s="80"/>
      <c r="BW659" s="80"/>
      <c r="BX659" s="80"/>
      <c r="BY659" s="80"/>
      <c r="BZ659" s="80"/>
      <c r="CA659" s="80"/>
      <c r="CB659" s="80"/>
      <c r="CC659" s="80"/>
      <c r="CD659" s="80"/>
      <c r="CE659" s="80"/>
      <c r="CF659" s="80"/>
      <c r="CG659" s="80"/>
      <c r="CH659" s="80"/>
      <c r="CI659" s="80"/>
      <c r="CJ659" s="80"/>
      <c r="CK659" s="82"/>
      <c r="CL659" s="12"/>
      <c r="CM659" s="82"/>
      <c r="CN659" s="12"/>
      <c r="CO659" s="82"/>
      <c r="CP659" s="12"/>
      <c r="CQ659" s="83">
        <f t="shared" si="79"/>
        <v>0</v>
      </c>
      <c r="CR659" s="84"/>
      <c r="CS659" s="13"/>
      <c r="CT659" s="85"/>
      <c r="CU659" s="86"/>
      <c r="CV659" s="11"/>
      <c r="CW659" s="86"/>
      <c r="CX659" s="84"/>
      <c r="CY659" s="86"/>
    </row>
    <row r="660" spans="1:104" ht="38.25" x14ac:dyDescent="0.2">
      <c r="A660" s="43">
        <v>39988</v>
      </c>
      <c r="B660" s="44" t="s">
        <v>632</v>
      </c>
      <c r="C660" s="44" t="s">
        <v>82</v>
      </c>
      <c r="D660" s="45" t="s">
        <v>1116</v>
      </c>
      <c r="E660" s="11">
        <v>2</v>
      </c>
      <c r="F660" s="12"/>
      <c r="G660" s="12"/>
      <c r="H660" s="12">
        <v>5</v>
      </c>
      <c r="I660" s="12">
        <v>1</v>
      </c>
      <c r="J660" s="12">
        <v>1</v>
      </c>
      <c r="K660" s="12"/>
      <c r="L660" s="12"/>
      <c r="M660" s="12"/>
      <c r="N660" s="12"/>
      <c r="O660" s="12"/>
      <c r="P660" s="12"/>
      <c r="Q660" s="12"/>
      <c r="R660" s="12"/>
      <c r="S660" s="12"/>
      <c r="T660" s="13"/>
      <c r="U660" s="46"/>
      <c r="V660" s="47"/>
      <c r="W660" s="48">
        <f t="shared" si="74"/>
        <v>0</v>
      </c>
      <c r="X660" s="48">
        <f t="shared" si="75"/>
        <v>0</v>
      </c>
      <c r="Y660" s="48">
        <f t="shared" si="76"/>
        <v>0</v>
      </c>
      <c r="Z660" s="48">
        <f t="shared" si="77"/>
        <v>0</v>
      </c>
      <c r="AA660" s="48"/>
      <c r="AB660" s="48"/>
      <c r="AC660" s="49">
        <f t="shared" si="78"/>
        <v>0</v>
      </c>
      <c r="AD660" s="50">
        <v>0</v>
      </c>
      <c r="AE660" s="47">
        <v>39988</v>
      </c>
      <c r="AF660" s="51" t="s">
        <v>516</v>
      </c>
      <c r="AG660" s="52" t="s">
        <v>517</v>
      </c>
      <c r="AH660" s="53" t="s">
        <v>1181</v>
      </c>
      <c r="AI660" s="79"/>
      <c r="AJ660" s="80"/>
      <c r="AK660" s="81"/>
      <c r="AL660" s="80"/>
      <c r="AM660" s="80"/>
      <c r="AN660" s="80"/>
      <c r="AO660" s="80"/>
      <c r="AP660" s="80"/>
      <c r="AQ660" s="80"/>
      <c r="AR660" s="80"/>
      <c r="AS660" s="80"/>
      <c r="AT660" s="80"/>
      <c r="AU660" s="80"/>
      <c r="AV660" s="80"/>
      <c r="AW660" s="80"/>
      <c r="AX660" s="80"/>
      <c r="AY660" s="80"/>
      <c r="AZ660" s="80"/>
      <c r="BA660" s="80"/>
      <c r="BB660" s="80"/>
      <c r="BC660" s="80"/>
      <c r="BD660" s="80"/>
      <c r="BE660" s="80"/>
      <c r="BF660" s="80"/>
      <c r="BG660" s="80"/>
      <c r="BH660" s="80"/>
      <c r="BI660" s="80"/>
      <c r="BJ660" s="80"/>
      <c r="BK660" s="80"/>
      <c r="BL660" s="80"/>
      <c r="BM660" s="80"/>
      <c r="BN660" s="80"/>
      <c r="BO660" s="80"/>
      <c r="BP660" s="80"/>
      <c r="BQ660" s="80"/>
      <c r="BR660" s="80"/>
      <c r="BS660" s="80"/>
      <c r="BT660" s="80"/>
      <c r="BU660" s="80"/>
      <c r="BV660" s="80"/>
      <c r="BW660" s="80"/>
      <c r="BX660" s="80"/>
      <c r="BY660" s="80"/>
      <c r="BZ660" s="80"/>
      <c r="CA660" s="80"/>
      <c r="CB660" s="80"/>
      <c r="CC660" s="80"/>
      <c r="CD660" s="80"/>
      <c r="CE660" s="80"/>
      <c r="CF660" s="80"/>
      <c r="CG660" s="80"/>
      <c r="CH660" s="80"/>
      <c r="CI660" s="80"/>
      <c r="CJ660" s="80"/>
      <c r="CK660" s="82"/>
      <c r="CL660" s="12"/>
      <c r="CM660" s="82"/>
      <c r="CN660" s="12"/>
      <c r="CO660" s="82"/>
      <c r="CP660" s="12"/>
      <c r="CQ660" s="83">
        <f t="shared" si="79"/>
        <v>0</v>
      </c>
      <c r="CR660" s="84"/>
      <c r="CS660" s="13"/>
      <c r="CT660" s="85"/>
      <c r="CU660" s="86"/>
      <c r="CV660" s="11"/>
      <c r="CW660" s="86"/>
      <c r="CX660" s="84"/>
      <c r="CY660" s="86"/>
    </row>
    <row r="661" spans="1:104" ht="51" x14ac:dyDescent="0.2">
      <c r="A661" s="43">
        <v>39988</v>
      </c>
      <c r="B661" s="44" t="s">
        <v>1136</v>
      </c>
      <c r="C661" s="44" t="s">
        <v>307</v>
      </c>
      <c r="D661" s="45" t="s">
        <v>1116</v>
      </c>
      <c r="E661" s="11"/>
      <c r="F661" s="12"/>
      <c r="G661" s="12"/>
      <c r="H661" s="12"/>
      <c r="I661" s="12"/>
      <c r="J661" s="12"/>
      <c r="K661" s="12"/>
      <c r="L661" s="12"/>
      <c r="M661" s="12"/>
      <c r="N661" s="12"/>
      <c r="O661" s="12"/>
      <c r="P661" s="12"/>
      <c r="Q661" s="12"/>
      <c r="R661" s="12"/>
      <c r="S661" s="12"/>
      <c r="T661" s="13"/>
      <c r="U661" s="46" t="s">
        <v>83</v>
      </c>
      <c r="V661" s="47"/>
      <c r="W661" s="48">
        <f t="shared" si="74"/>
        <v>0</v>
      </c>
      <c r="X661" s="48">
        <f t="shared" si="75"/>
        <v>0</v>
      </c>
      <c r="Y661" s="48">
        <f t="shared" si="76"/>
        <v>0</v>
      </c>
      <c r="Z661" s="48">
        <f t="shared" si="77"/>
        <v>0</v>
      </c>
      <c r="AA661" s="48"/>
      <c r="AB661" s="48"/>
      <c r="AC661" s="49">
        <f t="shared" si="78"/>
        <v>0</v>
      </c>
      <c r="AD661" s="50">
        <v>0</v>
      </c>
      <c r="AE661" s="47">
        <v>39988</v>
      </c>
      <c r="AF661" s="51" t="s">
        <v>516</v>
      </c>
      <c r="AG661" s="52" t="s">
        <v>517</v>
      </c>
      <c r="AH661" s="53" t="s">
        <v>1429</v>
      </c>
      <c r="AI661" s="79"/>
      <c r="AJ661" s="80"/>
      <c r="AK661" s="81"/>
      <c r="AL661" s="80"/>
      <c r="AM661" s="80"/>
      <c r="AN661" s="80"/>
      <c r="AO661" s="80"/>
      <c r="AP661" s="80"/>
      <c r="AQ661" s="80"/>
      <c r="AR661" s="80"/>
      <c r="AS661" s="80"/>
      <c r="AT661" s="80"/>
      <c r="AU661" s="80"/>
      <c r="AV661" s="80"/>
      <c r="AW661" s="80"/>
      <c r="AX661" s="80"/>
      <c r="AY661" s="80"/>
      <c r="AZ661" s="80"/>
      <c r="BA661" s="80"/>
      <c r="BB661" s="80"/>
      <c r="BC661" s="80"/>
      <c r="BD661" s="80"/>
      <c r="BE661" s="80"/>
      <c r="BF661" s="80"/>
      <c r="BG661" s="80"/>
      <c r="BH661" s="80"/>
      <c r="BI661" s="80"/>
      <c r="BJ661" s="80"/>
      <c r="BK661" s="80"/>
      <c r="BL661" s="80"/>
      <c r="BM661" s="80"/>
      <c r="BN661" s="80"/>
      <c r="BO661" s="80"/>
      <c r="BP661" s="80"/>
      <c r="BQ661" s="80"/>
      <c r="BR661" s="80"/>
      <c r="BS661" s="80"/>
      <c r="BT661" s="80"/>
      <c r="BU661" s="80"/>
      <c r="BV661" s="80"/>
      <c r="BW661" s="80"/>
      <c r="BX661" s="80"/>
      <c r="BY661" s="80"/>
      <c r="BZ661" s="80"/>
      <c r="CA661" s="80"/>
      <c r="CB661" s="80"/>
      <c r="CC661" s="80"/>
      <c r="CD661" s="80"/>
      <c r="CE661" s="80"/>
      <c r="CF661" s="80"/>
      <c r="CG661" s="80"/>
      <c r="CH661" s="80"/>
      <c r="CI661" s="80"/>
      <c r="CJ661" s="80"/>
      <c r="CK661" s="82"/>
      <c r="CL661" s="12"/>
      <c r="CM661" s="82"/>
      <c r="CN661" s="12"/>
      <c r="CO661" s="82"/>
      <c r="CP661" s="12"/>
      <c r="CQ661" s="83">
        <f t="shared" si="79"/>
        <v>0</v>
      </c>
      <c r="CR661" s="84"/>
      <c r="CS661" s="13"/>
      <c r="CT661" s="85"/>
      <c r="CU661" s="86"/>
      <c r="CV661" s="11"/>
      <c r="CW661" s="86"/>
      <c r="CX661" s="84"/>
      <c r="CY661" s="86"/>
    </row>
    <row r="662" spans="1:104" ht="89.25" x14ac:dyDescent="0.2">
      <c r="A662" s="43">
        <v>39988</v>
      </c>
      <c r="B662" s="44" t="s">
        <v>1097</v>
      </c>
      <c r="C662" s="44" t="s">
        <v>676</v>
      </c>
      <c r="D662" s="45" t="s">
        <v>1118</v>
      </c>
      <c r="E662" s="11"/>
      <c r="F662" s="12"/>
      <c r="G662" s="12"/>
      <c r="H662" s="12"/>
      <c r="I662" s="12"/>
      <c r="J662" s="12"/>
      <c r="K662" s="12"/>
      <c r="L662" s="12">
        <v>1</v>
      </c>
      <c r="M662" s="12"/>
      <c r="N662" s="12"/>
      <c r="O662" s="12"/>
      <c r="P662" s="12"/>
      <c r="Q662" s="12"/>
      <c r="R662" s="12"/>
      <c r="S662" s="12"/>
      <c r="T662" s="13"/>
      <c r="U662" s="46"/>
      <c r="V662" s="47">
        <v>40178</v>
      </c>
      <c r="W662" s="48">
        <f t="shared" si="74"/>
        <v>0</v>
      </c>
      <c r="X662" s="48">
        <f t="shared" si="75"/>
        <v>0</v>
      </c>
      <c r="Y662" s="48">
        <f t="shared" si="76"/>
        <v>0</v>
      </c>
      <c r="Z662" s="48">
        <f t="shared" si="77"/>
        <v>0</v>
      </c>
      <c r="AA662" s="48"/>
      <c r="AB662" s="48">
        <v>80000000</v>
      </c>
      <c r="AC662" s="49">
        <f t="shared" si="78"/>
        <v>80000000</v>
      </c>
      <c r="AD662" s="50">
        <v>0</v>
      </c>
      <c r="AE662" s="47">
        <v>39990</v>
      </c>
      <c r="AF662" s="51" t="s">
        <v>1016</v>
      </c>
      <c r="AG662" s="52" t="s">
        <v>565</v>
      </c>
      <c r="AH662" s="54" t="s">
        <v>677</v>
      </c>
      <c r="AI662" s="79"/>
      <c r="AJ662" s="80"/>
      <c r="AK662" s="81"/>
      <c r="AL662" s="80"/>
      <c r="AM662" s="80"/>
      <c r="AN662" s="80"/>
      <c r="AO662" s="80"/>
      <c r="AP662" s="80"/>
      <c r="AQ662" s="80"/>
      <c r="AR662" s="80"/>
      <c r="AS662" s="80"/>
      <c r="AT662" s="80"/>
      <c r="AU662" s="80"/>
      <c r="AV662" s="80"/>
      <c r="AW662" s="80"/>
      <c r="AX662" s="80"/>
      <c r="AY662" s="80"/>
      <c r="AZ662" s="80"/>
      <c r="BA662" s="80"/>
      <c r="BB662" s="80"/>
      <c r="BC662" s="80"/>
      <c r="BD662" s="80"/>
      <c r="BE662" s="80"/>
      <c r="BF662" s="80"/>
      <c r="BG662" s="80"/>
      <c r="BH662" s="80"/>
      <c r="BI662" s="80"/>
      <c r="BJ662" s="80"/>
      <c r="BK662" s="80"/>
      <c r="BL662" s="80"/>
      <c r="BM662" s="80"/>
      <c r="BN662" s="80"/>
      <c r="BO662" s="80"/>
      <c r="BP662" s="80"/>
      <c r="BQ662" s="80"/>
      <c r="BR662" s="80"/>
      <c r="BS662" s="80"/>
      <c r="BT662" s="80"/>
      <c r="BU662" s="80"/>
      <c r="BV662" s="80"/>
      <c r="BW662" s="80"/>
      <c r="BX662" s="80"/>
      <c r="BY662" s="80"/>
      <c r="BZ662" s="80"/>
      <c r="CA662" s="80"/>
      <c r="CB662" s="80"/>
      <c r="CC662" s="80"/>
      <c r="CD662" s="80"/>
      <c r="CE662" s="80"/>
      <c r="CF662" s="80"/>
      <c r="CG662" s="80"/>
      <c r="CH662" s="80"/>
      <c r="CI662" s="80"/>
      <c r="CJ662" s="80"/>
      <c r="CK662" s="82"/>
      <c r="CL662" s="12"/>
      <c r="CM662" s="82"/>
      <c r="CN662" s="12"/>
      <c r="CO662" s="82"/>
      <c r="CP662" s="12"/>
      <c r="CQ662" s="83">
        <f t="shared" si="79"/>
        <v>0</v>
      </c>
      <c r="CR662" s="84"/>
      <c r="CS662" s="13"/>
      <c r="CT662" s="85"/>
      <c r="CU662" s="86"/>
      <c r="CV662" s="11"/>
      <c r="CW662" s="86"/>
      <c r="CX662" s="84"/>
      <c r="CY662" s="86"/>
    </row>
    <row r="663" spans="1:104" ht="51" x14ac:dyDescent="0.2">
      <c r="A663" s="43">
        <v>39990</v>
      </c>
      <c r="B663" s="44" t="s">
        <v>688</v>
      </c>
      <c r="C663" s="44" t="s">
        <v>1454</v>
      </c>
      <c r="D663" s="45" t="s">
        <v>1118</v>
      </c>
      <c r="E663" s="11"/>
      <c r="F663" s="12"/>
      <c r="G663" s="12"/>
      <c r="H663" s="12"/>
      <c r="I663" s="12"/>
      <c r="J663" s="12"/>
      <c r="K663" s="12"/>
      <c r="L663" s="12"/>
      <c r="M663" s="12"/>
      <c r="N663" s="12"/>
      <c r="O663" s="12"/>
      <c r="P663" s="12"/>
      <c r="Q663" s="12"/>
      <c r="R663" s="12"/>
      <c r="S663" s="12"/>
      <c r="T663" s="13"/>
      <c r="U663" s="46"/>
      <c r="V663" s="47">
        <v>40036</v>
      </c>
      <c r="W663" s="48">
        <f t="shared" si="74"/>
        <v>0</v>
      </c>
      <c r="X663" s="48">
        <f t="shared" si="75"/>
        <v>42500000</v>
      </c>
      <c r="Y663" s="48">
        <f t="shared" si="76"/>
        <v>27500000</v>
      </c>
      <c r="Z663" s="48">
        <f t="shared" si="77"/>
        <v>0</v>
      </c>
      <c r="AA663" s="48"/>
      <c r="AB663" s="48"/>
      <c r="AC663" s="49">
        <f t="shared" si="78"/>
        <v>70000000</v>
      </c>
      <c r="AD663" s="50">
        <v>0</v>
      </c>
      <c r="AE663" s="47">
        <v>39990</v>
      </c>
      <c r="AF663" s="51" t="s">
        <v>1016</v>
      </c>
      <c r="AG663" s="52" t="s">
        <v>565</v>
      </c>
      <c r="AH663" s="53" t="s">
        <v>465</v>
      </c>
      <c r="AI663" s="79"/>
      <c r="AJ663" s="80"/>
      <c r="AK663" s="81"/>
      <c r="AL663" s="80"/>
      <c r="AM663" s="80"/>
      <c r="AN663" s="80"/>
      <c r="AO663" s="80"/>
      <c r="AP663" s="80"/>
      <c r="AQ663" s="80"/>
      <c r="AR663" s="80"/>
      <c r="AS663" s="80"/>
      <c r="AT663" s="80"/>
      <c r="AU663" s="80"/>
      <c r="AV663" s="80"/>
      <c r="AW663" s="80"/>
      <c r="AX663" s="80"/>
      <c r="AY663" s="80"/>
      <c r="AZ663" s="80"/>
      <c r="BA663" s="80"/>
      <c r="BB663" s="80"/>
      <c r="BC663" s="80"/>
      <c r="BD663" s="80"/>
      <c r="BE663" s="80"/>
      <c r="BF663" s="80"/>
      <c r="BG663" s="80"/>
      <c r="BH663" s="80"/>
      <c r="BI663" s="80"/>
      <c r="BJ663" s="80"/>
      <c r="BK663" s="80"/>
      <c r="BL663" s="80"/>
      <c r="BM663" s="80"/>
      <c r="BN663" s="80"/>
      <c r="BO663" s="80"/>
      <c r="BP663" s="80"/>
      <c r="BQ663" s="80"/>
      <c r="BR663" s="80"/>
      <c r="BS663" s="80"/>
      <c r="BT663" s="80"/>
      <c r="BU663" s="80"/>
      <c r="BV663" s="80"/>
      <c r="BW663" s="80"/>
      <c r="BX663" s="80"/>
      <c r="BY663" s="80"/>
      <c r="BZ663" s="80"/>
      <c r="CA663" s="80"/>
      <c r="CB663" s="80"/>
      <c r="CC663" s="80"/>
      <c r="CD663" s="80"/>
      <c r="CE663" s="80"/>
      <c r="CF663" s="80"/>
      <c r="CG663" s="80"/>
      <c r="CH663" s="80"/>
      <c r="CI663" s="80"/>
      <c r="CJ663" s="80"/>
      <c r="CK663" s="82"/>
      <c r="CL663" s="12"/>
      <c r="CM663" s="82"/>
      <c r="CN663" s="12"/>
      <c r="CO663" s="82"/>
      <c r="CP663" s="12"/>
      <c r="CQ663" s="83">
        <f t="shared" si="79"/>
        <v>0</v>
      </c>
      <c r="CR663" s="84"/>
      <c r="CS663" s="13"/>
      <c r="CT663" s="85">
        <v>500</v>
      </c>
      <c r="CU663" s="86">
        <f>500*85000</f>
        <v>42500000</v>
      </c>
      <c r="CV663" s="11"/>
      <c r="CW663" s="86"/>
      <c r="CX663" s="84">
        <f>500+500</f>
        <v>1000</v>
      </c>
      <c r="CY663" s="86">
        <f>500*21000+500*34000</f>
        <v>27500000</v>
      </c>
      <c r="CZ663" s="9" t="s">
        <v>344</v>
      </c>
    </row>
    <row r="664" spans="1:104" ht="25.5" x14ac:dyDescent="0.2">
      <c r="A664" s="43">
        <v>39992</v>
      </c>
      <c r="B664" s="44" t="s">
        <v>1067</v>
      </c>
      <c r="C664" s="44" t="s">
        <v>1346</v>
      </c>
      <c r="D664" s="45" t="s">
        <v>1118</v>
      </c>
      <c r="E664" s="11"/>
      <c r="F664" s="12"/>
      <c r="G664" s="12"/>
      <c r="H664" s="12">
        <v>440</v>
      </c>
      <c r="I664" s="12">
        <v>58</v>
      </c>
      <c r="J664" s="12">
        <v>13</v>
      </c>
      <c r="K664" s="12">
        <v>45</v>
      </c>
      <c r="L664" s="12"/>
      <c r="M664" s="12"/>
      <c r="N664" s="12"/>
      <c r="O664" s="12"/>
      <c r="P664" s="12"/>
      <c r="Q664" s="12"/>
      <c r="R664" s="12"/>
      <c r="S664" s="12"/>
      <c r="T664" s="13"/>
      <c r="U664" s="46"/>
      <c r="V664" s="47"/>
      <c r="W664" s="48">
        <f t="shared" si="74"/>
        <v>0</v>
      </c>
      <c r="X664" s="48">
        <f t="shared" si="75"/>
        <v>0</v>
      </c>
      <c r="Y664" s="48">
        <f t="shared" si="76"/>
        <v>0</v>
      </c>
      <c r="Z664" s="48">
        <f t="shared" si="77"/>
        <v>0</v>
      </c>
      <c r="AA664" s="48"/>
      <c r="AB664" s="48"/>
      <c r="AC664" s="49">
        <f t="shared" si="78"/>
        <v>0</v>
      </c>
      <c r="AD664" s="50">
        <v>0</v>
      </c>
      <c r="AE664" s="47">
        <v>39994</v>
      </c>
      <c r="AF664" s="51" t="s">
        <v>516</v>
      </c>
      <c r="AG664" s="52" t="s">
        <v>517</v>
      </c>
      <c r="AH664" s="53"/>
      <c r="AI664" s="79"/>
      <c r="AJ664" s="80"/>
      <c r="AK664" s="81"/>
      <c r="AL664" s="80"/>
      <c r="AM664" s="80"/>
      <c r="AN664" s="80"/>
      <c r="AO664" s="80"/>
      <c r="AP664" s="80"/>
      <c r="AQ664" s="80"/>
      <c r="AR664" s="80"/>
      <c r="AS664" s="80"/>
      <c r="AT664" s="80"/>
      <c r="AU664" s="80"/>
      <c r="AV664" s="80"/>
      <c r="AW664" s="80"/>
      <c r="AX664" s="80"/>
      <c r="AY664" s="80"/>
      <c r="AZ664" s="80"/>
      <c r="BA664" s="80"/>
      <c r="BB664" s="80"/>
      <c r="BC664" s="80"/>
      <c r="BD664" s="80"/>
      <c r="BE664" s="80"/>
      <c r="BF664" s="80"/>
      <c r="BG664" s="80"/>
      <c r="BH664" s="80"/>
      <c r="BI664" s="80"/>
      <c r="BJ664" s="80"/>
      <c r="BK664" s="80"/>
      <c r="BL664" s="80"/>
      <c r="BM664" s="80"/>
      <c r="BN664" s="80"/>
      <c r="BO664" s="80"/>
      <c r="BP664" s="80"/>
      <c r="BQ664" s="80"/>
      <c r="BR664" s="80"/>
      <c r="BS664" s="80"/>
      <c r="BT664" s="80"/>
      <c r="BU664" s="80"/>
      <c r="BV664" s="80"/>
      <c r="BW664" s="80"/>
      <c r="BX664" s="80"/>
      <c r="BY664" s="80"/>
      <c r="BZ664" s="80"/>
      <c r="CA664" s="80"/>
      <c r="CB664" s="80"/>
      <c r="CC664" s="80"/>
      <c r="CD664" s="80"/>
      <c r="CE664" s="80"/>
      <c r="CF664" s="80"/>
      <c r="CG664" s="80"/>
      <c r="CH664" s="80"/>
      <c r="CI664" s="80"/>
      <c r="CJ664" s="80"/>
      <c r="CK664" s="82"/>
      <c r="CL664" s="12"/>
      <c r="CM664" s="82"/>
      <c r="CN664" s="12"/>
      <c r="CO664" s="82"/>
      <c r="CP664" s="12"/>
      <c r="CQ664" s="83">
        <f t="shared" si="79"/>
        <v>0</v>
      </c>
      <c r="CR664" s="84"/>
      <c r="CS664" s="13"/>
      <c r="CT664" s="85"/>
      <c r="CU664" s="86"/>
      <c r="CV664" s="11"/>
      <c r="CW664" s="86"/>
      <c r="CX664" s="84"/>
      <c r="CY664" s="86"/>
    </row>
    <row r="665" spans="1:104" ht="51" x14ac:dyDescent="0.2">
      <c r="A665" s="43">
        <v>39992</v>
      </c>
      <c r="B665" s="44" t="s">
        <v>1097</v>
      </c>
      <c r="C665" s="44" t="s">
        <v>759</v>
      </c>
      <c r="D665" s="45" t="s">
        <v>1117</v>
      </c>
      <c r="E665" s="11"/>
      <c r="F665" s="12"/>
      <c r="G665" s="12"/>
      <c r="H665" s="12">
        <f>37*5</f>
        <v>185</v>
      </c>
      <c r="I665" s="12">
        <v>37</v>
      </c>
      <c r="J665" s="12"/>
      <c r="K665" s="12">
        <v>37</v>
      </c>
      <c r="L665" s="12"/>
      <c r="M665" s="12"/>
      <c r="N665" s="12"/>
      <c r="O665" s="12"/>
      <c r="P665" s="12"/>
      <c r="Q665" s="12"/>
      <c r="R665" s="12"/>
      <c r="S665" s="12"/>
      <c r="T665" s="13"/>
      <c r="U665" s="46"/>
      <c r="V665" s="47"/>
      <c r="W665" s="48">
        <f t="shared" si="74"/>
        <v>0</v>
      </c>
      <c r="X665" s="48">
        <f t="shared" si="75"/>
        <v>0</v>
      </c>
      <c r="Y665" s="48">
        <f t="shared" si="76"/>
        <v>0</v>
      </c>
      <c r="Z665" s="48">
        <f t="shared" si="77"/>
        <v>0</v>
      </c>
      <c r="AA665" s="48">
        <v>78000000</v>
      </c>
      <c r="AB665" s="48"/>
      <c r="AC665" s="49">
        <f t="shared" si="78"/>
        <v>78000000</v>
      </c>
      <c r="AD665" s="50">
        <v>0</v>
      </c>
      <c r="AE665" s="47">
        <v>39994</v>
      </c>
      <c r="AF665" s="51" t="s">
        <v>1016</v>
      </c>
      <c r="AG665" s="52" t="s">
        <v>565</v>
      </c>
      <c r="AH665" s="53" t="s">
        <v>21</v>
      </c>
      <c r="AI665" s="79"/>
      <c r="AJ665" s="80"/>
      <c r="AK665" s="81"/>
      <c r="AL665" s="80"/>
      <c r="AM665" s="80"/>
      <c r="AN665" s="80"/>
      <c r="AO665" s="80"/>
      <c r="AP665" s="80"/>
      <c r="AQ665" s="80"/>
      <c r="AR665" s="80"/>
      <c r="AS665" s="80"/>
      <c r="AT665" s="80"/>
      <c r="AU665" s="80"/>
      <c r="AV665" s="80"/>
      <c r="AW665" s="80"/>
      <c r="AX665" s="80"/>
      <c r="AY665" s="80"/>
      <c r="AZ665" s="80"/>
      <c r="BA665" s="80"/>
      <c r="BB665" s="80"/>
      <c r="BC665" s="80"/>
      <c r="BD665" s="80"/>
      <c r="BE665" s="80"/>
      <c r="BF665" s="80"/>
      <c r="BG665" s="80"/>
      <c r="BH665" s="80"/>
      <c r="BI665" s="80"/>
      <c r="BJ665" s="80"/>
      <c r="BK665" s="80"/>
      <c r="BL665" s="80"/>
      <c r="BM665" s="80"/>
      <c r="BN665" s="80"/>
      <c r="BO665" s="80"/>
      <c r="BP665" s="80"/>
      <c r="BQ665" s="80"/>
      <c r="BR665" s="80"/>
      <c r="BS665" s="80"/>
      <c r="BT665" s="80"/>
      <c r="BU665" s="80"/>
      <c r="BV665" s="80"/>
      <c r="BW665" s="80"/>
      <c r="BX665" s="80"/>
      <c r="BY665" s="80"/>
      <c r="BZ665" s="80"/>
      <c r="CA665" s="80"/>
      <c r="CB665" s="80"/>
      <c r="CC665" s="80"/>
      <c r="CD665" s="80"/>
      <c r="CE665" s="80"/>
      <c r="CF665" s="80"/>
      <c r="CG665" s="80"/>
      <c r="CH665" s="80"/>
      <c r="CI665" s="80"/>
      <c r="CJ665" s="80"/>
      <c r="CK665" s="82"/>
      <c r="CL665" s="12"/>
      <c r="CM665" s="82"/>
      <c r="CN665" s="12"/>
      <c r="CO665" s="82"/>
      <c r="CP665" s="12"/>
      <c r="CQ665" s="83">
        <f t="shared" si="79"/>
        <v>0</v>
      </c>
      <c r="CR665" s="84"/>
      <c r="CS665" s="13"/>
      <c r="CT665" s="85"/>
      <c r="CU665" s="86"/>
      <c r="CV665" s="11"/>
      <c r="CW665" s="86"/>
      <c r="CX665" s="84"/>
      <c r="CY665" s="86"/>
    </row>
    <row r="666" spans="1:104" ht="51" x14ac:dyDescent="0.2">
      <c r="A666" s="43">
        <v>39992</v>
      </c>
      <c r="B666" s="44" t="s">
        <v>1097</v>
      </c>
      <c r="C666" s="44" t="s">
        <v>1454</v>
      </c>
      <c r="D666" s="45" t="s">
        <v>1118</v>
      </c>
      <c r="E666" s="11"/>
      <c r="F666" s="12"/>
      <c r="G666" s="12"/>
      <c r="H666" s="12"/>
      <c r="I666" s="12"/>
      <c r="J666" s="12"/>
      <c r="K666" s="12"/>
      <c r="L666" s="12"/>
      <c r="M666" s="12"/>
      <c r="N666" s="12"/>
      <c r="O666" s="12"/>
      <c r="P666" s="12"/>
      <c r="Q666" s="12"/>
      <c r="R666" s="12"/>
      <c r="S666" s="12"/>
      <c r="T666" s="13"/>
      <c r="U666" s="46"/>
      <c r="V666" s="47">
        <v>40025</v>
      </c>
      <c r="W666" s="48">
        <f t="shared" si="74"/>
        <v>0</v>
      </c>
      <c r="X666" s="48">
        <f t="shared" si="75"/>
        <v>127500000</v>
      </c>
      <c r="Y666" s="48">
        <f t="shared" si="76"/>
        <v>0</v>
      </c>
      <c r="Z666" s="48">
        <f t="shared" si="77"/>
        <v>0</v>
      </c>
      <c r="AA666" s="48"/>
      <c r="AB666" s="48"/>
      <c r="AC666" s="49">
        <f t="shared" si="78"/>
        <v>127500000</v>
      </c>
      <c r="AD666" s="50">
        <v>0</v>
      </c>
      <c r="AE666" s="47">
        <v>40004</v>
      </c>
      <c r="AF666" s="51" t="s">
        <v>1016</v>
      </c>
      <c r="AG666" s="52" t="s">
        <v>565</v>
      </c>
      <c r="AH666" s="53" t="s">
        <v>760</v>
      </c>
      <c r="AI666" s="79"/>
      <c r="AJ666" s="80"/>
      <c r="AK666" s="81"/>
      <c r="AL666" s="80"/>
      <c r="AM666" s="80"/>
      <c r="AN666" s="80"/>
      <c r="AO666" s="80"/>
      <c r="AP666" s="80"/>
      <c r="AQ666" s="80"/>
      <c r="AR666" s="80"/>
      <c r="AS666" s="80"/>
      <c r="AT666" s="80"/>
      <c r="AU666" s="80"/>
      <c r="AV666" s="80"/>
      <c r="AW666" s="80"/>
      <c r="AX666" s="80"/>
      <c r="AY666" s="80"/>
      <c r="AZ666" s="80"/>
      <c r="BA666" s="80"/>
      <c r="BB666" s="80"/>
      <c r="BC666" s="80"/>
      <c r="BD666" s="80"/>
      <c r="BE666" s="80"/>
      <c r="BF666" s="80"/>
      <c r="BG666" s="80"/>
      <c r="BH666" s="80"/>
      <c r="BI666" s="80"/>
      <c r="BJ666" s="80"/>
      <c r="BK666" s="80"/>
      <c r="BL666" s="80"/>
      <c r="BM666" s="80"/>
      <c r="BN666" s="80"/>
      <c r="BO666" s="80"/>
      <c r="BP666" s="80"/>
      <c r="BQ666" s="80"/>
      <c r="BR666" s="80"/>
      <c r="BS666" s="80"/>
      <c r="BT666" s="80"/>
      <c r="BU666" s="80"/>
      <c r="BV666" s="80"/>
      <c r="BW666" s="80"/>
      <c r="BX666" s="80"/>
      <c r="BY666" s="80"/>
      <c r="BZ666" s="80"/>
      <c r="CA666" s="80"/>
      <c r="CB666" s="80"/>
      <c r="CC666" s="80"/>
      <c r="CD666" s="80"/>
      <c r="CE666" s="80"/>
      <c r="CF666" s="80"/>
      <c r="CG666" s="80"/>
      <c r="CH666" s="80"/>
      <c r="CI666" s="80"/>
      <c r="CJ666" s="80"/>
      <c r="CK666" s="82"/>
      <c r="CL666" s="12"/>
      <c r="CM666" s="82"/>
      <c r="CN666" s="12"/>
      <c r="CO666" s="82"/>
      <c r="CP666" s="12"/>
      <c r="CQ666" s="83">
        <f t="shared" si="79"/>
        <v>0</v>
      </c>
      <c r="CR666" s="84"/>
      <c r="CS666" s="13"/>
      <c r="CT666" s="85">
        <v>1500</v>
      </c>
      <c r="CU666" s="86">
        <f>1500*85000</f>
        <v>127500000</v>
      </c>
      <c r="CV666" s="11"/>
      <c r="CW666" s="86"/>
      <c r="CX666" s="84"/>
      <c r="CY666" s="86"/>
    </row>
    <row r="667" spans="1:104" ht="63.75" x14ac:dyDescent="0.2">
      <c r="A667" s="43">
        <v>39992</v>
      </c>
      <c r="B667" s="44" t="s">
        <v>632</v>
      </c>
      <c r="C667" s="44" t="s">
        <v>82</v>
      </c>
      <c r="D667" s="45" t="s">
        <v>1117</v>
      </c>
      <c r="E667" s="11"/>
      <c r="F667" s="12"/>
      <c r="G667" s="12"/>
      <c r="H667" s="12">
        <f>73*5</f>
        <v>365</v>
      </c>
      <c r="I667" s="12">
        <v>73</v>
      </c>
      <c r="J667" s="12"/>
      <c r="K667" s="12">
        <v>73</v>
      </c>
      <c r="L667" s="12"/>
      <c r="M667" s="12"/>
      <c r="N667" s="12"/>
      <c r="O667" s="12"/>
      <c r="P667" s="12"/>
      <c r="Q667" s="12"/>
      <c r="R667" s="12"/>
      <c r="S667" s="12"/>
      <c r="T667" s="13">
        <v>35</v>
      </c>
      <c r="U667" s="46" t="s">
        <v>931</v>
      </c>
      <c r="V667" s="47"/>
      <c r="W667" s="48">
        <f t="shared" si="74"/>
        <v>0</v>
      </c>
      <c r="X667" s="48">
        <f t="shared" si="75"/>
        <v>0</v>
      </c>
      <c r="Y667" s="48">
        <f t="shared" si="76"/>
        <v>0</v>
      </c>
      <c r="Z667" s="48">
        <f t="shared" si="77"/>
        <v>0</v>
      </c>
      <c r="AA667" s="48"/>
      <c r="AB667" s="48"/>
      <c r="AC667" s="49">
        <f t="shared" si="78"/>
        <v>0</v>
      </c>
      <c r="AD667" s="50">
        <v>0</v>
      </c>
      <c r="AE667" s="47">
        <v>39997</v>
      </c>
      <c r="AF667" s="51" t="s">
        <v>516</v>
      </c>
      <c r="AG667" s="52" t="s">
        <v>517</v>
      </c>
      <c r="AH667" s="53" t="s">
        <v>772</v>
      </c>
      <c r="AI667" s="79"/>
      <c r="AJ667" s="80"/>
      <c r="AK667" s="81"/>
      <c r="AL667" s="80"/>
      <c r="AM667" s="80"/>
      <c r="AN667" s="80"/>
      <c r="AO667" s="80"/>
      <c r="AP667" s="80"/>
      <c r="AQ667" s="80"/>
      <c r="AR667" s="80"/>
      <c r="AS667" s="80"/>
      <c r="AT667" s="80"/>
      <c r="AU667" s="80"/>
      <c r="AV667" s="80"/>
      <c r="AW667" s="80"/>
      <c r="AX667" s="80"/>
      <c r="AY667" s="80"/>
      <c r="AZ667" s="80"/>
      <c r="BA667" s="80"/>
      <c r="BB667" s="80"/>
      <c r="BC667" s="80"/>
      <c r="BD667" s="80"/>
      <c r="BE667" s="80"/>
      <c r="BF667" s="80"/>
      <c r="BG667" s="80"/>
      <c r="BH667" s="80"/>
      <c r="BI667" s="80"/>
      <c r="BJ667" s="80"/>
      <c r="BK667" s="80"/>
      <c r="BL667" s="80"/>
      <c r="BM667" s="80"/>
      <c r="BN667" s="80"/>
      <c r="BO667" s="80"/>
      <c r="BP667" s="80"/>
      <c r="BQ667" s="80"/>
      <c r="BR667" s="80"/>
      <c r="BS667" s="80"/>
      <c r="BT667" s="80"/>
      <c r="BU667" s="80"/>
      <c r="BV667" s="80"/>
      <c r="BW667" s="80"/>
      <c r="BX667" s="80"/>
      <c r="BY667" s="80"/>
      <c r="BZ667" s="80"/>
      <c r="CA667" s="80"/>
      <c r="CB667" s="80"/>
      <c r="CC667" s="80"/>
      <c r="CD667" s="80"/>
      <c r="CE667" s="80"/>
      <c r="CF667" s="80"/>
      <c r="CG667" s="80"/>
      <c r="CH667" s="80"/>
      <c r="CI667" s="80"/>
      <c r="CJ667" s="80"/>
      <c r="CK667" s="82"/>
      <c r="CL667" s="12"/>
      <c r="CM667" s="82"/>
      <c r="CN667" s="12"/>
      <c r="CO667" s="82"/>
      <c r="CP667" s="12"/>
      <c r="CQ667" s="83">
        <f t="shared" si="79"/>
        <v>0</v>
      </c>
      <c r="CR667" s="84"/>
      <c r="CS667" s="13"/>
      <c r="CT667" s="85"/>
      <c r="CU667" s="86"/>
      <c r="CV667" s="11"/>
      <c r="CW667" s="86"/>
      <c r="CX667" s="84"/>
      <c r="CY667" s="86"/>
    </row>
    <row r="668" spans="1:104" ht="25.5" x14ac:dyDescent="0.2">
      <c r="A668" s="43">
        <v>39993</v>
      </c>
      <c r="B668" s="44" t="s">
        <v>625</v>
      </c>
      <c r="C668" s="44" t="s">
        <v>933</v>
      </c>
      <c r="D668" s="45" t="s">
        <v>1117</v>
      </c>
      <c r="E668" s="11"/>
      <c r="F668" s="12"/>
      <c r="G668" s="12"/>
      <c r="H668" s="12">
        <v>30</v>
      </c>
      <c r="I668" s="12">
        <v>6</v>
      </c>
      <c r="J668" s="12"/>
      <c r="K668" s="12">
        <v>6</v>
      </c>
      <c r="L668" s="12"/>
      <c r="M668" s="12"/>
      <c r="N668" s="12"/>
      <c r="O668" s="12"/>
      <c r="P668" s="12"/>
      <c r="Q668" s="12"/>
      <c r="R668" s="12"/>
      <c r="S668" s="12"/>
      <c r="T668" s="13"/>
      <c r="U668" s="46"/>
      <c r="V668" s="47"/>
      <c r="W668" s="48">
        <f t="shared" si="74"/>
        <v>0</v>
      </c>
      <c r="X668" s="48">
        <f t="shared" si="75"/>
        <v>0</v>
      </c>
      <c r="Y668" s="48">
        <f t="shared" si="76"/>
        <v>0</v>
      </c>
      <c r="Z668" s="48">
        <f t="shared" si="77"/>
        <v>0</v>
      </c>
      <c r="AA668" s="48"/>
      <c r="AB668" s="48"/>
      <c r="AC668" s="49">
        <f t="shared" si="78"/>
        <v>0</v>
      </c>
      <c r="AD668" s="50">
        <v>0</v>
      </c>
      <c r="AE668" s="47">
        <v>39994</v>
      </c>
      <c r="AF668" s="51" t="s">
        <v>516</v>
      </c>
      <c r="AG668" s="52" t="s">
        <v>517</v>
      </c>
      <c r="AH668" s="53" t="s">
        <v>1281</v>
      </c>
      <c r="AI668" s="79"/>
      <c r="AJ668" s="80"/>
      <c r="AK668" s="81"/>
      <c r="AL668" s="80"/>
      <c r="AM668" s="80"/>
      <c r="AN668" s="80"/>
      <c r="AO668" s="80"/>
      <c r="AP668" s="80"/>
      <c r="AQ668" s="80"/>
      <c r="AR668" s="80"/>
      <c r="AS668" s="80"/>
      <c r="AT668" s="80"/>
      <c r="AU668" s="80"/>
      <c r="AV668" s="80"/>
      <c r="AW668" s="80"/>
      <c r="AX668" s="80"/>
      <c r="AY668" s="80"/>
      <c r="AZ668" s="80"/>
      <c r="BA668" s="80"/>
      <c r="BB668" s="80"/>
      <c r="BC668" s="80"/>
      <c r="BD668" s="80"/>
      <c r="BE668" s="80"/>
      <c r="BF668" s="80"/>
      <c r="BG668" s="80"/>
      <c r="BH668" s="80"/>
      <c r="BI668" s="80"/>
      <c r="BJ668" s="80"/>
      <c r="BK668" s="80"/>
      <c r="BL668" s="80"/>
      <c r="BM668" s="80"/>
      <c r="BN668" s="80"/>
      <c r="BO668" s="80"/>
      <c r="BP668" s="80"/>
      <c r="BQ668" s="80"/>
      <c r="BR668" s="80"/>
      <c r="BS668" s="80"/>
      <c r="BT668" s="80"/>
      <c r="BU668" s="80"/>
      <c r="BV668" s="80"/>
      <c r="BW668" s="80"/>
      <c r="BX668" s="80"/>
      <c r="BY668" s="80"/>
      <c r="BZ668" s="80"/>
      <c r="CA668" s="80"/>
      <c r="CB668" s="80"/>
      <c r="CC668" s="80"/>
      <c r="CD668" s="80"/>
      <c r="CE668" s="80"/>
      <c r="CF668" s="80"/>
      <c r="CG668" s="80"/>
      <c r="CH668" s="80"/>
      <c r="CI668" s="80"/>
      <c r="CJ668" s="80"/>
      <c r="CK668" s="82"/>
      <c r="CL668" s="12"/>
      <c r="CM668" s="82"/>
      <c r="CN668" s="12"/>
      <c r="CO668" s="82"/>
      <c r="CP668" s="12"/>
      <c r="CQ668" s="83">
        <f t="shared" si="79"/>
        <v>0</v>
      </c>
      <c r="CR668" s="84"/>
      <c r="CS668" s="13"/>
      <c r="CT668" s="85"/>
      <c r="CU668" s="86"/>
      <c r="CV668" s="11"/>
      <c r="CW668" s="86"/>
      <c r="CX668" s="84"/>
      <c r="CY668" s="86"/>
    </row>
    <row r="669" spans="1:104" ht="25.5" x14ac:dyDescent="0.2">
      <c r="A669" s="43">
        <v>39993</v>
      </c>
      <c r="B669" s="44" t="s">
        <v>413</v>
      </c>
      <c r="C669" s="44" t="s">
        <v>51</v>
      </c>
      <c r="D669" s="45" t="s">
        <v>1095</v>
      </c>
      <c r="E669" s="11">
        <v>3</v>
      </c>
      <c r="F669" s="12">
        <v>1</v>
      </c>
      <c r="G669" s="12"/>
      <c r="H669" s="12"/>
      <c r="I669" s="12"/>
      <c r="J669" s="12"/>
      <c r="K669" s="12"/>
      <c r="L669" s="12"/>
      <c r="M669" s="12"/>
      <c r="N669" s="12"/>
      <c r="O669" s="12"/>
      <c r="P669" s="12"/>
      <c r="Q669" s="12"/>
      <c r="R669" s="12"/>
      <c r="S669" s="12"/>
      <c r="T669" s="13"/>
      <c r="U669" s="46"/>
      <c r="V669" s="47"/>
      <c r="W669" s="48">
        <f t="shared" si="74"/>
        <v>0</v>
      </c>
      <c r="X669" s="48">
        <f t="shared" si="75"/>
        <v>0</v>
      </c>
      <c r="Y669" s="48">
        <f t="shared" si="76"/>
        <v>0</v>
      </c>
      <c r="Z669" s="48">
        <f t="shared" si="77"/>
        <v>0</v>
      </c>
      <c r="AA669" s="48"/>
      <c r="AB669" s="48"/>
      <c r="AC669" s="49">
        <f t="shared" si="78"/>
        <v>0</v>
      </c>
      <c r="AD669" s="50">
        <v>0</v>
      </c>
      <c r="AE669" s="47">
        <v>39994</v>
      </c>
      <c r="AF669" s="51" t="s">
        <v>516</v>
      </c>
      <c r="AG669" s="52" t="s">
        <v>517</v>
      </c>
      <c r="AH669" s="53" t="s">
        <v>313</v>
      </c>
      <c r="AI669" s="79"/>
      <c r="AJ669" s="80"/>
      <c r="AK669" s="81"/>
      <c r="AL669" s="80"/>
      <c r="AM669" s="80"/>
      <c r="AN669" s="80"/>
      <c r="AO669" s="80"/>
      <c r="AP669" s="80"/>
      <c r="AQ669" s="80"/>
      <c r="AR669" s="80"/>
      <c r="AS669" s="80"/>
      <c r="AT669" s="80"/>
      <c r="AU669" s="80"/>
      <c r="AV669" s="80"/>
      <c r="AW669" s="80"/>
      <c r="AX669" s="80"/>
      <c r="AY669" s="80"/>
      <c r="AZ669" s="80"/>
      <c r="BA669" s="80"/>
      <c r="BB669" s="80"/>
      <c r="BC669" s="80"/>
      <c r="BD669" s="80"/>
      <c r="BE669" s="80"/>
      <c r="BF669" s="80"/>
      <c r="BG669" s="80"/>
      <c r="BH669" s="80"/>
      <c r="BI669" s="80"/>
      <c r="BJ669" s="80"/>
      <c r="BK669" s="80"/>
      <c r="BL669" s="80"/>
      <c r="BM669" s="80"/>
      <c r="BN669" s="80"/>
      <c r="BO669" s="80"/>
      <c r="BP669" s="80"/>
      <c r="BQ669" s="80"/>
      <c r="BR669" s="80"/>
      <c r="BS669" s="80"/>
      <c r="BT669" s="80"/>
      <c r="BU669" s="80"/>
      <c r="BV669" s="80"/>
      <c r="BW669" s="80"/>
      <c r="BX669" s="80"/>
      <c r="BY669" s="80"/>
      <c r="BZ669" s="80"/>
      <c r="CA669" s="80"/>
      <c r="CB669" s="80"/>
      <c r="CC669" s="80"/>
      <c r="CD669" s="80"/>
      <c r="CE669" s="80"/>
      <c r="CF669" s="80"/>
      <c r="CG669" s="80"/>
      <c r="CH669" s="80"/>
      <c r="CI669" s="80"/>
      <c r="CJ669" s="80"/>
      <c r="CK669" s="82"/>
      <c r="CL669" s="12"/>
      <c r="CM669" s="82"/>
      <c r="CN669" s="12"/>
      <c r="CO669" s="82"/>
      <c r="CP669" s="12"/>
      <c r="CQ669" s="83">
        <f t="shared" si="79"/>
        <v>0</v>
      </c>
      <c r="CR669" s="84"/>
      <c r="CS669" s="13"/>
      <c r="CT669" s="85"/>
      <c r="CU669" s="86"/>
      <c r="CV669" s="11"/>
      <c r="CW669" s="86"/>
      <c r="CX669" s="84"/>
      <c r="CY669" s="86"/>
    </row>
    <row r="670" spans="1:104" ht="25.5" x14ac:dyDescent="0.2">
      <c r="A670" s="43">
        <v>39994</v>
      </c>
      <c r="B670" s="44" t="s">
        <v>625</v>
      </c>
      <c r="C670" s="44" t="s">
        <v>1066</v>
      </c>
      <c r="D670" s="45" t="s">
        <v>1117</v>
      </c>
      <c r="E670" s="11"/>
      <c r="F670" s="12"/>
      <c r="G670" s="12"/>
      <c r="H670" s="12">
        <v>150</v>
      </c>
      <c r="I670" s="12">
        <v>30</v>
      </c>
      <c r="J670" s="12"/>
      <c r="K670" s="12">
        <v>30</v>
      </c>
      <c r="L670" s="12"/>
      <c r="M670" s="12"/>
      <c r="N670" s="12"/>
      <c r="O670" s="12"/>
      <c r="P670" s="12"/>
      <c r="Q670" s="12"/>
      <c r="R670" s="12"/>
      <c r="S670" s="12"/>
      <c r="T670" s="13"/>
      <c r="U670" s="46"/>
      <c r="V670" s="47"/>
      <c r="W670" s="48">
        <f t="shared" si="74"/>
        <v>0</v>
      </c>
      <c r="X670" s="48">
        <f t="shared" si="75"/>
        <v>0</v>
      </c>
      <c r="Y670" s="48">
        <f t="shared" si="76"/>
        <v>0</v>
      </c>
      <c r="Z670" s="48">
        <f t="shared" si="77"/>
        <v>0</v>
      </c>
      <c r="AA670" s="48"/>
      <c r="AB670" s="48"/>
      <c r="AC670" s="49">
        <f t="shared" si="78"/>
        <v>0</v>
      </c>
      <c r="AD670" s="50">
        <v>0</v>
      </c>
      <c r="AE670" s="47">
        <v>39997</v>
      </c>
      <c r="AF670" s="51" t="s">
        <v>516</v>
      </c>
      <c r="AG670" s="52" t="s">
        <v>517</v>
      </c>
      <c r="AH670" s="53" t="s">
        <v>932</v>
      </c>
      <c r="AI670" s="79"/>
      <c r="AJ670" s="80"/>
      <c r="AK670" s="81"/>
      <c r="AL670" s="80"/>
      <c r="AM670" s="80"/>
      <c r="AN670" s="80"/>
      <c r="AO670" s="80"/>
      <c r="AP670" s="80"/>
      <c r="AQ670" s="80"/>
      <c r="AR670" s="80"/>
      <c r="AS670" s="80"/>
      <c r="AT670" s="80"/>
      <c r="AU670" s="80"/>
      <c r="AV670" s="80"/>
      <c r="AW670" s="80"/>
      <c r="AX670" s="80"/>
      <c r="AY670" s="80"/>
      <c r="AZ670" s="80"/>
      <c r="BA670" s="80"/>
      <c r="BB670" s="80"/>
      <c r="BC670" s="80"/>
      <c r="BD670" s="80"/>
      <c r="BE670" s="80"/>
      <c r="BF670" s="80"/>
      <c r="BG670" s="80"/>
      <c r="BH670" s="80"/>
      <c r="BI670" s="80"/>
      <c r="BJ670" s="80"/>
      <c r="BK670" s="80"/>
      <c r="BL670" s="80"/>
      <c r="BM670" s="80"/>
      <c r="BN670" s="80"/>
      <c r="BO670" s="80"/>
      <c r="BP670" s="80"/>
      <c r="BQ670" s="80"/>
      <c r="BR670" s="80"/>
      <c r="BS670" s="80"/>
      <c r="BT670" s="80"/>
      <c r="BU670" s="80"/>
      <c r="BV670" s="80"/>
      <c r="BW670" s="80"/>
      <c r="BX670" s="80"/>
      <c r="BY670" s="80"/>
      <c r="BZ670" s="80"/>
      <c r="CA670" s="80"/>
      <c r="CB670" s="80"/>
      <c r="CC670" s="80"/>
      <c r="CD670" s="80"/>
      <c r="CE670" s="80"/>
      <c r="CF670" s="80"/>
      <c r="CG670" s="80"/>
      <c r="CH670" s="80"/>
      <c r="CI670" s="80"/>
      <c r="CJ670" s="80"/>
      <c r="CK670" s="82"/>
      <c r="CL670" s="12"/>
      <c r="CM670" s="82"/>
      <c r="CN670" s="12"/>
      <c r="CO670" s="82"/>
      <c r="CP670" s="12"/>
      <c r="CQ670" s="83">
        <f t="shared" si="79"/>
        <v>0</v>
      </c>
      <c r="CR670" s="84"/>
      <c r="CS670" s="13"/>
      <c r="CT670" s="85"/>
      <c r="CU670" s="86"/>
      <c r="CV670" s="11"/>
      <c r="CW670" s="86"/>
      <c r="CX670" s="84"/>
      <c r="CY670" s="86"/>
    </row>
    <row r="671" spans="1:104" ht="25.5" x14ac:dyDescent="0.2">
      <c r="A671" s="43">
        <v>39995</v>
      </c>
      <c r="B671" s="44" t="s">
        <v>765</v>
      </c>
      <c r="C671" s="44" t="s">
        <v>62</v>
      </c>
      <c r="D671" s="45" t="s">
        <v>1118</v>
      </c>
      <c r="E671" s="11"/>
      <c r="F671" s="12"/>
      <c r="G671" s="12"/>
      <c r="H671" s="12">
        <v>88</v>
      </c>
      <c r="I671" s="12">
        <v>15</v>
      </c>
      <c r="J671" s="12"/>
      <c r="K671" s="12">
        <v>15</v>
      </c>
      <c r="L671" s="12"/>
      <c r="M671" s="12"/>
      <c r="N671" s="12"/>
      <c r="O671" s="12"/>
      <c r="P671" s="12"/>
      <c r="Q671" s="12"/>
      <c r="R671" s="12"/>
      <c r="S671" s="12"/>
      <c r="T671" s="13"/>
      <c r="U671" s="46"/>
      <c r="V671" s="47"/>
      <c r="W671" s="48">
        <f t="shared" si="74"/>
        <v>0</v>
      </c>
      <c r="X671" s="48">
        <f t="shared" si="75"/>
        <v>0</v>
      </c>
      <c r="Y671" s="48">
        <f t="shared" si="76"/>
        <v>0</v>
      </c>
      <c r="Z671" s="48">
        <f t="shared" si="77"/>
        <v>0</v>
      </c>
      <c r="AA671" s="48"/>
      <c r="AB671" s="48"/>
      <c r="AC671" s="49">
        <f t="shared" si="78"/>
        <v>0</v>
      </c>
      <c r="AD671" s="50">
        <v>0</v>
      </c>
      <c r="AE671" s="47">
        <v>39997</v>
      </c>
      <c r="AF671" s="51" t="s">
        <v>516</v>
      </c>
      <c r="AG671" s="52" t="s">
        <v>517</v>
      </c>
      <c r="AH671" s="53" t="s">
        <v>86</v>
      </c>
      <c r="AI671" s="79"/>
      <c r="AJ671" s="80"/>
      <c r="AK671" s="81"/>
      <c r="AL671" s="80"/>
      <c r="AM671" s="80"/>
      <c r="AN671" s="80"/>
      <c r="AO671" s="80"/>
      <c r="AP671" s="80"/>
      <c r="AQ671" s="80"/>
      <c r="AR671" s="80"/>
      <c r="AS671" s="80"/>
      <c r="AT671" s="80"/>
      <c r="AU671" s="80"/>
      <c r="AV671" s="80"/>
      <c r="AW671" s="80"/>
      <c r="AX671" s="80"/>
      <c r="AY671" s="80"/>
      <c r="AZ671" s="80"/>
      <c r="BA671" s="80"/>
      <c r="BB671" s="80"/>
      <c r="BC671" s="80"/>
      <c r="BD671" s="80"/>
      <c r="BE671" s="80"/>
      <c r="BF671" s="80"/>
      <c r="BG671" s="80"/>
      <c r="BH671" s="80"/>
      <c r="BI671" s="80"/>
      <c r="BJ671" s="80"/>
      <c r="BK671" s="80"/>
      <c r="BL671" s="80"/>
      <c r="BM671" s="80"/>
      <c r="BN671" s="80"/>
      <c r="BO671" s="80"/>
      <c r="BP671" s="80"/>
      <c r="BQ671" s="80"/>
      <c r="BR671" s="80"/>
      <c r="BS671" s="80"/>
      <c r="BT671" s="80"/>
      <c r="BU671" s="80"/>
      <c r="BV671" s="80"/>
      <c r="BW671" s="80"/>
      <c r="BX671" s="80"/>
      <c r="BY671" s="80"/>
      <c r="BZ671" s="80"/>
      <c r="CA671" s="80"/>
      <c r="CB671" s="80"/>
      <c r="CC671" s="80"/>
      <c r="CD671" s="80"/>
      <c r="CE671" s="80"/>
      <c r="CF671" s="80"/>
      <c r="CG671" s="80"/>
      <c r="CH671" s="80"/>
      <c r="CI671" s="80"/>
      <c r="CJ671" s="80"/>
      <c r="CK671" s="82"/>
      <c r="CL671" s="12"/>
      <c r="CM671" s="82"/>
      <c r="CN671" s="12"/>
      <c r="CO671" s="82"/>
      <c r="CP671" s="12"/>
      <c r="CQ671" s="83">
        <f t="shared" si="79"/>
        <v>0</v>
      </c>
      <c r="CR671" s="84"/>
      <c r="CS671" s="13"/>
      <c r="CT671" s="85"/>
      <c r="CU671" s="86"/>
      <c r="CV671" s="11"/>
      <c r="CW671" s="86"/>
      <c r="CX671" s="84"/>
      <c r="CY671" s="86"/>
    </row>
    <row r="672" spans="1:104" ht="63.75" x14ac:dyDescent="0.2">
      <c r="A672" s="43">
        <v>39995</v>
      </c>
      <c r="B672" s="44" t="s">
        <v>1091</v>
      </c>
      <c r="C672" s="44" t="s">
        <v>288</v>
      </c>
      <c r="D672" s="45" t="s">
        <v>134</v>
      </c>
      <c r="E672" s="11"/>
      <c r="F672" s="12"/>
      <c r="G672" s="12"/>
      <c r="H672" s="12">
        <v>167</v>
      </c>
      <c r="I672" s="12">
        <v>28</v>
      </c>
      <c r="J672" s="12">
        <v>5</v>
      </c>
      <c r="K672" s="12">
        <v>23</v>
      </c>
      <c r="L672" s="12">
        <v>1</v>
      </c>
      <c r="M672" s="12">
        <v>4</v>
      </c>
      <c r="N672" s="12"/>
      <c r="O672" s="12">
        <v>2</v>
      </c>
      <c r="P672" s="12"/>
      <c r="Q672" s="12"/>
      <c r="R672" s="12"/>
      <c r="S672" s="12"/>
      <c r="T672" s="13"/>
      <c r="U672" s="46"/>
      <c r="V672" s="47"/>
      <c r="W672" s="48">
        <f t="shared" si="74"/>
        <v>0</v>
      </c>
      <c r="X672" s="48">
        <f t="shared" si="75"/>
        <v>0</v>
      </c>
      <c r="Y672" s="48">
        <f t="shared" si="76"/>
        <v>0</v>
      </c>
      <c r="Z672" s="48">
        <f t="shared" si="77"/>
        <v>0</v>
      </c>
      <c r="AA672" s="48"/>
      <c r="AB672" s="48"/>
      <c r="AC672" s="49">
        <f t="shared" si="78"/>
        <v>0</v>
      </c>
      <c r="AD672" s="50">
        <v>0</v>
      </c>
      <c r="AE672" s="47">
        <v>39997</v>
      </c>
      <c r="AF672" s="51" t="s">
        <v>516</v>
      </c>
      <c r="AG672" s="52" t="s">
        <v>517</v>
      </c>
      <c r="AH672" s="53" t="s">
        <v>85</v>
      </c>
      <c r="AI672" s="79"/>
      <c r="AJ672" s="80"/>
      <c r="AK672" s="81"/>
      <c r="AL672" s="80"/>
      <c r="AM672" s="80"/>
      <c r="AN672" s="80"/>
      <c r="AO672" s="80"/>
      <c r="AP672" s="80"/>
      <c r="AQ672" s="80"/>
      <c r="AR672" s="80"/>
      <c r="AS672" s="80"/>
      <c r="AT672" s="80"/>
      <c r="AU672" s="80"/>
      <c r="AV672" s="80"/>
      <c r="AW672" s="80"/>
      <c r="AX672" s="80"/>
      <c r="AY672" s="80"/>
      <c r="AZ672" s="80"/>
      <c r="BA672" s="80"/>
      <c r="BB672" s="80"/>
      <c r="BC672" s="80"/>
      <c r="BD672" s="80"/>
      <c r="BE672" s="80"/>
      <c r="BF672" s="80"/>
      <c r="BG672" s="80"/>
      <c r="BH672" s="80"/>
      <c r="BI672" s="80"/>
      <c r="BJ672" s="80"/>
      <c r="BK672" s="80"/>
      <c r="BL672" s="80"/>
      <c r="BM672" s="80"/>
      <c r="BN672" s="80"/>
      <c r="BO672" s="80"/>
      <c r="BP672" s="80"/>
      <c r="BQ672" s="80"/>
      <c r="BR672" s="80"/>
      <c r="BS672" s="80"/>
      <c r="BT672" s="80"/>
      <c r="BU672" s="80"/>
      <c r="BV672" s="80"/>
      <c r="BW672" s="80"/>
      <c r="BX672" s="80"/>
      <c r="BY672" s="80"/>
      <c r="BZ672" s="80"/>
      <c r="CA672" s="80"/>
      <c r="CB672" s="80"/>
      <c r="CC672" s="80"/>
      <c r="CD672" s="80"/>
      <c r="CE672" s="80"/>
      <c r="CF672" s="80"/>
      <c r="CG672" s="80"/>
      <c r="CH672" s="80"/>
      <c r="CI672" s="80"/>
      <c r="CJ672" s="80"/>
      <c r="CK672" s="82"/>
      <c r="CL672" s="12"/>
      <c r="CM672" s="82"/>
      <c r="CN672" s="12"/>
      <c r="CO672" s="82"/>
      <c r="CP672" s="12"/>
      <c r="CQ672" s="83">
        <f t="shared" si="79"/>
        <v>0</v>
      </c>
      <c r="CR672" s="84"/>
      <c r="CS672" s="13"/>
      <c r="CT672" s="85"/>
      <c r="CU672" s="86"/>
      <c r="CV672" s="11"/>
      <c r="CW672" s="86"/>
      <c r="CX672" s="84"/>
      <c r="CY672" s="86"/>
    </row>
    <row r="673" spans="1:104" ht="89.25" x14ac:dyDescent="0.2">
      <c r="A673" s="43">
        <v>39995</v>
      </c>
      <c r="B673" s="44" t="s">
        <v>1350</v>
      </c>
      <c r="C673" s="44" t="s">
        <v>87</v>
      </c>
      <c r="D673" s="45" t="s">
        <v>1118</v>
      </c>
      <c r="E673" s="11"/>
      <c r="F673" s="12"/>
      <c r="G673" s="12"/>
      <c r="H673" s="12">
        <f>35*5</f>
        <v>175</v>
      </c>
      <c r="I673" s="12">
        <v>35</v>
      </c>
      <c r="J673" s="12">
        <v>15</v>
      </c>
      <c r="K673" s="12">
        <v>20</v>
      </c>
      <c r="L673" s="12">
        <v>1</v>
      </c>
      <c r="M673" s="12"/>
      <c r="N673" s="12"/>
      <c r="O673" s="12"/>
      <c r="P673" s="12"/>
      <c r="Q673" s="12"/>
      <c r="R673" s="12">
        <v>1</v>
      </c>
      <c r="S673" s="12"/>
      <c r="T673" s="13"/>
      <c r="U673" s="46"/>
      <c r="V673" s="47"/>
      <c r="W673" s="48">
        <f t="shared" si="74"/>
        <v>0</v>
      </c>
      <c r="X673" s="48">
        <f t="shared" si="75"/>
        <v>0</v>
      </c>
      <c r="Y673" s="48">
        <f t="shared" si="76"/>
        <v>0</v>
      </c>
      <c r="Z673" s="48">
        <f t="shared" si="77"/>
        <v>0</v>
      </c>
      <c r="AA673" s="48"/>
      <c r="AB673" s="48"/>
      <c r="AC673" s="49">
        <f t="shared" si="78"/>
        <v>0</v>
      </c>
      <c r="AD673" s="50">
        <v>0</v>
      </c>
      <c r="AE673" s="47">
        <v>39997</v>
      </c>
      <c r="AF673" s="51" t="s">
        <v>516</v>
      </c>
      <c r="AG673" s="52" t="s">
        <v>517</v>
      </c>
      <c r="AH673" s="53" t="s">
        <v>1337</v>
      </c>
      <c r="AI673" s="79"/>
      <c r="AJ673" s="80"/>
      <c r="AK673" s="81"/>
      <c r="AL673" s="80"/>
      <c r="AM673" s="80"/>
      <c r="AN673" s="80"/>
      <c r="AO673" s="80"/>
      <c r="AP673" s="80"/>
      <c r="AQ673" s="80"/>
      <c r="AR673" s="80"/>
      <c r="AS673" s="80"/>
      <c r="AT673" s="80"/>
      <c r="AU673" s="80"/>
      <c r="AV673" s="80"/>
      <c r="AW673" s="80"/>
      <c r="AX673" s="80"/>
      <c r="AY673" s="80"/>
      <c r="AZ673" s="80"/>
      <c r="BA673" s="80"/>
      <c r="BB673" s="80"/>
      <c r="BC673" s="80"/>
      <c r="BD673" s="80"/>
      <c r="BE673" s="80"/>
      <c r="BF673" s="80"/>
      <c r="BG673" s="80"/>
      <c r="BH673" s="80"/>
      <c r="BI673" s="80"/>
      <c r="BJ673" s="80"/>
      <c r="BK673" s="80"/>
      <c r="BL673" s="80"/>
      <c r="BM673" s="80"/>
      <c r="BN673" s="80"/>
      <c r="BO673" s="80"/>
      <c r="BP673" s="80"/>
      <c r="BQ673" s="80"/>
      <c r="BR673" s="80"/>
      <c r="BS673" s="80"/>
      <c r="BT673" s="80"/>
      <c r="BU673" s="80"/>
      <c r="BV673" s="80"/>
      <c r="BW673" s="80"/>
      <c r="BX673" s="80"/>
      <c r="BY673" s="80"/>
      <c r="BZ673" s="80"/>
      <c r="CA673" s="80"/>
      <c r="CB673" s="80"/>
      <c r="CC673" s="80"/>
      <c r="CD673" s="80"/>
      <c r="CE673" s="80"/>
      <c r="CF673" s="80"/>
      <c r="CG673" s="80"/>
      <c r="CH673" s="80"/>
      <c r="CI673" s="80"/>
      <c r="CJ673" s="80"/>
      <c r="CK673" s="82"/>
      <c r="CL673" s="12"/>
      <c r="CM673" s="82"/>
      <c r="CN673" s="12"/>
      <c r="CO673" s="82"/>
      <c r="CP673" s="12"/>
      <c r="CQ673" s="83">
        <f t="shared" si="79"/>
        <v>0</v>
      </c>
      <c r="CR673" s="84"/>
      <c r="CS673" s="13"/>
      <c r="CT673" s="85"/>
      <c r="CU673" s="86"/>
      <c r="CV673" s="11"/>
      <c r="CW673" s="86"/>
      <c r="CX673" s="84"/>
      <c r="CY673" s="86"/>
    </row>
    <row r="674" spans="1:104" ht="25.5" x14ac:dyDescent="0.2">
      <c r="A674" s="43">
        <v>39996</v>
      </c>
      <c r="B674" s="44" t="s">
        <v>625</v>
      </c>
      <c r="C674" s="44" t="s">
        <v>813</v>
      </c>
      <c r="D674" s="45" t="s">
        <v>1118</v>
      </c>
      <c r="E674" s="11"/>
      <c r="F674" s="12">
        <v>1</v>
      </c>
      <c r="G674" s="12"/>
      <c r="H674" s="12">
        <v>110</v>
      </c>
      <c r="I674" s="12">
        <v>25</v>
      </c>
      <c r="J674" s="12"/>
      <c r="K674" s="12">
        <v>25</v>
      </c>
      <c r="L674" s="12"/>
      <c r="M674" s="12"/>
      <c r="N674" s="12"/>
      <c r="O674" s="12"/>
      <c r="P674" s="12"/>
      <c r="Q674" s="12"/>
      <c r="R674" s="12"/>
      <c r="S674" s="12"/>
      <c r="T674" s="13"/>
      <c r="U674" s="46"/>
      <c r="V674" s="47"/>
      <c r="W674" s="48">
        <f t="shared" si="74"/>
        <v>0</v>
      </c>
      <c r="X674" s="48">
        <f t="shared" si="75"/>
        <v>0</v>
      </c>
      <c r="Y674" s="48">
        <f t="shared" si="76"/>
        <v>0</v>
      </c>
      <c r="Z674" s="48">
        <f t="shared" si="77"/>
        <v>0</v>
      </c>
      <c r="AA674" s="48"/>
      <c r="AB674" s="48"/>
      <c r="AC674" s="49">
        <f t="shared" si="78"/>
        <v>0</v>
      </c>
      <c r="AD674" s="50">
        <v>0</v>
      </c>
      <c r="AE674" s="47">
        <v>39997</v>
      </c>
      <c r="AF674" s="51" t="s">
        <v>516</v>
      </c>
      <c r="AG674" s="52" t="s">
        <v>517</v>
      </c>
      <c r="AH674" s="53" t="s">
        <v>1437</v>
      </c>
      <c r="AI674" s="79"/>
      <c r="AJ674" s="80"/>
      <c r="AK674" s="81"/>
      <c r="AL674" s="80"/>
      <c r="AM674" s="80"/>
      <c r="AN674" s="80"/>
      <c r="AO674" s="80"/>
      <c r="AP674" s="80"/>
      <c r="AQ674" s="80"/>
      <c r="AR674" s="80"/>
      <c r="AS674" s="80"/>
      <c r="AT674" s="80"/>
      <c r="AU674" s="80"/>
      <c r="AV674" s="80"/>
      <c r="AW674" s="80"/>
      <c r="AX674" s="80"/>
      <c r="AY674" s="80"/>
      <c r="AZ674" s="80"/>
      <c r="BA674" s="80"/>
      <c r="BB674" s="80"/>
      <c r="BC674" s="80"/>
      <c r="BD674" s="80"/>
      <c r="BE674" s="80"/>
      <c r="BF674" s="80"/>
      <c r="BG674" s="80"/>
      <c r="BH674" s="80"/>
      <c r="BI674" s="80"/>
      <c r="BJ674" s="80"/>
      <c r="BK674" s="80"/>
      <c r="BL674" s="80"/>
      <c r="BM674" s="80"/>
      <c r="BN674" s="80"/>
      <c r="BO674" s="80"/>
      <c r="BP674" s="80"/>
      <c r="BQ674" s="80"/>
      <c r="BR674" s="80"/>
      <c r="BS674" s="80"/>
      <c r="BT674" s="80"/>
      <c r="BU674" s="80"/>
      <c r="BV674" s="80"/>
      <c r="BW674" s="80"/>
      <c r="BX674" s="80"/>
      <c r="BY674" s="80"/>
      <c r="BZ674" s="80"/>
      <c r="CA674" s="80"/>
      <c r="CB674" s="80"/>
      <c r="CC674" s="80"/>
      <c r="CD674" s="80"/>
      <c r="CE674" s="80"/>
      <c r="CF674" s="80"/>
      <c r="CG674" s="80"/>
      <c r="CH674" s="80"/>
      <c r="CI674" s="80"/>
      <c r="CJ674" s="80"/>
      <c r="CK674" s="82"/>
      <c r="CL674" s="12"/>
      <c r="CM674" s="82"/>
      <c r="CN674" s="12"/>
      <c r="CO674" s="82"/>
      <c r="CP674" s="12"/>
      <c r="CQ674" s="83">
        <f t="shared" si="79"/>
        <v>0</v>
      </c>
      <c r="CR674" s="84"/>
      <c r="CS674" s="13"/>
      <c r="CT674" s="85"/>
      <c r="CU674" s="86"/>
      <c r="CV674" s="11"/>
      <c r="CW674" s="86"/>
      <c r="CX674" s="84"/>
      <c r="CY674" s="86"/>
    </row>
    <row r="675" spans="1:104" ht="25.5" x14ac:dyDescent="0.2">
      <c r="A675" s="43">
        <v>39996</v>
      </c>
      <c r="B675" s="44" t="s">
        <v>625</v>
      </c>
      <c r="C675" s="44" t="s">
        <v>1434</v>
      </c>
      <c r="D675" s="45" t="s">
        <v>1118</v>
      </c>
      <c r="E675" s="11"/>
      <c r="F675" s="12"/>
      <c r="G675" s="12"/>
      <c r="H675" s="12">
        <v>65</v>
      </c>
      <c r="I675" s="12">
        <v>13</v>
      </c>
      <c r="J675" s="12"/>
      <c r="K675" s="12">
        <v>13</v>
      </c>
      <c r="L675" s="12"/>
      <c r="M675" s="12"/>
      <c r="N675" s="12"/>
      <c r="O675" s="12"/>
      <c r="P675" s="12"/>
      <c r="Q675" s="12"/>
      <c r="R675" s="12"/>
      <c r="S675" s="12"/>
      <c r="T675" s="13"/>
      <c r="U675" s="46" t="s">
        <v>1436</v>
      </c>
      <c r="V675" s="47"/>
      <c r="W675" s="48">
        <f t="shared" si="74"/>
        <v>0</v>
      </c>
      <c r="X675" s="48">
        <f t="shared" si="75"/>
        <v>0</v>
      </c>
      <c r="Y675" s="48">
        <f t="shared" si="76"/>
        <v>0</v>
      </c>
      <c r="Z675" s="48">
        <f t="shared" si="77"/>
        <v>0</v>
      </c>
      <c r="AA675" s="48"/>
      <c r="AB675" s="48"/>
      <c r="AC675" s="49">
        <f t="shared" si="78"/>
        <v>0</v>
      </c>
      <c r="AD675" s="50">
        <v>0</v>
      </c>
      <c r="AE675" s="47">
        <v>39997</v>
      </c>
      <c r="AF675" s="51" t="s">
        <v>516</v>
      </c>
      <c r="AG675" s="52" t="s">
        <v>517</v>
      </c>
      <c r="AH675" s="53"/>
      <c r="AI675" s="79"/>
      <c r="AJ675" s="80"/>
      <c r="AK675" s="81"/>
      <c r="AL675" s="80"/>
      <c r="AM675" s="80"/>
      <c r="AN675" s="80"/>
      <c r="AO675" s="80"/>
      <c r="AP675" s="80"/>
      <c r="AQ675" s="80"/>
      <c r="AR675" s="80"/>
      <c r="AS675" s="80"/>
      <c r="AT675" s="80"/>
      <c r="AU675" s="80"/>
      <c r="AV675" s="80"/>
      <c r="AW675" s="80"/>
      <c r="AX675" s="80"/>
      <c r="AY675" s="80"/>
      <c r="AZ675" s="80"/>
      <c r="BA675" s="80"/>
      <c r="BB675" s="80"/>
      <c r="BC675" s="80"/>
      <c r="BD675" s="80"/>
      <c r="BE675" s="80"/>
      <c r="BF675" s="80"/>
      <c r="BG675" s="80"/>
      <c r="BH675" s="80"/>
      <c r="BI675" s="80"/>
      <c r="BJ675" s="80"/>
      <c r="BK675" s="80"/>
      <c r="BL675" s="80"/>
      <c r="BM675" s="80"/>
      <c r="BN675" s="80"/>
      <c r="BO675" s="80"/>
      <c r="BP675" s="80"/>
      <c r="BQ675" s="80"/>
      <c r="BR675" s="80"/>
      <c r="BS675" s="80"/>
      <c r="BT675" s="80"/>
      <c r="BU675" s="80"/>
      <c r="BV675" s="80"/>
      <c r="BW675" s="80"/>
      <c r="BX675" s="80"/>
      <c r="BY675" s="80"/>
      <c r="BZ675" s="80"/>
      <c r="CA675" s="80"/>
      <c r="CB675" s="80"/>
      <c r="CC675" s="80"/>
      <c r="CD675" s="80"/>
      <c r="CE675" s="80"/>
      <c r="CF675" s="80"/>
      <c r="CG675" s="80"/>
      <c r="CH675" s="80"/>
      <c r="CI675" s="80"/>
      <c r="CJ675" s="80"/>
      <c r="CK675" s="82"/>
      <c r="CL675" s="12"/>
      <c r="CM675" s="82"/>
      <c r="CN675" s="12"/>
      <c r="CO675" s="82"/>
      <c r="CP675" s="12"/>
      <c r="CQ675" s="83">
        <f t="shared" ref="CQ675:CQ706" si="80">AJ675+AL675+AN675+AP675+AR675+AT675+AV675+AX675+AZ675+BB675+BD675+BF675+BH675+BJ675+BL675+BN675+BP675+BR675+BT675+BV675+BX675+BZ675+CB675+CD675+CF675+CH675+CJ675+CL675+CN675+CP675</f>
        <v>0</v>
      </c>
      <c r="CR675" s="84"/>
      <c r="CS675" s="13"/>
      <c r="CT675" s="85"/>
      <c r="CU675" s="86"/>
      <c r="CV675" s="11"/>
      <c r="CW675" s="86"/>
      <c r="CX675" s="84"/>
      <c r="CY675" s="86"/>
    </row>
    <row r="676" spans="1:104" ht="25.5" x14ac:dyDescent="0.2">
      <c r="A676" s="43">
        <v>39996</v>
      </c>
      <c r="B676" s="44" t="s">
        <v>625</v>
      </c>
      <c r="C676" s="44" t="s">
        <v>1366</v>
      </c>
      <c r="D676" s="45" t="s">
        <v>1117</v>
      </c>
      <c r="E676" s="11"/>
      <c r="F676" s="12"/>
      <c r="G676" s="12"/>
      <c r="H676" s="12">
        <v>5</v>
      </c>
      <c r="I676" s="12">
        <v>1</v>
      </c>
      <c r="J676" s="12">
        <v>1</v>
      </c>
      <c r="K676" s="12"/>
      <c r="L676" s="12"/>
      <c r="M676" s="12"/>
      <c r="N676" s="12"/>
      <c r="O676" s="12"/>
      <c r="P676" s="12"/>
      <c r="Q676" s="12"/>
      <c r="R676" s="12"/>
      <c r="S676" s="12"/>
      <c r="T676" s="13"/>
      <c r="U676" s="46"/>
      <c r="V676" s="47"/>
      <c r="W676" s="48">
        <f t="shared" si="74"/>
        <v>0</v>
      </c>
      <c r="X676" s="48">
        <f t="shared" si="75"/>
        <v>0</v>
      </c>
      <c r="Y676" s="48">
        <f t="shared" si="76"/>
        <v>0</v>
      </c>
      <c r="Z676" s="48">
        <f t="shared" si="77"/>
        <v>0</v>
      </c>
      <c r="AA676" s="48"/>
      <c r="AB676" s="48"/>
      <c r="AC676" s="49">
        <f t="shared" si="78"/>
        <v>0</v>
      </c>
      <c r="AD676" s="50">
        <v>0</v>
      </c>
      <c r="AE676" s="47">
        <v>39997</v>
      </c>
      <c r="AF676" s="51" t="s">
        <v>516</v>
      </c>
      <c r="AG676" s="52" t="s">
        <v>517</v>
      </c>
      <c r="AH676" s="53" t="s">
        <v>1438</v>
      </c>
      <c r="AI676" s="79"/>
      <c r="AJ676" s="80"/>
      <c r="AK676" s="81"/>
      <c r="AL676" s="80"/>
      <c r="AM676" s="80"/>
      <c r="AN676" s="80"/>
      <c r="AO676" s="80"/>
      <c r="AP676" s="80"/>
      <c r="AQ676" s="80"/>
      <c r="AR676" s="80"/>
      <c r="AS676" s="80"/>
      <c r="AT676" s="80"/>
      <c r="AU676" s="80"/>
      <c r="AV676" s="80"/>
      <c r="AW676" s="80"/>
      <c r="AX676" s="80"/>
      <c r="AY676" s="80"/>
      <c r="AZ676" s="80"/>
      <c r="BA676" s="80"/>
      <c r="BB676" s="80"/>
      <c r="BC676" s="80"/>
      <c r="BD676" s="80"/>
      <c r="BE676" s="80"/>
      <c r="BF676" s="80"/>
      <c r="BG676" s="80"/>
      <c r="BH676" s="80"/>
      <c r="BI676" s="80"/>
      <c r="BJ676" s="80"/>
      <c r="BK676" s="80"/>
      <c r="BL676" s="80"/>
      <c r="BM676" s="80"/>
      <c r="BN676" s="80"/>
      <c r="BO676" s="80"/>
      <c r="BP676" s="80"/>
      <c r="BQ676" s="80"/>
      <c r="BR676" s="80"/>
      <c r="BS676" s="80"/>
      <c r="BT676" s="80"/>
      <c r="BU676" s="80"/>
      <c r="BV676" s="80"/>
      <c r="BW676" s="80"/>
      <c r="BX676" s="80"/>
      <c r="BY676" s="80"/>
      <c r="BZ676" s="80"/>
      <c r="CA676" s="80"/>
      <c r="CB676" s="80"/>
      <c r="CC676" s="80"/>
      <c r="CD676" s="80"/>
      <c r="CE676" s="80"/>
      <c r="CF676" s="80"/>
      <c r="CG676" s="80"/>
      <c r="CH676" s="80"/>
      <c r="CI676" s="80"/>
      <c r="CJ676" s="80"/>
      <c r="CK676" s="82"/>
      <c r="CL676" s="12"/>
      <c r="CM676" s="82"/>
      <c r="CN676" s="12"/>
      <c r="CO676" s="82"/>
      <c r="CP676" s="12"/>
      <c r="CQ676" s="83">
        <f t="shared" si="80"/>
        <v>0</v>
      </c>
      <c r="CR676" s="84"/>
      <c r="CS676" s="13"/>
      <c r="CT676" s="85"/>
      <c r="CU676" s="86"/>
      <c r="CV676" s="11"/>
      <c r="CW676" s="86"/>
      <c r="CX676" s="84"/>
      <c r="CY676" s="86"/>
    </row>
    <row r="677" spans="1:104" ht="25.5" x14ac:dyDescent="0.2">
      <c r="A677" s="43">
        <v>39996</v>
      </c>
      <c r="B677" s="44" t="s">
        <v>625</v>
      </c>
      <c r="C677" s="44" t="s">
        <v>661</v>
      </c>
      <c r="D677" s="45" t="s">
        <v>1117</v>
      </c>
      <c r="E677" s="11"/>
      <c r="F677" s="12"/>
      <c r="G677" s="12"/>
      <c r="H677" s="12"/>
      <c r="I677" s="12"/>
      <c r="J677" s="12"/>
      <c r="K677" s="12"/>
      <c r="L677" s="12"/>
      <c r="M677" s="12"/>
      <c r="N677" s="12"/>
      <c r="O677" s="12"/>
      <c r="P677" s="12"/>
      <c r="Q677" s="12"/>
      <c r="R677" s="12"/>
      <c r="S677" s="12"/>
      <c r="T677" s="13"/>
      <c r="U677" s="46"/>
      <c r="V677" s="47"/>
      <c r="W677" s="48">
        <f t="shared" si="74"/>
        <v>0</v>
      </c>
      <c r="X677" s="48">
        <f t="shared" si="75"/>
        <v>0</v>
      </c>
      <c r="Y677" s="48">
        <f t="shared" si="76"/>
        <v>0</v>
      </c>
      <c r="Z677" s="48">
        <f t="shared" si="77"/>
        <v>0</v>
      </c>
      <c r="AA677" s="48"/>
      <c r="AB677" s="48"/>
      <c r="AC677" s="49">
        <f t="shared" si="78"/>
        <v>0</v>
      </c>
      <c r="AD677" s="50">
        <v>0</v>
      </c>
      <c r="AE677" s="47">
        <v>39997</v>
      </c>
      <c r="AF677" s="51" t="s">
        <v>516</v>
      </c>
      <c r="AG677" s="52" t="s">
        <v>517</v>
      </c>
      <c r="AH677" s="53" t="s">
        <v>1439</v>
      </c>
      <c r="AI677" s="79"/>
      <c r="AJ677" s="80"/>
      <c r="AK677" s="81"/>
      <c r="AL677" s="80"/>
      <c r="AM677" s="80"/>
      <c r="AN677" s="80"/>
      <c r="AO677" s="80"/>
      <c r="AP677" s="80"/>
      <c r="AQ677" s="80"/>
      <c r="AR677" s="80"/>
      <c r="AS677" s="80"/>
      <c r="AT677" s="80"/>
      <c r="AU677" s="80"/>
      <c r="AV677" s="80"/>
      <c r="AW677" s="80"/>
      <c r="AX677" s="80"/>
      <c r="AY677" s="80"/>
      <c r="AZ677" s="80"/>
      <c r="BA677" s="80"/>
      <c r="BB677" s="80"/>
      <c r="BC677" s="80"/>
      <c r="BD677" s="80"/>
      <c r="BE677" s="80"/>
      <c r="BF677" s="80"/>
      <c r="BG677" s="80"/>
      <c r="BH677" s="80"/>
      <c r="BI677" s="80"/>
      <c r="BJ677" s="80"/>
      <c r="BK677" s="80"/>
      <c r="BL677" s="80"/>
      <c r="BM677" s="80"/>
      <c r="BN677" s="80"/>
      <c r="BO677" s="80"/>
      <c r="BP677" s="80"/>
      <c r="BQ677" s="80"/>
      <c r="BR677" s="80"/>
      <c r="BS677" s="80"/>
      <c r="BT677" s="80"/>
      <c r="BU677" s="80"/>
      <c r="BV677" s="80"/>
      <c r="BW677" s="80"/>
      <c r="BX677" s="80"/>
      <c r="BY677" s="80"/>
      <c r="BZ677" s="80"/>
      <c r="CA677" s="80"/>
      <c r="CB677" s="80"/>
      <c r="CC677" s="80"/>
      <c r="CD677" s="80"/>
      <c r="CE677" s="80"/>
      <c r="CF677" s="80"/>
      <c r="CG677" s="80"/>
      <c r="CH677" s="80"/>
      <c r="CI677" s="80"/>
      <c r="CJ677" s="80"/>
      <c r="CK677" s="82"/>
      <c r="CL677" s="12"/>
      <c r="CM677" s="82"/>
      <c r="CN677" s="12"/>
      <c r="CO677" s="82"/>
      <c r="CP677" s="12"/>
      <c r="CQ677" s="83">
        <f t="shared" si="80"/>
        <v>0</v>
      </c>
      <c r="CR677" s="84"/>
      <c r="CS677" s="13"/>
      <c r="CT677" s="85"/>
      <c r="CU677" s="86"/>
      <c r="CV677" s="11"/>
      <c r="CW677" s="86"/>
      <c r="CX677" s="84"/>
      <c r="CY677" s="86"/>
    </row>
    <row r="678" spans="1:104" ht="51" x14ac:dyDescent="0.2">
      <c r="A678" s="43">
        <v>39996</v>
      </c>
      <c r="B678" s="44" t="s">
        <v>625</v>
      </c>
      <c r="C678" s="44" t="s">
        <v>1435</v>
      </c>
      <c r="D678" s="45" t="s">
        <v>1118</v>
      </c>
      <c r="E678" s="11"/>
      <c r="F678" s="12"/>
      <c r="G678" s="12"/>
      <c r="H678" s="12"/>
      <c r="I678" s="12"/>
      <c r="J678" s="12"/>
      <c r="K678" s="12"/>
      <c r="L678" s="12"/>
      <c r="M678" s="12"/>
      <c r="N678" s="12"/>
      <c r="O678" s="12"/>
      <c r="P678" s="12"/>
      <c r="Q678" s="12"/>
      <c r="R678" s="12">
        <v>1</v>
      </c>
      <c r="S678" s="12"/>
      <c r="T678" s="13"/>
      <c r="U678" s="46" t="s">
        <v>1441</v>
      </c>
      <c r="V678" s="47"/>
      <c r="W678" s="48">
        <f t="shared" si="74"/>
        <v>0</v>
      </c>
      <c r="X678" s="48">
        <f t="shared" si="75"/>
        <v>0</v>
      </c>
      <c r="Y678" s="48">
        <f t="shared" si="76"/>
        <v>0</v>
      </c>
      <c r="Z678" s="48">
        <f t="shared" si="77"/>
        <v>0</v>
      </c>
      <c r="AA678" s="48"/>
      <c r="AB678" s="48"/>
      <c r="AC678" s="49">
        <f t="shared" si="78"/>
        <v>0</v>
      </c>
      <c r="AD678" s="50">
        <v>0</v>
      </c>
      <c r="AE678" s="47">
        <v>39997</v>
      </c>
      <c r="AF678" s="51" t="s">
        <v>516</v>
      </c>
      <c r="AG678" s="52" t="s">
        <v>517</v>
      </c>
      <c r="AH678" s="53" t="s">
        <v>1440</v>
      </c>
      <c r="AI678" s="79"/>
      <c r="AJ678" s="80"/>
      <c r="AK678" s="81"/>
      <c r="AL678" s="80"/>
      <c r="AM678" s="80"/>
      <c r="AN678" s="80"/>
      <c r="AO678" s="80"/>
      <c r="AP678" s="80"/>
      <c r="AQ678" s="80"/>
      <c r="AR678" s="80"/>
      <c r="AS678" s="80"/>
      <c r="AT678" s="80"/>
      <c r="AU678" s="80"/>
      <c r="AV678" s="80"/>
      <c r="AW678" s="80"/>
      <c r="AX678" s="80"/>
      <c r="AY678" s="80"/>
      <c r="AZ678" s="80"/>
      <c r="BA678" s="80"/>
      <c r="BB678" s="80"/>
      <c r="BC678" s="80"/>
      <c r="BD678" s="80"/>
      <c r="BE678" s="80"/>
      <c r="BF678" s="80"/>
      <c r="BG678" s="80"/>
      <c r="BH678" s="80"/>
      <c r="BI678" s="80"/>
      <c r="BJ678" s="80"/>
      <c r="BK678" s="80"/>
      <c r="BL678" s="80"/>
      <c r="BM678" s="80"/>
      <c r="BN678" s="80"/>
      <c r="BO678" s="80"/>
      <c r="BP678" s="80"/>
      <c r="BQ678" s="80"/>
      <c r="BR678" s="80"/>
      <c r="BS678" s="80"/>
      <c r="BT678" s="80"/>
      <c r="BU678" s="80"/>
      <c r="BV678" s="80"/>
      <c r="BW678" s="80"/>
      <c r="BX678" s="80"/>
      <c r="BY678" s="80"/>
      <c r="BZ678" s="80"/>
      <c r="CA678" s="80"/>
      <c r="CB678" s="80"/>
      <c r="CC678" s="80"/>
      <c r="CD678" s="80"/>
      <c r="CE678" s="80"/>
      <c r="CF678" s="80"/>
      <c r="CG678" s="80"/>
      <c r="CH678" s="80"/>
      <c r="CI678" s="80"/>
      <c r="CJ678" s="80"/>
      <c r="CK678" s="82"/>
      <c r="CL678" s="12"/>
      <c r="CM678" s="82"/>
      <c r="CN678" s="12"/>
      <c r="CO678" s="82"/>
      <c r="CP678" s="12"/>
      <c r="CQ678" s="83">
        <f t="shared" si="80"/>
        <v>0</v>
      </c>
      <c r="CR678" s="84"/>
      <c r="CS678" s="13"/>
      <c r="CT678" s="85"/>
      <c r="CU678" s="86"/>
      <c r="CV678" s="11"/>
      <c r="CW678" s="86"/>
      <c r="CX678" s="84"/>
      <c r="CY678" s="86"/>
    </row>
    <row r="679" spans="1:104" ht="76.5" x14ac:dyDescent="0.2">
      <c r="A679" s="43">
        <v>39996</v>
      </c>
      <c r="B679" s="44" t="s">
        <v>625</v>
      </c>
      <c r="C679" s="44" t="s">
        <v>803</v>
      </c>
      <c r="D679" s="45" t="s">
        <v>1118</v>
      </c>
      <c r="E679" s="11"/>
      <c r="F679" s="12"/>
      <c r="G679" s="12"/>
      <c r="H679" s="12"/>
      <c r="I679" s="12"/>
      <c r="J679" s="12"/>
      <c r="K679" s="12"/>
      <c r="L679" s="12"/>
      <c r="M679" s="12"/>
      <c r="N679" s="12"/>
      <c r="O679" s="12"/>
      <c r="P679" s="12"/>
      <c r="Q679" s="12"/>
      <c r="R679" s="12"/>
      <c r="S679" s="12"/>
      <c r="T679" s="13"/>
      <c r="U679" s="46" t="s">
        <v>275</v>
      </c>
      <c r="V679" s="47"/>
      <c r="W679" s="48">
        <f t="shared" si="74"/>
        <v>0</v>
      </c>
      <c r="X679" s="48">
        <f t="shared" si="75"/>
        <v>0</v>
      </c>
      <c r="Y679" s="48">
        <f t="shared" si="76"/>
        <v>0</v>
      </c>
      <c r="Z679" s="48">
        <f t="shared" si="77"/>
        <v>0</v>
      </c>
      <c r="AA679" s="48"/>
      <c r="AB679" s="48"/>
      <c r="AC679" s="49">
        <f t="shared" si="78"/>
        <v>0</v>
      </c>
      <c r="AD679" s="50">
        <v>0</v>
      </c>
      <c r="AE679" s="47">
        <v>39997</v>
      </c>
      <c r="AF679" s="51" t="s">
        <v>516</v>
      </c>
      <c r="AG679" s="52" t="s">
        <v>517</v>
      </c>
      <c r="AH679" s="53" t="s">
        <v>274</v>
      </c>
      <c r="AI679" s="79"/>
      <c r="AJ679" s="80"/>
      <c r="AK679" s="81"/>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2"/>
      <c r="CL679" s="12"/>
      <c r="CM679" s="82"/>
      <c r="CN679" s="12"/>
      <c r="CO679" s="82"/>
      <c r="CP679" s="12"/>
      <c r="CQ679" s="83">
        <f t="shared" si="80"/>
        <v>0</v>
      </c>
      <c r="CR679" s="84"/>
      <c r="CS679" s="13"/>
      <c r="CT679" s="85"/>
      <c r="CU679" s="86"/>
      <c r="CV679" s="11"/>
      <c r="CW679" s="86"/>
      <c r="CX679" s="84"/>
      <c r="CY679" s="86"/>
    </row>
    <row r="680" spans="1:104" ht="51" x14ac:dyDescent="0.2">
      <c r="A680" s="43">
        <v>39996</v>
      </c>
      <c r="B680" s="44" t="s">
        <v>1067</v>
      </c>
      <c r="C680" s="44" t="s">
        <v>1391</v>
      </c>
      <c r="D680" s="45" t="s">
        <v>1117</v>
      </c>
      <c r="E680" s="11"/>
      <c r="F680" s="12"/>
      <c r="G680" s="12"/>
      <c r="H680" s="12">
        <f>41*5</f>
        <v>205</v>
      </c>
      <c r="I680" s="12">
        <v>41</v>
      </c>
      <c r="J680" s="12"/>
      <c r="K680" s="12">
        <v>41</v>
      </c>
      <c r="L680" s="12"/>
      <c r="M680" s="12"/>
      <c r="N680" s="12"/>
      <c r="O680" s="12"/>
      <c r="P680" s="12"/>
      <c r="Q680" s="12"/>
      <c r="R680" s="12"/>
      <c r="S680" s="12"/>
      <c r="T680" s="13"/>
      <c r="U680" s="46"/>
      <c r="V680" s="47">
        <v>40049</v>
      </c>
      <c r="W680" s="48">
        <f t="shared" si="74"/>
        <v>0</v>
      </c>
      <c r="X680" s="48">
        <f t="shared" si="75"/>
        <v>0</v>
      </c>
      <c r="Y680" s="48">
        <f t="shared" si="76"/>
        <v>1554000</v>
      </c>
      <c r="Z680" s="48">
        <f t="shared" si="77"/>
        <v>0</v>
      </c>
      <c r="AA680" s="48"/>
      <c r="AB680" s="48"/>
      <c r="AC680" s="49">
        <f t="shared" si="78"/>
        <v>1554000</v>
      </c>
      <c r="AD680" s="50">
        <v>0</v>
      </c>
      <c r="AE680" s="47">
        <v>40021</v>
      </c>
      <c r="AF680" s="51" t="s">
        <v>1016</v>
      </c>
      <c r="AG680" s="52" t="s">
        <v>565</v>
      </c>
      <c r="AH680" s="53" t="s">
        <v>373</v>
      </c>
      <c r="AI680" s="79"/>
      <c r="AJ680" s="80"/>
      <c r="AK680" s="81"/>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2"/>
      <c r="CL680" s="12"/>
      <c r="CM680" s="82"/>
      <c r="CN680" s="12"/>
      <c r="CO680" s="82"/>
      <c r="CP680" s="12"/>
      <c r="CQ680" s="83">
        <f t="shared" si="80"/>
        <v>0</v>
      </c>
      <c r="CR680" s="84"/>
      <c r="CS680" s="13"/>
      <c r="CT680" s="85"/>
      <c r="CU680" s="86"/>
      <c r="CV680" s="11"/>
      <c r="CW680" s="86"/>
      <c r="CX680" s="84">
        <f>39+14</f>
        <v>53</v>
      </c>
      <c r="CY680" s="86">
        <f>39*28000+14*33000</f>
        <v>1554000</v>
      </c>
      <c r="CZ680" s="9" t="s">
        <v>341</v>
      </c>
    </row>
    <row r="681" spans="1:104" ht="25.5" x14ac:dyDescent="0.2">
      <c r="A681" s="43">
        <v>39996</v>
      </c>
      <c r="B681" s="44" t="s">
        <v>1226</v>
      </c>
      <c r="C681" s="44" t="s">
        <v>1394</v>
      </c>
      <c r="D681" s="45" t="s">
        <v>1118</v>
      </c>
      <c r="E681" s="11"/>
      <c r="F681" s="12"/>
      <c r="G681" s="12"/>
      <c r="H681" s="12"/>
      <c r="I681" s="12"/>
      <c r="J681" s="12"/>
      <c r="K681" s="12"/>
      <c r="L681" s="12"/>
      <c r="M681" s="12"/>
      <c r="N681" s="12"/>
      <c r="O681" s="12"/>
      <c r="P681" s="12"/>
      <c r="Q681" s="12"/>
      <c r="R681" s="12"/>
      <c r="S681" s="12"/>
      <c r="T681" s="13"/>
      <c r="U681" s="46"/>
      <c r="V681" s="47"/>
      <c r="W681" s="48">
        <f t="shared" si="74"/>
        <v>0</v>
      </c>
      <c r="X681" s="48">
        <f t="shared" si="75"/>
        <v>0</v>
      </c>
      <c r="Y681" s="48">
        <f t="shared" si="76"/>
        <v>0</v>
      </c>
      <c r="Z681" s="48">
        <f t="shared" si="77"/>
        <v>0</v>
      </c>
      <c r="AA681" s="48"/>
      <c r="AB681" s="48"/>
      <c r="AC681" s="49">
        <f t="shared" si="78"/>
        <v>0</v>
      </c>
      <c r="AD681" s="50">
        <v>0</v>
      </c>
      <c r="AE681" s="47">
        <v>39997</v>
      </c>
      <c r="AF681" s="51" t="s">
        <v>516</v>
      </c>
      <c r="AG681" s="52" t="s">
        <v>517</v>
      </c>
      <c r="AH681" s="53" t="s">
        <v>1433</v>
      </c>
      <c r="AI681" s="79"/>
      <c r="AJ681" s="80"/>
      <c r="AK681" s="81"/>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2"/>
      <c r="CL681" s="12"/>
      <c r="CM681" s="82"/>
      <c r="CN681" s="12"/>
      <c r="CO681" s="82"/>
      <c r="CP681" s="12"/>
      <c r="CQ681" s="83">
        <f t="shared" si="80"/>
        <v>0</v>
      </c>
      <c r="CR681" s="84"/>
      <c r="CS681" s="13"/>
      <c r="CT681" s="85"/>
      <c r="CU681" s="86"/>
      <c r="CV681" s="11"/>
      <c r="CW681" s="86"/>
      <c r="CX681" s="84"/>
      <c r="CY681" s="86"/>
    </row>
    <row r="682" spans="1:104" ht="25.5" x14ac:dyDescent="0.2">
      <c r="A682" s="43">
        <v>39996</v>
      </c>
      <c r="B682" s="44" t="s">
        <v>1350</v>
      </c>
      <c r="C682" s="44" t="s">
        <v>276</v>
      </c>
      <c r="D682" s="45" t="s">
        <v>1118</v>
      </c>
      <c r="E682" s="11"/>
      <c r="F682" s="12"/>
      <c r="G682" s="12"/>
      <c r="H682" s="12">
        <v>45</v>
      </c>
      <c r="I682" s="12">
        <v>9</v>
      </c>
      <c r="J682" s="12"/>
      <c r="K682" s="12">
        <v>9</v>
      </c>
      <c r="L682" s="12"/>
      <c r="M682" s="12"/>
      <c r="N682" s="12"/>
      <c r="O682" s="12"/>
      <c r="P682" s="12"/>
      <c r="Q682" s="12"/>
      <c r="R682" s="12"/>
      <c r="S682" s="12"/>
      <c r="T682" s="13"/>
      <c r="U682" s="46"/>
      <c r="V682" s="47"/>
      <c r="W682" s="48">
        <f t="shared" si="74"/>
        <v>0</v>
      </c>
      <c r="X682" s="48">
        <f t="shared" si="75"/>
        <v>0</v>
      </c>
      <c r="Y682" s="48">
        <f t="shared" si="76"/>
        <v>0</v>
      </c>
      <c r="Z682" s="48">
        <f t="shared" si="77"/>
        <v>0</v>
      </c>
      <c r="AA682" s="48"/>
      <c r="AB682" s="48"/>
      <c r="AC682" s="49">
        <f t="shared" si="78"/>
        <v>0</v>
      </c>
      <c r="AD682" s="50">
        <v>0</v>
      </c>
      <c r="AE682" s="47">
        <v>39997</v>
      </c>
      <c r="AF682" s="51" t="s">
        <v>516</v>
      </c>
      <c r="AG682" s="52" t="s">
        <v>517</v>
      </c>
      <c r="AH682" s="53" t="s">
        <v>277</v>
      </c>
      <c r="AI682" s="79"/>
      <c r="AJ682" s="80"/>
      <c r="AK682" s="81"/>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2"/>
      <c r="CL682" s="12"/>
      <c r="CM682" s="82"/>
      <c r="CN682" s="12"/>
      <c r="CO682" s="82"/>
      <c r="CP682" s="12"/>
      <c r="CQ682" s="83">
        <f t="shared" si="80"/>
        <v>0</v>
      </c>
      <c r="CR682" s="84"/>
      <c r="CS682" s="13"/>
      <c r="CT682" s="85"/>
      <c r="CU682" s="86"/>
      <c r="CV682" s="11"/>
      <c r="CW682" s="86"/>
      <c r="CX682" s="84"/>
      <c r="CY682" s="86"/>
    </row>
    <row r="683" spans="1:104" ht="25.5" x14ac:dyDescent="0.2">
      <c r="A683" s="43">
        <v>39997</v>
      </c>
      <c r="B683" s="44" t="s">
        <v>1301</v>
      </c>
      <c r="C683" s="44" t="s">
        <v>847</v>
      </c>
      <c r="D683" s="45" t="s">
        <v>1118</v>
      </c>
      <c r="E683" s="11"/>
      <c r="F683" s="12"/>
      <c r="G683" s="12"/>
      <c r="H683" s="12">
        <v>75</v>
      </c>
      <c r="I683" s="12">
        <v>15</v>
      </c>
      <c r="J683" s="12"/>
      <c r="K683" s="12">
        <v>15</v>
      </c>
      <c r="L683" s="12"/>
      <c r="M683" s="12"/>
      <c r="N683" s="12"/>
      <c r="O683" s="12"/>
      <c r="P683" s="12"/>
      <c r="Q683" s="12"/>
      <c r="R683" s="12"/>
      <c r="S683" s="12"/>
      <c r="T683" s="13"/>
      <c r="U683" s="46"/>
      <c r="V683" s="47"/>
      <c r="W683" s="48">
        <f t="shared" si="74"/>
        <v>0</v>
      </c>
      <c r="X683" s="48">
        <f t="shared" si="75"/>
        <v>0</v>
      </c>
      <c r="Y683" s="48">
        <f t="shared" si="76"/>
        <v>0</v>
      </c>
      <c r="Z683" s="48">
        <f t="shared" si="77"/>
        <v>0</v>
      </c>
      <c r="AA683" s="48"/>
      <c r="AB683" s="48"/>
      <c r="AC683" s="49">
        <f t="shared" si="78"/>
        <v>0</v>
      </c>
      <c r="AD683" s="50">
        <v>0</v>
      </c>
      <c r="AE683" s="47">
        <v>40001</v>
      </c>
      <c r="AF683" s="51" t="s">
        <v>516</v>
      </c>
      <c r="AG683" s="52" t="s">
        <v>517</v>
      </c>
      <c r="AH683" s="53" t="s">
        <v>848</v>
      </c>
      <c r="AI683" s="79"/>
      <c r="AJ683" s="80"/>
      <c r="AK683" s="81"/>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0"/>
      <c r="BJ683" s="80"/>
      <c r="BK683" s="80"/>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2"/>
      <c r="CL683" s="12"/>
      <c r="CM683" s="82"/>
      <c r="CN683" s="12"/>
      <c r="CO683" s="82"/>
      <c r="CP683" s="12"/>
      <c r="CQ683" s="83">
        <f t="shared" si="80"/>
        <v>0</v>
      </c>
      <c r="CR683" s="84"/>
      <c r="CS683" s="13"/>
      <c r="CT683" s="85"/>
      <c r="CU683" s="86"/>
      <c r="CV683" s="11"/>
      <c r="CW683" s="86"/>
      <c r="CX683" s="84"/>
      <c r="CY683" s="86"/>
    </row>
    <row r="684" spans="1:104" ht="51" x14ac:dyDescent="0.2">
      <c r="A684" s="43">
        <v>39997</v>
      </c>
      <c r="B684" s="44" t="s">
        <v>1094</v>
      </c>
      <c r="C684" s="44" t="s">
        <v>717</v>
      </c>
      <c r="D684" s="45" t="s">
        <v>1118</v>
      </c>
      <c r="E684" s="11"/>
      <c r="F684" s="12"/>
      <c r="G684" s="12"/>
      <c r="H684" s="12">
        <f>56*5</f>
        <v>280</v>
      </c>
      <c r="I684" s="12">
        <v>56</v>
      </c>
      <c r="J684" s="12"/>
      <c r="K684" s="12">
        <v>56</v>
      </c>
      <c r="L684" s="12"/>
      <c r="M684" s="12"/>
      <c r="N684" s="12"/>
      <c r="O684" s="12"/>
      <c r="P684" s="12"/>
      <c r="Q684" s="12"/>
      <c r="R684" s="12"/>
      <c r="S684" s="12"/>
      <c r="T684" s="13"/>
      <c r="U684" s="46"/>
      <c r="V684" s="47"/>
      <c r="W684" s="48">
        <f t="shared" si="74"/>
        <v>0</v>
      </c>
      <c r="X684" s="48">
        <f t="shared" si="75"/>
        <v>0</v>
      </c>
      <c r="Y684" s="48">
        <f t="shared" si="76"/>
        <v>0</v>
      </c>
      <c r="Z684" s="48">
        <f t="shared" si="77"/>
        <v>0</v>
      </c>
      <c r="AA684" s="48"/>
      <c r="AB684" s="48"/>
      <c r="AC684" s="49">
        <f t="shared" si="78"/>
        <v>0</v>
      </c>
      <c r="AD684" s="50">
        <v>0</v>
      </c>
      <c r="AE684" s="47">
        <v>40001</v>
      </c>
      <c r="AF684" s="51" t="s">
        <v>1016</v>
      </c>
      <c r="AG684" s="52" t="s">
        <v>565</v>
      </c>
      <c r="AH684" s="53" t="s">
        <v>941</v>
      </c>
      <c r="AI684" s="79"/>
      <c r="AJ684" s="80"/>
      <c r="AK684" s="81"/>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0"/>
      <c r="BJ684" s="80"/>
      <c r="BK684" s="80"/>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2"/>
      <c r="CL684" s="12"/>
      <c r="CM684" s="82"/>
      <c r="CN684" s="12"/>
      <c r="CO684" s="82"/>
      <c r="CP684" s="12"/>
      <c r="CQ684" s="83">
        <f t="shared" si="80"/>
        <v>0</v>
      </c>
      <c r="CR684" s="84"/>
      <c r="CS684" s="13"/>
      <c r="CT684" s="85"/>
      <c r="CU684" s="86"/>
      <c r="CV684" s="11"/>
      <c r="CW684" s="86"/>
      <c r="CX684" s="84"/>
      <c r="CY684" s="86"/>
    </row>
    <row r="685" spans="1:104" ht="51" x14ac:dyDescent="0.2">
      <c r="A685" s="43">
        <v>39997</v>
      </c>
      <c r="B685" s="44" t="s">
        <v>1127</v>
      </c>
      <c r="C685" s="44" t="s">
        <v>1428</v>
      </c>
      <c r="D685" s="45" t="s">
        <v>1118</v>
      </c>
      <c r="E685" s="11"/>
      <c r="F685" s="12"/>
      <c r="G685" s="12"/>
      <c r="H685" s="12"/>
      <c r="I685" s="12"/>
      <c r="J685" s="12"/>
      <c r="K685" s="12"/>
      <c r="L685" s="12">
        <v>24</v>
      </c>
      <c r="M685" s="12"/>
      <c r="N685" s="12"/>
      <c r="O685" s="12"/>
      <c r="P685" s="12"/>
      <c r="Q685" s="12"/>
      <c r="R685" s="12"/>
      <c r="S685" s="12"/>
      <c r="T685" s="13"/>
      <c r="U685" s="46"/>
      <c r="V685" s="47"/>
      <c r="W685" s="48">
        <f t="shared" si="74"/>
        <v>0</v>
      </c>
      <c r="X685" s="48">
        <f t="shared" si="75"/>
        <v>0</v>
      </c>
      <c r="Y685" s="48">
        <f t="shared" si="76"/>
        <v>0</v>
      </c>
      <c r="Z685" s="48">
        <f t="shared" si="77"/>
        <v>0</v>
      </c>
      <c r="AA685" s="48"/>
      <c r="AB685" s="48"/>
      <c r="AC685" s="49">
        <f t="shared" si="78"/>
        <v>0</v>
      </c>
      <c r="AD685" s="50">
        <v>0</v>
      </c>
      <c r="AE685" s="47">
        <v>39997</v>
      </c>
      <c r="AF685" s="51" t="s">
        <v>516</v>
      </c>
      <c r="AG685" s="52" t="s">
        <v>517</v>
      </c>
      <c r="AH685" s="53" t="s">
        <v>444</v>
      </c>
      <c r="AI685" s="79"/>
      <c r="AJ685" s="80"/>
      <c r="AK685" s="81"/>
      <c r="AL685" s="80"/>
      <c r="AM685" s="80"/>
      <c r="AN685" s="80"/>
      <c r="AO685" s="80"/>
      <c r="AP685" s="80"/>
      <c r="AQ685" s="80"/>
      <c r="AR685" s="80"/>
      <c r="AS685" s="80"/>
      <c r="AT685" s="80"/>
      <c r="AU685" s="80"/>
      <c r="AV685" s="80"/>
      <c r="AW685" s="80"/>
      <c r="AX685" s="80"/>
      <c r="AY685" s="80"/>
      <c r="AZ685" s="80"/>
      <c r="BA685" s="80"/>
      <c r="BB685" s="80"/>
      <c r="BC685" s="80"/>
      <c r="BD685" s="80"/>
      <c r="BE685" s="80"/>
      <c r="BF685" s="80"/>
      <c r="BG685" s="80"/>
      <c r="BH685" s="80"/>
      <c r="BI685" s="80"/>
      <c r="BJ685" s="80"/>
      <c r="BK685" s="80"/>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2"/>
      <c r="CL685" s="12"/>
      <c r="CM685" s="82"/>
      <c r="CN685" s="12"/>
      <c r="CO685" s="82"/>
      <c r="CP685" s="12"/>
      <c r="CQ685" s="83">
        <f t="shared" si="80"/>
        <v>0</v>
      </c>
      <c r="CR685" s="84"/>
      <c r="CS685" s="13"/>
      <c r="CT685" s="85"/>
      <c r="CU685" s="86"/>
      <c r="CV685" s="11"/>
      <c r="CW685" s="86"/>
      <c r="CX685" s="84"/>
      <c r="CY685" s="86"/>
    </row>
    <row r="686" spans="1:104" ht="25.5" x14ac:dyDescent="0.2">
      <c r="A686" s="43">
        <v>39997</v>
      </c>
      <c r="B686" s="44" t="s">
        <v>781</v>
      </c>
      <c r="C686" s="44" t="s">
        <v>977</v>
      </c>
      <c r="D686" s="45" t="s">
        <v>1118</v>
      </c>
      <c r="E686" s="11"/>
      <c r="F686" s="12"/>
      <c r="G686" s="12"/>
      <c r="H686" s="12">
        <v>4</v>
      </c>
      <c r="I686" s="12">
        <v>1</v>
      </c>
      <c r="J686" s="12"/>
      <c r="K686" s="12">
        <v>1</v>
      </c>
      <c r="L686" s="12"/>
      <c r="M686" s="12"/>
      <c r="N686" s="12"/>
      <c r="O686" s="12"/>
      <c r="P686" s="12"/>
      <c r="Q686" s="12"/>
      <c r="R686" s="12"/>
      <c r="S686" s="12"/>
      <c r="T686" s="13"/>
      <c r="U686" s="46"/>
      <c r="V686" s="47"/>
      <c r="W686" s="48">
        <f t="shared" si="74"/>
        <v>0</v>
      </c>
      <c r="X686" s="48">
        <f t="shared" si="75"/>
        <v>0</v>
      </c>
      <c r="Y686" s="48">
        <f t="shared" si="76"/>
        <v>0</v>
      </c>
      <c r="Z686" s="48">
        <f t="shared" si="77"/>
        <v>0</v>
      </c>
      <c r="AA686" s="48"/>
      <c r="AB686" s="48"/>
      <c r="AC686" s="49">
        <f t="shared" si="78"/>
        <v>0</v>
      </c>
      <c r="AD686" s="50">
        <v>0</v>
      </c>
      <c r="AE686" s="47">
        <v>39997</v>
      </c>
      <c r="AF686" s="51" t="s">
        <v>516</v>
      </c>
      <c r="AG686" s="52" t="s">
        <v>517</v>
      </c>
      <c r="AH686" s="53" t="s">
        <v>718</v>
      </c>
      <c r="AI686" s="79"/>
      <c r="AJ686" s="80"/>
      <c r="AK686" s="81"/>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0"/>
      <c r="BJ686" s="80"/>
      <c r="BK686" s="80"/>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2"/>
      <c r="CL686" s="12"/>
      <c r="CM686" s="82"/>
      <c r="CN686" s="12"/>
      <c r="CO686" s="82"/>
      <c r="CP686" s="12"/>
      <c r="CQ686" s="83">
        <f t="shared" si="80"/>
        <v>0</v>
      </c>
      <c r="CR686" s="84"/>
      <c r="CS686" s="13"/>
      <c r="CT686" s="85"/>
      <c r="CU686" s="86"/>
      <c r="CV686" s="11"/>
      <c r="CW686" s="86"/>
      <c r="CX686" s="84"/>
      <c r="CY686" s="86"/>
    </row>
    <row r="687" spans="1:104" ht="38.25" x14ac:dyDescent="0.2">
      <c r="A687" s="43">
        <v>39997</v>
      </c>
      <c r="B687" s="44" t="s">
        <v>781</v>
      </c>
      <c r="C687" s="44" t="s">
        <v>845</v>
      </c>
      <c r="D687" s="45" t="s">
        <v>1118</v>
      </c>
      <c r="E687" s="11"/>
      <c r="F687" s="12"/>
      <c r="G687" s="12"/>
      <c r="H687" s="12"/>
      <c r="I687" s="12"/>
      <c r="J687" s="12"/>
      <c r="K687" s="12"/>
      <c r="L687" s="12"/>
      <c r="M687" s="12"/>
      <c r="N687" s="12"/>
      <c r="O687" s="12"/>
      <c r="P687" s="12"/>
      <c r="Q687" s="12"/>
      <c r="R687" s="12"/>
      <c r="S687" s="12"/>
      <c r="T687" s="13"/>
      <c r="U687" s="46"/>
      <c r="V687" s="47"/>
      <c r="W687" s="48">
        <f t="shared" si="74"/>
        <v>0</v>
      </c>
      <c r="X687" s="48">
        <f t="shared" si="75"/>
        <v>0</v>
      </c>
      <c r="Y687" s="48">
        <f t="shared" si="76"/>
        <v>0</v>
      </c>
      <c r="Z687" s="48">
        <f t="shared" si="77"/>
        <v>0</v>
      </c>
      <c r="AA687" s="48"/>
      <c r="AB687" s="48"/>
      <c r="AC687" s="49">
        <f t="shared" si="78"/>
        <v>0</v>
      </c>
      <c r="AD687" s="50">
        <v>0</v>
      </c>
      <c r="AE687" s="47">
        <v>40001</v>
      </c>
      <c r="AF687" s="51" t="s">
        <v>516</v>
      </c>
      <c r="AG687" s="52" t="s">
        <v>517</v>
      </c>
      <c r="AH687" s="53" t="s">
        <v>846</v>
      </c>
      <c r="AI687" s="79"/>
      <c r="AJ687" s="80"/>
      <c r="AK687" s="81"/>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0"/>
      <c r="BJ687" s="80"/>
      <c r="BK687" s="80"/>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2"/>
      <c r="CL687" s="12"/>
      <c r="CM687" s="82"/>
      <c r="CN687" s="12"/>
      <c r="CO687" s="82"/>
      <c r="CP687" s="12"/>
      <c r="CQ687" s="83">
        <f t="shared" si="80"/>
        <v>0</v>
      </c>
      <c r="CR687" s="84"/>
      <c r="CS687" s="13"/>
      <c r="CT687" s="85"/>
      <c r="CU687" s="86"/>
      <c r="CV687" s="11"/>
      <c r="CW687" s="86"/>
      <c r="CX687" s="84"/>
      <c r="CY687" s="86"/>
    </row>
    <row r="688" spans="1:104" ht="25.5" x14ac:dyDescent="0.2">
      <c r="A688" s="43">
        <v>39998</v>
      </c>
      <c r="B688" s="44" t="s">
        <v>478</v>
      </c>
      <c r="C688" s="44" t="s">
        <v>478</v>
      </c>
      <c r="D688" s="45" t="s">
        <v>1118</v>
      </c>
      <c r="E688" s="11"/>
      <c r="F688" s="12"/>
      <c r="G688" s="12"/>
      <c r="H688" s="12">
        <v>79</v>
      </c>
      <c r="I688" s="12">
        <v>15</v>
      </c>
      <c r="J688" s="12"/>
      <c r="K688" s="12">
        <v>15</v>
      </c>
      <c r="L688" s="12"/>
      <c r="M688" s="12"/>
      <c r="N688" s="12"/>
      <c r="O688" s="12"/>
      <c r="P688" s="12"/>
      <c r="Q688" s="12"/>
      <c r="R688" s="12"/>
      <c r="S688" s="12"/>
      <c r="T688" s="13"/>
      <c r="U688" s="46"/>
      <c r="V688" s="47"/>
      <c r="W688" s="48">
        <f t="shared" si="74"/>
        <v>0</v>
      </c>
      <c r="X688" s="48">
        <f t="shared" si="75"/>
        <v>0</v>
      </c>
      <c r="Y688" s="48">
        <f t="shared" si="76"/>
        <v>0</v>
      </c>
      <c r="Z688" s="48">
        <f t="shared" si="77"/>
        <v>0</v>
      </c>
      <c r="AA688" s="48"/>
      <c r="AB688" s="48"/>
      <c r="AC688" s="49">
        <f t="shared" si="78"/>
        <v>0</v>
      </c>
      <c r="AD688" s="50">
        <v>0</v>
      </c>
      <c r="AE688" s="47">
        <v>40001</v>
      </c>
      <c r="AF688" s="51" t="s">
        <v>516</v>
      </c>
      <c r="AG688" s="52" t="s">
        <v>517</v>
      </c>
      <c r="AH688" s="53" t="s">
        <v>296</v>
      </c>
      <c r="AI688" s="79"/>
      <c r="AJ688" s="80"/>
      <c r="AK688" s="81"/>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0"/>
      <c r="BJ688" s="80"/>
      <c r="BK688" s="80"/>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2"/>
      <c r="CL688" s="12"/>
      <c r="CM688" s="82"/>
      <c r="CN688" s="12"/>
      <c r="CO688" s="82"/>
      <c r="CP688" s="12"/>
      <c r="CQ688" s="83">
        <f t="shared" si="80"/>
        <v>0</v>
      </c>
      <c r="CR688" s="84"/>
      <c r="CS688" s="13"/>
      <c r="CT688" s="85"/>
      <c r="CU688" s="86"/>
      <c r="CV688" s="11"/>
      <c r="CW688" s="86"/>
      <c r="CX688" s="84"/>
      <c r="CY688" s="86"/>
    </row>
    <row r="689" spans="1:103" ht="25.5" x14ac:dyDescent="0.2">
      <c r="A689" s="43">
        <v>39998</v>
      </c>
      <c r="B689" s="44" t="s">
        <v>1127</v>
      </c>
      <c r="C689" s="44" t="s">
        <v>849</v>
      </c>
      <c r="D689" s="45" t="s">
        <v>134</v>
      </c>
      <c r="E689" s="11"/>
      <c r="F689" s="12"/>
      <c r="G689" s="12"/>
      <c r="H689" s="12">
        <f>30*5</f>
        <v>150</v>
      </c>
      <c r="I689" s="12">
        <v>30</v>
      </c>
      <c r="J689" s="12"/>
      <c r="K689" s="12"/>
      <c r="L689" s="12">
        <v>1</v>
      </c>
      <c r="M689" s="12"/>
      <c r="N689" s="12"/>
      <c r="O689" s="12"/>
      <c r="P689" s="12"/>
      <c r="Q689" s="12"/>
      <c r="R689" s="12"/>
      <c r="S689" s="12"/>
      <c r="T689" s="13"/>
      <c r="U689" s="46"/>
      <c r="V689" s="47"/>
      <c r="W689" s="48">
        <f t="shared" si="74"/>
        <v>0</v>
      </c>
      <c r="X689" s="48">
        <f t="shared" si="75"/>
        <v>0</v>
      </c>
      <c r="Y689" s="48">
        <f t="shared" si="76"/>
        <v>0</v>
      </c>
      <c r="Z689" s="48">
        <f t="shared" si="77"/>
        <v>0</v>
      </c>
      <c r="AA689" s="48"/>
      <c r="AB689" s="48"/>
      <c r="AC689" s="49">
        <f t="shared" si="78"/>
        <v>0</v>
      </c>
      <c r="AD689" s="50">
        <v>0</v>
      </c>
      <c r="AE689" s="47">
        <v>40001</v>
      </c>
      <c r="AF689" s="51" t="s">
        <v>516</v>
      </c>
      <c r="AG689" s="52" t="s">
        <v>517</v>
      </c>
      <c r="AH689" s="53" t="s">
        <v>1156</v>
      </c>
      <c r="AI689" s="79"/>
      <c r="AJ689" s="80"/>
      <c r="AK689" s="81"/>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2"/>
      <c r="CL689" s="12"/>
      <c r="CM689" s="82"/>
      <c r="CN689" s="12"/>
      <c r="CO689" s="82"/>
      <c r="CP689" s="12"/>
      <c r="CQ689" s="83">
        <f t="shared" si="80"/>
        <v>0</v>
      </c>
      <c r="CR689" s="84"/>
      <c r="CS689" s="13"/>
      <c r="CT689" s="85"/>
      <c r="CU689" s="86"/>
      <c r="CV689" s="11"/>
      <c r="CW689" s="86"/>
      <c r="CX689" s="84"/>
      <c r="CY689" s="86"/>
    </row>
    <row r="690" spans="1:103" ht="25.5" x14ac:dyDescent="0.2">
      <c r="A690" s="43">
        <v>40000</v>
      </c>
      <c r="B690" s="44" t="s">
        <v>625</v>
      </c>
      <c r="C690" s="44" t="s">
        <v>293</v>
      </c>
      <c r="D690" s="45" t="s">
        <v>1095</v>
      </c>
      <c r="E690" s="11">
        <v>1</v>
      </c>
      <c r="F690" s="12">
        <v>1</v>
      </c>
      <c r="G690" s="12"/>
      <c r="H690" s="12"/>
      <c r="I690" s="12"/>
      <c r="J690" s="12"/>
      <c r="K690" s="12"/>
      <c r="L690" s="12"/>
      <c r="M690" s="12"/>
      <c r="N690" s="12"/>
      <c r="O690" s="12"/>
      <c r="P690" s="12"/>
      <c r="Q690" s="12"/>
      <c r="R690" s="12"/>
      <c r="S690" s="12"/>
      <c r="T690" s="13"/>
      <c r="U690" s="46"/>
      <c r="V690" s="47"/>
      <c r="W690" s="48">
        <f t="shared" si="74"/>
        <v>0</v>
      </c>
      <c r="X690" s="48">
        <f t="shared" si="75"/>
        <v>0</v>
      </c>
      <c r="Y690" s="48">
        <f t="shared" si="76"/>
        <v>0</v>
      </c>
      <c r="Z690" s="48">
        <f t="shared" si="77"/>
        <v>0</v>
      </c>
      <c r="AA690" s="48"/>
      <c r="AB690" s="48"/>
      <c r="AC690" s="49">
        <f t="shared" si="78"/>
        <v>0</v>
      </c>
      <c r="AD690" s="50">
        <v>0</v>
      </c>
      <c r="AE690" s="47">
        <v>40001</v>
      </c>
      <c r="AF690" s="51" t="s">
        <v>516</v>
      </c>
      <c r="AG690" s="52" t="s">
        <v>517</v>
      </c>
      <c r="AH690" s="53" t="s">
        <v>297</v>
      </c>
      <c r="AI690" s="79"/>
      <c r="AJ690" s="80"/>
      <c r="AK690" s="81"/>
      <c r="AL690" s="80"/>
      <c r="AM690" s="80"/>
      <c r="AN690" s="80"/>
      <c r="AO690" s="80"/>
      <c r="AP690" s="80"/>
      <c r="AQ690" s="80"/>
      <c r="AR690" s="80"/>
      <c r="AS690" s="80"/>
      <c r="AT690" s="80"/>
      <c r="AU690" s="80"/>
      <c r="AV690" s="80"/>
      <c r="AW690" s="80"/>
      <c r="AX690" s="80"/>
      <c r="AY690" s="80"/>
      <c r="AZ690" s="80"/>
      <c r="BA690" s="80"/>
      <c r="BB690" s="80"/>
      <c r="BC690" s="80"/>
      <c r="BD690" s="80"/>
      <c r="BE690" s="80"/>
      <c r="BF690" s="80"/>
      <c r="BG690" s="80"/>
      <c r="BH690" s="80"/>
      <c r="BI690" s="80"/>
      <c r="BJ690" s="80"/>
      <c r="BK690" s="80"/>
      <c r="BL690" s="80"/>
      <c r="BM690" s="80"/>
      <c r="BN690" s="80"/>
      <c r="BO690" s="80"/>
      <c r="BP690" s="80"/>
      <c r="BQ690" s="80"/>
      <c r="BR690" s="80"/>
      <c r="BS690" s="80"/>
      <c r="BT690" s="80"/>
      <c r="BU690" s="80"/>
      <c r="BV690" s="80"/>
      <c r="BW690" s="80"/>
      <c r="BX690" s="80"/>
      <c r="BY690" s="80"/>
      <c r="BZ690" s="80"/>
      <c r="CA690" s="80"/>
      <c r="CB690" s="80"/>
      <c r="CC690" s="80"/>
      <c r="CD690" s="80"/>
      <c r="CE690" s="80"/>
      <c r="CF690" s="80"/>
      <c r="CG690" s="80"/>
      <c r="CH690" s="80"/>
      <c r="CI690" s="80"/>
      <c r="CJ690" s="80"/>
      <c r="CK690" s="82"/>
      <c r="CL690" s="12"/>
      <c r="CM690" s="82"/>
      <c r="CN690" s="12"/>
      <c r="CO690" s="82"/>
      <c r="CP690" s="12"/>
      <c r="CQ690" s="83">
        <f t="shared" si="80"/>
        <v>0</v>
      </c>
      <c r="CR690" s="84"/>
      <c r="CS690" s="13"/>
      <c r="CT690" s="85"/>
      <c r="CU690" s="86"/>
      <c r="CV690" s="11"/>
      <c r="CW690" s="86"/>
      <c r="CX690" s="84"/>
      <c r="CY690" s="86"/>
    </row>
    <row r="691" spans="1:103" ht="25.5" x14ac:dyDescent="0.2">
      <c r="A691" s="43">
        <v>40000</v>
      </c>
      <c r="B691" s="44" t="s">
        <v>1094</v>
      </c>
      <c r="C691" s="44" t="s">
        <v>618</v>
      </c>
      <c r="D691" s="45" t="s">
        <v>1118</v>
      </c>
      <c r="E691" s="11"/>
      <c r="F691" s="12"/>
      <c r="G691" s="12"/>
      <c r="H691" s="12">
        <v>350</v>
      </c>
      <c r="I691" s="12">
        <v>70</v>
      </c>
      <c r="J691" s="12"/>
      <c r="K691" s="12">
        <v>70</v>
      </c>
      <c r="L691" s="12"/>
      <c r="M691" s="12"/>
      <c r="N691" s="12"/>
      <c r="O691" s="12"/>
      <c r="P691" s="12"/>
      <c r="Q691" s="12"/>
      <c r="R691" s="12"/>
      <c r="S691" s="12"/>
      <c r="T691" s="13"/>
      <c r="U691" s="46"/>
      <c r="V691" s="47"/>
      <c r="W691" s="48">
        <f t="shared" si="74"/>
        <v>0</v>
      </c>
      <c r="X691" s="48">
        <f t="shared" si="75"/>
        <v>0</v>
      </c>
      <c r="Y691" s="48">
        <f t="shared" si="76"/>
        <v>0</v>
      </c>
      <c r="Z691" s="48">
        <f t="shared" si="77"/>
        <v>0</v>
      </c>
      <c r="AA691" s="48"/>
      <c r="AB691" s="48"/>
      <c r="AC691" s="49">
        <f t="shared" si="78"/>
        <v>0</v>
      </c>
      <c r="AD691" s="50">
        <v>0</v>
      </c>
      <c r="AE691" s="47">
        <v>40001</v>
      </c>
      <c r="AF691" s="51" t="s">
        <v>1016</v>
      </c>
      <c r="AG691" s="52" t="s">
        <v>565</v>
      </c>
      <c r="AH691" s="53" t="s">
        <v>942</v>
      </c>
      <c r="AI691" s="79"/>
      <c r="AJ691" s="80"/>
      <c r="AK691" s="81"/>
      <c r="AL691" s="80"/>
      <c r="AM691" s="80"/>
      <c r="AN691" s="80"/>
      <c r="AO691" s="80"/>
      <c r="AP691" s="80"/>
      <c r="AQ691" s="80"/>
      <c r="AR691" s="80"/>
      <c r="AS691" s="80"/>
      <c r="AT691" s="80"/>
      <c r="AU691" s="80"/>
      <c r="AV691" s="80"/>
      <c r="AW691" s="80"/>
      <c r="AX691" s="80"/>
      <c r="AY691" s="80"/>
      <c r="AZ691" s="80"/>
      <c r="BA691" s="80"/>
      <c r="BB691" s="80"/>
      <c r="BC691" s="80"/>
      <c r="BD691" s="80"/>
      <c r="BE691" s="80"/>
      <c r="BF691" s="80"/>
      <c r="BG691" s="80"/>
      <c r="BH691" s="80"/>
      <c r="BI691" s="80"/>
      <c r="BJ691" s="80"/>
      <c r="BK691" s="80"/>
      <c r="BL691" s="80"/>
      <c r="BM691" s="80"/>
      <c r="BN691" s="80"/>
      <c r="BO691" s="80"/>
      <c r="BP691" s="80"/>
      <c r="BQ691" s="80"/>
      <c r="BR691" s="80"/>
      <c r="BS691" s="80"/>
      <c r="BT691" s="80"/>
      <c r="BU691" s="80"/>
      <c r="BV691" s="80"/>
      <c r="BW691" s="80"/>
      <c r="BX691" s="80"/>
      <c r="BY691" s="80"/>
      <c r="BZ691" s="80"/>
      <c r="CA691" s="80"/>
      <c r="CB691" s="80"/>
      <c r="CC691" s="80"/>
      <c r="CD691" s="80"/>
      <c r="CE691" s="80"/>
      <c r="CF691" s="80"/>
      <c r="CG691" s="80"/>
      <c r="CH691" s="80"/>
      <c r="CI691" s="80"/>
      <c r="CJ691" s="80"/>
      <c r="CK691" s="82"/>
      <c r="CL691" s="12"/>
      <c r="CM691" s="82"/>
      <c r="CN691" s="12"/>
      <c r="CO691" s="82"/>
      <c r="CP691" s="12"/>
      <c r="CQ691" s="83">
        <f t="shared" si="80"/>
        <v>0</v>
      </c>
      <c r="CR691" s="84"/>
      <c r="CS691" s="13"/>
      <c r="CT691" s="85"/>
      <c r="CU691" s="86"/>
      <c r="CV691" s="11"/>
      <c r="CW691" s="86"/>
      <c r="CX691" s="84"/>
      <c r="CY691" s="86"/>
    </row>
    <row r="692" spans="1:103" ht="25.5" x14ac:dyDescent="0.2">
      <c r="A692" s="43">
        <v>40000</v>
      </c>
      <c r="B692" s="44" t="s">
        <v>632</v>
      </c>
      <c r="C692" s="44" t="s">
        <v>117</v>
      </c>
      <c r="D692" s="45" t="s">
        <v>1095</v>
      </c>
      <c r="E692" s="11"/>
      <c r="F692" s="12">
        <v>2</v>
      </c>
      <c r="G692" s="12"/>
      <c r="H692" s="12"/>
      <c r="I692" s="12"/>
      <c r="J692" s="12"/>
      <c r="K692" s="12"/>
      <c r="L692" s="12"/>
      <c r="M692" s="12"/>
      <c r="N692" s="12"/>
      <c r="O692" s="12"/>
      <c r="P692" s="12"/>
      <c r="Q692" s="12"/>
      <c r="R692" s="12"/>
      <c r="S692" s="12"/>
      <c r="T692" s="13"/>
      <c r="U692" s="46"/>
      <c r="V692" s="47"/>
      <c r="W692" s="48">
        <f t="shared" si="74"/>
        <v>0</v>
      </c>
      <c r="X692" s="48">
        <f t="shared" si="75"/>
        <v>0</v>
      </c>
      <c r="Y692" s="48">
        <f t="shared" si="76"/>
        <v>0</v>
      </c>
      <c r="Z692" s="48">
        <f t="shared" si="77"/>
        <v>0</v>
      </c>
      <c r="AA692" s="48"/>
      <c r="AB692" s="48"/>
      <c r="AC692" s="49">
        <f t="shared" si="78"/>
        <v>0</v>
      </c>
      <c r="AD692" s="50">
        <v>0</v>
      </c>
      <c r="AE692" s="47">
        <v>40001</v>
      </c>
      <c r="AF692" s="51" t="s">
        <v>516</v>
      </c>
      <c r="AG692" s="52" t="s">
        <v>517</v>
      </c>
      <c r="AH692" s="53" t="s">
        <v>298</v>
      </c>
      <c r="AI692" s="79"/>
      <c r="AJ692" s="80"/>
      <c r="AK692" s="81"/>
      <c r="AL692" s="80"/>
      <c r="AM692" s="80"/>
      <c r="AN692" s="80"/>
      <c r="AO692" s="80"/>
      <c r="AP692" s="80"/>
      <c r="AQ692" s="80"/>
      <c r="AR692" s="80"/>
      <c r="AS692" s="80"/>
      <c r="AT692" s="80"/>
      <c r="AU692" s="80"/>
      <c r="AV692" s="80"/>
      <c r="AW692" s="80"/>
      <c r="AX692" s="80"/>
      <c r="AY692" s="80"/>
      <c r="AZ692" s="80"/>
      <c r="BA692" s="80"/>
      <c r="BB692" s="80"/>
      <c r="BC692" s="80"/>
      <c r="BD692" s="80"/>
      <c r="BE692" s="80"/>
      <c r="BF692" s="80"/>
      <c r="BG692" s="80"/>
      <c r="BH692" s="80"/>
      <c r="BI692" s="80"/>
      <c r="BJ692" s="80"/>
      <c r="BK692" s="80"/>
      <c r="BL692" s="80"/>
      <c r="BM692" s="80"/>
      <c r="BN692" s="80"/>
      <c r="BO692" s="80"/>
      <c r="BP692" s="80"/>
      <c r="BQ692" s="80"/>
      <c r="BR692" s="80"/>
      <c r="BS692" s="80"/>
      <c r="BT692" s="80"/>
      <c r="BU692" s="80"/>
      <c r="BV692" s="80"/>
      <c r="BW692" s="80"/>
      <c r="BX692" s="80"/>
      <c r="BY692" s="80"/>
      <c r="BZ692" s="80"/>
      <c r="CA692" s="80"/>
      <c r="CB692" s="80"/>
      <c r="CC692" s="80"/>
      <c r="CD692" s="80"/>
      <c r="CE692" s="80"/>
      <c r="CF692" s="80"/>
      <c r="CG692" s="80"/>
      <c r="CH692" s="80"/>
      <c r="CI692" s="80"/>
      <c r="CJ692" s="80"/>
      <c r="CK692" s="82"/>
      <c r="CL692" s="12"/>
      <c r="CM692" s="82"/>
      <c r="CN692" s="12"/>
      <c r="CO692" s="82"/>
      <c r="CP692" s="12"/>
      <c r="CQ692" s="83">
        <f t="shared" si="80"/>
        <v>0</v>
      </c>
      <c r="CR692" s="84"/>
      <c r="CS692" s="13"/>
      <c r="CT692" s="85"/>
      <c r="CU692" s="86"/>
      <c r="CV692" s="11"/>
      <c r="CW692" s="86"/>
      <c r="CX692" s="84"/>
      <c r="CY692" s="86"/>
    </row>
    <row r="693" spans="1:103" ht="51" x14ac:dyDescent="0.2">
      <c r="A693" s="43">
        <v>40001</v>
      </c>
      <c r="B693" s="44" t="s">
        <v>478</v>
      </c>
      <c r="C693" s="44" t="s">
        <v>478</v>
      </c>
      <c r="D693" s="45" t="s">
        <v>1118</v>
      </c>
      <c r="E693" s="11"/>
      <c r="F693" s="12"/>
      <c r="G693" s="12"/>
      <c r="H693" s="12">
        <f>722*5</f>
        <v>3610</v>
      </c>
      <c r="I693" s="12">
        <v>722</v>
      </c>
      <c r="J693" s="12"/>
      <c r="K693" s="12">
        <v>722</v>
      </c>
      <c r="L693" s="12"/>
      <c r="M693" s="12"/>
      <c r="N693" s="12"/>
      <c r="O693" s="12"/>
      <c r="P693" s="12"/>
      <c r="Q693" s="12"/>
      <c r="R693" s="12"/>
      <c r="S693" s="12"/>
      <c r="T693" s="13"/>
      <c r="U693" s="46"/>
      <c r="V693" s="47">
        <v>40036</v>
      </c>
      <c r="W693" s="48">
        <f t="shared" si="74"/>
        <v>23488000</v>
      </c>
      <c r="X693" s="48">
        <f t="shared" si="75"/>
        <v>21250000</v>
      </c>
      <c r="Y693" s="48">
        <f t="shared" si="76"/>
        <v>0</v>
      </c>
      <c r="Z693" s="48">
        <f t="shared" si="77"/>
        <v>0</v>
      </c>
      <c r="AA693" s="48"/>
      <c r="AB693" s="48"/>
      <c r="AC693" s="49">
        <f t="shared" si="78"/>
        <v>44738000</v>
      </c>
      <c r="AD693" s="50">
        <v>0</v>
      </c>
      <c r="AE693" s="47">
        <v>40004</v>
      </c>
      <c r="AF693" s="51" t="s">
        <v>1016</v>
      </c>
      <c r="AG693" s="52" t="s">
        <v>565</v>
      </c>
      <c r="AH693" s="53" t="s">
        <v>818</v>
      </c>
      <c r="AI693" s="79"/>
      <c r="AJ693" s="80"/>
      <c r="AK693" s="81"/>
      <c r="AL693" s="80"/>
      <c r="AM693" s="80"/>
      <c r="AN693" s="80"/>
      <c r="AO693" s="80"/>
      <c r="AP693" s="80"/>
      <c r="AQ693" s="80"/>
      <c r="AR693" s="80"/>
      <c r="AS693" s="80"/>
      <c r="AT693" s="80"/>
      <c r="AU693" s="80"/>
      <c r="AV693" s="80"/>
      <c r="AW693" s="80"/>
      <c r="AX693" s="80"/>
      <c r="AY693" s="80"/>
      <c r="AZ693" s="80"/>
      <c r="BA693" s="80"/>
      <c r="BB693" s="80"/>
      <c r="BC693" s="80"/>
      <c r="BD693" s="80"/>
      <c r="BE693" s="80"/>
      <c r="BF693" s="80"/>
      <c r="BG693" s="80"/>
      <c r="BH693" s="80"/>
      <c r="BI693" s="80"/>
      <c r="BJ693" s="80"/>
      <c r="BK693" s="80"/>
      <c r="BL693" s="80"/>
      <c r="BM693" s="80"/>
      <c r="BN693" s="80"/>
      <c r="BO693" s="80"/>
      <c r="BP693" s="80"/>
      <c r="BQ693" s="80"/>
      <c r="BR693" s="80"/>
      <c r="BS693" s="80"/>
      <c r="BT693" s="80"/>
      <c r="BU693" s="80"/>
      <c r="BV693" s="80"/>
      <c r="BW693" s="80"/>
      <c r="BX693" s="80"/>
      <c r="BY693" s="80"/>
      <c r="BZ693" s="80"/>
      <c r="CA693" s="80"/>
      <c r="CB693" s="80"/>
      <c r="CC693" s="80"/>
      <c r="CD693" s="80"/>
      <c r="CE693" s="80">
        <v>250</v>
      </c>
      <c r="CF693" s="80">
        <f>250*21000</f>
        <v>5250000</v>
      </c>
      <c r="CG693" s="80"/>
      <c r="CH693" s="80"/>
      <c r="CI693" s="80"/>
      <c r="CJ693" s="80"/>
      <c r="CK693" s="82">
        <v>250</v>
      </c>
      <c r="CL693" s="12">
        <f>250*36952</f>
        <v>9238000</v>
      </c>
      <c r="CM693" s="82">
        <v>250</v>
      </c>
      <c r="CN693" s="12">
        <f>250*36000</f>
        <v>9000000</v>
      </c>
      <c r="CO693" s="82"/>
      <c r="CP693" s="12"/>
      <c r="CQ693" s="83">
        <f t="shared" si="80"/>
        <v>23488000</v>
      </c>
      <c r="CR693" s="84"/>
      <c r="CS693" s="13"/>
      <c r="CT693" s="85">
        <v>250</v>
      </c>
      <c r="CU693" s="86">
        <f>250*85000</f>
        <v>21250000</v>
      </c>
      <c r="CV693" s="11"/>
      <c r="CW693" s="86"/>
      <c r="CX693" s="84"/>
      <c r="CY693" s="86"/>
    </row>
    <row r="694" spans="1:103" ht="127.5" x14ac:dyDescent="0.2">
      <c r="A694" s="43">
        <v>40001</v>
      </c>
      <c r="B694" s="44" t="s">
        <v>478</v>
      </c>
      <c r="C694" s="44" t="s">
        <v>949</v>
      </c>
      <c r="D694" s="45" t="s">
        <v>1118</v>
      </c>
      <c r="E694" s="11"/>
      <c r="F694" s="12"/>
      <c r="G694" s="12"/>
      <c r="H694" s="12">
        <f>814*5</f>
        <v>4070</v>
      </c>
      <c r="I694" s="12">
        <v>814</v>
      </c>
      <c r="J694" s="12">
        <v>35</v>
      </c>
      <c r="K694" s="12">
        <f>814-35</f>
        <v>779</v>
      </c>
      <c r="L694" s="12">
        <v>1</v>
      </c>
      <c r="M694" s="12"/>
      <c r="N694" s="12"/>
      <c r="O694" s="12"/>
      <c r="P694" s="12"/>
      <c r="Q694" s="12"/>
      <c r="R694" s="12">
        <v>3</v>
      </c>
      <c r="S694" s="12"/>
      <c r="T694" s="13"/>
      <c r="U694" s="46"/>
      <c r="V694" s="47">
        <v>40036</v>
      </c>
      <c r="W694" s="48">
        <f t="shared" si="74"/>
        <v>42278400</v>
      </c>
      <c r="X694" s="48">
        <f t="shared" si="75"/>
        <v>38250000</v>
      </c>
      <c r="Y694" s="48">
        <f t="shared" si="76"/>
        <v>0</v>
      </c>
      <c r="Z694" s="48">
        <f t="shared" si="77"/>
        <v>0</v>
      </c>
      <c r="AA694" s="48"/>
      <c r="AB694" s="48"/>
      <c r="AC694" s="49">
        <f t="shared" si="78"/>
        <v>80528400</v>
      </c>
      <c r="AD694" s="50">
        <v>0</v>
      </c>
      <c r="AE694" s="47">
        <v>40004</v>
      </c>
      <c r="AF694" s="51" t="s">
        <v>1016</v>
      </c>
      <c r="AG694" s="52" t="s">
        <v>565</v>
      </c>
      <c r="AH694" s="53" t="s">
        <v>1305</v>
      </c>
      <c r="AI694" s="79"/>
      <c r="AJ694" s="80"/>
      <c r="AK694" s="81"/>
      <c r="AL694" s="80"/>
      <c r="AM694" s="80"/>
      <c r="AN694" s="80"/>
      <c r="AO694" s="80"/>
      <c r="AP694" s="80"/>
      <c r="AQ694" s="80"/>
      <c r="AR694" s="80"/>
      <c r="AS694" s="80"/>
      <c r="AT694" s="80"/>
      <c r="AU694" s="80"/>
      <c r="AV694" s="80"/>
      <c r="AW694" s="80"/>
      <c r="AX694" s="80"/>
      <c r="AY694" s="80"/>
      <c r="AZ694" s="80"/>
      <c r="BA694" s="80"/>
      <c r="BB694" s="80"/>
      <c r="BC694" s="80"/>
      <c r="BD694" s="80"/>
      <c r="BE694" s="80"/>
      <c r="BF694" s="80"/>
      <c r="BG694" s="80"/>
      <c r="BH694" s="80"/>
      <c r="BI694" s="80"/>
      <c r="BJ694" s="80"/>
      <c r="BK694" s="80"/>
      <c r="BL694" s="80"/>
      <c r="BM694" s="80"/>
      <c r="BN694" s="80"/>
      <c r="BO694" s="80"/>
      <c r="BP694" s="80"/>
      <c r="BQ694" s="80"/>
      <c r="BR694" s="80"/>
      <c r="BS694" s="80"/>
      <c r="BT694" s="80"/>
      <c r="BU694" s="80"/>
      <c r="BV694" s="80"/>
      <c r="BW694" s="80"/>
      <c r="BX694" s="80"/>
      <c r="BY694" s="80"/>
      <c r="BZ694" s="80"/>
      <c r="CA694" s="80"/>
      <c r="CB694" s="80"/>
      <c r="CC694" s="80"/>
      <c r="CD694" s="80"/>
      <c r="CE694" s="80">
        <v>450</v>
      </c>
      <c r="CF694" s="80">
        <f>450*21000</f>
        <v>9450000</v>
      </c>
      <c r="CG694" s="80"/>
      <c r="CH694" s="80"/>
      <c r="CI694" s="80"/>
      <c r="CJ694" s="80"/>
      <c r="CK694" s="82">
        <v>450</v>
      </c>
      <c r="CL694" s="12">
        <f>450*36952</f>
        <v>16628400</v>
      </c>
      <c r="CM694" s="82">
        <v>450</v>
      </c>
      <c r="CN694" s="12">
        <f>450*36000</f>
        <v>16200000</v>
      </c>
      <c r="CO694" s="82"/>
      <c r="CP694" s="12"/>
      <c r="CQ694" s="83">
        <f t="shared" si="80"/>
        <v>42278400</v>
      </c>
      <c r="CR694" s="84"/>
      <c r="CS694" s="13"/>
      <c r="CT694" s="85">
        <v>450</v>
      </c>
      <c r="CU694" s="86">
        <f>450*85000</f>
        <v>38250000</v>
      </c>
      <c r="CV694" s="11"/>
      <c r="CW694" s="86"/>
      <c r="CX694" s="84"/>
      <c r="CY694" s="86"/>
    </row>
    <row r="695" spans="1:103" ht="25.5" x14ac:dyDescent="0.2">
      <c r="A695" s="43">
        <v>40001</v>
      </c>
      <c r="B695" s="44" t="s">
        <v>478</v>
      </c>
      <c r="C695" s="44" t="s">
        <v>401</v>
      </c>
      <c r="D695" s="45" t="s">
        <v>1118</v>
      </c>
      <c r="E695" s="11"/>
      <c r="F695" s="12"/>
      <c r="G695" s="12"/>
      <c r="H695" s="12">
        <v>11</v>
      </c>
      <c r="I695" s="12">
        <v>4</v>
      </c>
      <c r="J695" s="12"/>
      <c r="K695" s="12">
        <v>4</v>
      </c>
      <c r="L695" s="12"/>
      <c r="M695" s="12"/>
      <c r="N695" s="12"/>
      <c r="O695" s="12"/>
      <c r="P695" s="12"/>
      <c r="Q695" s="12"/>
      <c r="R695" s="12"/>
      <c r="S695" s="12"/>
      <c r="T695" s="13"/>
      <c r="U695" s="46"/>
      <c r="V695" s="47"/>
      <c r="W695" s="48">
        <f t="shared" si="74"/>
        <v>0</v>
      </c>
      <c r="X695" s="48">
        <f t="shared" si="75"/>
        <v>0</v>
      </c>
      <c r="Y695" s="48">
        <f t="shared" si="76"/>
        <v>0</v>
      </c>
      <c r="Z695" s="48">
        <f t="shared" si="77"/>
        <v>0</v>
      </c>
      <c r="AA695" s="48"/>
      <c r="AB695" s="48"/>
      <c r="AC695" s="49">
        <f t="shared" si="78"/>
        <v>0</v>
      </c>
      <c r="AD695" s="50">
        <v>0</v>
      </c>
      <c r="AE695" s="47">
        <v>40004</v>
      </c>
      <c r="AF695" s="51" t="s">
        <v>516</v>
      </c>
      <c r="AG695" s="52" t="s">
        <v>517</v>
      </c>
      <c r="AH695" s="53" t="s">
        <v>402</v>
      </c>
      <c r="AI695" s="79"/>
      <c r="AJ695" s="80"/>
      <c r="AK695" s="81"/>
      <c r="AL695" s="80"/>
      <c r="AM695" s="80"/>
      <c r="AN695" s="80"/>
      <c r="AO695" s="80"/>
      <c r="AP695" s="80"/>
      <c r="AQ695" s="80"/>
      <c r="AR695" s="80"/>
      <c r="AS695" s="80"/>
      <c r="AT695" s="80"/>
      <c r="AU695" s="80"/>
      <c r="AV695" s="80"/>
      <c r="AW695" s="80"/>
      <c r="AX695" s="80"/>
      <c r="AY695" s="80"/>
      <c r="AZ695" s="80"/>
      <c r="BA695" s="80"/>
      <c r="BB695" s="80"/>
      <c r="BC695" s="80"/>
      <c r="BD695" s="80"/>
      <c r="BE695" s="80"/>
      <c r="BF695" s="80"/>
      <c r="BG695" s="80"/>
      <c r="BH695" s="80"/>
      <c r="BI695" s="80"/>
      <c r="BJ695" s="80"/>
      <c r="BK695" s="80"/>
      <c r="BL695" s="80"/>
      <c r="BM695" s="80"/>
      <c r="BN695" s="80"/>
      <c r="BO695" s="80"/>
      <c r="BP695" s="80"/>
      <c r="BQ695" s="80"/>
      <c r="BR695" s="80"/>
      <c r="BS695" s="80"/>
      <c r="BT695" s="80"/>
      <c r="BU695" s="80"/>
      <c r="BV695" s="80"/>
      <c r="BW695" s="80"/>
      <c r="BX695" s="80"/>
      <c r="BY695" s="80"/>
      <c r="BZ695" s="80"/>
      <c r="CA695" s="80"/>
      <c r="CB695" s="80"/>
      <c r="CC695" s="80"/>
      <c r="CD695" s="80"/>
      <c r="CE695" s="80"/>
      <c r="CF695" s="80"/>
      <c r="CG695" s="80"/>
      <c r="CH695" s="80"/>
      <c r="CI695" s="80"/>
      <c r="CJ695" s="80"/>
      <c r="CK695" s="82"/>
      <c r="CL695" s="12"/>
      <c r="CM695" s="82"/>
      <c r="CN695" s="12"/>
      <c r="CO695" s="82"/>
      <c r="CP695" s="12"/>
      <c r="CQ695" s="83">
        <f t="shared" si="80"/>
        <v>0</v>
      </c>
      <c r="CR695" s="84"/>
      <c r="CS695" s="13"/>
      <c r="CT695" s="85"/>
      <c r="CU695" s="86"/>
      <c r="CV695" s="11"/>
      <c r="CW695" s="86"/>
      <c r="CX695" s="84"/>
      <c r="CY695" s="86"/>
    </row>
    <row r="696" spans="1:103" ht="25.5" x14ac:dyDescent="0.2">
      <c r="A696" s="43">
        <v>40001</v>
      </c>
      <c r="B696" s="44" t="s">
        <v>478</v>
      </c>
      <c r="C696" s="44" t="s">
        <v>1141</v>
      </c>
      <c r="D696" s="45" t="s">
        <v>1118</v>
      </c>
      <c r="E696" s="11"/>
      <c r="F696" s="12"/>
      <c r="G696" s="12"/>
      <c r="H696" s="12">
        <f>36*5</f>
        <v>180</v>
      </c>
      <c r="I696" s="12">
        <v>36</v>
      </c>
      <c r="J696" s="12"/>
      <c r="K696" s="12">
        <v>36</v>
      </c>
      <c r="L696" s="12"/>
      <c r="M696" s="12"/>
      <c r="N696" s="12"/>
      <c r="O696" s="12"/>
      <c r="P696" s="12"/>
      <c r="Q696" s="12"/>
      <c r="R696" s="12"/>
      <c r="S696" s="12"/>
      <c r="T696" s="13"/>
      <c r="U696" s="46"/>
      <c r="V696" s="47"/>
      <c r="W696" s="48">
        <f t="shared" si="74"/>
        <v>0</v>
      </c>
      <c r="X696" s="48">
        <f t="shared" si="75"/>
        <v>0</v>
      </c>
      <c r="Y696" s="48">
        <f t="shared" si="76"/>
        <v>0</v>
      </c>
      <c r="Z696" s="48">
        <f t="shared" si="77"/>
        <v>0</v>
      </c>
      <c r="AA696" s="48"/>
      <c r="AB696" s="48"/>
      <c r="AC696" s="49">
        <f t="shared" si="78"/>
        <v>0</v>
      </c>
      <c r="AD696" s="50">
        <v>0</v>
      </c>
      <c r="AE696" s="47">
        <v>40008</v>
      </c>
      <c r="AF696" s="51" t="s">
        <v>516</v>
      </c>
      <c r="AG696" s="52" t="s">
        <v>517</v>
      </c>
      <c r="AH696" s="53" t="s">
        <v>1216</v>
      </c>
      <c r="AI696" s="79"/>
      <c r="AJ696" s="80"/>
      <c r="AK696" s="81"/>
      <c r="AL696" s="80"/>
      <c r="AM696" s="80"/>
      <c r="AN696" s="80"/>
      <c r="AO696" s="80"/>
      <c r="AP696" s="80"/>
      <c r="AQ696" s="80"/>
      <c r="AR696" s="80"/>
      <c r="AS696" s="80"/>
      <c r="AT696" s="80"/>
      <c r="AU696" s="80"/>
      <c r="AV696" s="80"/>
      <c r="AW696" s="80"/>
      <c r="AX696" s="80"/>
      <c r="AY696" s="80"/>
      <c r="AZ696" s="80"/>
      <c r="BA696" s="80"/>
      <c r="BB696" s="80"/>
      <c r="BC696" s="80"/>
      <c r="BD696" s="80"/>
      <c r="BE696" s="80"/>
      <c r="BF696" s="80"/>
      <c r="BG696" s="80"/>
      <c r="BH696" s="80"/>
      <c r="BI696" s="80"/>
      <c r="BJ696" s="80"/>
      <c r="BK696" s="80"/>
      <c r="BL696" s="80"/>
      <c r="BM696" s="80"/>
      <c r="BN696" s="80"/>
      <c r="BO696" s="80"/>
      <c r="BP696" s="80"/>
      <c r="BQ696" s="80"/>
      <c r="BR696" s="80"/>
      <c r="BS696" s="80"/>
      <c r="BT696" s="80"/>
      <c r="BU696" s="80"/>
      <c r="BV696" s="80"/>
      <c r="BW696" s="80"/>
      <c r="BX696" s="80"/>
      <c r="BY696" s="80"/>
      <c r="BZ696" s="80"/>
      <c r="CA696" s="80"/>
      <c r="CB696" s="80"/>
      <c r="CC696" s="80"/>
      <c r="CD696" s="80"/>
      <c r="CE696" s="80"/>
      <c r="CF696" s="80"/>
      <c r="CG696" s="80"/>
      <c r="CH696" s="80"/>
      <c r="CI696" s="80"/>
      <c r="CJ696" s="80"/>
      <c r="CK696" s="82"/>
      <c r="CL696" s="12"/>
      <c r="CM696" s="82"/>
      <c r="CN696" s="12"/>
      <c r="CO696" s="82"/>
      <c r="CP696" s="12"/>
      <c r="CQ696" s="83">
        <f t="shared" si="80"/>
        <v>0</v>
      </c>
      <c r="CR696" s="84"/>
      <c r="CS696" s="13"/>
      <c r="CT696" s="85"/>
      <c r="CU696" s="86"/>
      <c r="CV696" s="11"/>
      <c r="CW696" s="86"/>
      <c r="CX696" s="84"/>
      <c r="CY696" s="86"/>
    </row>
    <row r="697" spans="1:103" ht="51" x14ac:dyDescent="0.2">
      <c r="A697" s="43">
        <v>40001</v>
      </c>
      <c r="B697" s="44" t="s">
        <v>478</v>
      </c>
      <c r="C697" s="44" t="s">
        <v>1142</v>
      </c>
      <c r="D697" s="45" t="s">
        <v>1118</v>
      </c>
      <c r="E697" s="11"/>
      <c r="F697" s="12"/>
      <c r="G697" s="12"/>
      <c r="H697" s="12">
        <f>30*5</f>
        <v>150</v>
      </c>
      <c r="I697" s="12">
        <v>30</v>
      </c>
      <c r="J697" s="12"/>
      <c r="K697" s="12">
        <v>30</v>
      </c>
      <c r="L697" s="12"/>
      <c r="M697" s="12"/>
      <c r="N697" s="12"/>
      <c r="O697" s="12"/>
      <c r="P697" s="12"/>
      <c r="Q697" s="12"/>
      <c r="R697" s="12"/>
      <c r="S697" s="12"/>
      <c r="T697" s="13"/>
      <c r="U697" s="46"/>
      <c r="V697" s="47"/>
      <c r="W697" s="48">
        <f t="shared" si="74"/>
        <v>0</v>
      </c>
      <c r="X697" s="48">
        <f t="shared" si="75"/>
        <v>0</v>
      </c>
      <c r="Y697" s="48">
        <f t="shared" si="76"/>
        <v>0</v>
      </c>
      <c r="Z697" s="48">
        <f t="shared" si="77"/>
        <v>0</v>
      </c>
      <c r="AA697" s="48"/>
      <c r="AB697" s="48"/>
      <c r="AC697" s="49">
        <f t="shared" si="78"/>
        <v>0</v>
      </c>
      <c r="AD697" s="50">
        <v>0</v>
      </c>
      <c r="AE697" s="47">
        <v>40008</v>
      </c>
      <c r="AF697" s="51" t="s">
        <v>516</v>
      </c>
      <c r="AG697" s="52" t="s">
        <v>517</v>
      </c>
      <c r="AH697" s="53" t="s">
        <v>1217</v>
      </c>
      <c r="AI697" s="79"/>
      <c r="AJ697" s="80"/>
      <c r="AK697" s="81"/>
      <c r="AL697" s="80"/>
      <c r="AM697" s="80"/>
      <c r="AN697" s="80"/>
      <c r="AO697" s="80"/>
      <c r="AP697" s="80"/>
      <c r="AQ697" s="80"/>
      <c r="AR697" s="80"/>
      <c r="AS697" s="80"/>
      <c r="AT697" s="80"/>
      <c r="AU697" s="80"/>
      <c r="AV697" s="80"/>
      <c r="AW697" s="80"/>
      <c r="AX697" s="80"/>
      <c r="AY697" s="80"/>
      <c r="AZ697" s="80"/>
      <c r="BA697" s="80"/>
      <c r="BB697" s="80"/>
      <c r="BC697" s="80"/>
      <c r="BD697" s="80"/>
      <c r="BE697" s="80"/>
      <c r="BF697" s="80"/>
      <c r="BG697" s="80"/>
      <c r="BH697" s="80"/>
      <c r="BI697" s="80"/>
      <c r="BJ697" s="80"/>
      <c r="BK697" s="80"/>
      <c r="BL697" s="80"/>
      <c r="BM697" s="80"/>
      <c r="BN697" s="80"/>
      <c r="BO697" s="80"/>
      <c r="BP697" s="80"/>
      <c r="BQ697" s="80"/>
      <c r="BR697" s="80"/>
      <c r="BS697" s="80"/>
      <c r="BT697" s="80"/>
      <c r="BU697" s="80"/>
      <c r="BV697" s="80"/>
      <c r="BW697" s="80"/>
      <c r="BX697" s="80"/>
      <c r="BY697" s="80"/>
      <c r="BZ697" s="80"/>
      <c r="CA697" s="80"/>
      <c r="CB697" s="80"/>
      <c r="CC697" s="80"/>
      <c r="CD697" s="80"/>
      <c r="CE697" s="80"/>
      <c r="CF697" s="80"/>
      <c r="CG697" s="80"/>
      <c r="CH697" s="80"/>
      <c r="CI697" s="80"/>
      <c r="CJ697" s="80"/>
      <c r="CK697" s="82"/>
      <c r="CL697" s="12"/>
      <c r="CM697" s="82"/>
      <c r="CN697" s="12"/>
      <c r="CO697" s="82"/>
      <c r="CP697" s="12"/>
      <c r="CQ697" s="83">
        <f t="shared" si="80"/>
        <v>0</v>
      </c>
      <c r="CR697" s="84"/>
      <c r="CS697" s="13"/>
      <c r="CT697" s="85"/>
      <c r="CU697" s="86"/>
      <c r="CV697" s="11"/>
      <c r="CW697" s="86"/>
      <c r="CX697" s="84"/>
      <c r="CY697" s="86"/>
    </row>
    <row r="698" spans="1:103" ht="25.5" x14ac:dyDescent="0.2">
      <c r="A698" s="43">
        <v>40003</v>
      </c>
      <c r="B698" s="44" t="s">
        <v>625</v>
      </c>
      <c r="C698" s="44" t="s">
        <v>525</v>
      </c>
      <c r="D698" s="45" t="s">
        <v>1118</v>
      </c>
      <c r="E698" s="11"/>
      <c r="F698" s="12"/>
      <c r="G698" s="12"/>
      <c r="H698" s="12">
        <v>75</v>
      </c>
      <c r="I698" s="12">
        <v>15</v>
      </c>
      <c r="J698" s="12"/>
      <c r="K698" s="12">
        <v>15</v>
      </c>
      <c r="L698" s="12"/>
      <c r="M698" s="12"/>
      <c r="N698" s="12"/>
      <c r="O698" s="12"/>
      <c r="P698" s="12"/>
      <c r="Q698" s="12"/>
      <c r="R698" s="12"/>
      <c r="S698" s="12"/>
      <c r="T698" s="13"/>
      <c r="U698" s="46"/>
      <c r="V698" s="47"/>
      <c r="W698" s="48">
        <f t="shared" si="74"/>
        <v>0</v>
      </c>
      <c r="X698" s="48">
        <f t="shared" si="75"/>
        <v>0</v>
      </c>
      <c r="Y698" s="48">
        <f t="shared" si="76"/>
        <v>0</v>
      </c>
      <c r="Z698" s="48">
        <f t="shared" si="77"/>
        <v>0</v>
      </c>
      <c r="AA698" s="48"/>
      <c r="AB698" s="48"/>
      <c r="AC698" s="49">
        <f t="shared" si="78"/>
        <v>0</v>
      </c>
      <c r="AD698" s="50">
        <v>0</v>
      </c>
      <c r="AE698" s="47">
        <v>40007</v>
      </c>
      <c r="AF698" s="51" t="s">
        <v>516</v>
      </c>
      <c r="AG698" s="52" t="s">
        <v>517</v>
      </c>
      <c r="AH698" s="53" t="s">
        <v>526</v>
      </c>
      <c r="AI698" s="79"/>
      <c r="AJ698" s="80"/>
      <c r="AK698" s="81"/>
      <c r="AL698" s="80"/>
      <c r="AM698" s="80"/>
      <c r="AN698" s="80"/>
      <c r="AO698" s="80"/>
      <c r="AP698" s="80"/>
      <c r="AQ698" s="80"/>
      <c r="AR698" s="80"/>
      <c r="AS698" s="80"/>
      <c r="AT698" s="80"/>
      <c r="AU698" s="80"/>
      <c r="AV698" s="80"/>
      <c r="AW698" s="80"/>
      <c r="AX698" s="80"/>
      <c r="AY698" s="80"/>
      <c r="AZ698" s="80"/>
      <c r="BA698" s="80"/>
      <c r="BB698" s="80"/>
      <c r="BC698" s="80"/>
      <c r="BD698" s="80"/>
      <c r="BE698" s="80"/>
      <c r="BF698" s="80"/>
      <c r="BG698" s="80"/>
      <c r="BH698" s="80"/>
      <c r="BI698" s="80"/>
      <c r="BJ698" s="80"/>
      <c r="BK698" s="80"/>
      <c r="BL698" s="80"/>
      <c r="BM698" s="80"/>
      <c r="BN698" s="80"/>
      <c r="BO698" s="80"/>
      <c r="BP698" s="80"/>
      <c r="BQ698" s="80"/>
      <c r="BR698" s="80"/>
      <c r="BS698" s="80"/>
      <c r="BT698" s="80"/>
      <c r="BU698" s="80"/>
      <c r="BV698" s="80"/>
      <c r="BW698" s="80"/>
      <c r="BX698" s="80"/>
      <c r="BY698" s="80"/>
      <c r="BZ698" s="80"/>
      <c r="CA698" s="80"/>
      <c r="CB698" s="80"/>
      <c r="CC698" s="80"/>
      <c r="CD698" s="80"/>
      <c r="CE698" s="80"/>
      <c r="CF698" s="80"/>
      <c r="CG698" s="80"/>
      <c r="CH698" s="80"/>
      <c r="CI698" s="80"/>
      <c r="CJ698" s="80"/>
      <c r="CK698" s="82"/>
      <c r="CL698" s="12"/>
      <c r="CM698" s="82"/>
      <c r="CN698" s="12"/>
      <c r="CO698" s="82"/>
      <c r="CP698" s="12"/>
      <c r="CQ698" s="83">
        <f t="shared" si="80"/>
        <v>0</v>
      </c>
      <c r="CR698" s="84"/>
      <c r="CS698" s="13"/>
      <c r="CT698" s="85"/>
      <c r="CU698" s="86"/>
      <c r="CV698" s="11"/>
      <c r="CW698" s="86"/>
      <c r="CX698" s="84"/>
      <c r="CY698" s="86"/>
    </row>
    <row r="699" spans="1:103" ht="38.25" x14ac:dyDescent="0.2">
      <c r="A699" s="43">
        <v>40003</v>
      </c>
      <c r="B699" s="44" t="s">
        <v>1094</v>
      </c>
      <c r="C699" s="44" t="s">
        <v>291</v>
      </c>
      <c r="D699" s="45" t="s">
        <v>1117</v>
      </c>
      <c r="E699" s="11"/>
      <c r="F699" s="12"/>
      <c r="G699" s="12"/>
      <c r="H699" s="12">
        <v>15</v>
      </c>
      <c r="I699" s="12">
        <v>3</v>
      </c>
      <c r="J699" s="12">
        <v>1</v>
      </c>
      <c r="K699" s="12">
        <v>2</v>
      </c>
      <c r="L699" s="12"/>
      <c r="M699" s="12"/>
      <c r="N699" s="12"/>
      <c r="O699" s="12"/>
      <c r="P699" s="12"/>
      <c r="Q699" s="12"/>
      <c r="R699" s="12"/>
      <c r="S699" s="12"/>
      <c r="T699" s="13"/>
      <c r="U699" s="46"/>
      <c r="V699" s="47"/>
      <c r="W699" s="48">
        <f t="shared" si="74"/>
        <v>0</v>
      </c>
      <c r="X699" s="48">
        <f t="shared" si="75"/>
        <v>0</v>
      </c>
      <c r="Y699" s="48">
        <f t="shared" si="76"/>
        <v>0</v>
      </c>
      <c r="Z699" s="48">
        <f t="shared" si="77"/>
        <v>0</v>
      </c>
      <c r="AA699" s="48"/>
      <c r="AB699" s="48"/>
      <c r="AC699" s="49">
        <f t="shared" si="78"/>
        <v>0</v>
      </c>
      <c r="AD699" s="50">
        <v>0</v>
      </c>
      <c r="AE699" s="47">
        <v>40004</v>
      </c>
      <c r="AF699" s="51" t="s">
        <v>1016</v>
      </c>
      <c r="AG699" s="52" t="s">
        <v>565</v>
      </c>
      <c r="AH699" s="53" t="s">
        <v>955</v>
      </c>
      <c r="AI699" s="79"/>
      <c r="AJ699" s="80"/>
      <c r="AK699" s="81"/>
      <c r="AL699" s="80"/>
      <c r="AM699" s="80"/>
      <c r="AN699" s="80"/>
      <c r="AO699" s="80"/>
      <c r="AP699" s="80"/>
      <c r="AQ699" s="80"/>
      <c r="AR699" s="80"/>
      <c r="AS699" s="80"/>
      <c r="AT699" s="80"/>
      <c r="AU699" s="80"/>
      <c r="AV699" s="80"/>
      <c r="AW699" s="80"/>
      <c r="AX699" s="80"/>
      <c r="AY699" s="80"/>
      <c r="AZ699" s="80"/>
      <c r="BA699" s="80"/>
      <c r="BB699" s="80"/>
      <c r="BC699" s="80"/>
      <c r="BD699" s="80"/>
      <c r="BE699" s="80"/>
      <c r="BF699" s="80"/>
      <c r="BG699" s="80"/>
      <c r="BH699" s="80"/>
      <c r="BI699" s="80"/>
      <c r="BJ699" s="80"/>
      <c r="BK699" s="80"/>
      <c r="BL699" s="80"/>
      <c r="BM699" s="80"/>
      <c r="BN699" s="80"/>
      <c r="BO699" s="80"/>
      <c r="BP699" s="80"/>
      <c r="BQ699" s="80"/>
      <c r="BR699" s="80"/>
      <c r="BS699" s="80"/>
      <c r="BT699" s="80"/>
      <c r="BU699" s="80"/>
      <c r="BV699" s="80"/>
      <c r="BW699" s="80"/>
      <c r="BX699" s="80"/>
      <c r="BY699" s="80"/>
      <c r="BZ699" s="80"/>
      <c r="CA699" s="80"/>
      <c r="CB699" s="80"/>
      <c r="CC699" s="80"/>
      <c r="CD699" s="80"/>
      <c r="CE699" s="80"/>
      <c r="CF699" s="80"/>
      <c r="CG699" s="80"/>
      <c r="CH699" s="80"/>
      <c r="CI699" s="80"/>
      <c r="CJ699" s="80"/>
      <c r="CK699" s="82"/>
      <c r="CL699" s="12"/>
      <c r="CM699" s="82"/>
      <c r="CN699" s="12"/>
      <c r="CO699" s="82"/>
      <c r="CP699" s="12"/>
      <c r="CQ699" s="83">
        <f t="shared" si="80"/>
        <v>0</v>
      </c>
      <c r="CR699" s="84"/>
      <c r="CS699" s="13"/>
      <c r="CT699" s="85"/>
      <c r="CU699" s="86"/>
      <c r="CV699" s="11"/>
      <c r="CW699" s="86"/>
      <c r="CX699" s="84"/>
      <c r="CY699" s="86"/>
    </row>
    <row r="700" spans="1:103" ht="38.25" x14ac:dyDescent="0.2">
      <c r="A700" s="43">
        <v>40003</v>
      </c>
      <c r="B700" s="44" t="s">
        <v>600</v>
      </c>
      <c r="C700" s="44" t="s">
        <v>403</v>
      </c>
      <c r="D700" s="45" t="s">
        <v>1118</v>
      </c>
      <c r="E700" s="11"/>
      <c r="F700" s="12"/>
      <c r="G700" s="12"/>
      <c r="H700" s="12">
        <v>10</v>
      </c>
      <c r="I700" s="12">
        <v>2</v>
      </c>
      <c r="J700" s="12"/>
      <c r="K700" s="12">
        <v>2</v>
      </c>
      <c r="L700" s="12"/>
      <c r="M700" s="12"/>
      <c r="N700" s="12"/>
      <c r="O700" s="12"/>
      <c r="P700" s="12"/>
      <c r="Q700" s="12"/>
      <c r="R700" s="12"/>
      <c r="S700" s="12"/>
      <c r="T700" s="13"/>
      <c r="U700" s="46"/>
      <c r="V700" s="47"/>
      <c r="W700" s="48">
        <f t="shared" si="74"/>
        <v>0</v>
      </c>
      <c r="X700" s="48">
        <f t="shared" si="75"/>
        <v>0</v>
      </c>
      <c r="Y700" s="48">
        <f t="shared" si="76"/>
        <v>0</v>
      </c>
      <c r="Z700" s="48">
        <f t="shared" si="77"/>
        <v>0</v>
      </c>
      <c r="AA700" s="48"/>
      <c r="AB700" s="48"/>
      <c r="AC700" s="49">
        <f t="shared" si="78"/>
        <v>0</v>
      </c>
      <c r="AD700" s="50">
        <v>0</v>
      </c>
      <c r="AE700" s="47">
        <v>40004</v>
      </c>
      <c r="AF700" s="51" t="s">
        <v>516</v>
      </c>
      <c r="AG700" s="52" t="s">
        <v>517</v>
      </c>
      <c r="AH700" s="53" t="s">
        <v>404</v>
      </c>
      <c r="AI700" s="79"/>
      <c r="AJ700" s="80"/>
      <c r="AK700" s="81"/>
      <c r="AL700" s="80"/>
      <c r="AM700" s="80"/>
      <c r="AN700" s="80"/>
      <c r="AO700" s="80"/>
      <c r="AP700" s="80"/>
      <c r="AQ700" s="80"/>
      <c r="AR700" s="80"/>
      <c r="AS700" s="80"/>
      <c r="AT700" s="80"/>
      <c r="AU700" s="80"/>
      <c r="AV700" s="80"/>
      <c r="AW700" s="80"/>
      <c r="AX700" s="80"/>
      <c r="AY700" s="80"/>
      <c r="AZ700" s="80"/>
      <c r="BA700" s="80"/>
      <c r="BB700" s="80"/>
      <c r="BC700" s="80"/>
      <c r="BD700" s="80"/>
      <c r="BE700" s="80"/>
      <c r="BF700" s="80"/>
      <c r="BG700" s="80"/>
      <c r="BH700" s="80"/>
      <c r="BI700" s="80"/>
      <c r="BJ700" s="80"/>
      <c r="BK700" s="80"/>
      <c r="BL700" s="80"/>
      <c r="BM700" s="80"/>
      <c r="BN700" s="80"/>
      <c r="BO700" s="80"/>
      <c r="BP700" s="80"/>
      <c r="BQ700" s="80"/>
      <c r="BR700" s="80"/>
      <c r="BS700" s="80"/>
      <c r="BT700" s="80"/>
      <c r="BU700" s="80"/>
      <c r="BV700" s="80"/>
      <c r="BW700" s="80"/>
      <c r="BX700" s="80"/>
      <c r="BY700" s="80"/>
      <c r="BZ700" s="80"/>
      <c r="CA700" s="80"/>
      <c r="CB700" s="80"/>
      <c r="CC700" s="80"/>
      <c r="CD700" s="80"/>
      <c r="CE700" s="80"/>
      <c r="CF700" s="80"/>
      <c r="CG700" s="80"/>
      <c r="CH700" s="80"/>
      <c r="CI700" s="80"/>
      <c r="CJ700" s="80"/>
      <c r="CK700" s="82"/>
      <c r="CL700" s="12"/>
      <c r="CM700" s="82"/>
      <c r="CN700" s="12"/>
      <c r="CO700" s="82"/>
      <c r="CP700" s="12"/>
      <c r="CQ700" s="83">
        <f t="shared" si="80"/>
        <v>0</v>
      </c>
      <c r="CR700" s="84"/>
      <c r="CS700" s="13"/>
      <c r="CT700" s="85"/>
      <c r="CU700" s="86"/>
      <c r="CV700" s="11"/>
      <c r="CW700" s="86"/>
      <c r="CX700" s="84"/>
      <c r="CY700" s="86"/>
    </row>
    <row r="701" spans="1:103" ht="38.25" x14ac:dyDescent="0.2">
      <c r="A701" s="43">
        <v>40003</v>
      </c>
      <c r="B701" s="44" t="s">
        <v>781</v>
      </c>
      <c r="C701" s="44" t="s">
        <v>1011</v>
      </c>
      <c r="D701" s="45" t="s">
        <v>1118</v>
      </c>
      <c r="E701" s="11"/>
      <c r="F701" s="12"/>
      <c r="G701" s="12"/>
      <c r="H701" s="12">
        <v>75</v>
      </c>
      <c r="I701" s="12">
        <v>15</v>
      </c>
      <c r="J701" s="12"/>
      <c r="K701" s="12">
        <v>15</v>
      </c>
      <c r="L701" s="12"/>
      <c r="M701" s="12"/>
      <c r="N701" s="12"/>
      <c r="O701" s="12"/>
      <c r="P701" s="12"/>
      <c r="Q701" s="12"/>
      <c r="R701" s="12"/>
      <c r="S701" s="12"/>
      <c r="T701" s="13"/>
      <c r="U701" s="46"/>
      <c r="V701" s="47"/>
      <c r="W701" s="48">
        <f t="shared" si="74"/>
        <v>0</v>
      </c>
      <c r="X701" s="48">
        <f t="shared" si="75"/>
        <v>0</v>
      </c>
      <c r="Y701" s="48">
        <f t="shared" si="76"/>
        <v>0</v>
      </c>
      <c r="Z701" s="48">
        <f t="shared" si="77"/>
        <v>0</v>
      </c>
      <c r="AA701" s="48"/>
      <c r="AB701" s="48"/>
      <c r="AC701" s="49">
        <f t="shared" si="78"/>
        <v>0</v>
      </c>
      <c r="AD701" s="50">
        <v>0</v>
      </c>
      <c r="AE701" s="47">
        <v>40004</v>
      </c>
      <c r="AF701" s="51" t="s">
        <v>516</v>
      </c>
      <c r="AG701" s="52" t="s">
        <v>517</v>
      </c>
      <c r="AH701" s="53" t="s">
        <v>405</v>
      </c>
      <c r="AI701" s="79"/>
      <c r="AJ701" s="80"/>
      <c r="AK701" s="81"/>
      <c r="AL701" s="80"/>
      <c r="AM701" s="80"/>
      <c r="AN701" s="80"/>
      <c r="AO701" s="80"/>
      <c r="AP701" s="80"/>
      <c r="AQ701" s="80"/>
      <c r="AR701" s="80"/>
      <c r="AS701" s="80"/>
      <c r="AT701" s="80"/>
      <c r="AU701" s="80"/>
      <c r="AV701" s="80"/>
      <c r="AW701" s="80"/>
      <c r="AX701" s="80"/>
      <c r="AY701" s="80"/>
      <c r="AZ701" s="80"/>
      <c r="BA701" s="80"/>
      <c r="BB701" s="80"/>
      <c r="BC701" s="80"/>
      <c r="BD701" s="80"/>
      <c r="BE701" s="80"/>
      <c r="BF701" s="80"/>
      <c r="BG701" s="80"/>
      <c r="BH701" s="80"/>
      <c r="BI701" s="80"/>
      <c r="BJ701" s="80"/>
      <c r="BK701" s="80"/>
      <c r="BL701" s="80"/>
      <c r="BM701" s="80"/>
      <c r="BN701" s="80"/>
      <c r="BO701" s="80"/>
      <c r="BP701" s="80"/>
      <c r="BQ701" s="80"/>
      <c r="BR701" s="80"/>
      <c r="BS701" s="80"/>
      <c r="BT701" s="80"/>
      <c r="BU701" s="80"/>
      <c r="BV701" s="80"/>
      <c r="BW701" s="80"/>
      <c r="BX701" s="80"/>
      <c r="BY701" s="80"/>
      <c r="BZ701" s="80"/>
      <c r="CA701" s="80"/>
      <c r="CB701" s="80"/>
      <c r="CC701" s="80"/>
      <c r="CD701" s="80"/>
      <c r="CE701" s="80"/>
      <c r="CF701" s="80"/>
      <c r="CG701" s="80"/>
      <c r="CH701" s="80"/>
      <c r="CI701" s="80"/>
      <c r="CJ701" s="80"/>
      <c r="CK701" s="82"/>
      <c r="CL701" s="12"/>
      <c r="CM701" s="82"/>
      <c r="CN701" s="12"/>
      <c r="CO701" s="82"/>
      <c r="CP701" s="12"/>
      <c r="CQ701" s="83">
        <f t="shared" si="80"/>
        <v>0</v>
      </c>
      <c r="CR701" s="84"/>
      <c r="CS701" s="13"/>
      <c r="CT701" s="85"/>
      <c r="CU701" s="86"/>
      <c r="CV701" s="11"/>
      <c r="CW701" s="86"/>
      <c r="CX701" s="84"/>
      <c r="CY701" s="86"/>
    </row>
    <row r="702" spans="1:103" ht="51" x14ac:dyDescent="0.2">
      <c r="A702" s="43">
        <v>40003</v>
      </c>
      <c r="B702" s="44" t="s">
        <v>1066</v>
      </c>
      <c r="C702" s="44" t="s">
        <v>273</v>
      </c>
      <c r="D702" s="45" t="s">
        <v>1116</v>
      </c>
      <c r="E702" s="11"/>
      <c r="F702" s="12"/>
      <c r="G702" s="12"/>
      <c r="H702" s="12"/>
      <c r="I702" s="12"/>
      <c r="J702" s="12"/>
      <c r="K702" s="12"/>
      <c r="L702" s="12"/>
      <c r="M702" s="12"/>
      <c r="N702" s="12"/>
      <c r="O702" s="12"/>
      <c r="P702" s="12"/>
      <c r="Q702" s="12"/>
      <c r="R702" s="12"/>
      <c r="S702" s="12">
        <v>1</v>
      </c>
      <c r="T702" s="13"/>
      <c r="U702" s="46"/>
      <c r="V702" s="47"/>
      <c r="W702" s="48">
        <f t="shared" si="74"/>
        <v>0</v>
      </c>
      <c r="X702" s="48">
        <f t="shared" si="75"/>
        <v>0</v>
      </c>
      <c r="Y702" s="48">
        <f t="shared" si="76"/>
        <v>0</v>
      </c>
      <c r="Z702" s="48">
        <f t="shared" si="77"/>
        <v>0</v>
      </c>
      <c r="AA702" s="48"/>
      <c r="AB702" s="48"/>
      <c r="AC702" s="49">
        <f t="shared" si="78"/>
        <v>0</v>
      </c>
      <c r="AD702" s="50">
        <v>0</v>
      </c>
      <c r="AE702" s="47">
        <v>40004</v>
      </c>
      <c r="AF702" s="51" t="s">
        <v>516</v>
      </c>
      <c r="AG702" s="52" t="s">
        <v>517</v>
      </c>
      <c r="AH702" s="53" t="s">
        <v>406</v>
      </c>
      <c r="AI702" s="79"/>
      <c r="AJ702" s="80"/>
      <c r="AK702" s="81"/>
      <c r="AL702" s="80"/>
      <c r="AM702" s="80"/>
      <c r="AN702" s="80"/>
      <c r="AO702" s="80"/>
      <c r="AP702" s="80"/>
      <c r="AQ702" s="80"/>
      <c r="AR702" s="80"/>
      <c r="AS702" s="80"/>
      <c r="AT702" s="80"/>
      <c r="AU702" s="80"/>
      <c r="AV702" s="80"/>
      <c r="AW702" s="80"/>
      <c r="AX702" s="80"/>
      <c r="AY702" s="80"/>
      <c r="AZ702" s="80"/>
      <c r="BA702" s="80"/>
      <c r="BB702" s="80"/>
      <c r="BC702" s="80"/>
      <c r="BD702" s="80"/>
      <c r="BE702" s="80"/>
      <c r="BF702" s="80"/>
      <c r="BG702" s="80"/>
      <c r="BH702" s="80"/>
      <c r="BI702" s="80"/>
      <c r="BJ702" s="80"/>
      <c r="BK702" s="80"/>
      <c r="BL702" s="80"/>
      <c r="BM702" s="80"/>
      <c r="BN702" s="80"/>
      <c r="BO702" s="80"/>
      <c r="BP702" s="80"/>
      <c r="BQ702" s="80"/>
      <c r="BR702" s="80"/>
      <c r="BS702" s="80"/>
      <c r="BT702" s="80"/>
      <c r="BU702" s="80"/>
      <c r="BV702" s="80"/>
      <c r="BW702" s="80"/>
      <c r="BX702" s="80"/>
      <c r="BY702" s="80"/>
      <c r="BZ702" s="80"/>
      <c r="CA702" s="80"/>
      <c r="CB702" s="80"/>
      <c r="CC702" s="80"/>
      <c r="CD702" s="80"/>
      <c r="CE702" s="80"/>
      <c r="CF702" s="80"/>
      <c r="CG702" s="80"/>
      <c r="CH702" s="80"/>
      <c r="CI702" s="80"/>
      <c r="CJ702" s="80"/>
      <c r="CK702" s="82"/>
      <c r="CL702" s="12"/>
      <c r="CM702" s="82"/>
      <c r="CN702" s="12"/>
      <c r="CO702" s="82"/>
      <c r="CP702" s="12"/>
      <c r="CQ702" s="83">
        <f t="shared" si="80"/>
        <v>0</v>
      </c>
      <c r="CR702" s="84"/>
      <c r="CS702" s="13"/>
      <c r="CT702" s="85"/>
      <c r="CU702" s="86"/>
      <c r="CV702" s="11"/>
      <c r="CW702" s="86"/>
      <c r="CX702" s="84"/>
      <c r="CY702" s="86"/>
    </row>
    <row r="703" spans="1:103" ht="38.25" x14ac:dyDescent="0.2">
      <c r="A703" s="43">
        <v>40004</v>
      </c>
      <c r="B703" s="44" t="s">
        <v>904</v>
      </c>
      <c r="C703" s="44" t="s">
        <v>321</v>
      </c>
      <c r="D703" s="45" t="s">
        <v>1117</v>
      </c>
      <c r="E703" s="11"/>
      <c r="F703" s="12"/>
      <c r="G703" s="12"/>
      <c r="H703" s="12">
        <f>308*5</f>
        <v>1540</v>
      </c>
      <c r="I703" s="12">
        <v>308</v>
      </c>
      <c r="J703" s="12"/>
      <c r="K703" s="12">
        <v>308</v>
      </c>
      <c r="L703" s="12"/>
      <c r="M703" s="12"/>
      <c r="N703" s="12"/>
      <c r="O703" s="12"/>
      <c r="P703" s="12"/>
      <c r="Q703" s="12"/>
      <c r="R703" s="12">
        <v>14</v>
      </c>
      <c r="S703" s="12"/>
      <c r="T703" s="13"/>
      <c r="U703" s="46"/>
      <c r="V703" s="47"/>
      <c r="W703" s="48">
        <f t="shared" si="74"/>
        <v>0</v>
      </c>
      <c r="X703" s="48">
        <f t="shared" si="75"/>
        <v>0</v>
      </c>
      <c r="Y703" s="48">
        <f t="shared" si="76"/>
        <v>33240000</v>
      </c>
      <c r="Z703" s="48">
        <f t="shared" si="77"/>
        <v>0</v>
      </c>
      <c r="AA703" s="48"/>
      <c r="AB703" s="48"/>
      <c r="AC703" s="49">
        <f t="shared" si="78"/>
        <v>33240000</v>
      </c>
      <c r="AD703" s="50">
        <v>0</v>
      </c>
      <c r="AE703" s="47">
        <v>40009</v>
      </c>
      <c r="AF703" s="51" t="s">
        <v>1016</v>
      </c>
      <c r="AG703" s="52" t="s">
        <v>565</v>
      </c>
      <c r="AH703" s="53" t="s">
        <v>1392</v>
      </c>
      <c r="AI703" s="79"/>
      <c r="AJ703" s="80"/>
      <c r="AK703" s="81"/>
      <c r="AL703" s="80"/>
      <c r="AM703" s="80"/>
      <c r="AN703" s="80"/>
      <c r="AO703" s="80"/>
      <c r="AP703" s="80"/>
      <c r="AQ703" s="80"/>
      <c r="AR703" s="80"/>
      <c r="AS703" s="80"/>
      <c r="AT703" s="80"/>
      <c r="AU703" s="80"/>
      <c r="AV703" s="80"/>
      <c r="AW703" s="80"/>
      <c r="AX703" s="80"/>
      <c r="AY703" s="80"/>
      <c r="AZ703" s="80"/>
      <c r="BA703" s="80"/>
      <c r="BB703" s="80"/>
      <c r="BC703" s="80"/>
      <c r="BD703" s="80"/>
      <c r="BE703" s="80"/>
      <c r="BF703" s="80"/>
      <c r="BG703" s="80"/>
      <c r="BH703" s="80"/>
      <c r="BI703" s="80"/>
      <c r="BJ703" s="80"/>
      <c r="BK703" s="80"/>
      <c r="BL703" s="80"/>
      <c r="BM703" s="80"/>
      <c r="BN703" s="80"/>
      <c r="BO703" s="80"/>
      <c r="BP703" s="80"/>
      <c r="BQ703" s="80"/>
      <c r="BR703" s="80"/>
      <c r="BS703" s="80"/>
      <c r="BT703" s="80"/>
      <c r="BU703" s="80"/>
      <c r="BV703" s="80"/>
      <c r="BW703" s="80"/>
      <c r="BX703" s="80"/>
      <c r="BY703" s="80"/>
      <c r="BZ703" s="80"/>
      <c r="CA703" s="80"/>
      <c r="CB703" s="80"/>
      <c r="CC703" s="80"/>
      <c r="CD703" s="80"/>
      <c r="CE703" s="80"/>
      <c r="CF703" s="80"/>
      <c r="CG703" s="80"/>
      <c r="CH703" s="80"/>
      <c r="CI703" s="80"/>
      <c r="CJ703" s="80"/>
      <c r="CK703" s="82"/>
      <c r="CL703" s="12"/>
      <c r="CM703" s="82"/>
      <c r="CN703" s="12"/>
      <c r="CO703" s="82"/>
      <c r="CP703" s="12"/>
      <c r="CQ703" s="83">
        <f t="shared" si="80"/>
        <v>0</v>
      </c>
      <c r="CR703" s="84"/>
      <c r="CS703" s="13"/>
      <c r="CT703" s="85"/>
      <c r="CU703" s="86"/>
      <c r="CV703" s="11"/>
      <c r="CW703" s="86"/>
      <c r="CX703" s="84">
        <v>1500</v>
      </c>
      <c r="CY703" s="86">
        <f>1500*21000+5000*348</f>
        <v>33240000</v>
      </c>
    </row>
    <row r="704" spans="1:103" ht="76.5" x14ac:dyDescent="0.2">
      <c r="A704" s="43">
        <v>40005</v>
      </c>
      <c r="B704" s="44" t="s">
        <v>1094</v>
      </c>
      <c r="C704" s="44" t="s">
        <v>618</v>
      </c>
      <c r="D704" s="45" t="s">
        <v>1118</v>
      </c>
      <c r="E704" s="11"/>
      <c r="F704" s="12"/>
      <c r="G704" s="12"/>
      <c r="H704" s="12">
        <v>1700</v>
      </c>
      <c r="I704" s="12">
        <v>340</v>
      </c>
      <c r="J704" s="12"/>
      <c r="K704" s="12">
        <v>340</v>
      </c>
      <c r="L704" s="12"/>
      <c r="M704" s="12"/>
      <c r="N704" s="12"/>
      <c r="O704" s="12"/>
      <c r="P704" s="12"/>
      <c r="Q704" s="12"/>
      <c r="R704" s="12"/>
      <c r="S704" s="12"/>
      <c r="T704" s="13"/>
      <c r="U704" s="46"/>
      <c r="V704" s="47"/>
      <c r="W704" s="48">
        <f t="shared" si="74"/>
        <v>0</v>
      </c>
      <c r="X704" s="48">
        <f t="shared" si="75"/>
        <v>0</v>
      </c>
      <c r="Y704" s="48">
        <f t="shared" si="76"/>
        <v>0</v>
      </c>
      <c r="Z704" s="48">
        <f t="shared" si="77"/>
        <v>0</v>
      </c>
      <c r="AA704" s="48"/>
      <c r="AB704" s="48"/>
      <c r="AC704" s="49">
        <f t="shared" si="78"/>
        <v>0</v>
      </c>
      <c r="AD704" s="50">
        <v>0</v>
      </c>
      <c r="AE704" s="47">
        <v>40009</v>
      </c>
      <c r="AF704" s="51" t="s">
        <v>1016</v>
      </c>
      <c r="AG704" s="52" t="s">
        <v>565</v>
      </c>
      <c r="AH704" s="53" t="s">
        <v>956</v>
      </c>
      <c r="AI704" s="79"/>
      <c r="AJ704" s="80"/>
      <c r="AK704" s="81"/>
      <c r="AL704" s="80"/>
      <c r="AM704" s="80"/>
      <c r="AN704" s="80"/>
      <c r="AO704" s="80"/>
      <c r="AP704" s="80"/>
      <c r="AQ704" s="80"/>
      <c r="AR704" s="80"/>
      <c r="AS704" s="80"/>
      <c r="AT704" s="80"/>
      <c r="AU704" s="80"/>
      <c r="AV704" s="80"/>
      <c r="AW704" s="80"/>
      <c r="AX704" s="80"/>
      <c r="AY704" s="80"/>
      <c r="AZ704" s="80"/>
      <c r="BA704" s="80"/>
      <c r="BB704" s="80"/>
      <c r="BC704" s="80"/>
      <c r="BD704" s="80"/>
      <c r="BE704" s="80"/>
      <c r="BF704" s="80"/>
      <c r="BG704" s="80"/>
      <c r="BH704" s="80"/>
      <c r="BI704" s="80"/>
      <c r="BJ704" s="80"/>
      <c r="BK704" s="80"/>
      <c r="BL704" s="80"/>
      <c r="BM704" s="80"/>
      <c r="BN704" s="80"/>
      <c r="BO704" s="80"/>
      <c r="BP704" s="80"/>
      <c r="BQ704" s="80"/>
      <c r="BR704" s="80"/>
      <c r="BS704" s="80"/>
      <c r="BT704" s="80"/>
      <c r="BU704" s="80"/>
      <c r="BV704" s="80"/>
      <c r="BW704" s="80"/>
      <c r="BX704" s="80"/>
      <c r="BY704" s="80"/>
      <c r="BZ704" s="80"/>
      <c r="CA704" s="80"/>
      <c r="CB704" s="80"/>
      <c r="CC704" s="80"/>
      <c r="CD704" s="80"/>
      <c r="CE704" s="80"/>
      <c r="CF704" s="80"/>
      <c r="CG704" s="80"/>
      <c r="CH704" s="80"/>
      <c r="CI704" s="80"/>
      <c r="CJ704" s="80"/>
      <c r="CK704" s="82"/>
      <c r="CL704" s="12"/>
      <c r="CM704" s="82"/>
      <c r="CN704" s="12"/>
      <c r="CO704" s="82"/>
      <c r="CP704" s="12"/>
      <c r="CQ704" s="83">
        <f t="shared" si="80"/>
        <v>0</v>
      </c>
      <c r="CR704" s="84"/>
      <c r="CS704" s="13"/>
      <c r="CT704" s="85"/>
      <c r="CU704" s="86"/>
      <c r="CV704" s="11"/>
      <c r="CW704" s="86"/>
      <c r="CX704" s="84"/>
      <c r="CY704" s="86"/>
    </row>
    <row r="705" spans="1:104" ht="25.5" x14ac:dyDescent="0.2">
      <c r="A705" s="43">
        <v>40006</v>
      </c>
      <c r="B705" s="44" t="s">
        <v>1097</v>
      </c>
      <c r="C705" s="44" t="s">
        <v>125</v>
      </c>
      <c r="D705" s="45" t="s">
        <v>1118</v>
      </c>
      <c r="E705" s="11"/>
      <c r="F705" s="12"/>
      <c r="G705" s="12"/>
      <c r="H705" s="12">
        <v>35</v>
      </c>
      <c r="I705" s="12">
        <v>7</v>
      </c>
      <c r="J705" s="12"/>
      <c r="K705" s="12">
        <v>7</v>
      </c>
      <c r="L705" s="12"/>
      <c r="M705" s="12"/>
      <c r="N705" s="12"/>
      <c r="O705" s="12"/>
      <c r="P705" s="12"/>
      <c r="Q705" s="12"/>
      <c r="R705" s="12"/>
      <c r="S705" s="12"/>
      <c r="T705" s="13"/>
      <c r="U705" s="46"/>
      <c r="V705" s="47"/>
      <c r="W705" s="48">
        <f t="shared" si="74"/>
        <v>0</v>
      </c>
      <c r="X705" s="48">
        <f t="shared" si="75"/>
        <v>0</v>
      </c>
      <c r="Y705" s="48">
        <f t="shared" si="76"/>
        <v>0</v>
      </c>
      <c r="Z705" s="48">
        <f t="shared" si="77"/>
        <v>0</v>
      </c>
      <c r="AA705" s="48"/>
      <c r="AB705" s="48"/>
      <c r="AC705" s="49">
        <f t="shared" si="78"/>
        <v>0</v>
      </c>
      <c r="AD705" s="50">
        <v>0</v>
      </c>
      <c r="AE705" s="47">
        <v>40007</v>
      </c>
      <c r="AF705" s="51" t="s">
        <v>516</v>
      </c>
      <c r="AG705" s="52" t="s">
        <v>517</v>
      </c>
      <c r="AH705" s="53" t="s">
        <v>527</v>
      </c>
      <c r="AI705" s="79"/>
      <c r="AJ705" s="80"/>
      <c r="AK705" s="81"/>
      <c r="AL705" s="80"/>
      <c r="AM705" s="80"/>
      <c r="AN705" s="80"/>
      <c r="AO705" s="80"/>
      <c r="AP705" s="80"/>
      <c r="AQ705" s="80"/>
      <c r="AR705" s="80"/>
      <c r="AS705" s="80"/>
      <c r="AT705" s="80"/>
      <c r="AU705" s="80"/>
      <c r="AV705" s="80"/>
      <c r="AW705" s="80"/>
      <c r="AX705" s="80"/>
      <c r="AY705" s="80"/>
      <c r="AZ705" s="80"/>
      <c r="BA705" s="80"/>
      <c r="BB705" s="80"/>
      <c r="BC705" s="80"/>
      <c r="BD705" s="80"/>
      <c r="BE705" s="80"/>
      <c r="BF705" s="80"/>
      <c r="BG705" s="80"/>
      <c r="BH705" s="80"/>
      <c r="BI705" s="80"/>
      <c r="BJ705" s="80"/>
      <c r="BK705" s="80"/>
      <c r="BL705" s="80"/>
      <c r="BM705" s="80"/>
      <c r="BN705" s="80"/>
      <c r="BO705" s="80"/>
      <c r="BP705" s="80"/>
      <c r="BQ705" s="80"/>
      <c r="BR705" s="80"/>
      <c r="BS705" s="80"/>
      <c r="BT705" s="80"/>
      <c r="BU705" s="80"/>
      <c r="BV705" s="80"/>
      <c r="BW705" s="80"/>
      <c r="BX705" s="80"/>
      <c r="BY705" s="80"/>
      <c r="BZ705" s="80"/>
      <c r="CA705" s="80"/>
      <c r="CB705" s="80"/>
      <c r="CC705" s="80"/>
      <c r="CD705" s="80"/>
      <c r="CE705" s="80"/>
      <c r="CF705" s="80"/>
      <c r="CG705" s="80"/>
      <c r="CH705" s="80"/>
      <c r="CI705" s="80"/>
      <c r="CJ705" s="80"/>
      <c r="CK705" s="82"/>
      <c r="CL705" s="12"/>
      <c r="CM705" s="82"/>
      <c r="CN705" s="12"/>
      <c r="CO705" s="82"/>
      <c r="CP705" s="12"/>
      <c r="CQ705" s="83">
        <f t="shared" si="80"/>
        <v>0</v>
      </c>
      <c r="CR705" s="84"/>
      <c r="CS705" s="13"/>
      <c r="CT705" s="85"/>
      <c r="CU705" s="86"/>
      <c r="CV705" s="11"/>
      <c r="CW705" s="86"/>
      <c r="CX705" s="84"/>
      <c r="CY705" s="86"/>
    </row>
    <row r="706" spans="1:104" ht="38.25" x14ac:dyDescent="0.2">
      <c r="A706" s="43">
        <v>40007</v>
      </c>
      <c r="B706" s="44" t="s">
        <v>1094</v>
      </c>
      <c r="C706" s="44" t="s">
        <v>1074</v>
      </c>
      <c r="D706" s="45" t="s">
        <v>1118</v>
      </c>
      <c r="E706" s="11"/>
      <c r="F706" s="12"/>
      <c r="G706" s="12"/>
      <c r="H706" s="12">
        <f>188*5</f>
        <v>940</v>
      </c>
      <c r="I706" s="12">
        <f>45+55+13+11+64</f>
        <v>188</v>
      </c>
      <c r="J706" s="12"/>
      <c r="K706" s="12"/>
      <c r="L706" s="12"/>
      <c r="M706" s="12"/>
      <c r="N706" s="12"/>
      <c r="O706" s="12"/>
      <c r="P706" s="12"/>
      <c r="Q706" s="12"/>
      <c r="R706" s="12"/>
      <c r="S706" s="12"/>
      <c r="T706" s="13"/>
      <c r="U706" s="46" t="s">
        <v>597</v>
      </c>
      <c r="V706" s="47"/>
      <c r="W706" s="48">
        <f t="shared" si="74"/>
        <v>0</v>
      </c>
      <c r="X706" s="48">
        <f t="shared" si="75"/>
        <v>0</v>
      </c>
      <c r="Y706" s="48">
        <f t="shared" si="76"/>
        <v>0</v>
      </c>
      <c r="Z706" s="48">
        <f t="shared" si="77"/>
        <v>0</v>
      </c>
      <c r="AA706" s="48"/>
      <c r="AB706" s="48"/>
      <c r="AC706" s="49">
        <f t="shared" si="78"/>
        <v>0</v>
      </c>
      <c r="AD706" s="50">
        <v>0</v>
      </c>
      <c r="AE706" s="47">
        <v>40038</v>
      </c>
      <c r="AF706" s="51" t="s">
        <v>516</v>
      </c>
      <c r="AG706" s="52" t="s">
        <v>517</v>
      </c>
      <c r="AH706" s="53" t="s">
        <v>1075</v>
      </c>
      <c r="AI706" s="79"/>
      <c r="AJ706" s="80"/>
      <c r="AK706" s="81"/>
      <c r="AL706" s="80"/>
      <c r="AM706" s="80"/>
      <c r="AN706" s="80"/>
      <c r="AO706" s="80"/>
      <c r="AP706" s="80"/>
      <c r="AQ706" s="80"/>
      <c r="AR706" s="80"/>
      <c r="AS706" s="80"/>
      <c r="AT706" s="80"/>
      <c r="AU706" s="80"/>
      <c r="AV706" s="80"/>
      <c r="AW706" s="80"/>
      <c r="AX706" s="80"/>
      <c r="AY706" s="80"/>
      <c r="AZ706" s="80"/>
      <c r="BA706" s="80"/>
      <c r="BB706" s="80"/>
      <c r="BC706" s="80"/>
      <c r="BD706" s="80"/>
      <c r="BE706" s="80"/>
      <c r="BF706" s="80"/>
      <c r="BG706" s="80"/>
      <c r="BH706" s="80"/>
      <c r="BI706" s="80"/>
      <c r="BJ706" s="80"/>
      <c r="BK706" s="80"/>
      <c r="BL706" s="80"/>
      <c r="BM706" s="80"/>
      <c r="BN706" s="80"/>
      <c r="BO706" s="80"/>
      <c r="BP706" s="80"/>
      <c r="BQ706" s="80"/>
      <c r="BR706" s="80"/>
      <c r="BS706" s="80"/>
      <c r="BT706" s="80"/>
      <c r="BU706" s="80"/>
      <c r="BV706" s="80"/>
      <c r="BW706" s="80"/>
      <c r="BX706" s="80"/>
      <c r="BY706" s="80"/>
      <c r="BZ706" s="80"/>
      <c r="CA706" s="80"/>
      <c r="CB706" s="80"/>
      <c r="CC706" s="80"/>
      <c r="CD706" s="80"/>
      <c r="CE706" s="80"/>
      <c r="CF706" s="80"/>
      <c r="CG706" s="80"/>
      <c r="CH706" s="80"/>
      <c r="CI706" s="80"/>
      <c r="CJ706" s="80"/>
      <c r="CK706" s="82"/>
      <c r="CL706" s="12"/>
      <c r="CM706" s="82"/>
      <c r="CN706" s="12"/>
      <c r="CO706" s="82"/>
      <c r="CP706" s="12"/>
      <c r="CQ706" s="83">
        <f t="shared" si="80"/>
        <v>0</v>
      </c>
      <c r="CR706" s="84"/>
      <c r="CS706" s="13"/>
      <c r="CT706" s="85"/>
      <c r="CU706" s="86"/>
      <c r="CV706" s="11"/>
      <c r="CW706" s="86"/>
      <c r="CX706" s="84"/>
      <c r="CY706" s="86"/>
    </row>
    <row r="707" spans="1:104" ht="38.25" x14ac:dyDescent="0.2">
      <c r="A707" s="43">
        <v>40008</v>
      </c>
      <c r="B707" s="44" t="s">
        <v>1097</v>
      </c>
      <c r="C707" s="44" t="s">
        <v>497</v>
      </c>
      <c r="D707" s="45" t="s">
        <v>1117</v>
      </c>
      <c r="E707" s="11"/>
      <c r="F707" s="12"/>
      <c r="G707" s="12"/>
      <c r="H707" s="12">
        <f>300*5</f>
        <v>1500</v>
      </c>
      <c r="I707" s="12">
        <f>109+10+3+25+15+20+93+25</f>
        <v>300</v>
      </c>
      <c r="J707" s="12"/>
      <c r="K707" s="12">
        <v>300</v>
      </c>
      <c r="L707" s="12"/>
      <c r="M707" s="12"/>
      <c r="N707" s="12"/>
      <c r="O707" s="12"/>
      <c r="P707" s="12"/>
      <c r="Q707" s="12"/>
      <c r="R707" s="12"/>
      <c r="S707" s="12"/>
      <c r="T707" s="13"/>
      <c r="U707" s="46"/>
      <c r="V707" s="47"/>
      <c r="W707" s="48">
        <f t="shared" ref="W707:W770" si="81">CQ707</f>
        <v>0</v>
      </c>
      <c r="X707" s="48">
        <f t="shared" ref="X707:X770" si="82">CU707</f>
        <v>0</v>
      </c>
      <c r="Y707" s="48">
        <f t="shared" ref="Y707:Y770" si="83">CW707+CY707</f>
        <v>0</v>
      </c>
      <c r="Z707" s="48">
        <f t="shared" ref="Z707:Z770" si="84">CS707</f>
        <v>0</v>
      </c>
      <c r="AA707" s="48"/>
      <c r="AB707" s="48"/>
      <c r="AC707" s="49">
        <f t="shared" ref="AC707:AC770" si="85">W707+X707+Y707+Z707+AA707+AB707</f>
        <v>0</v>
      </c>
      <c r="AD707" s="50">
        <v>0</v>
      </c>
      <c r="AE707" s="47">
        <v>40035</v>
      </c>
      <c r="AF707" s="51" t="s">
        <v>1016</v>
      </c>
      <c r="AG707" s="52" t="s">
        <v>517</v>
      </c>
      <c r="AH707" s="53" t="s">
        <v>22</v>
      </c>
      <c r="AI707" s="79"/>
      <c r="AJ707" s="80"/>
      <c r="AK707" s="81"/>
      <c r="AL707" s="80"/>
      <c r="AM707" s="80"/>
      <c r="AN707" s="80"/>
      <c r="AO707" s="80"/>
      <c r="AP707" s="80"/>
      <c r="AQ707" s="80"/>
      <c r="AR707" s="80"/>
      <c r="AS707" s="80"/>
      <c r="AT707" s="80"/>
      <c r="AU707" s="80"/>
      <c r="AV707" s="80"/>
      <c r="AW707" s="80"/>
      <c r="AX707" s="80"/>
      <c r="AY707" s="80"/>
      <c r="AZ707" s="80"/>
      <c r="BA707" s="80"/>
      <c r="BB707" s="80"/>
      <c r="BC707" s="80"/>
      <c r="BD707" s="80"/>
      <c r="BE707" s="80"/>
      <c r="BF707" s="80"/>
      <c r="BG707" s="80"/>
      <c r="BH707" s="80"/>
      <c r="BI707" s="80"/>
      <c r="BJ707" s="80"/>
      <c r="BK707" s="80"/>
      <c r="BL707" s="80"/>
      <c r="BM707" s="80"/>
      <c r="BN707" s="80"/>
      <c r="BO707" s="80"/>
      <c r="BP707" s="80"/>
      <c r="BQ707" s="80"/>
      <c r="BR707" s="80"/>
      <c r="BS707" s="80"/>
      <c r="BT707" s="80"/>
      <c r="BU707" s="80"/>
      <c r="BV707" s="80"/>
      <c r="BW707" s="80"/>
      <c r="BX707" s="80"/>
      <c r="BY707" s="80"/>
      <c r="BZ707" s="80"/>
      <c r="CA707" s="80"/>
      <c r="CB707" s="80"/>
      <c r="CC707" s="80"/>
      <c r="CD707" s="80"/>
      <c r="CE707" s="80"/>
      <c r="CF707" s="80"/>
      <c r="CG707" s="80"/>
      <c r="CH707" s="80"/>
      <c r="CI707" s="80"/>
      <c r="CJ707" s="80"/>
      <c r="CK707" s="82"/>
      <c r="CL707" s="12"/>
      <c r="CM707" s="82"/>
      <c r="CN707" s="12"/>
      <c r="CO707" s="82"/>
      <c r="CP707" s="12"/>
      <c r="CQ707" s="83">
        <f t="shared" ref="CQ707:CQ770" si="86">AJ707+AL707+AN707+AP707+AR707+AT707+AV707+AX707+AZ707+BB707+BD707+BF707+BH707+BJ707+BL707+BN707+BP707+BR707+BT707+BV707+BX707+BZ707+CB707+CD707+CF707+CH707+CJ707+CL707+CN707+CP707</f>
        <v>0</v>
      </c>
      <c r="CR707" s="84"/>
      <c r="CS707" s="13"/>
      <c r="CT707" s="85"/>
      <c r="CU707" s="86"/>
      <c r="CV707" s="11"/>
      <c r="CW707" s="86"/>
      <c r="CX707" s="84"/>
      <c r="CY707" s="86"/>
    </row>
    <row r="708" spans="1:104" ht="63.75" x14ac:dyDescent="0.2">
      <c r="A708" s="43">
        <v>40008</v>
      </c>
      <c r="B708" s="44" t="s">
        <v>600</v>
      </c>
      <c r="C708" s="44" t="s">
        <v>278</v>
      </c>
      <c r="D708" s="45" t="s">
        <v>1118</v>
      </c>
      <c r="E708" s="11"/>
      <c r="F708" s="12"/>
      <c r="G708" s="12"/>
      <c r="H708" s="12">
        <f>10+85+20</f>
        <v>115</v>
      </c>
      <c r="I708" s="12">
        <f>2+17+4</f>
        <v>23</v>
      </c>
      <c r="J708" s="12"/>
      <c r="K708" s="12">
        <f>2+17+4</f>
        <v>23</v>
      </c>
      <c r="L708" s="12"/>
      <c r="M708" s="12"/>
      <c r="N708" s="12"/>
      <c r="O708" s="12"/>
      <c r="P708" s="12"/>
      <c r="Q708" s="12"/>
      <c r="R708" s="12"/>
      <c r="S708" s="12"/>
      <c r="T708" s="13"/>
      <c r="U708" s="46"/>
      <c r="V708" s="47"/>
      <c r="W708" s="48">
        <f t="shared" si="81"/>
        <v>0</v>
      </c>
      <c r="X708" s="48">
        <f t="shared" si="82"/>
        <v>0</v>
      </c>
      <c r="Y708" s="48">
        <f t="shared" si="83"/>
        <v>0</v>
      </c>
      <c r="Z708" s="48">
        <f t="shared" si="84"/>
        <v>0</v>
      </c>
      <c r="AA708" s="48"/>
      <c r="AB708" s="48"/>
      <c r="AC708" s="49">
        <f t="shared" si="85"/>
        <v>0</v>
      </c>
      <c r="AD708" s="50">
        <v>0</v>
      </c>
      <c r="AE708" s="47">
        <v>40009</v>
      </c>
      <c r="AF708" s="51" t="s">
        <v>516</v>
      </c>
      <c r="AG708" s="52" t="s">
        <v>517</v>
      </c>
      <c r="AH708" s="53" t="s">
        <v>675</v>
      </c>
      <c r="AI708" s="79"/>
      <c r="AJ708" s="80"/>
      <c r="AK708" s="81"/>
      <c r="AL708" s="80"/>
      <c r="AM708" s="80"/>
      <c r="AN708" s="80"/>
      <c r="AO708" s="80"/>
      <c r="AP708" s="80"/>
      <c r="AQ708" s="80"/>
      <c r="AR708" s="80"/>
      <c r="AS708" s="80"/>
      <c r="AT708" s="80"/>
      <c r="AU708" s="80"/>
      <c r="AV708" s="80"/>
      <c r="AW708" s="80"/>
      <c r="AX708" s="80"/>
      <c r="AY708" s="80"/>
      <c r="AZ708" s="80"/>
      <c r="BA708" s="80"/>
      <c r="BB708" s="80"/>
      <c r="BC708" s="80"/>
      <c r="BD708" s="80"/>
      <c r="BE708" s="80"/>
      <c r="BF708" s="80"/>
      <c r="BG708" s="80"/>
      <c r="BH708" s="80"/>
      <c r="BI708" s="80"/>
      <c r="BJ708" s="80"/>
      <c r="BK708" s="80"/>
      <c r="BL708" s="80"/>
      <c r="BM708" s="80"/>
      <c r="BN708" s="80"/>
      <c r="BO708" s="80"/>
      <c r="BP708" s="80"/>
      <c r="BQ708" s="80"/>
      <c r="BR708" s="80"/>
      <c r="BS708" s="80"/>
      <c r="BT708" s="80"/>
      <c r="BU708" s="80"/>
      <c r="BV708" s="80"/>
      <c r="BW708" s="80"/>
      <c r="BX708" s="80"/>
      <c r="BY708" s="80"/>
      <c r="BZ708" s="80"/>
      <c r="CA708" s="80"/>
      <c r="CB708" s="80"/>
      <c r="CC708" s="80"/>
      <c r="CD708" s="80"/>
      <c r="CE708" s="80"/>
      <c r="CF708" s="80"/>
      <c r="CG708" s="80"/>
      <c r="CH708" s="80"/>
      <c r="CI708" s="80"/>
      <c r="CJ708" s="80"/>
      <c r="CK708" s="82"/>
      <c r="CL708" s="12"/>
      <c r="CM708" s="82"/>
      <c r="CN708" s="12"/>
      <c r="CO708" s="82"/>
      <c r="CP708" s="12"/>
      <c r="CQ708" s="83">
        <f t="shared" si="86"/>
        <v>0</v>
      </c>
      <c r="CR708" s="84"/>
      <c r="CS708" s="13"/>
      <c r="CT708" s="85"/>
      <c r="CU708" s="86"/>
      <c r="CV708" s="11"/>
      <c r="CW708" s="86"/>
      <c r="CX708" s="84"/>
      <c r="CY708" s="86"/>
    </row>
    <row r="709" spans="1:104" ht="25.5" x14ac:dyDescent="0.2">
      <c r="A709" s="43">
        <v>40010</v>
      </c>
      <c r="B709" s="44" t="s">
        <v>632</v>
      </c>
      <c r="C709" s="44" t="s">
        <v>1147</v>
      </c>
      <c r="D709" s="45" t="s">
        <v>1117</v>
      </c>
      <c r="E709" s="11"/>
      <c r="F709" s="12"/>
      <c r="G709" s="12"/>
      <c r="H709" s="12">
        <v>40</v>
      </c>
      <c r="I709" s="12">
        <v>8</v>
      </c>
      <c r="J709" s="12"/>
      <c r="K709" s="12">
        <v>8</v>
      </c>
      <c r="L709" s="12"/>
      <c r="M709" s="12"/>
      <c r="N709" s="12"/>
      <c r="O709" s="12"/>
      <c r="P709" s="12"/>
      <c r="Q709" s="12"/>
      <c r="R709" s="12"/>
      <c r="S709" s="12"/>
      <c r="T709" s="13"/>
      <c r="U709" s="46"/>
      <c r="V709" s="47"/>
      <c r="W709" s="48">
        <f t="shared" si="81"/>
        <v>0</v>
      </c>
      <c r="X709" s="48">
        <f t="shared" si="82"/>
        <v>0</v>
      </c>
      <c r="Y709" s="48">
        <f t="shared" si="83"/>
        <v>0</v>
      </c>
      <c r="Z709" s="48">
        <f t="shared" si="84"/>
        <v>0</v>
      </c>
      <c r="AA709" s="48"/>
      <c r="AB709" s="48"/>
      <c r="AC709" s="49">
        <f t="shared" si="85"/>
        <v>0</v>
      </c>
      <c r="AD709" s="50">
        <v>0</v>
      </c>
      <c r="AE709" s="47">
        <v>40015</v>
      </c>
      <c r="AF709" s="51" t="s">
        <v>516</v>
      </c>
      <c r="AG709" s="52" t="s">
        <v>517</v>
      </c>
      <c r="AH709" s="53" t="s">
        <v>958</v>
      </c>
      <c r="AI709" s="79"/>
      <c r="AJ709" s="80"/>
      <c r="AK709" s="81"/>
      <c r="AL709" s="80"/>
      <c r="AM709" s="80"/>
      <c r="AN709" s="80"/>
      <c r="AO709" s="80"/>
      <c r="AP709" s="80"/>
      <c r="AQ709" s="80"/>
      <c r="AR709" s="80"/>
      <c r="AS709" s="80"/>
      <c r="AT709" s="80"/>
      <c r="AU709" s="80"/>
      <c r="AV709" s="80"/>
      <c r="AW709" s="80"/>
      <c r="AX709" s="80"/>
      <c r="AY709" s="80"/>
      <c r="AZ709" s="80"/>
      <c r="BA709" s="80"/>
      <c r="BB709" s="80"/>
      <c r="BC709" s="80"/>
      <c r="BD709" s="80"/>
      <c r="BE709" s="80"/>
      <c r="BF709" s="80"/>
      <c r="BG709" s="80"/>
      <c r="BH709" s="80"/>
      <c r="BI709" s="80"/>
      <c r="BJ709" s="80"/>
      <c r="BK709" s="80"/>
      <c r="BL709" s="80"/>
      <c r="BM709" s="80"/>
      <c r="BN709" s="80"/>
      <c r="BO709" s="80"/>
      <c r="BP709" s="80"/>
      <c r="BQ709" s="80"/>
      <c r="BR709" s="80"/>
      <c r="BS709" s="80"/>
      <c r="BT709" s="80"/>
      <c r="BU709" s="80"/>
      <c r="BV709" s="80"/>
      <c r="BW709" s="80"/>
      <c r="BX709" s="80"/>
      <c r="BY709" s="80"/>
      <c r="BZ709" s="80"/>
      <c r="CA709" s="80"/>
      <c r="CB709" s="80"/>
      <c r="CC709" s="80"/>
      <c r="CD709" s="80"/>
      <c r="CE709" s="80"/>
      <c r="CF709" s="80"/>
      <c r="CG709" s="80"/>
      <c r="CH709" s="80"/>
      <c r="CI709" s="80"/>
      <c r="CJ709" s="80"/>
      <c r="CK709" s="82"/>
      <c r="CL709" s="12"/>
      <c r="CM709" s="82"/>
      <c r="CN709" s="12"/>
      <c r="CO709" s="82"/>
      <c r="CP709" s="12"/>
      <c r="CQ709" s="83">
        <f t="shared" si="86"/>
        <v>0</v>
      </c>
      <c r="CR709" s="84"/>
      <c r="CS709" s="13"/>
      <c r="CT709" s="85"/>
      <c r="CU709" s="86"/>
      <c r="CV709" s="11"/>
      <c r="CW709" s="86"/>
      <c r="CX709" s="84"/>
      <c r="CY709" s="86"/>
    </row>
    <row r="710" spans="1:104" ht="102" x14ac:dyDescent="0.2">
      <c r="A710" s="43">
        <v>40010</v>
      </c>
      <c r="B710" s="44" t="s">
        <v>600</v>
      </c>
      <c r="C710" s="44" t="s">
        <v>419</v>
      </c>
      <c r="D710" s="45" t="s">
        <v>1092</v>
      </c>
      <c r="E710" s="11"/>
      <c r="F710" s="12"/>
      <c r="G710" s="12"/>
      <c r="H710" s="12">
        <v>35</v>
      </c>
      <c r="I710" s="12">
        <v>7</v>
      </c>
      <c r="J710" s="12">
        <v>1</v>
      </c>
      <c r="K710" s="12">
        <v>6</v>
      </c>
      <c r="L710" s="12">
        <v>6</v>
      </c>
      <c r="M710" s="12">
        <v>2</v>
      </c>
      <c r="N710" s="12"/>
      <c r="O710" s="12">
        <v>2</v>
      </c>
      <c r="P710" s="12"/>
      <c r="Q710" s="12"/>
      <c r="R710" s="12">
        <v>1</v>
      </c>
      <c r="S710" s="12"/>
      <c r="T710" s="13"/>
      <c r="U710" s="46"/>
      <c r="V710" s="47"/>
      <c r="W710" s="48">
        <f t="shared" si="81"/>
        <v>0</v>
      </c>
      <c r="X710" s="48">
        <f t="shared" si="82"/>
        <v>0</v>
      </c>
      <c r="Y710" s="48">
        <f t="shared" si="83"/>
        <v>0</v>
      </c>
      <c r="Z710" s="48">
        <f t="shared" si="84"/>
        <v>0</v>
      </c>
      <c r="AA710" s="48"/>
      <c r="AB710" s="48"/>
      <c r="AC710" s="49">
        <f t="shared" si="85"/>
        <v>0</v>
      </c>
      <c r="AD710" s="50">
        <v>0</v>
      </c>
      <c r="AE710" s="47">
        <v>40084</v>
      </c>
      <c r="AF710" s="51" t="s">
        <v>516</v>
      </c>
      <c r="AG710" s="52" t="s">
        <v>517</v>
      </c>
      <c r="AH710" s="53" t="s">
        <v>843</v>
      </c>
      <c r="AI710" s="79"/>
      <c r="AJ710" s="80"/>
      <c r="AK710" s="81"/>
      <c r="AL710" s="80"/>
      <c r="AM710" s="80"/>
      <c r="AN710" s="80"/>
      <c r="AO710" s="80"/>
      <c r="AP710" s="80"/>
      <c r="AQ710" s="80"/>
      <c r="AR710" s="80"/>
      <c r="AS710" s="80"/>
      <c r="AT710" s="80"/>
      <c r="AU710" s="80"/>
      <c r="AV710" s="80"/>
      <c r="AW710" s="80"/>
      <c r="AX710" s="80"/>
      <c r="AY710" s="80"/>
      <c r="AZ710" s="80"/>
      <c r="BA710" s="80"/>
      <c r="BB710" s="80"/>
      <c r="BC710" s="80"/>
      <c r="BD710" s="80"/>
      <c r="BE710" s="80"/>
      <c r="BF710" s="80"/>
      <c r="BG710" s="80"/>
      <c r="BH710" s="80"/>
      <c r="BI710" s="80"/>
      <c r="BJ710" s="80"/>
      <c r="BK710" s="80"/>
      <c r="BL710" s="80"/>
      <c r="BM710" s="80"/>
      <c r="BN710" s="80"/>
      <c r="BO710" s="80"/>
      <c r="BP710" s="80"/>
      <c r="BQ710" s="80"/>
      <c r="BR710" s="80"/>
      <c r="BS710" s="80"/>
      <c r="BT710" s="80"/>
      <c r="BU710" s="80"/>
      <c r="BV710" s="80"/>
      <c r="BW710" s="80"/>
      <c r="BX710" s="80"/>
      <c r="BY710" s="80"/>
      <c r="BZ710" s="80"/>
      <c r="CA710" s="80"/>
      <c r="CB710" s="80"/>
      <c r="CC710" s="80"/>
      <c r="CD710" s="80"/>
      <c r="CE710" s="80"/>
      <c r="CF710" s="80"/>
      <c r="CG710" s="80"/>
      <c r="CH710" s="80"/>
      <c r="CI710" s="80"/>
      <c r="CJ710" s="80"/>
      <c r="CK710" s="82"/>
      <c r="CL710" s="12"/>
      <c r="CM710" s="82"/>
      <c r="CN710" s="12"/>
      <c r="CO710" s="82"/>
      <c r="CP710" s="12"/>
      <c r="CQ710" s="83">
        <f t="shared" si="86"/>
        <v>0</v>
      </c>
      <c r="CR710" s="84"/>
      <c r="CS710" s="13"/>
      <c r="CT710" s="85"/>
      <c r="CU710" s="86"/>
      <c r="CV710" s="11"/>
      <c r="CW710" s="86"/>
      <c r="CX710" s="84"/>
      <c r="CY710" s="86"/>
    </row>
    <row r="711" spans="1:104" ht="51" x14ac:dyDescent="0.2">
      <c r="A711" s="43">
        <v>40010</v>
      </c>
      <c r="B711" s="44" t="s">
        <v>781</v>
      </c>
      <c r="C711" s="44" t="s">
        <v>1148</v>
      </c>
      <c r="D711" s="45" t="s">
        <v>1118</v>
      </c>
      <c r="E711" s="11"/>
      <c r="F711" s="12"/>
      <c r="G711" s="12"/>
      <c r="H711" s="12">
        <v>98</v>
      </c>
      <c r="I711" s="12">
        <v>10</v>
      </c>
      <c r="J711" s="12"/>
      <c r="K711" s="12">
        <v>10</v>
      </c>
      <c r="L711" s="12"/>
      <c r="M711" s="12"/>
      <c r="N711" s="12"/>
      <c r="O711" s="12"/>
      <c r="P711" s="12"/>
      <c r="Q711" s="12"/>
      <c r="R711" s="12"/>
      <c r="S711" s="12"/>
      <c r="T711" s="13"/>
      <c r="U711" s="46"/>
      <c r="V711" s="47"/>
      <c r="W711" s="48">
        <f t="shared" si="81"/>
        <v>0</v>
      </c>
      <c r="X711" s="48">
        <f t="shared" si="82"/>
        <v>0</v>
      </c>
      <c r="Y711" s="48">
        <f t="shared" si="83"/>
        <v>0</v>
      </c>
      <c r="Z711" s="48">
        <f t="shared" si="84"/>
        <v>0</v>
      </c>
      <c r="AA711" s="48"/>
      <c r="AB711" s="48"/>
      <c r="AC711" s="49">
        <f t="shared" si="85"/>
        <v>0</v>
      </c>
      <c r="AD711" s="50">
        <v>0</v>
      </c>
      <c r="AE711" s="47">
        <v>40015</v>
      </c>
      <c r="AF711" s="51" t="s">
        <v>516</v>
      </c>
      <c r="AG711" s="52" t="s">
        <v>517</v>
      </c>
      <c r="AH711" s="53" t="s">
        <v>1149</v>
      </c>
      <c r="AI711" s="79"/>
      <c r="AJ711" s="80"/>
      <c r="AK711" s="81"/>
      <c r="AL711" s="80"/>
      <c r="AM711" s="80"/>
      <c r="AN711" s="80"/>
      <c r="AO711" s="80"/>
      <c r="AP711" s="80"/>
      <c r="AQ711" s="80"/>
      <c r="AR711" s="80"/>
      <c r="AS711" s="80"/>
      <c r="AT711" s="80"/>
      <c r="AU711" s="80"/>
      <c r="AV711" s="80"/>
      <c r="AW711" s="80"/>
      <c r="AX711" s="80"/>
      <c r="AY711" s="80"/>
      <c r="AZ711" s="80"/>
      <c r="BA711" s="80"/>
      <c r="BB711" s="80"/>
      <c r="BC711" s="80"/>
      <c r="BD711" s="80"/>
      <c r="BE711" s="80"/>
      <c r="BF711" s="80"/>
      <c r="BG711" s="80"/>
      <c r="BH711" s="80"/>
      <c r="BI711" s="80"/>
      <c r="BJ711" s="80"/>
      <c r="BK711" s="80"/>
      <c r="BL711" s="80"/>
      <c r="BM711" s="80"/>
      <c r="BN711" s="80"/>
      <c r="BO711" s="80"/>
      <c r="BP711" s="80"/>
      <c r="BQ711" s="80"/>
      <c r="BR711" s="80"/>
      <c r="BS711" s="80"/>
      <c r="BT711" s="80"/>
      <c r="BU711" s="80"/>
      <c r="BV711" s="80"/>
      <c r="BW711" s="80"/>
      <c r="BX711" s="80"/>
      <c r="BY711" s="80"/>
      <c r="BZ711" s="80"/>
      <c r="CA711" s="80"/>
      <c r="CB711" s="80"/>
      <c r="CC711" s="80"/>
      <c r="CD711" s="80"/>
      <c r="CE711" s="80"/>
      <c r="CF711" s="80"/>
      <c r="CG711" s="80"/>
      <c r="CH711" s="80"/>
      <c r="CI711" s="80"/>
      <c r="CJ711" s="80"/>
      <c r="CK711" s="82"/>
      <c r="CL711" s="12"/>
      <c r="CM711" s="82"/>
      <c r="CN711" s="12"/>
      <c r="CO711" s="82"/>
      <c r="CP711" s="12"/>
      <c r="CQ711" s="83">
        <f t="shared" si="86"/>
        <v>0</v>
      </c>
      <c r="CR711" s="84"/>
      <c r="CS711" s="13"/>
      <c r="CT711" s="85"/>
      <c r="CU711" s="86"/>
      <c r="CV711" s="11"/>
      <c r="CW711" s="86"/>
      <c r="CX711" s="84"/>
      <c r="CY711" s="86"/>
    </row>
    <row r="712" spans="1:104" ht="25.5" x14ac:dyDescent="0.2">
      <c r="A712" s="43">
        <v>40011</v>
      </c>
      <c r="B712" s="44" t="s">
        <v>478</v>
      </c>
      <c r="C712" s="44" t="s">
        <v>477</v>
      </c>
      <c r="D712" s="45" t="s">
        <v>1118</v>
      </c>
      <c r="E712" s="11"/>
      <c r="F712" s="12"/>
      <c r="G712" s="12"/>
      <c r="H712" s="12">
        <f>35*5</f>
        <v>175</v>
      </c>
      <c r="I712" s="12">
        <v>35</v>
      </c>
      <c r="J712" s="12"/>
      <c r="K712" s="12">
        <v>35</v>
      </c>
      <c r="L712" s="12"/>
      <c r="M712" s="12"/>
      <c r="N712" s="12"/>
      <c r="O712" s="12"/>
      <c r="P712" s="12"/>
      <c r="Q712" s="12"/>
      <c r="R712" s="12"/>
      <c r="S712" s="12"/>
      <c r="T712" s="13"/>
      <c r="U712" s="46"/>
      <c r="V712" s="47"/>
      <c r="W712" s="48">
        <f t="shared" si="81"/>
        <v>0</v>
      </c>
      <c r="X712" s="48">
        <f t="shared" si="82"/>
        <v>0</v>
      </c>
      <c r="Y712" s="48">
        <f t="shared" si="83"/>
        <v>0</v>
      </c>
      <c r="Z712" s="48">
        <f t="shared" si="84"/>
        <v>0</v>
      </c>
      <c r="AA712" s="48"/>
      <c r="AB712" s="48"/>
      <c r="AC712" s="49">
        <f t="shared" si="85"/>
        <v>0</v>
      </c>
      <c r="AD712" s="50">
        <v>0</v>
      </c>
      <c r="AE712" s="47">
        <v>40015</v>
      </c>
      <c r="AF712" s="51" t="s">
        <v>516</v>
      </c>
      <c r="AG712" s="52" t="s">
        <v>517</v>
      </c>
      <c r="AH712" s="53"/>
      <c r="AI712" s="79"/>
      <c r="AJ712" s="80"/>
      <c r="AK712" s="81"/>
      <c r="AL712" s="80"/>
      <c r="AM712" s="80"/>
      <c r="AN712" s="80"/>
      <c r="AO712" s="80"/>
      <c r="AP712" s="80"/>
      <c r="AQ712" s="80"/>
      <c r="AR712" s="80"/>
      <c r="AS712" s="80"/>
      <c r="AT712" s="80"/>
      <c r="AU712" s="80"/>
      <c r="AV712" s="80"/>
      <c r="AW712" s="80"/>
      <c r="AX712" s="80"/>
      <c r="AY712" s="80"/>
      <c r="AZ712" s="80"/>
      <c r="BA712" s="80"/>
      <c r="BB712" s="80"/>
      <c r="BC712" s="80"/>
      <c r="BD712" s="80"/>
      <c r="BE712" s="80"/>
      <c r="BF712" s="80"/>
      <c r="BG712" s="80"/>
      <c r="BH712" s="80"/>
      <c r="BI712" s="80"/>
      <c r="BJ712" s="80"/>
      <c r="BK712" s="80"/>
      <c r="BL712" s="80"/>
      <c r="BM712" s="80"/>
      <c r="BN712" s="80"/>
      <c r="BO712" s="80"/>
      <c r="BP712" s="80"/>
      <c r="BQ712" s="80"/>
      <c r="BR712" s="80"/>
      <c r="BS712" s="80"/>
      <c r="BT712" s="80"/>
      <c r="BU712" s="80"/>
      <c r="BV712" s="80"/>
      <c r="BW712" s="80"/>
      <c r="BX712" s="80"/>
      <c r="BY712" s="80"/>
      <c r="BZ712" s="80"/>
      <c r="CA712" s="80"/>
      <c r="CB712" s="80"/>
      <c r="CC712" s="80"/>
      <c r="CD712" s="80"/>
      <c r="CE712" s="80"/>
      <c r="CF712" s="80"/>
      <c r="CG712" s="80"/>
      <c r="CH712" s="80"/>
      <c r="CI712" s="80"/>
      <c r="CJ712" s="80"/>
      <c r="CK712" s="82"/>
      <c r="CL712" s="12"/>
      <c r="CM712" s="82"/>
      <c r="CN712" s="12"/>
      <c r="CO712" s="82"/>
      <c r="CP712" s="12"/>
      <c r="CQ712" s="83">
        <f t="shared" si="86"/>
        <v>0</v>
      </c>
      <c r="CR712" s="84"/>
      <c r="CS712" s="13"/>
      <c r="CT712" s="85"/>
      <c r="CU712" s="86"/>
      <c r="CV712" s="11"/>
      <c r="CW712" s="86"/>
      <c r="CX712" s="84"/>
      <c r="CY712" s="86"/>
    </row>
    <row r="713" spans="1:104" ht="38.25" x14ac:dyDescent="0.2">
      <c r="A713" s="43">
        <v>40012</v>
      </c>
      <c r="B713" s="44" t="s">
        <v>1067</v>
      </c>
      <c r="C713" s="44" t="s">
        <v>1151</v>
      </c>
      <c r="D713" s="45" t="s">
        <v>1117</v>
      </c>
      <c r="E713" s="11"/>
      <c r="F713" s="12"/>
      <c r="G713" s="12"/>
      <c r="H713" s="12">
        <v>260</v>
      </c>
      <c r="I713" s="12">
        <v>128</v>
      </c>
      <c r="J713" s="12"/>
      <c r="K713" s="12">
        <v>128</v>
      </c>
      <c r="L713" s="12"/>
      <c r="M713" s="12"/>
      <c r="N713" s="12"/>
      <c r="O713" s="12"/>
      <c r="P713" s="12"/>
      <c r="Q713" s="12"/>
      <c r="R713" s="12"/>
      <c r="S713" s="12"/>
      <c r="T713" s="13"/>
      <c r="U713" s="46"/>
      <c r="V713" s="47">
        <v>40049</v>
      </c>
      <c r="W713" s="48">
        <f t="shared" si="81"/>
        <v>0</v>
      </c>
      <c r="X713" s="48">
        <f t="shared" si="82"/>
        <v>0</v>
      </c>
      <c r="Y713" s="48">
        <f t="shared" si="83"/>
        <v>34874000</v>
      </c>
      <c r="Z713" s="48">
        <f t="shared" si="84"/>
        <v>0</v>
      </c>
      <c r="AA713" s="48"/>
      <c r="AB713" s="48"/>
      <c r="AC713" s="49">
        <f t="shared" si="85"/>
        <v>34874000</v>
      </c>
      <c r="AD713" s="50">
        <v>0</v>
      </c>
      <c r="AE713" s="47">
        <v>40015</v>
      </c>
      <c r="AF713" s="51" t="s">
        <v>1016</v>
      </c>
      <c r="AG713" s="52" t="s">
        <v>565</v>
      </c>
      <c r="AH713" s="53" t="s">
        <v>1152</v>
      </c>
      <c r="AI713" s="79"/>
      <c r="AJ713" s="80"/>
      <c r="AK713" s="81"/>
      <c r="AL713" s="80"/>
      <c r="AM713" s="80"/>
      <c r="AN713" s="80"/>
      <c r="AO713" s="80"/>
      <c r="AP713" s="80"/>
      <c r="AQ713" s="80"/>
      <c r="AR713" s="80"/>
      <c r="AS713" s="80"/>
      <c r="AT713" s="80"/>
      <c r="AU713" s="80"/>
      <c r="AV713" s="80"/>
      <c r="AW713" s="80"/>
      <c r="AX713" s="80"/>
      <c r="AY713" s="80"/>
      <c r="AZ713" s="80"/>
      <c r="BA713" s="80"/>
      <c r="BB713" s="80"/>
      <c r="BC713" s="80"/>
      <c r="BD713" s="80"/>
      <c r="BE713" s="80"/>
      <c r="BF713" s="80"/>
      <c r="BG713" s="80"/>
      <c r="BH713" s="80"/>
      <c r="BI713" s="80"/>
      <c r="BJ713" s="80"/>
      <c r="BK713" s="80"/>
      <c r="BL713" s="80"/>
      <c r="BM713" s="80"/>
      <c r="BN713" s="80"/>
      <c r="BO713" s="80"/>
      <c r="BP713" s="80"/>
      <c r="BQ713" s="80"/>
      <c r="BR713" s="80"/>
      <c r="BS713" s="80"/>
      <c r="BT713" s="80"/>
      <c r="BU713" s="80"/>
      <c r="BV713" s="80"/>
      <c r="BW713" s="80"/>
      <c r="BX713" s="80"/>
      <c r="BY713" s="80"/>
      <c r="BZ713" s="80"/>
      <c r="CA713" s="80"/>
      <c r="CB713" s="80"/>
      <c r="CC713" s="80"/>
      <c r="CD713" s="80"/>
      <c r="CE713" s="80"/>
      <c r="CF713" s="80"/>
      <c r="CG713" s="80"/>
      <c r="CH713" s="80"/>
      <c r="CI713" s="80"/>
      <c r="CJ713" s="80"/>
      <c r="CK713" s="82"/>
      <c r="CL713" s="12"/>
      <c r="CM713" s="82"/>
      <c r="CN713" s="12"/>
      <c r="CO713" s="82"/>
      <c r="CP713" s="12"/>
      <c r="CQ713" s="83">
        <f t="shared" si="86"/>
        <v>0</v>
      </c>
      <c r="CR713" s="84"/>
      <c r="CS713" s="13"/>
      <c r="CT713" s="85"/>
      <c r="CU713" s="86"/>
      <c r="CV713" s="11"/>
      <c r="CW713" s="86"/>
      <c r="CX713" s="84">
        <f>630+336+167</f>
        <v>1133</v>
      </c>
      <c r="CY713" s="86">
        <f>630*33000+336*28000+167*28000</f>
        <v>34874000</v>
      </c>
      <c r="CZ713" s="9" t="s">
        <v>342</v>
      </c>
    </row>
    <row r="714" spans="1:104" ht="38.25" x14ac:dyDescent="0.2">
      <c r="A714" s="43">
        <v>40012</v>
      </c>
      <c r="B714" s="44" t="s">
        <v>1094</v>
      </c>
      <c r="C714" s="44" t="s">
        <v>145</v>
      </c>
      <c r="D714" s="45" t="s">
        <v>1116</v>
      </c>
      <c r="E714" s="11"/>
      <c r="F714" s="12"/>
      <c r="G714" s="12"/>
      <c r="H714" s="12">
        <v>5</v>
      </c>
      <c r="I714" s="12">
        <v>1</v>
      </c>
      <c r="J714" s="12">
        <v>1</v>
      </c>
      <c r="K714" s="12"/>
      <c r="L714" s="12"/>
      <c r="M714" s="12"/>
      <c r="N714" s="12"/>
      <c r="O714" s="12"/>
      <c r="P714" s="12"/>
      <c r="Q714" s="12"/>
      <c r="R714" s="12"/>
      <c r="S714" s="12"/>
      <c r="T714" s="13"/>
      <c r="U714" s="46"/>
      <c r="V714" s="47"/>
      <c r="W714" s="48">
        <f t="shared" si="81"/>
        <v>0</v>
      </c>
      <c r="X714" s="48">
        <f t="shared" si="82"/>
        <v>0</v>
      </c>
      <c r="Y714" s="48">
        <f t="shared" si="83"/>
        <v>0</v>
      </c>
      <c r="Z714" s="48">
        <f t="shared" si="84"/>
        <v>0</v>
      </c>
      <c r="AA714" s="48"/>
      <c r="AB714" s="48"/>
      <c r="AC714" s="49">
        <f t="shared" si="85"/>
        <v>0</v>
      </c>
      <c r="AD714" s="50">
        <v>0</v>
      </c>
      <c r="AE714" s="47">
        <v>40015</v>
      </c>
      <c r="AF714" s="51" t="s">
        <v>1016</v>
      </c>
      <c r="AG714" s="52" t="s">
        <v>565</v>
      </c>
      <c r="AH714" s="53" t="s">
        <v>957</v>
      </c>
      <c r="AI714" s="79"/>
      <c r="AJ714" s="80"/>
      <c r="AK714" s="81"/>
      <c r="AL714" s="80"/>
      <c r="AM714" s="80"/>
      <c r="AN714" s="80"/>
      <c r="AO714" s="80"/>
      <c r="AP714" s="80"/>
      <c r="AQ714" s="80"/>
      <c r="AR714" s="80"/>
      <c r="AS714" s="80"/>
      <c r="AT714" s="80"/>
      <c r="AU714" s="80"/>
      <c r="AV714" s="80"/>
      <c r="AW714" s="80"/>
      <c r="AX714" s="80"/>
      <c r="AY714" s="80"/>
      <c r="AZ714" s="80"/>
      <c r="BA714" s="80"/>
      <c r="BB714" s="80"/>
      <c r="BC714" s="80"/>
      <c r="BD714" s="80"/>
      <c r="BE714" s="80"/>
      <c r="BF714" s="80"/>
      <c r="BG714" s="80"/>
      <c r="BH714" s="80"/>
      <c r="BI714" s="80"/>
      <c r="BJ714" s="80"/>
      <c r="BK714" s="80"/>
      <c r="BL714" s="80"/>
      <c r="BM714" s="80"/>
      <c r="BN714" s="80"/>
      <c r="BO714" s="80"/>
      <c r="BP714" s="80"/>
      <c r="BQ714" s="80"/>
      <c r="BR714" s="80"/>
      <c r="BS714" s="80"/>
      <c r="BT714" s="80"/>
      <c r="BU714" s="80"/>
      <c r="BV714" s="80"/>
      <c r="BW714" s="80"/>
      <c r="BX714" s="80"/>
      <c r="BY714" s="80"/>
      <c r="BZ714" s="80"/>
      <c r="CA714" s="80"/>
      <c r="CB714" s="80"/>
      <c r="CC714" s="80"/>
      <c r="CD714" s="80"/>
      <c r="CE714" s="80"/>
      <c r="CF714" s="80"/>
      <c r="CG714" s="80"/>
      <c r="CH714" s="80"/>
      <c r="CI714" s="80"/>
      <c r="CJ714" s="80"/>
      <c r="CK714" s="82"/>
      <c r="CL714" s="12"/>
      <c r="CM714" s="82"/>
      <c r="CN714" s="12"/>
      <c r="CO714" s="82"/>
      <c r="CP714" s="12"/>
      <c r="CQ714" s="83">
        <f t="shared" si="86"/>
        <v>0</v>
      </c>
      <c r="CR714" s="84"/>
      <c r="CS714" s="13"/>
      <c r="CT714" s="85"/>
      <c r="CU714" s="86"/>
      <c r="CV714" s="11"/>
      <c r="CW714" s="86"/>
      <c r="CX714" s="84"/>
      <c r="CY714" s="86"/>
    </row>
    <row r="715" spans="1:104" ht="51" x14ac:dyDescent="0.2">
      <c r="A715" s="43">
        <v>40012</v>
      </c>
      <c r="B715" s="44" t="s">
        <v>1094</v>
      </c>
      <c r="C715" s="44" t="s">
        <v>506</v>
      </c>
      <c r="D715" s="45" t="s">
        <v>134</v>
      </c>
      <c r="E715" s="11"/>
      <c r="F715" s="12"/>
      <c r="G715" s="12"/>
      <c r="H715" s="12">
        <f>23*5</f>
        <v>115</v>
      </c>
      <c r="I715" s="12">
        <v>23</v>
      </c>
      <c r="J715" s="12"/>
      <c r="K715" s="12">
        <v>23</v>
      </c>
      <c r="L715" s="12"/>
      <c r="M715" s="12"/>
      <c r="N715" s="12">
        <v>1</v>
      </c>
      <c r="O715" s="12"/>
      <c r="P715" s="12"/>
      <c r="Q715" s="12"/>
      <c r="R715" s="12"/>
      <c r="S715" s="12"/>
      <c r="T715" s="13"/>
      <c r="U715" s="46"/>
      <c r="V715" s="47"/>
      <c r="W715" s="48">
        <f t="shared" si="81"/>
        <v>0</v>
      </c>
      <c r="X715" s="48">
        <f t="shared" si="82"/>
        <v>0</v>
      </c>
      <c r="Y715" s="48">
        <f t="shared" si="83"/>
        <v>0</v>
      </c>
      <c r="Z715" s="48">
        <f t="shared" si="84"/>
        <v>0</v>
      </c>
      <c r="AA715" s="48"/>
      <c r="AB715" s="48"/>
      <c r="AC715" s="49">
        <f t="shared" si="85"/>
        <v>0</v>
      </c>
      <c r="AD715" s="50">
        <v>0</v>
      </c>
      <c r="AE715" s="47">
        <v>40017</v>
      </c>
      <c r="AF715" s="51" t="s">
        <v>1016</v>
      </c>
      <c r="AG715" s="52" t="s">
        <v>565</v>
      </c>
      <c r="AH715" s="53" t="s">
        <v>1378</v>
      </c>
      <c r="AI715" s="79"/>
      <c r="AJ715" s="80"/>
      <c r="AK715" s="81"/>
      <c r="AL715" s="80"/>
      <c r="AM715" s="80"/>
      <c r="AN715" s="80"/>
      <c r="AO715" s="80"/>
      <c r="AP715" s="80"/>
      <c r="AQ715" s="80"/>
      <c r="AR715" s="80"/>
      <c r="AS715" s="80"/>
      <c r="AT715" s="80"/>
      <c r="AU715" s="80"/>
      <c r="AV715" s="80"/>
      <c r="AW715" s="80"/>
      <c r="AX715" s="80"/>
      <c r="AY715" s="80"/>
      <c r="AZ715" s="80"/>
      <c r="BA715" s="80"/>
      <c r="BB715" s="80"/>
      <c r="BC715" s="80"/>
      <c r="BD715" s="80"/>
      <c r="BE715" s="80"/>
      <c r="BF715" s="80"/>
      <c r="BG715" s="80"/>
      <c r="BH715" s="80"/>
      <c r="BI715" s="80"/>
      <c r="BJ715" s="80"/>
      <c r="BK715" s="80"/>
      <c r="BL715" s="80"/>
      <c r="BM715" s="80"/>
      <c r="BN715" s="80"/>
      <c r="BO715" s="80"/>
      <c r="BP715" s="80"/>
      <c r="BQ715" s="80"/>
      <c r="BR715" s="80"/>
      <c r="BS715" s="80"/>
      <c r="BT715" s="80"/>
      <c r="BU715" s="80"/>
      <c r="BV715" s="80"/>
      <c r="BW715" s="80"/>
      <c r="BX715" s="80"/>
      <c r="BY715" s="80"/>
      <c r="BZ715" s="80"/>
      <c r="CA715" s="80"/>
      <c r="CB715" s="80"/>
      <c r="CC715" s="80"/>
      <c r="CD715" s="80"/>
      <c r="CE715" s="80"/>
      <c r="CF715" s="80"/>
      <c r="CG715" s="80"/>
      <c r="CH715" s="80"/>
      <c r="CI715" s="80"/>
      <c r="CJ715" s="80"/>
      <c r="CK715" s="82"/>
      <c r="CL715" s="12"/>
      <c r="CM715" s="82"/>
      <c r="CN715" s="12"/>
      <c r="CO715" s="82"/>
      <c r="CP715" s="12"/>
      <c r="CQ715" s="83">
        <f t="shared" si="86"/>
        <v>0</v>
      </c>
      <c r="CR715" s="84"/>
      <c r="CS715" s="13"/>
      <c r="CT715" s="85"/>
      <c r="CU715" s="86"/>
      <c r="CV715" s="11"/>
      <c r="CW715" s="86"/>
      <c r="CX715" s="84"/>
      <c r="CY715" s="86"/>
    </row>
    <row r="716" spans="1:104" ht="38.25" x14ac:dyDescent="0.2">
      <c r="A716" s="43">
        <v>40012</v>
      </c>
      <c r="B716" s="44" t="s">
        <v>1094</v>
      </c>
      <c r="C716" s="44" t="s">
        <v>381</v>
      </c>
      <c r="D716" s="45" t="s">
        <v>1117</v>
      </c>
      <c r="E716" s="11"/>
      <c r="F716" s="12"/>
      <c r="G716" s="12"/>
      <c r="H716" s="12">
        <v>25</v>
      </c>
      <c r="I716" s="12">
        <v>5</v>
      </c>
      <c r="J716" s="12"/>
      <c r="K716" s="12">
        <v>5</v>
      </c>
      <c r="L716" s="12"/>
      <c r="M716" s="12"/>
      <c r="N716" s="12"/>
      <c r="O716" s="12"/>
      <c r="P716" s="12"/>
      <c r="Q716" s="12"/>
      <c r="R716" s="12"/>
      <c r="S716" s="12"/>
      <c r="T716" s="13"/>
      <c r="U716" s="46"/>
      <c r="V716" s="47"/>
      <c r="W716" s="48">
        <f t="shared" si="81"/>
        <v>0</v>
      </c>
      <c r="X716" s="48">
        <f t="shared" si="82"/>
        <v>0</v>
      </c>
      <c r="Y716" s="48">
        <f t="shared" si="83"/>
        <v>0</v>
      </c>
      <c r="Z716" s="48">
        <f t="shared" si="84"/>
        <v>0</v>
      </c>
      <c r="AA716" s="48"/>
      <c r="AB716" s="48"/>
      <c r="AC716" s="49">
        <f t="shared" si="85"/>
        <v>0</v>
      </c>
      <c r="AD716" s="50">
        <v>0</v>
      </c>
      <c r="AE716" s="47">
        <v>40017</v>
      </c>
      <c r="AF716" s="51" t="s">
        <v>1016</v>
      </c>
      <c r="AG716" s="52" t="s">
        <v>565</v>
      </c>
      <c r="AH716" s="53" t="s">
        <v>706</v>
      </c>
      <c r="AI716" s="79"/>
      <c r="AJ716" s="80"/>
      <c r="AK716" s="81"/>
      <c r="AL716" s="80"/>
      <c r="AM716" s="80"/>
      <c r="AN716" s="80"/>
      <c r="AO716" s="80"/>
      <c r="AP716" s="80"/>
      <c r="AQ716" s="80"/>
      <c r="AR716" s="80"/>
      <c r="AS716" s="80"/>
      <c r="AT716" s="80"/>
      <c r="AU716" s="80"/>
      <c r="AV716" s="80"/>
      <c r="AW716" s="80"/>
      <c r="AX716" s="80"/>
      <c r="AY716" s="80"/>
      <c r="AZ716" s="80"/>
      <c r="BA716" s="80"/>
      <c r="BB716" s="80"/>
      <c r="BC716" s="80"/>
      <c r="BD716" s="80"/>
      <c r="BE716" s="80"/>
      <c r="BF716" s="80"/>
      <c r="BG716" s="80"/>
      <c r="BH716" s="80"/>
      <c r="BI716" s="80"/>
      <c r="BJ716" s="80"/>
      <c r="BK716" s="80"/>
      <c r="BL716" s="80"/>
      <c r="BM716" s="80"/>
      <c r="BN716" s="80"/>
      <c r="BO716" s="80"/>
      <c r="BP716" s="80"/>
      <c r="BQ716" s="80"/>
      <c r="BR716" s="80"/>
      <c r="BS716" s="80"/>
      <c r="BT716" s="80"/>
      <c r="BU716" s="80"/>
      <c r="BV716" s="80"/>
      <c r="BW716" s="80"/>
      <c r="BX716" s="80"/>
      <c r="BY716" s="80"/>
      <c r="BZ716" s="80"/>
      <c r="CA716" s="80"/>
      <c r="CB716" s="80"/>
      <c r="CC716" s="80"/>
      <c r="CD716" s="80"/>
      <c r="CE716" s="80"/>
      <c r="CF716" s="80"/>
      <c r="CG716" s="80"/>
      <c r="CH716" s="80"/>
      <c r="CI716" s="80"/>
      <c r="CJ716" s="80"/>
      <c r="CK716" s="82"/>
      <c r="CL716" s="12"/>
      <c r="CM716" s="82"/>
      <c r="CN716" s="12"/>
      <c r="CO716" s="82"/>
      <c r="CP716" s="12"/>
      <c r="CQ716" s="83">
        <f t="shared" si="86"/>
        <v>0</v>
      </c>
      <c r="CR716" s="84"/>
      <c r="CS716" s="13"/>
      <c r="CT716" s="85"/>
      <c r="CU716" s="86"/>
      <c r="CV716" s="11"/>
      <c r="CW716" s="86"/>
      <c r="CX716" s="84"/>
      <c r="CY716" s="86"/>
    </row>
    <row r="717" spans="1:104" ht="25.5" x14ac:dyDescent="0.2">
      <c r="A717" s="43">
        <v>40013</v>
      </c>
      <c r="B717" s="44" t="s">
        <v>1224</v>
      </c>
      <c r="C717" s="44" t="s">
        <v>914</v>
      </c>
      <c r="D717" s="45" t="s">
        <v>1118</v>
      </c>
      <c r="E717" s="11"/>
      <c r="F717" s="12"/>
      <c r="G717" s="12"/>
      <c r="H717" s="12">
        <v>2500</v>
      </c>
      <c r="I717" s="12">
        <v>500</v>
      </c>
      <c r="J717" s="12"/>
      <c r="K717" s="12">
        <v>500</v>
      </c>
      <c r="L717" s="12"/>
      <c r="M717" s="12"/>
      <c r="N717" s="12"/>
      <c r="O717" s="12"/>
      <c r="P717" s="12"/>
      <c r="Q717" s="12"/>
      <c r="R717" s="12"/>
      <c r="S717" s="12"/>
      <c r="T717" s="13"/>
      <c r="U717" s="46"/>
      <c r="V717" s="47">
        <v>40036</v>
      </c>
      <c r="W717" s="48">
        <f t="shared" si="81"/>
        <v>39475990</v>
      </c>
      <c r="X717" s="48">
        <f t="shared" si="82"/>
        <v>42500000</v>
      </c>
      <c r="Y717" s="48">
        <f t="shared" si="83"/>
        <v>0</v>
      </c>
      <c r="Z717" s="48">
        <f t="shared" si="84"/>
        <v>0</v>
      </c>
      <c r="AA717" s="48"/>
      <c r="AB717" s="48"/>
      <c r="AC717" s="49">
        <f t="shared" si="85"/>
        <v>81975990</v>
      </c>
      <c r="AD717" s="50">
        <v>0</v>
      </c>
      <c r="AE717" s="47">
        <v>40015</v>
      </c>
      <c r="AF717" s="51" t="s">
        <v>1016</v>
      </c>
      <c r="AG717" s="52" t="s">
        <v>565</v>
      </c>
      <c r="AH717" s="53" t="s">
        <v>1150</v>
      </c>
      <c r="AI717" s="79"/>
      <c r="AJ717" s="80"/>
      <c r="AK717" s="81"/>
      <c r="AL717" s="80"/>
      <c r="AM717" s="80"/>
      <c r="AN717" s="80"/>
      <c r="AO717" s="80"/>
      <c r="AP717" s="80"/>
      <c r="AQ717" s="80"/>
      <c r="AR717" s="80"/>
      <c r="AS717" s="80"/>
      <c r="AT717" s="80"/>
      <c r="AU717" s="80"/>
      <c r="AV717" s="80"/>
      <c r="AW717" s="80"/>
      <c r="AX717" s="80"/>
      <c r="AY717" s="80"/>
      <c r="AZ717" s="80"/>
      <c r="BA717" s="80"/>
      <c r="BB717" s="80"/>
      <c r="BC717" s="80"/>
      <c r="BD717" s="80"/>
      <c r="BE717" s="80"/>
      <c r="BF717" s="80"/>
      <c r="BG717" s="80"/>
      <c r="BH717" s="80"/>
      <c r="BI717" s="80"/>
      <c r="BJ717" s="80"/>
      <c r="BK717" s="80"/>
      <c r="BL717" s="80"/>
      <c r="BM717" s="80"/>
      <c r="BN717" s="80"/>
      <c r="BO717" s="80"/>
      <c r="BP717" s="80"/>
      <c r="BQ717" s="80"/>
      <c r="BR717" s="80"/>
      <c r="BS717" s="80"/>
      <c r="BT717" s="80"/>
      <c r="BU717" s="80"/>
      <c r="BV717" s="80"/>
      <c r="BW717" s="80"/>
      <c r="BX717" s="80"/>
      <c r="BY717" s="80"/>
      <c r="BZ717" s="80"/>
      <c r="CA717" s="80"/>
      <c r="CB717" s="80"/>
      <c r="CC717" s="80"/>
      <c r="CD717" s="80"/>
      <c r="CE717" s="80">
        <v>1000</v>
      </c>
      <c r="CF717" s="80">
        <f>1000*20999.99</f>
        <v>20999990</v>
      </c>
      <c r="CG717" s="80"/>
      <c r="CH717" s="80"/>
      <c r="CI717" s="80"/>
      <c r="CJ717" s="80"/>
      <c r="CK717" s="82">
        <v>500</v>
      </c>
      <c r="CL717" s="12">
        <f>500*36952</f>
        <v>18476000</v>
      </c>
      <c r="CM717" s="82"/>
      <c r="CN717" s="12"/>
      <c r="CO717" s="82"/>
      <c r="CP717" s="12"/>
      <c r="CQ717" s="83">
        <f t="shared" si="86"/>
        <v>39475990</v>
      </c>
      <c r="CR717" s="84"/>
      <c r="CS717" s="13"/>
      <c r="CT717" s="85">
        <v>500</v>
      </c>
      <c r="CU717" s="86">
        <f>500*85000</f>
        <v>42500000</v>
      </c>
      <c r="CV717" s="11"/>
      <c r="CW717" s="86"/>
      <c r="CX717" s="84"/>
      <c r="CY717" s="86"/>
    </row>
    <row r="718" spans="1:104" ht="25.5" x14ac:dyDescent="0.2">
      <c r="A718" s="43">
        <v>40013</v>
      </c>
      <c r="B718" s="44" t="s">
        <v>1453</v>
      </c>
      <c r="C718" s="44" t="s">
        <v>1155</v>
      </c>
      <c r="D718" s="45" t="s">
        <v>1117</v>
      </c>
      <c r="E718" s="11"/>
      <c r="F718" s="12"/>
      <c r="G718" s="12"/>
      <c r="H718" s="12">
        <v>5</v>
      </c>
      <c r="I718" s="12">
        <v>1</v>
      </c>
      <c r="J718" s="12"/>
      <c r="K718" s="12">
        <v>1</v>
      </c>
      <c r="L718" s="12"/>
      <c r="M718" s="12"/>
      <c r="N718" s="12"/>
      <c r="O718" s="12"/>
      <c r="P718" s="12"/>
      <c r="Q718" s="12"/>
      <c r="R718" s="12"/>
      <c r="S718" s="12"/>
      <c r="T718" s="13"/>
      <c r="U718" s="46"/>
      <c r="V718" s="47"/>
      <c r="W718" s="48">
        <f t="shared" si="81"/>
        <v>0</v>
      </c>
      <c r="X718" s="48">
        <f t="shared" si="82"/>
        <v>0</v>
      </c>
      <c r="Y718" s="48">
        <f t="shared" si="83"/>
        <v>0</v>
      </c>
      <c r="Z718" s="48">
        <f t="shared" si="84"/>
        <v>0</v>
      </c>
      <c r="AA718" s="48"/>
      <c r="AB718" s="48"/>
      <c r="AC718" s="49">
        <f t="shared" si="85"/>
        <v>0</v>
      </c>
      <c r="AD718" s="50">
        <v>0</v>
      </c>
      <c r="AE718" s="47">
        <v>40015</v>
      </c>
      <c r="AF718" s="51" t="s">
        <v>516</v>
      </c>
      <c r="AG718" s="52" t="s">
        <v>517</v>
      </c>
      <c r="AH718" s="53" t="s">
        <v>958</v>
      </c>
      <c r="AI718" s="79"/>
      <c r="AJ718" s="80"/>
      <c r="AK718" s="81"/>
      <c r="AL718" s="80"/>
      <c r="AM718" s="80"/>
      <c r="AN718" s="80"/>
      <c r="AO718" s="80"/>
      <c r="AP718" s="80"/>
      <c r="AQ718" s="80"/>
      <c r="AR718" s="80"/>
      <c r="AS718" s="80"/>
      <c r="AT718" s="80"/>
      <c r="AU718" s="80"/>
      <c r="AV718" s="80"/>
      <c r="AW718" s="80"/>
      <c r="AX718" s="80"/>
      <c r="AY718" s="80"/>
      <c r="AZ718" s="80"/>
      <c r="BA718" s="80"/>
      <c r="BB718" s="80"/>
      <c r="BC718" s="80"/>
      <c r="BD718" s="80"/>
      <c r="BE718" s="80"/>
      <c r="BF718" s="80"/>
      <c r="BG718" s="80"/>
      <c r="BH718" s="80"/>
      <c r="BI718" s="80"/>
      <c r="BJ718" s="80"/>
      <c r="BK718" s="80"/>
      <c r="BL718" s="80"/>
      <c r="BM718" s="80"/>
      <c r="BN718" s="80"/>
      <c r="BO718" s="80"/>
      <c r="BP718" s="80"/>
      <c r="BQ718" s="80"/>
      <c r="BR718" s="80"/>
      <c r="BS718" s="80"/>
      <c r="BT718" s="80"/>
      <c r="BU718" s="80"/>
      <c r="BV718" s="80"/>
      <c r="BW718" s="80"/>
      <c r="BX718" s="80"/>
      <c r="BY718" s="80"/>
      <c r="BZ718" s="80"/>
      <c r="CA718" s="80"/>
      <c r="CB718" s="80"/>
      <c r="CC718" s="80"/>
      <c r="CD718" s="80"/>
      <c r="CE718" s="80"/>
      <c r="CF718" s="80"/>
      <c r="CG718" s="80"/>
      <c r="CH718" s="80"/>
      <c r="CI718" s="80"/>
      <c r="CJ718" s="80"/>
      <c r="CK718" s="82"/>
      <c r="CL718" s="12"/>
      <c r="CM718" s="82"/>
      <c r="CN718" s="12"/>
      <c r="CO718" s="82"/>
      <c r="CP718" s="12"/>
      <c r="CQ718" s="83">
        <f t="shared" si="86"/>
        <v>0</v>
      </c>
      <c r="CR718" s="84"/>
      <c r="CS718" s="13"/>
      <c r="CT718" s="85"/>
      <c r="CU718" s="86"/>
      <c r="CV718" s="11"/>
      <c r="CW718" s="86"/>
      <c r="CX718" s="84"/>
      <c r="CY718" s="86"/>
    </row>
    <row r="719" spans="1:104" ht="12.75" x14ac:dyDescent="0.2">
      <c r="A719" s="43">
        <v>40013</v>
      </c>
      <c r="B719" s="44" t="s">
        <v>1453</v>
      </c>
      <c r="C719" s="44" t="s">
        <v>1154</v>
      </c>
      <c r="D719" s="45" t="s">
        <v>1117</v>
      </c>
      <c r="E719" s="11"/>
      <c r="F719" s="12"/>
      <c r="G719" s="12"/>
      <c r="H719" s="12">
        <f>15*5</f>
        <v>75</v>
      </c>
      <c r="I719" s="12">
        <v>15</v>
      </c>
      <c r="J719" s="12"/>
      <c r="K719" s="12">
        <v>15</v>
      </c>
      <c r="L719" s="12"/>
      <c r="M719" s="12"/>
      <c r="N719" s="12"/>
      <c r="O719" s="12"/>
      <c r="P719" s="12"/>
      <c r="Q719" s="12"/>
      <c r="R719" s="12"/>
      <c r="S719" s="12"/>
      <c r="T719" s="13"/>
      <c r="U719" s="46"/>
      <c r="V719" s="47"/>
      <c r="W719" s="48">
        <f t="shared" si="81"/>
        <v>0</v>
      </c>
      <c r="X719" s="48">
        <f t="shared" si="82"/>
        <v>0</v>
      </c>
      <c r="Y719" s="48">
        <f t="shared" si="83"/>
        <v>0</v>
      </c>
      <c r="Z719" s="48">
        <f t="shared" si="84"/>
        <v>0</v>
      </c>
      <c r="AA719" s="48"/>
      <c r="AB719" s="48"/>
      <c r="AC719" s="49">
        <f t="shared" si="85"/>
        <v>0</v>
      </c>
      <c r="AD719" s="50">
        <v>0</v>
      </c>
      <c r="AE719" s="47">
        <v>40015</v>
      </c>
      <c r="AF719" s="51" t="s">
        <v>1016</v>
      </c>
      <c r="AG719" s="52" t="s">
        <v>565</v>
      </c>
      <c r="AH719" s="53" t="s">
        <v>958</v>
      </c>
      <c r="AI719" s="79"/>
      <c r="AJ719" s="80"/>
      <c r="AK719" s="81"/>
      <c r="AL719" s="80"/>
      <c r="AM719" s="80"/>
      <c r="AN719" s="80"/>
      <c r="AO719" s="80"/>
      <c r="AP719" s="80"/>
      <c r="AQ719" s="80"/>
      <c r="AR719" s="80"/>
      <c r="AS719" s="80"/>
      <c r="AT719" s="80"/>
      <c r="AU719" s="80"/>
      <c r="AV719" s="80"/>
      <c r="AW719" s="80"/>
      <c r="AX719" s="80"/>
      <c r="AY719" s="80"/>
      <c r="AZ719" s="80"/>
      <c r="BA719" s="80"/>
      <c r="BB719" s="80"/>
      <c r="BC719" s="80"/>
      <c r="BD719" s="80"/>
      <c r="BE719" s="80"/>
      <c r="BF719" s="80"/>
      <c r="BG719" s="80"/>
      <c r="BH719" s="80"/>
      <c r="BI719" s="80"/>
      <c r="BJ719" s="80"/>
      <c r="BK719" s="80"/>
      <c r="BL719" s="80"/>
      <c r="BM719" s="80"/>
      <c r="BN719" s="80"/>
      <c r="BO719" s="80"/>
      <c r="BP719" s="80"/>
      <c r="BQ719" s="80"/>
      <c r="BR719" s="80"/>
      <c r="BS719" s="80"/>
      <c r="BT719" s="80"/>
      <c r="BU719" s="80"/>
      <c r="BV719" s="80"/>
      <c r="BW719" s="80"/>
      <c r="BX719" s="80"/>
      <c r="BY719" s="80"/>
      <c r="BZ719" s="80"/>
      <c r="CA719" s="80"/>
      <c r="CB719" s="80"/>
      <c r="CC719" s="80"/>
      <c r="CD719" s="80"/>
      <c r="CE719" s="80"/>
      <c r="CF719" s="80"/>
      <c r="CG719" s="80"/>
      <c r="CH719" s="80"/>
      <c r="CI719" s="80"/>
      <c r="CJ719" s="80"/>
      <c r="CK719" s="82"/>
      <c r="CL719" s="12"/>
      <c r="CM719" s="82"/>
      <c r="CN719" s="12"/>
      <c r="CO719" s="82"/>
      <c r="CP719" s="12"/>
      <c r="CQ719" s="83">
        <f t="shared" si="86"/>
        <v>0</v>
      </c>
      <c r="CR719" s="84"/>
      <c r="CS719" s="13"/>
      <c r="CT719" s="85"/>
      <c r="CU719" s="86"/>
      <c r="CV719" s="11"/>
      <c r="CW719" s="86"/>
      <c r="CX719" s="84"/>
      <c r="CY719" s="86"/>
    </row>
    <row r="720" spans="1:104" ht="51" x14ac:dyDescent="0.2">
      <c r="A720" s="43">
        <v>40013</v>
      </c>
      <c r="B720" s="44" t="s">
        <v>1453</v>
      </c>
      <c r="C720" s="44" t="s">
        <v>1454</v>
      </c>
      <c r="D720" s="45" t="s">
        <v>1118</v>
      </c>
      <c r="E720" s="11"/>
      <c r="F720" s="12"/>
      <c r="G720" s="12"/>
      <c r="H720" s="12"/>
      <c r="I720" s="12"/>
      <c r="J720" s="12"/>
      <c r="K720" s="12"/>
      <c r="L720" s="12"/>
      <c r="M720" s="12"/>
      <c r="N720" s="12"/>
      <c r="O720" s="12"/>
      <c r="P720" s="12"/>
      <c r="Q720" s="12"/>
      <c r="R720" s="12"/>
      <c r="S720" s="12"/>
      <c r="T720" s="13"/>
      <c r="U720" s="46"/>
      <c r="V720" s="47">
        <v>40049</v>
      </c>
      <c r="W720" s="48">
        <f t="shared" si="81"/>
        <v>0</v>
      </c>
      <c r="X720" s="48">
        <f t="shared" si="82"/>
        <v>0</v>
      </c>
      <c r="Y720" s="48">
        <f t="shared" si="83"/>
        <v>42000000</v>
      </c>
      <c r="Z720" s="48">
        <f t="shared" si="84"/>
        <v>0</v>
      </c>
      <c r="AA720" s="48"/>
      <c r="AB720" s="48"/>
      <c r="AC720" s="49">
        <f t="shared" si="85"/>
        <v>42000000</v>
      </c>
      <c r="AD720" s="50">
        <v>0</v>
      </c>
      <c r="AE720" s="47">
        <v>40013</v>
      </c>
      <c r="AF720" s="51" t="s">
        <v>1016</v>
      </c>
      <c r="AG720" s="52" t="s">
        <v>565</v>
      </c>
      <c r="AH720" s="53" t="s">
        <v>1000</v>
      </c>
      <c r="AI720" s="79"/>
      <c r="AJ720" s="80"/>
      <c r="AK720" s="81"/>
      <c r="AL720" s="80"/>
      <c r="AM720" s="80"/>
      <c r="AN720" s="80"/>
      <c r="AO720" s="80"/>
      <c r="AP720" s="80"/>
      <c r="AQ720" s="80"/>
      <c r="AR720" s="80"/>
      <c r="AS720" s="80"/>
      <c r="AT720" s="80"/>
      <c r="AU720" s="80"/>
      <c r="AV720" s="80"/>
      <c r="AW720" s="80"/>
      <c r="AX720" s="80"/>
      <c r="AY720" s="80"/>
      <c r="AZ720" s="80"/>
      <c r="BA720" s="80"/>
      <c r="BB720" s="80"/>
      <c r="BC720" s="80"/>
      <c r="BD720" s="80"/>
      <c r="BE720" s="80"/>
      <c r="BF720" s="80"/>
      <c r="BG720" s="80"/>
      <c r="BH720" s="80"/>
      <c r="BI720" s="80"/>
      <c r="BJ720" s="80"/>
      <c r="BK720" s="80"/>
      <c r="BL720" s="80"/>
      <c r="BM720" s="80"/>
      <c r="BN720" s="80"/>
      <c r="BO720" s="80"/>
      <c r="BP720" s="80"/>
      <c r="BQ720" s="80"/>
      <c r="BR720" s="80"/>
      <c r="BS720" s="80"/>
      <c r="BT720" s="80"/>
      <c r="BU720" s="80"/>
      <c r="BV720" s="80"/>
      <c r="BW720" s="80"/>
      <c r="BX720" s="80"/>
      <c r="BY720" s="80"/>
      <c r="BZ720" s="80"/>
      <c r="CA720" s="80"/>
      <c r="CB720" s="80"/>
      <c r="CC720" s="80"/>
      <c r="CD720" s="80"/>
      <c r="CE720" s="80"/>
      <c r="CF720" s="80"/>
      <c r="CG720" s="80"/>
      <c r="CH720" s="80"/>
      <c r="CI720" s="80"/>
      <c r="CJ720" s="80"/>
      <c r="CK720" s="82"/>
      <c r="CL720" s="12"/>
      <c r="CM720" s="82"/>
      <c r="CN720" s="12"/>
      <c r="CO720" s="82"/>
      <c r="CP720" s="12"/>
      <c r="CQ720" s="83">
        <f t="shared" si="86"/>
        <v>0</v>
      </c>
      <c r="CR720" s="84"/>
      <c r="CS720" s="13"/>
      <c r="CT720" s="85"/>
      <c r="CU720" s="86"/>
      <c r="CV720" s="11"/>
      <c r="CW720" s="86"/>
      <c r="CX720" s="84">
        <v>2000</v>
      </c>
      <c r="CY720" s="86">
        <f>2000*21000</f>
        <v>42000000</v>
      </c>
    </row>
    <row r="721" spans="1:104" ht="12.75" x14ac:dyDescent="0.2">
      <c r="A721" s="43">
        <v>40013</v>
      </c>
      <c r="B721" s="44" t="s">
        <v>1453</v>
      </c>
      <c r="C721" s="44" t="s">
        <v>1453</v>
      </c>
      <c r="D721" s="45" t="s">
        <v>1117</v>
      </c>
      <c r="E721" s="11"/>
      <c r="F721" s="12"/>
      <c r="G721" s="12"/>
      <c r="H721" s="12">
        <f>78*5</f>
        <v>390</v>
      </c>
      <c r="I721" s="12">
        <v>78</v>
      </c>
      <c r="J721" s="12"/>
      <c r="K721" s="12">
        <v>78</v>
      </c>
      <c r="L721" s="12"/>
      <c r="M721" s="12"/>
      <c r="N721" s="12"/>
      <c r="O721" s="12"/>
      <c r="P721" s="12"/>
      <c r="Q721" s="12"/>
      <c r="R721" s="12"/>
      <c r="S721" s="12"/>
      <c r="T721" s="13"/>
      <c r="U721" s="46"/>
      <c r="V721" s="47"/>
      <c r="W721" s="48">
        <f t="shared" si="81"/>
        <v>0</v>
      </c>
      <c r="X721" s="48">
        <f t="shared" si="82"/>
        <v>0</v>
      </c>
      <c r="Y721" s="48">
        <f t="shared" si="83"/>
        <v>0</v>
      </c>
      <c r="Z721" s="48">
        <f t="shared" si="84"/>
        <v>0</v>
      </c>
      <c r="AA721" s="48"/>
      <c r="AB721" s="48"/>
      <c r="AC721" s="49">
        <f t="shared" si="85"/>
        <v>0</v>
      </c>
      <c r="AD721" s="50">
        <v>0</v>
      </c>
      <c r="AE721" s="47">
        <v>40013</v>
      </c>
      <c r="AF721" s="51" t="s">
        <v>1016</v>
      </c>
      <c r="AG721" s="52" t="s">
        <v>565</v>
      </c>
      <c r="AH721" s="53" t="s">
        <v>707</v>
      </c>
      <c r="AI721" s="79"/>
      <c r="AJ721" s="80"/>
      <c r="AK721" s="81"/>
      <c r="AL721" s="80"/>
      <c r="AM721" s="80"/>
      <c r="AN721" s="80"/>
      <c r="AO721" s="80"/>
      <c r="AP721" s="80"/>
      <c r="AQ721" s="80"/>
      <c r="AR721" s="80"/>
      <c r="AS721" s="80"/>
      <c r="AT721" s="80"/>
      <c r="AU721" s="80"/>
      <c r="AV721" s="80"/>
      <c r="AW721" s="80"/>
      <c r="AX721" s="80"/>
      <c r="AY721" s="80"/>
      <c r="AZ721" s="80"/>
      <c r="BA721" s="80"/>
      <c r="BB721" s="80"/>
      <c r="BC721" s="80"/>
      <c r="BD721" s="80"/>
      <c r="BE721" s="80"/>
      <c r="BF721" s="80"/>
      <c r="BG721" s="80"/>
      <c r="BH721" s="80"/>
      <c r="BI721" s="80"/>
      <c r="BJ721" s="80"/>
      <c r="BK721" s="80"/>
      <c r="BL721" s="80"/>
      <c r="BM721" s="80"/>
      <c r="BN721" s="80"/>
      <c r="BO721" s="80"/>
      <c r="BP721" s="80"/>
      <c r="BQ721" s="80"/>
      <c r="BR721" s="80"/>
      <c r="BS721" s="80"/>
      <c r="BT721" s="80"/>
      <c r="BU721" s="80"/>
      <c r="BV721" s="80"/>
      <c r="BW721" s="80"/>
      <c r="BX721" s="80"/>
      <c r="BY721" s="80"/>
      <c r="BZ721" s="80"/>
      <c r="CA721" s="80"/>
      <c r="CB721" s="80"/>
      <c r="CC721" s="80"/>
      <c r="CD721" s="80"/>
      <c r="CE721" s="80"/>
      <c r="CF721" s="80"/>
      <c r="CG721" s="80"/>
      <c r="CH721" s="80"/>
      <c r="CI721" s="80"/>
      <c r="CJ721" s="80"/>
      <c r="CK721" s="82"/>
      <c r="CL721" s="12"/>
      <c r="CM721" s="82"/>
      <c r="CN721" s="12"/>
      <c r="CO721" s="82"/>
      <c r="CP721" s="12"/>
      <c r="CQ721" s="83">
        <f t="shared" si="86"/>
        <v>0</v>
      </c>
      <c r="CR721" s="84"/>
      <c r="CS721" s="13"/>
      <c r="CT721" s="85"/>
      <c r="CU721" s="86"/>
      <c r="CV721" s="11"/>
      <c r="CW721" s="86"/>
      <c r="CX721" s="84"/>
      <c r="CY721" s="86"/>
    </row>
    <row r="722" spans="1:104" ht="12.75" x14ac:dyDescent="0.2">
      <c r="A722" s="43">
        <v>40013</v>
      </c>
      <c r="B722" s="44" t="s">
        <v>1453</v>
      </c>
      <c r="C722" s="44" t="s">
        <v>998</v>
      </c>
      <c r="D722" s="45" t="s">
        <v>1117</v>
      </c>
      <c r="E722" s="11"/>
      <c r="F722" s="12"/>
      <c r="G722" s="12"/>
      <c r="H722" s="12">
        <f>21*5</f>
        <v>105</v>
      </c>
      <c r="I722" s="12">
        <v>21</v>
      </c>
      <c r="J722" s="12"/>
      <c r="K722" s="12">
        <v>21</v>
      </c>
      <c r="L722" s="12"/>
      <c r="M722" s="12"/>
      <c r="N722" s="12"/>
      <c r="O722" s="12"/>
      <c r="P722" s="12"/>
      <c r="Q722" s="12"/>
      <c r="R722" s="12"/>
      <c r="S722" s="12"/>
      <c r="T722" s="13"/>
      <c r="U722" s="46"/>
      <c r="V722" s="47"/>
      <c r="W722" s="48">
        <f t="shared" si="81"/>
        <v>0</v>
      </c>
      <c r="X722" s="48">
        <f t="shared" si="82"/>
        <v>0</v>
      </c>
      <c r="Y722" s="48">
        <f t="shared" si="83"/>
        <v>0</v>
      </c>
      <c r="Z722" s="48">
        <f t="shared" si="84"/>
        <v>0</v>
      </c>
      <c r="AA722" s="48"/>
      <c r="AB722" s="48"/>
      <c r="AC722" s="49">
        <f t="shared" si="85"/>
        <v>0</v>
      </c>
      <c r="AD722" s="50">
        <v>0</v>
      </c>
      <c r="AE722" s="47">
        <v>40013</v>
      </c>
      <c r="AF722" s="51" t="s">
        <v>1016</v>
      </c>
      <c r="AG722" s="52" t="s">
        <v>565</v>
      </c>
      <c r="AH722" s="53" t="s">
        <v>707</v>
      </c>
      <c r="AI722" s="79"/>
      <c r="AJ722" s="80"/>
      <c r="AK722" s="81"/>
      <c r="AL722" s="80"/>
      <c r="AM722" s="80"/>
      <c r="AN722" s="80"/>
      <c r="AO722" s="80"/>
      <c r="AP722" s="80"/>
      <c r="AQ722" s="80"/>
      <c r="AR722" s="80"/>
      <c r="AS722" s="80"/>
      <c r="AT722" s="80"/>
      <c r="AU722" s="80"/>
      <c r="AV722" s="80"/>
      <c r="AW722" s="80"/>
      <c r="AX722" s="80"/>
      <c r="AY722" s="80"/>
      <c r="AZ722" s="80"/>
      <c r="BA722" s="80"/>
      <c r="BB722" s="80"/>
      <c r="BC722" s="80"/>
      <c r="BD722" s="80"/>
      <c r="BE722" s="80"/>
      <c r="BF722" s="80"/>
      <c r="BG722" s="80"/>
      <c r="BH722" s="80"/>
      <c r="BI722" s="80"/>
      <c r="BJ722" s="80"/>
      <c r="BK722" s="80"/>
      <c r="BL722" s="80"/>
      <c r="BM722" s="80"/>
      <c r="BN722" s="80"/>
      <c r="BO722" s="80"/>
      <c r="BP722" s="80"/>
      <c r="BQ722" s="80"/>
      <c r="BR722" s="80"/>
      <c r="BS722" s="80"/>
      <c r="BT722" s="80"/>
      <c r="BU722" s="80"/>
      <c r="BV722" s="80"/>
      <c r="BW722" s="80"/>
      <c r="BX722" s="80"/>
      <c r="BY722" s="80"/>
      <c r="BZ722" s="80"/>
      <c r="CA722" s="80"/>
      <c r="CB722" s="80"/>
      <c r="CC722" s="80"/>
      <c r="CD722" s="80"/>
      <c r="CE722" s="80"/>
      <c r="CF722" s="80"/>
      <c r="CG722" s="80"/>
      <c r="CH722" s="80"/>
      <c r="CI722" s="80"/>
      <c r="CJ722" s="80"/>
      <c r="CK722" s="82"/>
      <c r="CL722" s="12"/>
      <c r="CM722" s="82"/>
      <c r="CN722" s="12"/>
      <c r="CO722" s="82"/>
      <c r="CP722" s="12"/>
      <c r="CQ722" s="83">
        <f t="shared" si="86"/>
        <v>0</v>
      </c>
      <c r="CR722" s="84"/>
      <c r="CS722" s="13"/>
      <c r="CT722" s="85"/>
      <c r="CU722" s="86"/>
      <c r="CV722" s="11"/>
      <c r="CW722" s="86"/>
      <c r="CX722" s="84"/>
      <c r="CY722" s="86"/>
    </row>
    <row r="723" spans="1:104" ht="12.75" x14ac:dyDescent="0.2">
      <c r="A723" s="43">
        <v>40013</v>
      </c>
      <c r="B723" s="44" t="s">
        <v>1453</v>
      </c>
      <c r="C723" s="44" t="s">
        <v>999</v>
      </c>
      <c r="D723" s="45" t="s">
        <v>1117</v>
      </c>
      <c r="E723" s="11"/>
      <c r="F723" s="12"/>
      <c r="G723" s="12"/>
      <c r="H723" s="12">
        <f>39*5</f>
        <v>195</v>
      </c>
      <c r="I723" s="12">
        <v>39</v>
      </c>
      <c r="J723" s="12"/>
      <c r="K723" s="12">
        <v>39</v>
      </c>
      <c r="L723" s="12"/>
      <c r="M723" s="12"/>
      <c r="N723" s="12"/>
      <c r="O723" s="12"/>
      <c r="P723" s="12"/>
      <c r="Q723" s="12"/>
      <c r="R723" s="12"/>
      <c r="S723" s="12"/>
      <c r="T723" s="13"/>
      <c r="U723" s="46"/>
      <c r="V723" s="47"/>
      <c r="W723" s="48">
        <f t="shared" si="81"/>
        <v>0</v>
      </c>
      <c r="X723" s="48">
        <f t="shared" si="82"/>
        <v>0</v>
      </c>
      <c r="Y723" s="48">
        <f t="shared" si="83"/>
        <v>0</v>
      </c>
      <c r="Z723" s="48">
        <f t="shared" si="84"/>
        <v>0</v>
      </c>
      <c r="AA723" s="48"/>
      <c r="AB723" s="48"/>
      <c r="AC723" s="49">
        <f t="shared" si="85"/>
        <v>0</v>
      </c>
      <c r="AD723" s="50">
        <v>0</v>
      </c>
      <c r="AE723" s="47">
        <v>40013</v>
      </c>
      <c r="AF723" s="51" t="s">
        <v>1016</v>
      </c>
      <c r="AG723" s="52" t="s">
        <v>565</v>
      </c>
      <c r="AH723" s="53" t="s">
        <v>707</v>
      </c>
      <c r="AI723" s="79"/>
      <c r="AJ723" s="80"/>
      <c r="AK723" s="81"/>
      <c r="AL723" s="80"/>
      <c r="AM723" s="80"/>
      <c r="AN723" s="80"/>
      <c r="AO723" s="80"/>
      <c r="AP723" s="80"/>
      <c r="AQ723" s="80"/>
      <c r="AR723" s="80"/>
      <c r="AS723" s="80"/>
      <c r="AT723" s="80"/>
      <c r="AU723" s="80"/>
      <c r="AV723" s="80"/>
      <c r="AW723" s="80"/>
      <c r="AX723" s="80"/>
      <c r="AY723" s="80"/>
      <c r="AZ723" s="80"/>
      <c r="BA723" s="80"/>
      <c r="BB723" s="80"/>
      <c r="BC723" s="80"/>
      <c r="BD723" s="80"/>
      <c r="BE723" s="80"/>
      <c r="BF723" s="80"/>
      <c r="BG723" s="80"/>
      <c r="BH723" s="80"/>
      <c r="BI723" s="80"/>
      <c r="BJ723" s="80"/>
      <c r="BK723" s="80"/>
      <c r="BL723" s="80"/>
      <c r="BM723" s="80"/>
      <c r="BN723" s="80"/>
      <c r="BO723" s="80"/>
      <c r="BP723" s="80"/>
      <c r="BQ723" s="80"/>
      <c r="BR723" s="80"/>
      <c r="BS723" s="80"/>
      <c r="BT723" s="80"/>
      <c r="BU723" s="80"/>
      <c r="BV723" s="80"/>
      <c r="BW723" s="80"/>
      <c r="BX723" s="80"/>
      <c r="BY723" s="80"/>
      <c r="BZ723" s="80"/>
      <c r="CA723" s="80"/>
      <c r="CB723" s="80"/>
      <c r="CC723" s="80"/>
      <c r="CD723" s="80"/>
      <c r="CE723" s="80"/>
      <c r="CF723" s="80"/>
      <c r="CG723" s="80"/>
      <c r="CH723" s="80"/>
      <c r="CI723" s="80"/>
      <c r="CJ723" s="80"/>
      <c r="CK723" s="82"/>
      <c r="CL723" s="12"/>
      <c r="CM723" s="82"/>
      <c r="CN723" s="12"/>
      <c r="CO723" s="82"/>
      <c r="CP723" s="12"/>
      <c r="CQ723" s="83">
        <f t="shared" si="86"/>
        <v>0</v>
      </c>
      <c r="CR723" s="84"/>
      <c r="CS723" s="13"/>
      <c r="CT723" s="85"/>
      <c r="CU723" s="86"/>
      <c r="CV723" s="11"/>
      <c r="CW723" s="86"/>
      <c r="CX723" s="84"/>
      <c r="CY723" s="86"/>
    </row>
    <row r="724" spans="1:104" ht="12.75" x14ac:dyDescent="0.2">
      <c r="A724" s="43">
        <v>40013</v>
      </c>
      <c r="B724" s="44" t="s">
        <v>1453</v>
      </c>
      <c r="C724" s="44" t="s">
        <v>476</v>
      </c>
      <c r="D724" s="45" t="s">
        <v>1117</v>
      </c>
      <c r="E724" s="11"/>
      <c r="F724" s="12"/>
      <c r="G724" s="12"/>
      <c r="H724" s="12">
        <f>39*5</f>
        <v>195</v>
      </c>
      <c r="I724" s="12">
        <v>39</v>
      </c>
      <c r="J724" s="12"/>
      <c r="K724" s="12">
        <v>39</v>
      </c>
      <c r="L724" s="12"/>
      <c r="M724" s="12"/>
      <c r="N724" s="12"/>
      <c r="O724" s="12"/>
      <c r="P724" s="12"/>
      <c r="Q724" s="12"/>
      <c r="R724" s="12"/>
      <c r="S724" s="12"/>
      <c r="T724" s="13"/>
      <c r="U724" s="46"/>
      <c r="V724" s="47"/>
      <c r="W724" s="48">
        <f t="shared" si="81"/>
        <v>0</v>
      </c>
      <c r="X724" s="48">
        <f t="shared" si="82"/>
        <v>0</v>
      </c>
      <c r="Y724" s="48">
        <f t="shared" si="83"/>
        <v>0</v>
      </c>
      <c r="Z724" s="48">
        <f t="shared" si="84"/>
        <v>0</v>
      </c>
      <c r="AA724" s="48"/>
      <c r="AB724" s="48"/>
      <c r="AC724" s="49">
        <f t="shared" si="85"/>
        <v>0</v>
      </c>
      <c r="AD724" s="50">
        <v>0</v>
      </c>
      <c r="AE724" s="47">
        <v>40013</v>
      </c>
      <c r="AF724" s="51" t="s">
        <v>1016</v>
      </c>
      <c r="AG724" s="52" t="s">
        <v>565</v>
      </c>
      <c r="AH724" s="53" t="s">
        <v>707</v>
      </c>
      <c r="AI724" s="79"/>
      <c r="AJ724" s="80"/>
      <c r="AK724" s="81"/>
      <c r="AL724" s="80"/>
      <c r="AM724" s="80"/>
      <c r="AN724" s="80"/>
      <c r="AO724" s="80"/>
      <c r="AP724" s="80"/>
      <c r="AQ724" s="80"/>
      <c r="AR724" s="80"/>
      <c r="AS724" s="80"/>
      <c r="AT724" s="80"/>
      <c r="AU724" s="80"/>
      <c r="AV724" s="80"/>
      <c r="AW724" s="80"/>
      <c r="AX724" s="80"/>
      <c r="AY724" s="80"/>
      <c r="AZ724" s="80"/>
      <c r="BA724" s="80"/>
      <c r="BB724" s="80"/>
      <c r="BC724" s="80"/>
      <c r="BD724" s="80"/>
      <c r="BE724" s="80"/>
      <c r="BF724" s="80"/>
      <c r="BG724" s="80"/>
      <c r="BH724" s="80"/>
      <c r="BI724" s="80"/>
      <c r="BJ724" s="80"/>
      <c r="BK724" s="80"/>
      <c r="BL724" s="80"/>
      <c r="BM724" s="80"/>
      <c r="BN724" s="80"/>
      <c r="BO724" s="80"/>
      <c r="BP724" s="80"/>
      <c r="BQ724" s="80"/>
      <c r="BR724" s="80"/>
      <c r="BS724" s="80"/>
      <c r="BT724" s="80"/>
      <c r="BU724" s="80"/>
      <c r="BV724" s="80"/>
      <c r="BW724" s="80"/>
      <c r="BX724" s="80"/>
      <c r="BY724" s="80"/>
      <c r="BZ724" s="80"/>
      <c r="CA724" s="80"/>
      <c r="CB724" s="80"/>
      <c r="CC724" s="80"/>
      <c r="CD724" s="80"/>
      <c r="CE724" s="80"/>
      <c r="CF724" s="80"/>
      <c r="CG724" s="80"/>
      <c r="CH724" s="80"/>
      <c r="CI724" s="80"/>
      <c r="CJ724" s="80"/>
      <c r="CK724" s="82"/>
      <c r="CL724" s="12"/>
      <c r="CM724" s="82"/>
      <c r="CN724" s="12"/>
      <c r="CO724" s="82"/>
      <c r="CP724" s="12"/>
      <c r="CQ724" s="83">
        <f t="shared" si="86"/>
        <v>0</v>
      </c>
      <c r="CR724" s="84"/>
      <c r="CS724" s="13"/>
      <c r="CT724" s="85"/>
      <c r="CU724" s="86"/>
      <c r="CV724" s="11"/>
      <c r="CW724" s="86"/>
      <c r="CX724" s="84"/>
      <c r="CY724" s="86"/>
    </row>
    <row r="725" spans="1:104" ht="127.5" x14ac:dyDescent="0.2">
      <c r="A725" s="43">
        <v>40014</v>
      </c>
      <c r="B725" s="44" t="s">
        <v>1094</v>
      </c>
      <c r="C725" s="44" t="s">
        <v>1153</v>
      </c>
      <c r="D725" s="45" t="s">
        <v>1117</v>
      </c>
      <c r="E725" s="11"/>
      <c r="F725" s="12"/>
      <c r="G725" s="12"/>
      <c r="H725" s="12">
        <f>320*5</f>
        <v>1600</v>
      </c>
      <c r="I725" s="12">
        <v>320</v>
      </c>
      <c r="J725" s="12"/>
      <c r="K725" s="12">
        <v>320</v>
      </c>
      <c r="L725" s="12"/>
      <c r="M725" s="12"/>
      <c r="N725" s="12"/>
      <c r="O725" s="12"/>
      <c r="P725" s="12"/>
      <c r="Q725" s="12"/>
      <c r="R725" s="12"/>
      <c r="S725" s="12"/>
      <c r="T725" s="13"/>
      <c r="U725" s="46"/>
      <c r="V725" s="47"/>
      <c r="W725" s="48">
        <f t="shared" si="81"/>
        <v>0</v>
      </c>
      <c r="X725" s="48">
        <f t="shared" si="82"/>
        <v>0</v>
      </c>
      <c r="Y725" s="48">
        <f t="shared" si="83"/>
        <v>0</v>
      </c>
      <c r="Z725" s="48">
        <f t="shared" si="84"/>
        <v>0</v>
      </c>
      <c r="AA725" s="48"/>
      <c r="AB725" s="48"/>
      <c r="AC725" s="49">
        <f t="shared" si="85"/>
        <v>0</v>
      </c>
      <c r="AD725" s="50">
        <v>0</v>
      </c>
      <c r="AE725" s="47">
        <v>40015</v>
      </c>
      <c r="AF725" s="51" t="s">
        <v>1016</v>
      </c>
      <c r="AG725" s="52" t="s">
        <v>565</v>
      </c>
      <c r="AH725" s="53" t="s">
        <v>1377</v>
      </c>
      <c r="AI725" s="79"/>
      <c r="AJ725" s="80"/>
      <c r="AK725" s="81"/>
      <c r="AL725" s="80"/>
      <c r="AM725" s="80"/>
      <c r="AN725" s="80"/>
      <c r="AO725" s="80"/>
      <c r="AP725" s="80"/>
      <c r="AQ725" s="80"/>
      <c r="AR725" s="80"/>
      <c r="AS725" s="80"/>
      <c r="AT725" s="80"/>
      <c r="AU725" s="80"/>
      <c r="AV725" s="80"/>
      <c r="AW725" s="80"/>
      <c r="AX725" s="80"/>
      <c r="AY725" s="80"/>
      <c r="AZ725" s="80"/>
      <c r="BA725" s="80"/>
      <c r="BB725" s="80"/>
      <c r="BC725" s="80"/>
      <c r="BD725" s="80"/>
      <c r="BE725" s="80"/>
      <c r="BF725" s="80"/>
      <c r="BG725" s="80"/>
      <c r="BH725" s="80"/>
      <c r="BI725" s="80"/>
      <c r="BJ725" s="80"/>
      <c r="BK725" s="80"/>
      <c r="BL725" s="80"/>
      <c r="BM725" s="80"/>
      <c r="BN725" s="80"/>
      <c r="BO725" s="80"/>
      <c r="BP725" s="80"/>
      <c r="BQ725" s="80"/>
      <c r="BR725" s="80"/>
      <c r="BS725" s="80"/>
      <c r="BT725" s="80"/>
      <c r="BU725" s="80"/>
      <c r="BV725" s="80"/>
      <c r="BW725" s="80"/>
      <c r="BX725" s="80"/>
      <c r="BY725" s="80"/>
      <c r="BZ725" s="80"/>
      <c r="CA725" s="80"/>
      <c r="CB725" s="80"/>
      <c r="CC725" s="80"/>
      <c r="CD725" s="80"/>
      <c r="CE725" s="80"/>
      <c r="CF725" s="80"/>
      <c r="CG725" s="80"/>
      <c r="CH725" s="80"/>
      <c r="CI725" s="80"/>
      <c r="CJ725" s="80"/>
      <c r="CK725" s="82"/>
      <c r="CL725" s="12"/>
      <c r="CM725" s="82"/>
      <c r="CN725" s="12"/>
      <c r="CO725" s="82"/>
      <c r="CP725" s="12"/>
      <c r="CQ725" s="83">
        <f t="shared" si="86"/>
        <v>0</v>
      </c>
      <c r="CR725" s="84"/>
      <c r="CS725" s="13"/>
      <c r="CT725" s="85"/>
      <c r="CU725" s="86"/>
      <c r="CV725" s="11"/>
      <c r="CW725" s="86"/>
      <c r="CX725" s="84"/>
      <c r="CY725" s="86"/>
    </row>
    <row r="726" spans="1:104" ht="63.75" x14ac:dyDescent="0.2">
      <c r="A726" s="43">
        <v>40014</v>
      </c>
      <c r="B726" s="44" t="s">
        <v>1094</v>
      </c>
      <c r="C726" s="44" t="s">
        <v>1454</v>
      </c>
      <c r="D726" s="45" t="s">
        <v>1118</v>
      </c>
      <c r="E726" s="11"/>
      <c r="F726" s="12"/>
      <c r="G726" s="12"/>
      <c r="H726" s="12"/>
      <c r="I726" s="12"/>
      <c r="J726" s="12"/>
      <c r="K726" s="12"/>
      <c r="L726" s="12"/>
      <c r="M726" s="12"/>
      <c r="N726" s="12"/>
      <c r="O726" s="12"/>
      <c r="P726" s="12"/>
      <c r="Q726" s="12"/>
      <c r="R726" s="12"/>
      <c r="S726" s="12"/>
      <c r="T726" s="13"/>
      <c r="U726" s="46"/>
      <c r="V726" s="47">
        <v>40023</v>
      </c>
      <c r="W726" s="48">
        <f t="shared" si="81"/>
        <v>6438000</v>
      </c>
      <c r="X726" s="48">
        <f t="shared" si="82"/>
        <v>85000000</v>
      </c>
      <c r="Y726" s="48">
        <f t="shared" si="83"/>
        <v>230770400</v>
      </c>
      <c r="Z726" s="48">
        <f t="shared" si="84"/>
        <v>0</v>
      </c>
      <c r="AA726" s="48">
        <f>30160000+66700</f>
        <v>30226700</v>
      </c>
      <c r="AB726" s="48"/>
      <c r="AC726" s="49">
        <f t="shared" si="85"/>
        <v>352435100</v>
      </c>
      <c r="AD726" s="50">
        <v>0</v>
      </c>
      <c r="AE726" s="47">
        <v>40017</v>
      </c>
      <c r="AF726" s="51" t="s">
        <v>1016</v>
      </c>
      <c r="AG726" s="52" t="s">
        <v>565</v>
      </c>
      <c r="AH726" s="53" t="s">
        <v>371</v>
      </c>
      <c r="AI726" s="79"/>
      <c r="AJ726" s="80"/>
      <c r="AK726" s="81"/>
      <c r="AL726" s="80"/>
      <c r="AM726" s="80"/>
      <c r="AN726" s="80"/>
      <c r="AO726" s="80"/>
      <c r="AP726" s="80"/>
      <c r="AQ726" s="80"/>
      <c r="AR726" s="80"/>
      <c r="AS726" s="80"/>
      <c r="AT726" s="80"/>
      <c r="AU726" s="80"/>
      <c r="AV726" s="80"/>
      <c r="AW726" s="80"/>
      <c r="AX726" s="80"/>
      <c r="AY726" s="80"/>
      <c r="AZ726" s="80"/>
      <c r="BA726" s="80"/>
      <c r="BB726" s="80"/>
      <c r="BC726" s="80"/>
      <c r="BD726" s="80"/>
      <c r="BE726" s="80"/>
      <c r="BF726" s="80"/>
      <c r="BG726" s="80"/>
      <c r="BH726" s="80"/>
      <c r="BI726" s="80"/>
      <c r="BJ726" s="80"/>
      <c r="BK726" s="80"/>
      <c r="BL726" s="80"/>
      <c r="BM726" s="80"/>
      <c r="BN726" s="80"/>
      <c r="BO726" s="80"/>
      <c r="BP726" s="80"/>
      <c r="BQ726" s="80"/>
      <c r="BR726" s="80"/>
      <c r="BS726" s="80"/>
      <c r="BT726" s="80"/>
      <c r="BU726" s="80">
        <v>15</v>
      </c>
      <c r="BV726" s="80">
        <v>6438000</v>
      </c>
      <c r="BW726" s="80"/>
      <c r="BX726" s="80"/>
      <c r="BY726" s="80"/>
      <c r="BZ726" s="80"/>
      <c r="CA726" s="80"/>
      <c r="CB726" s="80"/>
      <c r="CC726" s="80"/>
      <c r="CD726" s="80"/>
      <c r="CE726" s="80"/>
      <c r="CF726" s="80"/>
      <c r="CG726" s="80"/>
      <c r="CH726" s="80"/>
      <c r="CI726" s="80"/>
      <c r="CJ726" s="80"/>
      <c r="CK726" s="82"/>
      <c r="CL726" s="12"/>
      <c r="CM726" s="82"/>
      <c r="CN726" s="12"/>
      <c r="CO726" s="82"/>
      <c r="CP726" s="12"/>
      <c r="CQ726" s="83">
        <f t="shared" si="86"/>
        <v>6438000</v>
      </c>
      <c r="CR726" s="84"/>
      <c r="CS726" s="13"/>
      <c r="CT726" s="85">
        <v>1000</v>
      </c>
      <c r="CU726" s="86">
        <f>1000*85000</f>
        <v>85000000</v>
      </c>
      <c r="CV726" s="11"/>
      <c r="CW726" s="86"/>
      <c r="CX726" s="84">
        <f>3500+3000</f>
        <v>6500</v>
      </c>
      <c r="CY726" s="86">
        <f>79982000+104400+147900000+2784000</f>
        <v>230770400</v>
      </c>
      <c r="CZ726" s="9" t="s">
        <v>370</v>
      </c>
    </row>
    <row r="727" spans="1:104" ht="38.25" x14ac:dyDescent="0.2">
      <c r="A727" s="43">
        <v>40014</v>
      </c>
      <c r="B727" s="44" t="s">
        <v>1114</v>
      </c>
      <c r="C727" s="44" t="s">
        <v>646</v>
      </c>
      <c r="D727" s="45" t="s">
        <v>1116</v>
      </c>
      <c r="E727" s="11"/>
      <c r="F727" s="12"/>
      <c r="G727" s="12"/>
      <c r="H727" s="12">
        <v>50</v>
      </c>
      <c r="I727" s="12">
        <v>5</v>
      </c>
      <c r="J727" s="12"/>
      <c r="K727" s="12">
        <v>5</v>
      </c>
      <c r="L727" s="12"/>
      <c r="M727" s="12"/>
      <c r="N727" s="12"/>
      <c r="O727" s="12"/>
      <c r="P727" s="12"/>
      <c r="Q727" s="12"/>
      <c r="R727" s="12"/>
      <c r="S727" s="12"/>
      <c r="T727" s="13"/>
      <c r="U727" s="46"/>
      <c r="V727" s="47"/>
      <c r="W727" s="48">
        <f t="shared" si="81"/>
        <v>0</v>
      </c>
      <c r="X727" s="48">
        <f t="shared" si="82"/>
        <v>0</v>
      </c>
      <c r="Y727" s="48">
        <f t="shared" si="83"/>
        <v>0</v>
      </c>
      <c r="Z727" s="48">
        <f t="shared" si="84"/>
        <v>0</v>
      </c>
      <c r="AA727" s="48"/>
      <c r="AB727" s="48"/>
      <c r="AC727" s="49">
        <f t="shared" si="85"/>
        <v>0</v>
      </c>
      <c r="AD727" s="50">
        <v>0</v>
      </c>
      <c r="AE727" s="47">
        <v>40016</v>
      </c>
      <c r="AF727" s="51" t="s">
        <v>516</v>
      </c>
      <c r="AG727" s="52" t="s">
        <v>517</v>
      </c>
      <c r="AH727" s="53" t="s">
        <v>761</v>
      </c>
      <c r="AI727" s="79"/>
      <c r="AJ727" s="80"/>
      <c r="AK727" s="81"/>
      <c r="AL727" s="80"/>
      <c r="AM727" s="80"/>
      <c r="AN727" s="80"/>
      <c r="AO727" s="80"/>
      <c r="AP727" s="80"/>
      <c r="AQ727" s="80"/>
      <c r="AR727" s="80"/>
      <c r="AS727" s="80"/>
      <c r="AT727" s="80"/>
      <c r="AU727" s="80"/>
      <c r="AV727" s="80"/>
      <c r="AW727" s="80"/>
      <c r="AX727" s="80"/>
      <c r="AY727" s="80"/>
      <c r="AZ727" s="80"/>
      <c r="BA727" s="80"/>
      <c r="BB727" s="80"/>
      <c r="BC727" s="80"/>
      <c r="BD727" s="80"/>
      <c r="BE727" s="80"/>
      <c r="BF727" s="80"/>
      <c r="BG727" s="80"/>
      <c r="BH727" s="80"/>
      <c r="BI727" s="80"/>
      <c r="BJ727" s="80"/>
      <c r="BK727" s="80"/>
      <c r="BL727" s="80"/>
      <c r="BM727" s="80"/>
      <c r="BN727" s="80"/>
      <c r="BO727" s="80"/>
      <c r="BP727" s="80"/>
      <c r="BQ727" s="80"/>
      <c r="BR727" s="80"/>
      <c r="BS727" s="80"/>
      <c r="BT727" s="80"/>
      <c r="BU727" s="80"/>
      <c r="BV727" s="80"/>
      <c r="BW727" s="80"/>
      <c r="BX727" s="80"/>
      <c r="BY727" s="80"/>
      <c r="BZ727" s="80"/>
      <c r="CA727" s="80"/>
      <c r="CB727" s="80"/>
      <c r="CC727" s="80"/>
      <c r="CD727" s="80"/>
      <c r="CE727" s="80"/>
      <c r="CF727" s="80"/>
      <c r="CG727" s="80"/>
      <c r="CH727" s="80"/>
      <c r="CI727" s="80"/>
      <c r="CJ727" s="80"/>
      <c r="CK727" s="82"/>
      <c r="CL727" s="12"/>
      <c r="CM727" s="82"/>
      <c r="CN727" s="12"/>
      <c r="CO727" s="82"/>
      <c r="CP727" s="12"/>
      <c r="CQ727" s="83">
        <f t="shared" si="86"/>
        <v>0</v>
      </c>
      <c r="CR727" s="84"/>
      <c r="CS727" s="13"/>
      <c r="CT727" s="85"/>
      <c r="CU727" s="86"/>
      <c r="CV727" s="11"/>
      <c r="CW727" s="86"/>
      <c r="CX727" s="84"/>
      <c r="CY727" s="86"/>
    </row>
    <row r="728" spans="1:104" ht="25.5" x14ac:dyDescent="0.2">
      <c r="A728" s="43">
        <v>40015</v>
      </c>
      <c r="B728" s="44" t="s">
        <v>1067</v>
      </c>
      <c r="C728" s="44" t="s">
        <v>1346</v>
      </c>
      <c r="D728" s="45" t="s">
        <v>1118</v>
      </c>
      <c r="E728" s="11">
        <v>1</v>
      </c>
      <c r="F728" s="12"/>
      <c r="G728" s="12"/>
      <c r="H728" s="12"/>
      <c r="I728" s="12"/>
      <c r="J728" s="12"/>
      <c r="K728" s="12"/>
      <c r="L728" s="12"/>
      <c r="M728" s="12"/>
      <c r="N728" s="12"/>
      <c r="O728" s="12"/>
      <c r="P728" s="12"/>
      <c r="Q728" s="12"/>
      <c r="R728" s="12"/>
      <c r="S728" s="12"/>
      <c r="T728" s="13"/>
      <c r="U728" s="46"/>
      <c r="V728" s="47"/>
      <c r="W728" s="48">
        <f t="shared" si="81"/>
        <v>0</v>
      </c>
      <c r="X728" s="48">
        <f t="shared" si="82"/>
        <v>0</v>
      </c>
      <c r="Y728" s="48">
        <f t="shared" si="83"/>
        <v>0</v>
      </c>
      <c r="Z728" s="48">
        <f t="shared" si="84"/>
        <v>0</v>
      </c>
      <c r="AA728" s="48"/>
      <c r="AB728" s="48"/>
      <c r="AC728" s="49">
        <f t="shared" si="85"/>
        <v>0</v>
      </c>
      <c r="AD728" s="50">
        <v>0</v>
      </c>
      <c r="AE728" s="47">
        <v>40016</v>
      </c>
      <c r="AF728" s="51" t="s">
        <v>516</v>
      </c>
      <c r="AG728" s="52" t="s">
        <v>517</v>
      </c>
      <c r="AH728" s="53" t="s">
        <v>1376</v>
      </c>
      <c r="AI728" s="79"/>
      <c r="AJ728" s="80"/>
      <c r="AK728" s="81"/>
      <c r="AL728" s="80"/>
      <c r="AM728" s="80"/>
      <c r="AN728" s="80"/>
      <c r="AO728" s="80"/>
      <c r="AP728" s="80"/>
      <c r="AQ728" s="80"/>
      <c r="AR728" s="80"/>
      <c r="AS728" s="80"/>
      <c r="AT728" s="80"/>
      <c r="AU728" s="80"/>
      <c r="AV728" s="80"/>
      <c r="AW728" s="80"/>
      <c r="AX728" s="80"/>
      <c r="AY728" s="80"/>
      <c r="AZ728" s="80"/>
      <c r="BA728" s="80"/>
      <c r="BB728" s="80"/>
      <c r="BC728" s="80"/>
      <c r="BD728" s="80"/>
      <c r="BE728" s="80"/>
      <c r="BF728" s="80"/>
      <c r="BG728" s="80"/>
      <c r="BH728" s="80"/>
      <c r="BI728" s="80"/>
      <c r="BJ728" s="80"/>
      <c r="BK728" s="80"/>
      <c r="BL728" s="80"/>
      <c r="BM728" s="80"/>
      <c r="BN728" s="80"/>
      <c r="BO728" s="80"/>
      <c r="BP728" s="80"/>
      <c r="BQ728" s="80"/>
      <c r="BR728" s="80"/>
      <c r="BS728" s="80"/>
      <c r="BT728" s="80"/>
      <c r="BU728" s="80"/>
      <c r="BV728" s="80"/>
      <c r="BW728" s="80"/>
      <c r="BX728" s="80"/>
      <c r="BY728" s="80"/>
      <c r="BZ728" s="80"/>
      <c r="CA728" s="80"/>
      <c r="CB728" s="80"/>
      <c r="CC728" s="80"/>
      <c r="CD728" s="80"/>
      <c r="CE728" s="80"/>
      <c r="CF728" s="80"/>
      <c r="CG728" s="80"/>
      <c r="CH728" s="80"/>
      <c r="CI728" s="80"/>
      <c r="CJ728" s="80"/>
      <c r="CK728" s="82"/>
      <c r="CL728" s="12"/>
      <c r="CM728" s="82"/>
      <c r="CN728" s="12"/>
      <c r="CO728" s="82"/>
      <c r="CP728" s="12"/>
      <c r="CQ728" s="83">
        <f t="shared" si="86"/>
        <v>0</v>
      </c>
      <c r="CR728" s="84"/>
      <c r="CS728" s="13"/>
      <c r="CT728" s="85"/>
      <c r="CU728" s="86"/>
      <c r="CV728" s="11"/>
      <c r="CW728" s="86"/>
      <c r="CX728" s="84"/>
      <c r="CY728" s="86"/>
    </row>
    <row r="729" spans="1:104" ht="25.5" x14ac:dyDescent="0.2">
      <c r="A729" s="43">
        <v>40015</v>
      </c>
      <c r="B729" s="44" t="s">
        <v>1067</v>
      </c>
      <c r="C729" s="44" t="s">
        <v>1076</v>
      </c>
      <c r="D729" s="45" t="s">
        <v>1117</v>
      </c>
      <c r="E729" s="11"/>
      <c r="F729" s="12"/>
      <c r="G729" s="12"/>
      <c r="H729" s="12">
        <v>15</v>
      </c>
      <c r="I729" s="12">
        <v>3</v>
      </c>
      <c r="J729" s="12"/>
      <c r="K729" s="12">
        <v>3</v>
      </c>
      <c r="L729" s="12"/>
      <c r="M729" s="12"/>
      <c r="N729" s="12"/>
      <c r="O729" s="12"/>
      <c r="P729" s="12"/>
      <c r="Q729" s="12"/>
      <c r="R729" s="12"/>
      <c r="S729" s="12"/>
      <c r="T729" s="13"/>
      <c r="U729" s="46"/>
      <c r="V729" s="47">
        <v>40049</v>
      </c>
      <c r="W729" s="48">
        <f t="shared" si="81"/>
        <v>0</v>
      </c>
      <c r="X729" s="48">
        <f t="shared" si="82"/>
        <v>0</v>
      </c>
      <c r="Y729" s="48">
        <f t="shared" si="83"/>
        <v>700000</v>
      </c>
      <c r="Z729" s="48">
        <f t="shared" si="84"/>
        <v>0</v>
      </c>
      <c r="AA729" s="48"/>
      <c r="AB729" s="48"/>
      <c r="AC729" s="49">
        <f t="shared" si="85"/>
        <v>700000</v>
      </c>
      <c r="AD729" s="50">
        <v>0</v>
      </c>
      <c r="AE729" s="47">
        <v>40016</v>
      </c>
      <c r="AF729" s="51" t="s">
        <v>1016</v>
      </c>
      <c r="AG729" s="52" t="s">
        <v>565</v>
      </c>
      <c r="AH729" s="53" t="s">
        <v>758</v>
      </c>
      <c r="AI729" s="79"/>
      <c r="AJ729" s="80"/>
      <c r="AK729" s="81"/>
      <c r="AL729" s="80"/>
      <c r="AM729" s="80"/>
      <c r="AN729" s="80"/>
      <c r="AO729" s="80"/>
      <c r="AP729" s="80"/>
      <c r="AQ729" s="80"/>
      <c r="AR729" s="80"/>
      <c r="AS729" s="80"/>
      <c r="AT729" s="80"/>
      <c r="AU729" s="80"/>
      <c r="AV729" s="80"/>
      <c r="AW729" s="80"/>
      <c r="AX729" s="80"/>
      <c r="AY729" s="80"/>
      <c r="AZ729" s="80"/>
      <c r="BA729" s="80"/>
      <c r="BB729" s="80"/>
      <c r="BC729" s="80"/>
      <c r="BD729" s="80"/>
      <c r="BE729" s="80"/>
      <c r="BF729" s="80"/>
      <c r="BG729" s="80"/>
      <c r="BH729" s="80"/>
      <c r="BI729" s="80"/>
      <c r="BJ729" s="80"/>
      <c r="BK729" s="80"/>
      <c r="BL729" s="80"/>
      <c r="BM729" s="80"/>
      <c r="BN729" s="80"/>
      <c r="BO729" s="80"/>
      <c r="BP729" s="80"/>
      <c r="BQ729" s="80"/>
      <c r="BR729" s="80"/>
      <c r="BS729" s="80"/>
      <c r="BT729" s="80"/>
      <c r="BU729" s="80"/>
      <c r="BV729" s="80"/>
      <c r="BW729" s="80"/>
      <c r="BX729" s="80"/>
      <c r="BY729" s="80"/>
      <c r="BZ729" s="80"/>
      <c r="CA729" s="80"/>
      <c r="CB729" s="80"/>
      <c r="CC729" s="80"/>
      <c r="CD729" s="80"/>
      <c r="CE729" s="80"/>
      <c r="CF729" s="80"/>
      <c r="CG729" s="80"/>
      <c r="CH729" s="80"/>
      <c r="CI729" s="80"/>
      <c r="CJ729" s="80"/>
      <c r="CK729" s="82"/>
      <c r="CL729" s="12"/>
      <c r="CM729" s="82"/>
      <c r="CN729" s="12"/>
      <c r="CO729" s="82"/>
      <c r="CP729" s="12"/>
      <c r="CQ729" s="83">
        <f t="shared" si="86"/>
        <v>0</v>
      </c>
      <c r="CR729" s="84"/>
      <c r="CS729" s="13"/>
      <c r="CT729" s="85"/>
      <c r="CU729" s="86"/>
      <c r="CV729" s="11"/>
      <c r="CW729" s="86"/>
      <c r="CX729" s="84">
        <v>25</v>
      </c>
      <c r="CY729" s="86">
        <f>25*28000</f>
        <v>700000</v>
      </c>
      <c r="CZ729" s="9" t="s">
        <v>343</v>
      </c>
    </row>
    <row r="730" spans="1:104" ht="25.5" x14ac:dyDescent="0.2">
      <c r="A730" s="43">
        <v>40017</v>
      </c>
      <c r="B730" s="44" t="s">
        <v>1097</v>
      </c>
      <c r="C730" s="44" t="s">
        <v>1379</v>
      </c>
      <c r="D730" s="45" t="s">
        <v>1134</v>
      </c>
      <c r="E730" s="11"/>
      <c r="F730" s="12"/>
      <c r="G730" s="12"/>
      <c r="H730" s="12">
        <f>15*5</f>
        <v>75</v>
      </c>
      <c r="I730" s="12">
        <v>15</v>
      </c>
      <c r="J730" s="12"/>
      <c r="K730" s="12">
        <v>15</v>
      </c>
      <c r="L730" s="12"/>
      <c r="M730" s="12"/>
      <c r="N730" s="12"/>
      <c r="O730" s="12"/>
      <c r="P730" s="12"/>
      <c r="Q730" s="12"/>
      <c r="R730" s="12"/>
      <c r="S730" s="12"/>
      <c r="T730" s="13"/>
      <c r="U730" s="46"/>
      <c r="V730" s="47"/>
      <c r="W730" s="48">
        <f t="shared" si="81"/>
        <v>0</v>
      </c>
      <c r="X730" s="48">
        <f t="shared" si="82"/>
        <v>0</v>
      </c>
      <c r="Y730" s="48">
        <f t="shared" si="83"/>
        <v>0</v>
      </c>
      <c r="Z730" s="48">
        <f t="shared" si="84"/>
        <v>0</v>
      </c>
      <c r="AA730" s="48"/>
      <c r="AB730" s="48"/>
      <c r="AC730" s="49">
        <f t="shared" si="85"/>
        <v>0</v>
      </c>
      <c r="AD730" s="50">
        <v>0</v>
      </c>
      <c r="AE730" s="47">
        <v>40021</v>
      </c>
      <c r="AF730" s="51" t="s">
        <v>516</v>
      </c>
      <c r="AG730" s="52" t="s">
        <v>517</v>
      </c>
      <c r="AH730" s="53" t="s">
        <v>1380</v>
      </c>
      <c r="AI730" s="79"/>
      <c r="AJ730" s="80"/>
      <c r="AK730" s="81"/>
      <c r="AL730" s="80"/>
      <c r="AM730" s="80"/>
      <c r="AN730" s="80"/>
      <c r="AO730" s="80"/>
      <c r="AP730" s="80"/>
      <c r="AQ730" s="80"/>
      <c r="AR730" s="80"/>
      <c r="AS730" s="80"/>
      <c r="AT730" s="80"/>
      <c r="AU730" s="80"/>
      <c r="AV730" s="80"/>
      <c r="AW730" s="80"/>
      <c r="AX730" s="80"/>
      <c r="AY730" s="80"/>
      <c r="AZ730" s="80"/>
      <c r="BA730" s="80"/>
      <c r="BB730" s="80"/>
      <c r="BC730" s="80"/>
      <c r="BD730" s="80"/>
      <c r="BE730" s="80"/>
      <c r="BF730" s="80"/>
      <c r="BG730" s="80"/>
      <c r="BH730" s="80"/>
      <c r="BI730" s="80"/>
      <c r="BJ730" s="80"/>
      <c r="BK730" s="80"/>
      <c r="BL730" s="80"/>
      <c r="BM730" s="80"/>
      <c r="BN730" s="80"/>
      <c r="BO730" s="80"/>
      <c r="BP730" s="80"/>
      <c r="BQ730" s="80"/>
      <c r="BR730" s="80"/>
      <c r="BS730" s="80"/>
      <c r="BT730" s="80"/>
      <c r="BU730" s="80"/>
      <c r="BV730" s="80"/>
      <c r="BW730" s="80"/>
      <c r="BX730" s="80"/>
      <c r="BY730" s="80"/>
      <c r="BZ730" s="80"/>
      <c r="CA730" s="80"/>
      <c r="CB730" s="80"/>
      <c r="CC730" s="80"/>
      <c r="CD730" s="80"/>
      <c r="CE730" s="80"/>
      <c r="CF730" s="80"/>
      <c r="CG730" s="80"/>
      <c r="CH730" s="80"/>
      <c r="CI730" s="80"/>
      <c r="CJ730" s="80"/>
      <c r="CK730" s="82"/>
      <c r="CL730" s="12"/>
      <c r="CM730" s="82"/>
      <c r="CN730" s="12"/>
      <c r="CO730" s="82"/>
      <c r="CP730" s="12"/>
      <c r="CQ730" s="83">
        <f t="shared" si="86"/>
        <v>0</v>
      </c>
      <c r="CR730" s="84"/>
      <c r="CS730" s="13"/>
      <c r="CT730" s="85"/>
      <c r="CU730" s="86"/>
      <c r="CV730" s="11"/>
      <c r="CW730" s="86"/>
      <c r="CX730" s="84"/>
      <c r="CY730" s="86"/>
    </row>
    <row r="731" spans="1:104" ht="25.5" x14ac:dyDescent="0.2">
      <c r="A731" s="43">
        <v>40017</v>
      </c>
      <c r="B731" s="44" t="s">
        <v>1097</v>
      </c>
      <c r="C731" s="44" t="s">
        <v>1288</v>
      </c>
      <c r="D731" s="45" t="s">
        <v>1126</v>
      </c>
      <c r="E731" s="11"/>
      <c r="F731" s="12"/>
      <c r="G731" s="12"/>
      <c r="H731" s="12">
        <v>20</v>
      </c>
      <c r="I731" s="12">
        <v>4</v>
      </c>
      <c r="J731" s="12">
        <v>4</v>
      </c>
      <c r="K731" s="12"/>
      <c r="L731" s="12"/>
      <c r="M731" s="12"/>
      <c r="N731" s="12"/>
      <c r="O731" s="12"/>
      <c r="P731" s="12"/>
      <c r="Q731" s="12"/>
      <c r="R731" s="12"/>
      <c r="S731" s="12"/>
      <c r="T731" s="13"/>
      <c r="U731" s="46"/>
      <c r="V731" s="47"/>
      <c r="W731" s="48">
        <f t="shared" si="81"/>
        <v>0</v>
      </c>
      <c r="X731" s="48">
        <f t="shared" si="82"/>
        <v>0</v>
      </c>
      <c r="Y731" s="48">
        <f t="shared" si="83"/>
        <v>0</v>
      </c>
      <c r="Z731" s="48">
        <f t="shared" si="84"/>
        <v>0</v>
      </c>
      <c r="AA731" s="48"/>
      <c r="AB731" s="48"/>
      <c r="AC731" s="49">
        <f t="shared" si="85"/>
        <v>0</v>
      </c>
      <c r="AD731" s="50">
        <v>0</v>
      </c>
      <c r="AE731" s="47">
        <v>40045</v>
      </c>
      <c r="AF731" s="51" t="s">
        <v>516</v>
      </c>
      <c r="AG731" s="52" t="s">
        <v>517</v>
      </c>
      <c r="AH731" s="53" t="s">
        <v>1289</v>
      </c>
      <c r="AI731" s="79"/>
      <c r="AJ731" s="80"/>
      <c r="AK731" s="81"/>
      <c r="AL731" s="80"/>
      <c r="AM731" s="80"/>
      <c r="AN731" s="80"/>
      <c r="AO731" s="80"/>
      <c r="AP731" s="80"/>
      <c r="AQ731" s="80"/>
      <c r="AR731" s="80"/>
      <c r="AS731" s="80"/>
      <c r="AT731" s="80"/>
      <c r="AU731" s="80"/>
      <c r="AV731" s="80"/>
      <c r="AW731" s="80"/>
      <c r="AX731" s="80"/>
      <c r="AY731" s="80"/>
      <c r="AZ731" s="80"/>
      <c r="BA731" s="80"/>
      <c r="BB731" s="80"/>
      <c r="BC731" s="80"/>
      <c r="BD731" s="80"/>
      <c r="BE731" s="80"/>
      <c r="BF731" s="80"/>
      <c r="BG731" s="80"/>
      <c r="BH731" s="80"/>
      <c r="BI731" s="80"/>
      <c r="BJ731" s="80"/>
      <c r="BK731" s="80"/>
      <c r="BL731" s="80"/>
      <c r="BM731" s="80"/>
      <c r="BN731" s="80"/>
      <c r="BO731" s="80"/>
      <c r="BP731" s="80"/>
      <c r="BQ731" s="80"/>
      <c r="BR731" s="80"/>
      <c r="BS731" s="80"/>
      <c r="BT731" s="80"/>
      <c r="BU731" s="80"/>
      <c r="BV731" s="80"/>
      <c r="BW731" s="80"/>
      <c r="BX731" s="80"/>
      <c r="BY731" s="80"/>
      <c r="BZ731" s="80"/>
      <c r="CA731" s="80"/>
      <c r="CB731" s="80"/>
      <c r="CC731" s="80"/>
      <c r="CD731" s="80"/>
      <c r="CE731" s="80"/>
      <c r="CF731" s="80"/>
      <c r="CG731" s="80"/>
      <c r="CH731" s="80"/>
      <c r="CI731" s="80"/>
      <c r="CJ731" s="80"/>
      <c r="CK731" s="82"/>
      <c r="CL731" s="12"/>
      <c r="CM731" s="82"/>
      <c r="CN731" s="12"/>
      <c r="CO731" s="82"/>
      <c r="CP731" s="12"/>
      <c r="CQ731" s="83">
        <f t="shared" si="86"/>
        <v>0</v>
      </c>
      <c r="CR731" s="84"/>
      <c r="CS731" s="13"/>
      <c r="CT731" s="85"/>
      <c r="CU731" s="86"/>
      <c r="CV731" s="11"/>
      <c r="CW731" s="86"/>
      <c r="CX731" s="84"/>
      <c r="CY731" s="86"/>
    </row>
    <row r="732" spans="1:104" ht="114.75" x14ac:dyDescent="0.2">
      <c r="A732" s="43">
        <v>40017</v>
      </c>
      <c r="B732" s="44" t="s">
        <v>1097</v>
      </c>
      <c r="C732" s="44" t="s">
        <v>1053</v>
      </c>
      <c r="D732" s="45" t="s">
        <v>1126</v>
      </c>
      <c r="E732" s="11"/>
      <c r="F732" s="12"/>
      <c r="G732" s="12"/>
      <c r="H732" s="12">
        <v>735</v>
      </c>
      <c r="I732" s="12">
        <v>123</v>
      </c>
      <c r="J732" s="12"/>
      <c r="K732" s="12">
        <v>123</v>
      </c>
      <c r="L732" s="12"/>
      <c r="M732" s="12"/>
      <c r="N732" s="12"/>
      <c r="O732" s="12"/>
      <c r="P732" s="12"/>
      <c r="Q732" s="12"/>
      <c r="R732" s="12">
        <v>1</v>
      </c>
      <c r="S732" s="12">
        <v>3</v>
      </c>
      <c r="T732" s="13"/>
      <c r="U732" s="46"/>
      <c r="V732" s="47">
        <v>40070</v>
      </c>
      <c r="W732" s="48">
        <f t="shared" si="81"/>
        <v>0</v>
      </c>
      <c r="X732" s="48">
        <f t="shared" si="82"/>
        <v>0</v>
      </c>
      <c r="Y732" s="48">
        <f t="shared" si="83"/>
        <v>0</v>
      </c>
      <c r="Z732" s="48">
        <f t="shared" si="84"/>
        <v>0</v>
      </c>
      <c r="AA732" s="48"/>
      <c r="AB732" s="48">
        <v>40000000</v>
      </c>
      <c r="AC732" s="49">
        <f t="shared" si="85"/>
        <v>40000000</v>
      </c>
      <c r="AD732" s="50">
        <v>0</v>
      </c>
      <c r="AE732" s="47">
        <v>40045</v>
      </c>
      <c r="AF732" s="51" t="s">
        <v>1016</v>
      </c>
      <c r="AG732" s="52" t="s">
        <v>565</v>
      </c>
      <c r="AH732" s="53" t="s">
        <v>23</v>
      </c>
      <c r="AI732" s="79"/>
      <c r="AJ732" s="80"/>
      <c r="AK732" s="81"/>
      <c r="AL732" s="80"/>
      <c r="AM732" s="80"/>
      <c r="AN732" s="80"/>
      <c r="AO732" s="80"/>
      <c r="AP732" s="80"/>
      <c r="AQ732" s="80"/>
      <c r="AR732" s="80"/>
      <c r="AS732" s="80"/>
      <c r="AT732" s="80"/>
      <c r="AU732" s="80"/>
      <c r="AV732" s="80"/>
      <c r="AW732" s="80"/>
      <c r="AX732" s="80"/>
      <c r="AY732" s="80"/>
      <c r="AZ732" s="80"/>
      <c r="BA732" s="80"/>
      <c r="BB732" s="80"/>
      <c r="BC732" s="80"/>
      <c r="BD732" s="80"/>
      <c r="BE732" s="80"/>
      <c r="BF732" s="80"/>
      <c r="BG732" s="80"/>
      <c r="BH732" s="80"/>
      <c r="BI732" s="80"/>
      <c r="BJ732" s="80"/>
      <c r="BK732" s="80"/>
      <c r="BL732" s="80"/>
      <c r="BM732" s="80"/>
      <c r="BN732" s="80"/>
      <c r="BO732" s="80"/>
      <c r="BP732" s="80"/>
      <c r="BQ732" s="80"/>
      <c r="BR732" s="80"/>
      <c r="BS732" s="80"/>
      <c r="BT732" s="80"/>
      <c r="BU732" s="80"/>
      <c r="BV732" s="80"/>
      <c r="BW732" s="80"/>
      <c r="BX732" s="80"/>
      <c r="BY732" s="80"/>
      <c r="BZ732" s="80"/>
      <c r="CA732" s="80"/>
      <c r="CB732" s="80"/>
      <c r="CC732" s="80"/>
      <c r="CD732" s="80"/>
      <c r="CE732" s="80"/>
      <c r="CF732" s="80"/>
      <c r="CG732" s="80"/>
      <c r="CH732" s="80"/>
      <c r="CI732" s="80"/>
      <c r="CJ732" s="80"/>
      <c r="CK732" s="82"/>
      <c r="CL732" s="12"/>
      <c r="CM732" s="82"/>
      <c r="CN732" s="12"/>
      <c r="CO732" s="82"/>
      <c r="CP732" s="12"/>
      <c r="CQ732" s="83">
        <f t="shared" si="86"/>
        <v>0</v>
      </c>
      <c r="CR732" s="84"/>
      <c r="CS732" s="13"/>
      <c r="CT732" s="85"/>
      <c r="CU732" s="86"/>
      <c r="CV732" s="11"/>
      <c r="CW732" s="86"/>
      <c r="CX732" s="84"/>
      <c r="CY732" s="86"/>
    </row>
    <row r="733" spans="1:104" ht="102" x14ac:dyDescent="0.2">
      <c r="A733" s="43">
        <v>40017</v>
      </c>
      <c r="B733" s="44" t="s">
        <v>1453</v>
      </c>
      <c r="C733" s="44" t="s">
        <v>476</v>
      </c>
      <c r="D733" s="45" t="s">
        <v>1118</v>
      </c>
      <c r="E733" s="11"/>
      <c r="F733" s="12"/>
      <c r="G733" s="12"/>
      <c r="H733" s="12"/>
      <c r="I733" s="12"/>
      <c r="J733" s="12"/>
      <c r="K733" s="12"/>
      <c r="L733" s="12"/>
      <c r="M733" s="12"/>
      <c r="N733" s="12"/>
      <c r="O733" s="12"/>
      <c r="P733" s="12"/>
      <c r="Q733" s="12"/>
      <c r="R733" s="12"/>
      <c r="S733" s="12"/>
      <c r="T733" s="13"/>
      <c r="U733" s="46"/>
      <c r="V733" s="47">
        <v>40027</v>
      </c>
      <c r="W733" s="48">
        <f t="shared" si="81"/>
        <v>0</v>
      </c>
      <c r="X733" s="48">
        <f t="shared" si="82"/>
        <v>0</v>
      </c>
      <c r="Y733" s="48">
        <f t="shared" si="83"/>
        <v>0</v>
      </c>
      <c r="Z733" s="48">
        <f t="shared" si="84"/>
        <v>0</v>
      </c>
      <c r="AA733" s="48"/>
      <c r="AB733" s="48">
        <v>50000000</v>
      </c>
      <c r="AC733" s="49">
        <f t="shared" si="85"/>
        <v>50000000</v>
      </c>
      <c r="AD733" s="50">
        <v>0</v>
      </c>
      <c r="AE733" s="47">
        <v>40024</v>
      </c>
      <c r="AF733" s="51" t="s">
        <v>1016</v>
      </c>
      <c r="AG733" s="52" t="s">
        <v>565</v>
      </c>
      <c r="AH733" s="54" t="s">
        <v>1286</v>
      </c>
      <c r="AI733" s="79"/>
      <c r="AJ733" s="80"/>
      <c r="AK733" s="81"/>
      <c r="AL733" s="80"/>
      <c r="AM733" s="80"/>
      <c r="AN733" s="80"/>
      <c r="AO733" s="80"/>
      <c r="AP733" s="80"/>
      <c r="AQ733" s="80"/>
      <c r="AR733" s="80"/>
      <c r="AS733" s="80"/>
      <c r="AT733" s="80"/>
      <c r="AU733" s="80"/>
      <c r="AV733" s="80"/>
      <c r="AW733" s="80"/>
      <c r="AX733" s="80"/>
      <c r="AY733" s="80"/>
      <c r="AZ733" s="80"/>
      <c r="BA733" s="80"/>
      <c r="BB733" s="80"/>
      <c r="BC733" s="80"/>
      <c r="BD733" s="80"/>
      <c r="BE733" s="80"/>
      <c r="BF733" s="80"/>
      <c r="BG733" s="80"/>
      <c r="BH733" s="80"/>
      <c r="BI733" s="80"/>
      <c r="BJ733" s="80"/>
      <c r="BK733" s="80"/>
      <c r="BL733" s="80"/>
      <c r="BM733" s="80"/>
      <c r="BN733" s="80"/>
      <c r="BO733" s="80"/>
      <c r="BP733" s="80"/>
      <c r="BQ733" s="80"/>
      <c r="BR733" s="80"/>
      <c r="BS733" s="80"/>
      <c r="BT733" s="80"/>
      <c r="BU733" s="80"/>
      <c r="BV733" s="80"/>
      <c r="BW733" s="80"/>
      <c r="BX733" s="80"/>
      <c r="BY733" s="80"/>
      <c r="BZ733" s="80"/>
      <c r="CA733" s="80"/>
      <c r="CB733" s="80"/>
      <c r="CC733" s="80"/>
      <c r="CD733" s="80"/>
      <c r="CE733" s="80"/>
      <c r="CF733" s="80"/>
      <c r="CG733" s="80"/>
      <c r="CH733" s="80"/>
      <c r="CI733" s="80"/>
      <c r="CJ733" s="80"/>
      <c r="CK733" s="82"/>
      <c r="CL733" s="12"/>
      <c r="CM733" s="82"/>
      <c r="CN733" s="12"/>
      <c r="CO733" s="82"/>
      <c r="CP733" s="12"/>
      <c r="CQ733" s="83">
        <f t="shared" si="86"/>
        <v>0</v>
      </c>
      <c r="CR733" s="84"/>
      <c r="CS733" s="13"/>
      <c r="CT733" s="85"/>
      <c r="CU733" s="86"/>
      <c r="CV733" s="11"/>
      <c r="CW733" s="86"/>
      <c r="CX733" s="84"/>
      <c r="CY733" s="86"/>
    </row>
    <row r="734" spans="1:104" ht="25.5" x14ac:dyDescent="0.2">
      <c r="A734" s="43">
        <v>40017</v>
      </c>
      <c r="B734" s="44" t="s">
        <v>1091</v>
      </c>
      <c r="C734" s="44" t="s">
        <v>1381</v>
      </c>
      <c r="D734" s="45" t="s">
        <v>1092</v>
      </c>
      <c r="E734" s="11"/>
      <c r="F734" s="12"/>
      <c r="G734" s="12"/>
      <c r="H734" s="12">
        <v>14</v>
      </c>
      <c r="I734" s="12">
        <v>2</v>
      </c>
      <c r="J734" s="12"/>
      <c r="K734" s="12">
        <v>2</v>
      </c>
      <c r="L734" s="12"/>
      <c r="M734" s="12"/>
      <c r="N734" s="12"/>
      <c r="O734" s="12"/>
      <c r="P734" s="12"/>
      <c r="Q734" s="12"/>
      <c r="R734" s="12"/>
      <c r="S734" s="12"/>
      <c r="T734" s="13"/>
      <c r="U734" s="46"/>
      <c r="V734" s="47"/>
      <c r="W734" s="48">
        <f t="shared" si="81"/>
        <v>0</v>
      </c>
      <c r="X734" s="48">
        <f t="shared" si="82"/>
        <v>0</v>
      </c>
      <c r="Y734" s="48">
        <f t="shared" si="83"/>
        <v>0</v>
      </c>
      <c r="Z734" s="48">
        <f t="shared" si="84"/>
        <v>0</v>
      </c>
      <c r="AA734" s="48"/>
      <c r="AB734" s="48"/>
      <c r="AC734" s="49">
        <f t="shared" si="85"/>
        <v>0</v>
      </c>
      <c r="AD734" s="50">
        <v>0</v>
      </c>
      <c r="AE734" s="47">
        <v>40021</v>
      </c>
      <c r="AF734" s="51" t="s">
        <v>516</v>
      </c>
      <c r="AG734" s="52" t="s">
        <v>517</v>
      </c>
      <c r="AH734" s="53" t="s">
        <v>1382</v>
      </c>
      <c r="AI734" s="79"/>
      <c r="AJ734" s="80"/>
      <c r="AK734" s="81"/>
      <c r="AL734" s="80"/>
      <c r="AM734" s="80"/>
      <c r="AN734" s="80"/>
      <c r="AO734" s="80"/>
      <c r="AP734" s="80"/>
      <c r="AQ734" s="80"/>
      <c r="AR734" s="80"/>
      <c r="AS734" s="80"/>
      <c r="AT734" s="80"/>
      <c r="AU734" s="80"/>
      <c r="AV734" s="80"/>
      <c r="AW734" s="80"/>
      <c r="AX734" s="80"/>
      <c r="AY734" s="80"/>
      <c r="AZ734" s="80"/>
      <c r="BA734" s="80"/>
      <c r="BB734" s="80"/>
      <c r="BC734" s="80"/>
      <c r="BD734" s="80"/>
      <c r="BE734" s="80"/>
      <c r="BF734" s="80"/>
      <c r="BG734" s="80"/>
      <c r="BH734" s="80"/>
      <c r="BI734" s="80"/>
      <c r="BJ734" s="80"/>
      <c r="BK734" s="80"/>
      <c r="BL734" s="80"/>
      <c r="BM734" s="80"/>
      <c r="BN734" s="80"/>
      <c r="BO734" s="80"/>
      <c r="BP734" s="80"/>
      <c r="BQ734" s="80"/>
      <c r="BR734" s="80"/>
      <c r="BS734" s="80"/>
      <c r="BT734" s="80"/>
      <c r="BU734" s="80"/>
      <c r="BV734" s="80"/>
      <c r="BW734" s="80"/>
      <c r="BX734" s="80"/>
      <c r="BY734" s="80"/>
      <c r="BZ734" s="80"/>
      <c r="CA734" s="80"/>
      <c r="CB734" s="80"/>
      <c r="CC734" s="80"/>
      <c r="CD734" s="80"/>
      <c r="CE734" s="80"/>
      <c r="CF734" s="80"/>
      <c r="CG734" s="80"/>
      <c r="CH734" s="80"/>
      <c r="CI734" s="80"/>
      <c r="CJ734" s="80"/>
      <c r="CK734" s="82"/>
      <c r="CL734" s="12"/>
      <c r="CM734" s="82"/>
      <c r="CN734" s="12"/>
      <c r="CO734" s="82"/>
      <c r="CP734" s="12"/>
      <c r="CQ734" s="83">
        <f t="shared" si="86"/>
        <v>0</v>
      </c>
      <c r="CR734" s="84"/>
      <c r="CS734" s="13"/>
      <c r="CT734" s="85"/>
      <c r="CU734" s="86"/>
      <c r="CV734" s="11"/>
      <c r="CW734" s="86"/>
      <c r="CX734" s="84"/>
      <c r="CY734" s="86"/>
    </row>
    <row r="735" spans="1:104" ht="25.5" x14ac:dyDescent="0.2">
      <c r="A735" s="43">
        <v>40018</v>
      </c>
      <c r="B735" s="44" t="s">
        <v>1097</v>
      </c>
      <c r="C735" s="44" t="s">
        <v>1383</v>
      </c>
      <c r="D735" s="45" t="s">
        <v>134</v>
      </c>
      <c r="E735" s="11">
        <v>5</v>
      </c>
      <c r="F735" s="12">
        <v>7</v>
      </c>
      <c r="G735" s="12"/>
      <c r="H735" s="12"/>
      <c r="I735" s="12"/>
      <c r="J735" s="12"/>
      <c r="K735" s="12"/>
      <c r="L735" s="12"/>
      <c r="M735" s="12"/>
      <c r="N735" s="12"/>
      <c r="O735" s="12"/>
      <c r="P735" s="12"/>
      <c r="Q735" s="12"/>
      <c r="R735" s="12"/>
      <c r="S735" s="12"/>
      <c r="T735" s="13"/>
      <c r="U735" s="46"/>
      <c r="V735" s="47"/>
      <c r="W735" s="48">
        <f t="shared" si="81"/>
        <v>0</v>
      </c>
      <c r="X735" s="48">
        <f t="shared" si="82"/>
        <v>0</v>
      </c>
      <c r="Y735" s="48">
        <f t="shared" si="83"/>
        <v>0</v>
      </c>
      <c r="Z735" s="48">
        <f t="shared" si="84"/>
        <v>0</v>
      </c>
      <c r="AA735" s="48"/>
      <c r="AB735" s="48"/>
      <c r="AC735" s="49">
        <f t="shared" si="85"/>
        <v>0</v>
      </c>
      <c r="AD735" s="50">
        <v>0</v>
      </c>
      <c r="AE735" s="47">
        <v>40021</v>
      </c>
      <c r="AF735" s="51" t="s">
        <v>516</v>
      </c>
      <c r="AG735" s="52" t="s">
        <v>517</v>
      </c>
      <c r="AH735" s="53" t="s">
        <v>1384</v>
      </c>
      <c r="AI735" s="79"/>
      <c r="AJ735" s="80"/>
      <c r="AK735" s="81"/>
      <c r="AL735" s="80"/>
      <c r="AM735" s="80"/>
      <c r="AN735" s="80"/>
      <c r="AO735" s="80"/>
      <c r="AP735" s="80"/>
      <c r="AQ735" s="80"/>
      <c r="AR735" s="80"/>
      <c r="AS735" s="80"/>
      <c r="AT735" s="80"/>
      <c r="AU735" s="80"/>
      <c r="AV735" s="80"/>
      <c r="AW735" s="80"/>
      <c r="AX735" s="80"/>
      <c r="AY735" s="80"/>
      <c r="AZ735" s="80"/>
      <c r="BA735" s="80"/>
      <c r="BB735" s="80"/>
      <c r="BC735" s="80"/>
      <c r="BD735" s="80"/>
      <c r="BE735" s="80"/>
      <c r="BF735" s="80"/>
      <c r="BG735" s="80"/>
      <c r="BH735" s="80"/>
      <c r="BI735" s="80"/>
      <c r="BJ735" s="80"/>
      <c r="BK735" s="80"/>
      <c r="BL735" s="80"/>
      <c r="BM735" s="80"/>
      <c r="BN735" s="80"/>
      <c r="BO735" s="80"/>
      <c r="BP735" s="80"/>
      <c r="BQ735" s="80"/>
      <c r="BR735" s="80"/>
      <c r="BS735" s="80"/>
      <c r="BT735" s="80"/>
      <c r="BU735" s="80"/>
      <c r="BV735" s="80"/>
      <c r="BW735" s="80"/>
      <c r="BX735" s="80"/>
      <c r="BY735" s="80"/>
      <c r="BZ735" s="80"/>
      <c r="CA735" s="80"/>
      <c r="CB735" s="80"/>
      <c r="CC735" s="80"/>
      <c r="CD735" s="80"/>
      <c r="CE735" s="80"/>
      <c r="CF735" s="80"/>
      <c r="CG735" s="80"/>
      <c r="CH735" s="80"/>
      <c r="CI735" s="80"/>
      <c r="CJ735" s="80"/>
      <c r="CK735" s="82"/>
      <c r="CL735" s="12"/>
      <c r="CM735" s="82"/>
      <c r="CN735" s="12"/>
      <c r="CO735" s="82"/>
      <c r="CP735" s="12"/>
      <c r="CQ735" s="83">
        <f t="shared" si="86"/>
        <v>0</v>
      </c>
      <c r="CR735" s="84"/>
      <c r="CS735" s="13"/>
      <c r="CT735" s="85"/>
      <c r="CU735" s="86"/>
      <c r="CV735" s="11"/>
      <c r="CW735" s="86"/>
      <c r="CX735" s="84"/>
      <c r="CY735" s="86"/>
    </row>
    <row r="736" spans="1:104" ht="38.25" x14ac:dyDescent="0.2">
      <c r="A736" s="43">
        <v>40018</v>
      </c>
      <c r="B736" s="44" t="s">
        <v>1127</v>
      </c>
      <c r="C736" s="44" t="s">
        <v>800</v>
      </c>
      <c r="D736" s="45" t="s">
        <v>1116</v>
      </c>
      <c r="E736" s="11"/>
      <c r="F736" s="12"/>
      <c r="G736" s="12"/>
      <c r="H736" s="12">
        <v>6</v>
      </c>
      <c r="I736" s="12">
        <v>1</v>
      </c>
      <c r="J736" s="12">
        <v>1</v>
      </c>
      <c r="K736" s="12"/>
      <c r="L736" s="12"/>
      <c r="M736" s="12"/>
      <c r="N736" s="12"/>
      <c r="O736" s="12"/>
      <c r="P736" s="12"/>
      <c r="Q736" s="12"/>
      <c r="R736" s="12"/>
      <c r="S736" s="12"/>
      <c r="T736" s="13"/>
      <c r="U736" s="46"/>
      <c r="V736" s="47"/>
      <c r="W736" s="48">
        <f t="shared" si="81"/>
        <v>0</v>
      </c>
      <c r="X736" s="48">
        <f t="shared" si="82"/>
        <v>0</v>
      </c>
      <c r="Y736" s="48">
        <f t="shared" si="83"/>
        <v>0</v>
      </c>
      <c r="Z736" s="48">
        <f t="shared" si="84"/>
        <v>0</v>
      </c>
      <c r="AA736" s="48"/>
      <c r="AB736" s="48"/>
      <c r="AC736" s="49">
        <f t="shared" si="85"/>
        <v>0</v>
      </c>
      <c r="AD736" s="50">
        <v>0</v>
      </c>
      <c r="AE736" s="47">
        <v>40021</v>
      </c>
      <c r="AF736" s="51" t="s">
        <v>516</v>
      </c>
      <c r="AG736" s="52" t="s">
        <v>517</v>
      </c>
      <c r="AH736" s="53" t="s">
        <v>1387</v>
      </c>
      <c r="AI736" s="79"/>
      <c r="AJ736" s="80"/>
      <c r="AK736" s="81"/>
      <c r="AL736" s="80"/>
      <c r="AM736" s="80"/>
      <c r="AN736" s="80"/>
      <c r="AO736" s="80"/>
      <c r="AP736" s="80"/>
      <c r="AQ736" s="80"/>
      <c r="AR736" s="80"/>
      <c r="AS736" s="80"/>
      <c r="AT736" s="80"/>
      <c r="AU736" s="80"/>
      <c r="AV736" s="80"/>
      <c r="AW736" s="80"/>
      <c r="AX736" s="80"/>
      <c r="AY736" s="80"/>
      <c r="AZ736" s="80"/>
      <c r="BA736" s="80"/>
      <c r="BB736" s="80"/>
      <c r="BC736" s="80"/>
      <c r="BD736" s="80"/>
      <c r="BE736" s="80"/>
      <c r="BF736" s="80"/>
      <c r="BG736" s="80"/>
      <c r="BH736" s="80"/>
      <c r="BI736" s="80"/>
      <c r="BJ736" s="80"/>
      <c r="BK736" s="80"/>
      <c r="BL736" s="80"/>
      <c r="BM736" s="80"/>
      <c r="BN736" s="80"/>
      <c r="BO736" s="80"/>
      <c r="BP736" s="80"/>
      <c r="BQ736" s="80"/>
      <c r="BR736" s="80"/>
      <c r="BS736" s="80"/>
      <c r="BT736" s="80"/>
      <c r="BU736" s="80"/>
      <c r="BV736" s="80"/>
      <c r="BW736" s="80"/>
      <c r="BX736" s="80"/>
      <c r="BY736" s="80"/>
      <c r="BZ736" s="80"/>
      <c r="CA736" s="80"/>
      <c r="CB736" s="80"/>
      <c r="CC736" s="80"/>
      <c r="CD736" s="80"/>
      <c r="CE736" s="80"/>
      <c r="CF736" s="80"/>
      <c r="CG736" s="80"/>
      <c r="CH736" s="80"/>
      <c r="CI736" s="80"/>
      <c r="CJ736" s="80"/>
      <c r="CK736" s="82"/>
      <c r="CL736" s="12"/>
      <c r="CM736" s="82"/>
      <c r="CN736" s="12"/>
      <c r="CO736" s="82"/>
      <c r="CP736" s="12"/>
      <c r="CQ736" s="83">
        <f t="shared" si="86"/>
        <v>0</v>
      </c>
      <c r="CR736" s="84"/>
      <c r="CS736" s="13"/>
      <c r="CT736" s="85"/>
      <c r="CU736" s="86"/>
      <c r="CV736" s="11"/>
      <c r="CW736" s="86"/>
      <c r="CX736" s="84"/>
      <c r="CY736" s="86"/>
    </row>
    <row r="737" spans="1:103" ht="25.5" x14ac:dyDescent="0.2">
      <c r="A737" s="43">
        <v>40018</v>
      </c>
      <c r="B737" s="44" t="s">
        <v>1066</v>
      </c>
      <c r="C737" s="44" t="s">
        <v>1348</v>
      </c>
      <c r="D737" s="45" t="s">
        <v>1385</v>
      </c>
      <c r="E737" s="11"/>
      <c r="F737" s="12"/>
      <c r="G737" s="12"/>
      <c r="H737" s="12">
        <v>130</v>
      </c>
      <c r="I737" s="12">
        <v>26</v>
      </c>
      <c r="J737" s="12">
        <v>3</v>
      </c>
      <c r="K737" s="12">
        <v>23</v>
      </c>
      <c r="L737" s="12"/>
      <c r="M737" s="12"/>
      <c r="N737" s="12"/>
      <c r="O737" s="12"/>
      <c r="P737" s="12"/>
      <c r="Q737" s="12"/>
      <c r="R737" s="12"/>
      <c r="S737" s="12"/>
      <c r="T737" s="13"/>
      <c r="U737" s="46"/>
      <c r="V737" s="47"/>
      <c r="W737" s="48">
        <f t="shared" si="81"/>
        <v>0</v>
      </c>
      <c r="X737" s="48">
        <f t="shared" si="82"/>
        <v>0</v>
      </c>
      <c r="Y737" s="48">
        <f t="shared" si="83"/>
        <v>0</v>
      </c>
      <c r="Z737" s="48">
        <f t="shared" si="84"/>
        <v>0</v>
      </c>
      <c r="AA737" s="48"/>
      <c r="AB737" s="48"/>
      <c r="AC737" s="49">
        <f t="shared" si="85"/>
        <v>0</v>
      </c>
      <c r="AD737" s="50">
        <v>0</v>
      </c>
      <c r="AE737" s="47">
        <v>40021</v>
      </c>
      <c r="AF737" s="51" t="s">
        <v>516</v>
      </c>
      <c r="AG737" s="52" t="s">
        <v>517</v>
      </c>
      <c r="AH737" s="53" t="s">
        <v>1386</v>
      </c>
      <c r="AI737" s="79"/>
      <c r="AJ737" s="80"/>
      <c r="AK737" s="81"/>
      <c r="AL737" s="80"/>
      <c r="AM737" s="80"/>
      <c r="AN737" s="80"/>
      <c r="AO737" s="80"/>
      <c r="AP737" s="80"/>
      <c r="AQ737" s="80"/>
      <c r="AR737" s="80"/>
      <c r="AS737" s="80"/>
      <c r="AT737" s="80"/>
      <c r="AU737" s="80"/>
      <c r="AV737" s="80"/>
      <c r="AW737" s="80"/>
      <c r="AX737" s="80"/>
      <c r="AY737" s="80"/>
      <c r="AZ737" s="80"/>
      <c r="BA737" s="80"/>
      <c r="BB737" s="80"/>
      <c r="BC737" s="80"/>
      <c r="BD737" s="80"/>
      <c r="BE737" s="80"/>
      <c r="BF737" s="80"/>
      <c r="BG737" s="80"/>
      <c r="BH737" s="80"/>
      <c r="BI737" s="80"/>
      <c r="BJ737" s="80"/>
      <c r="BK737" s="80"/>
      <c r="BL737" s="80"/>
      <c r="BM737" s="80"/>
      <c r="BN737" s="80"/>
      <c r="BO737" s="80"/>
      <c r="BP737" s="80"/>
      <c r="BQ737" s="80"/>
      <c r="BR737" s="80"/>
      <c r="BS737" s="80"/>
      <c r="BT737" s="80"/>
      <c r="BU737" s="80"/>
      <c r="BV737" s="80"/>
      <c r="BW737" s="80"/>
      <c r="BX737" s="80"/>
      <c r="BY737" s="80"/>
      <c r="BZ737" s="80"/>
      <c r="CA737" s="80"/>
      <c r="CB737" s="80"/>
      <c r="CC737" s="80"/>
      <c r="CD737" s="80"/>
      <c r="CE737" s="80"/>
      <c r="CF737" s="80"/>
      <c r="CG737" s="80"/>
      <c r="CH737" s="80"/>
      <c r="CI737" s="80"/>
      <c r="CJ737" s="80"/>
      <c r="CK737" s="82"/>
      <c r="CL737" s="12"/>
      <c r="CM737" s="82"/>
      <c r="CN737" s="12"/>
      <c r="CO737" s="82"/>
      <c r="CP737" s="12"/>
      <c r="CQ737" s="83">
        <f t="shared" si="86"/>
        <v>0</v>
      </c>
      <c r="CR737" s="84"/>
      <c r="CS737" s="13"/>
      <c r="CT737" s="85"/>
      <c r="CU737" s="86"/>
      <c r="CV737" s="11"/>
      <c r="CW737" s="86"/>
      <c r="CX737" s="84"/>
      <c r="CY737" s="86"/>
    </row>
    <row r="738" spans="1:103" ht="38.25" x14ac:dyDescent="0.2">
      <c r="A738" s="43">
        <v>40020</v>
      </c>
      <c r="B738" s="44" t="s">
        <v>481</v>
      </c>
      <c r="C738" s="44" t="s">
        <v>188</v>
      </c>
      <c r="D738" s="45" t="s">
        <v>1116</v>
      </c>
      <c r="E738" s="11"/>
      <c r="F738" s="12"/>
      <c r="G738" s="12"/>
      <c r="H738" s="12">
        <v>3</v>
      </c>
      <c r="I738" s="12">
        <v>1</v>
      </c>
      <c r="J738" s="12">
        <v>1</v>
      </c>
      <c r="K738" s="12"/>
      <c r="L738" s="12"/>
      <c r="M738" s="12"/>
      <c r="N738" s="12"/>
      <c r="O738" s="12"/>
      <c r="P738" s="12"/>
      <c r="Q738" s="12"/>
      <c r="R738" s="12"/>
      <c r="S738" s="12"/>
      <c r="T738" s="13"/>
      <c r="U738" s="46"/>
      <c r="V738" s="47"/>
      <c r="W738" s="48">
        <f t="shared" si="81"/>
        <v>0</v>
      </c>
      <c r="X738" s="48">
        <f t="shared" si="82"/>
        <v>0</v>
      </c>
      <c r="Y738" s="48">
        <f t="shared" si="83"/>
        <v>0</v>
      </c>
      <c r="Z738" s="48">
        <f t="shared" si="84"/>
        <v>0</v>
      </c>
      <c r="AA738" s="48"/>
      <c r="AB738" s="48"/>
      <c r="AC738" s="49">
        <f t="shared" si="85"/>
        <v>0</v>
      </c>
      <c r="AD738" s="50">
        <v>0</v>
      </c>
      <c r="AE738" s="47">
        <v>40021</v>
      </c>
      <c r="AF738" s="51" t="s">
        <v>516</v>
      </c>
      <c r="AG738" s="52" t="s">
        <v>517</v>
      </c>
      <c r="AH738" s="53" t="s">
        <v>1388</v>
      </c>
      <c r="AI738" s="79"/>
      <c r="AJ738" s="80"/>
      <c r="AK738" s="81"/>
      <c r="AL738" s="80"/>
      <c r="AM738" s="80"/>
      <c r="AN738" s="80"/>
      <c r="AO738" s="80"/>
      <c r="AP738" s="80"/>
      <c r="AQ738" s="80"/>
      <c r="AR738" s="80"/>
      <c r="AS738" s="80"/>
      <c r="AT738" s="80"/>
      <c r="AU738" s="80"/>
      <c r="AV738" s="80"/>
      <c r="AW738" s="80"/>
      <c r="AX738" s="80"/>
      <c r="AY738" s="80"/>
      <c r="AZ738" s="80"/>
      <c r="BA738" s="80"/>
      <c r="BB738" s="80"/>
      <c r="BC738" s="80"/>
      <c r="BD738" s="80"/>
      <c r="BE738" s="80"/>
      <c r="BF738" s="80"/>
      <c r="BG738" s="80"/>
      <c r="BH738" s="80"/>
      <c r="BI738" s="80"/>
      <c r="BJ738" s="80"/>
      <c r="BK738" s="80"/>
      <c r="BL738" s="80"/>
      <c r="BM738" s="80"/>
      <c r="BN738" s="80"/>
      <c r="BO738" s="80"/>
      <c r="BP738" s="80"/>
      <c r="BQ738" s="80"/>
      <c r="BR738" s="80"/>
      <c r="BS738" s="80"/>
      <c r="BT738" s="80"/>
      <c r="BU738" s="80"/>
      <c r="BV738" s="80"/>
      <c r="BW738" s="80"/>
      <c r="BX738" s="80"/>
      <c r="BY738" s="80"/>
      <c r="BZ738" s="80"/>
      <c r="CA738" s="80"/>
      <c r="CB738" s="80"/>
      <c r="CC738" s="80"/>
      <c r="CD738" s="80"/>
      <c r="CE738" s="80"/>
      <c r="CF738" s="80"/>
      <c r="CG738" s="80"/>
      <c r="CH738" s="80"/>
      <c r="CI738" s="80"/>
      <c r="CJ738" s="80"/>
      <c r="CK738" s="82"/>
      <c r="CL738" s="12"/>
      <c r="CM738" s="82"/>
      <c r="CN738" s="12"/>
      <c r="CO738" s="82"/>
      <c r="CP738" s="12"/>
      <c r="CQ738" s="83">
        <f t="shared" si="86"/>
        <v>0</v>
      </c>
      <c r="CR738" s="84"/>
      <c r="CS738" s="13"/>
      <c r="CT738" s="85"/>
      <c r="CU738" s="86"/>
      <c r="CV738" s="11"/>
      <c r="CW738" s="86"/>
      <c r="CX738" s="84"/>
      <c r="CY738" s="86"/>
    </row>
    <row r="739" spans="1:103" ht="38.25" x14ac:dyDescent="0.2">
      <c r="A739" s="43">
        <v>40021</v>
      </c>
      <c r="B739" s="44" t="s">
        <v>625</v>
      </c>
      <c r="C739" s="44" t="s">
        <v>1389</v>
      </c>
      <c r="D739" s="45" t="s">
        <v>1116</v>
      </c>
      <c r="E739" s="11"/>
      <c r="F739" s="12"/>
      <c r="G739" s="12"/>
      <c r="H739" s="12"/>
      <c r="I739" s="12"/>
      <c r="J739" s="12"/>
      <c r="K739" s="12"/>
      <c r="L739" s="12"/>
      <c r="M739" s="12"/>
      <c r="N739" s="12"/>
      <c r="O739" s="12"/>
      <c r="P739" s="12"/>
      <c r="Q739" s="12"/>
      <c r="R739" s="12"/>
      <c r="S739" s="12"/>
      <c r="T739" s="13"/>
      <c r="U739" s="46" t="s">
        <v>1390</v>
      </c>
      <c r="V739" s="47"/>
      <c r="W739" s="48">
        <f t="shared" si="81"/>
        <v>0</v>
      </c>
      <c r="X739" s="48">
        <f t="shared" si="82"/>
        <v>0</v>
      </c>
      <c r="Y739" s="48">
        <f t="shared" si="83"/>
        <v>0</v>
      </c>
      <c r="Z739" s="48">
        <f t="shared" si="84"/>
        <v>0</v>
      </c>
      <c r="AA739" s="48"/>
      <c r="AB739" s="48"/>
      <c r="AC739" s="49">
        <f t="shared" si="85"/>
        <v>0</v>
      </c>
      <c r="AD739" s="50">
        <v>0</v>
      </c>
      <c r="AE739" s="47">
        <v>40021</v>
      </c>
      <c r="AF739" s="51" t="s">
        <v>516</v>
      </c>
      <c r="AG739" s="52" t="s">
        <v>517</v>
      </c>
      <c r="AH739" s="53" t="s">
        <v>958</v>
      </c>
      <c r="AI739" s="79"/>
      <c r="AJ739" s="80"/>
      <c r="AK739" s="81"/>
      <c r="AL739" s="80"/>
      <c r="AM739" s="80"/>
      <c r="AN739" s="80"/>
      <c r="AO739" s="80"/>
      <c r="AP739" s="80"/>
      <c r="AQ739" s="80"/>
      <c r="AR739" s="80"/>
      <c r="AS739" s="80"/>
      <c r="AT739" s="80"/>
      <c r="AU739" s="80"/>
      <c r="AV739" s="80"/>
      <c r="AW739" s="80"/>
      <c r="AX739" s="80"/>
      <c r="AY739" s="80"/>
      <c r="AZ739" s="80"/>
      <c r="BA739" s="80"/>
      <c r="BB739" s="80"/>
      <c r="BC739" s="80"/>
      <c r="BD739" s="80"/>
      <c r="BE739" s="80"/>
      <c r="BF739" s="80"/>
      <c r="BG739" s="80"/>
      <c r="BH739" s="80"/>
      <c r="BI739" s="80"/>
      <c r="BJ739" s="80"/>
      <c r="BK739" s="80"/>
      <c r="BL739" s="80"/>
      <c r="BM739" s="80"/>
      <c r="BN739" s="80"/>
      <c r="BO739" s="80"/>
      <c r="BP739" s="80"/>
      <c r="BQ739" s="80"/>
      <c r="BR739" s="80"/>
      <c r="BS739" s="80"/>
      <c r="BT739" s="80"/>
      <c r="BU739" s="80"/>
      <c r="BV739" s="80"/>
      <c r="BW739" s="80"/>
      <c r="BX739" s="80"/>
      <c r="BY739" s="80"/>
      <c r="BZ739" s="80"/>
      <c r="CA739" s="80"/>
      <c r="CB739" s="80"/>
      <c r="CC739" s="80"/>
      <c r="CD739" s="80"/>
      <c r="CE739" s="80"/>
      <c r="CF739" s="80"/>
      <c r="CG739" s="80"/>
      <c r="CH739" s="80"/>
      <c r="CI739" s="80"/>
      <c r="CJ739" s="80"/>
      <c r="CK739" s="82"/>
      <c r="CL739" s="12"/>
      <c r="CM739" s="82"/>
      <c r="CN739" s="12"/>
      <c r="CO739" s="82"/>
      <c r="CP739" s="12"/>
      <c r="CQ739" s="83">
        <f t="shared" si="86"/>
        <v>0</v>
      </c>
      <c r="CR739" s="84"/>
      <c r="CS739" s="13"/>
      <c r="CT739" s="85"/>
      <c r="CU739" s="86"/>
      <c r="CV739" s="11"/>
      <c r="CW739" s="86"/>
      <c r="CX739" s="84"/>
      <c r="CY739" s="86"/>
    </row>
    <row r="740" spans="1:103" ht="51" x14ac:dyDescent="0.2">
      <c r="A740" s="43">
        <v>40021</v>
      </c>
      <c r="B740" s="44" t="s">
        <v>1224</v>
      </c>
      <c r="C740" s="44" t="s">
        <v>914</v>
      </c>
      <c r="D740" s="45" t="s">
        <v>1118</v>
      </c>
      <c r="E740" s="11"/>
      <c r="F740" s="12"/>
      <c r="G740" s="12"/>
      <c r="H740" s="12">
        <v>360</v>
      </c>
      <c r="I740" s="12">
        <v>90</v>
      </c>
      <c r="J740" s="12"/>
      <c r="K740" s="12">
        <v>90</v>
      </c>
      <c r="L740" s="12"/>
      <c r="M740" s="12"/>
      <c r="N740" s="12"/>
      <c r="O740" s="12"/>
      <c r="P740" s="12"/>
      <c r="Q740" s="12"/>
      <c r="R740" s="12"/>
      <c r="S740" s="12"/>
      <c r="T740" s="13"/>
      <c r="U740" s="46"/>
      <c r="V740" s="47"/>
      <c r="W740" s="48">
        <f t="shared" si="81"/>
        <v>0</v>
      </c>
      <c r="X740" s="48">
        <f t="shared" si="82"/>
        <v>0</v>
      </c>
      <c r="Y740" s="48">
        <f t="shared" si="83"/>
        <v>0</v>
      </c>
      <c r="Z740" s="48">
        <f t="shared" si="84"/>
        <v>0</v>
      </c>
      <c r="AA740" s="48"/>
      <c r="AB740" s="48"/>
      <c r="AC740" s="49">
        <f t="shared" si="85"/>
        <v>0</v>
      </c>
      <c r="AD740" s="50">
        <v>0</v>
      </c>
      <c r="AE740" s="47">
        <v>40024</v>
      </c>
      <c r="AF740" s="51" t="s">
        <v>516</v>
      </c>
      <c r="AG740" s="52" t="s">
        <v>517</v>
      </c>
      <c r="AH740" s="53" t="s">
        <v>534</v>
      </c>
      <c r="AI740" s="79"/>
      <c r="AJ740" s="80"/>
      <c r="AK740" s="81"/>
      <c r="AL740" s="80"/>
      <c r="AM740" s="80"/>
      <c r="AN740" s="80"/>
      <c r="AO740" s="80"/>
      <c r="AP740" s="80"/>
      <c r="AQ740" s="80"/>
      <c r="AR740" s="80"/>
      <c r="AS740" s="80"/>
      <c r="AT740" s="80"/>
      <c r="AU740" s="80"/>
      <c r="AV740" s="80"/>
      <c r="AW740" s="80"/>
      <c r="AX740" s="80"/>
      <c r="AY740" s="80"/>
      <c r="AZ740" s="80"/>
      <c r="BA740" s="80"/>
      <c r="BB740" s="80"/>
      <c r="BC740" s="80"/>
      <c r="BD740" s="80"/>
      <c r="BE740" s="80"/>
      <c r="BF740" s="80"/>
      <c r="BG740" s="80"/>
      <c r="BH740" s="80"/>
      <c r="BI740" s="80"/>
      <c r="BJ740" s="80"/>
      <c r="BK740" s="80"/>
      <c r="BL740" s="80"/>
      <c r="BM740" s="80"/>
      <c r="BN740" s="80"/>
      <c r="BO740" s="80"/>
      <c r="BP740" s="80"/>
      <c r="BQ740" s="80"/>
      <c r="BR740" s="80"/>
      <c r="BS740" s="80"/>
      <c r="BT740" s="80"/>
      <c r="BU740" s="80"/>
      <c r="BV740" s="80"/>
      <c r="BW740" s="80"/>
      <c r="BX740" s="80"/>
      <c r="BY740" s="80"/>
      <c r="BZ740" s="80"/>
      <c r="CA740" s="80"/>
      <c r="CB740" s="80"/>
      <c r="CC740" s="80"/>
      <c r="CD740" s="80"/>
      <c r="CE740" s="80"/>
      <c r="CF740" s="80"/>
      <c r="CG740" s="80"/>
      <c r="CH740" s="80"/>
      <c r="CI740" s="80"/>
      <c r="CJ740" s="80"/>
      <c r="CK740" s="82"/>
      <c r="CL740" s="12"/>
      <c r="CM740" s="82"/>
      <c r="CN740" s="12"/>
      <c r="CO740" s="82"/>
      <c r="CP740" s="12"/>
      <c r="CQ740" s="83">
        <f t="shared" si="86"/>
        <v>0</v>
      </c>
      <c r="CR740" s="84"/>
      <c r="CS740" s="13"/>
      <c r="CT740" s="85"/>
      <c r="CU740" s="86"/>
      <c r="CV740" s="11"/>
      <c r="CW740" s="86"/>
      <c r="CX740" s="84"/>
      <c r="CY740" s="86"/>
    </row>
    <row r="741" spans="1:103" ht="38.25" x14ac:dyDescent="0.2">
      <c r="A741" s="43">
        <v>40021</v>
      </c>
      <c r="B741" s="44" t="s">
        <v>765</v>
      </c>
      <c r="C741" s="44" t="s">
        <v>1170</v>
      </c>
      <c r="D741" s="45" t="s">
        <v>1118</v>
      </c>
      <c r="E741" s="11"/>
      <c r="F741" s="12"/>
      <c r="G741" s="12"/>
      <c r="H741" s="12">
        <v>55</v>
      </c>
      <c r="I741" s="12">
        <v>11</v>
      </c>
      <c r="J741" s="12"/>
      <c r="K741" s="12">
        <v>11</v>
      </c>
      <c r="L741" s="12"/>
      <c r="M741" s="12"/>
      <c r="N741" s="12"/>
      <c r="O741" s="12"/>
      <c r="P741" s="12"/>
      <c r="Q741" s="12"/>
      <c r="R741" s="12"/>
      <c r="S741" s="12"/>
      <c r="T741" s="13"/>
      <c r="U741" s="46"/>
      <c r="V741" s="47"/>
      <c r="W741" s="48">
        <f t="shared" si="81"/>
        <v>0</v>
      </c>
      <c r="X741" s="48">
        <f t="shared" si="82"/>
        <v>0</v>
      </c>
      <c r="Y741" s="48">
        <f t="shared" si="83"/>
        <v>0</v>
      </c>
      <c r="Z741" s="48">
        <f t="shared" si="84"/>
        <v>0</v>
      </c>
      <c r="AA741" s="48"/>
      <c r="AB741" s="48"/>
      <c r="AC741" s="49">
        <f t="shared" si="85"/>
        <v>0</v>
      </c>
      <c r="AD741" s="50">
        <v>0</v>
      </c>
      <c r="AE741" s="47">
        <v>40021</v>
      </c>
      <c r="AF741" s="51" t="s">
        <v>516</v>
      </c>
      <c r="AG741" s="52" t="s">
        <v>517</v>
      </c>
      <c r="AH741" s="53" t="s">
        <v>66</v>
      </c>
      <c r="AI741" s="79"/>
      <c r="AJ741" s="80"/>
      <c r="AK741" s="81"/>
      <c r="AL741" s="80"/>
      <c r="AM741" s="80"/>
      <c r="AN741" s="80"/>
      <c r="AO741" s="80"/>
      <c r="AP741" s="80"/>
      <c r="AQ741" s="80"/>
      <c r="AR741" s="80"/>
      <c r="AS741" s="80"/>
      <c r="AT741" s="80"/>
      <c r="AU741" s="80"/>
      <c r="AV741" s="80"/>
      <c r="AW741" s="80"/>
      <c r="AX741" s="80"/>
      <c r="AY741" s="80"/>
      <c r="AZ741" s="80"/>
      <c r="BA741" s="80"/>
      <c r="BB741" s="80"/>
      <c r="BC741" s="80"/>
      <c r="BD741" s="80"/>
      <c r="BE741" s="80"/>
      <c r="BF741" s="80"/>
      <c r="BG741" s="80"/>
      <c r="BH741" s="80"/>
      <c r="BI741" s="80"/>
      <c r="BJ741" s="80"/>
      <c r="BK741" s="80"/>
      <c r="BL741" s="80"/>
      <c r="BM741" s="80"/>
      <c r="BN741" s="80"/>
      <c r="BO741" s="80"/>
      <c r="BP741" s="80"/>
      <c r="BQ741" s="80"/>
      <c r="BR741" s="80"/>
      <c r="BS741" s="80"/>
      <c r="BT741" s="80"/>
      <c r="BU741" s="80"/>
      <c r="BV741" s="80"/>
      <c r="BW741" s="80"/>
      <c r="BX741" s="80"/>
      <c r="BY741" s="80"/>
      <c r="BZ741" s="80"/>
      <c r="CA741" s="80"/>
      <c r="CB741" s="80"/>
      <c r="CC741" s="80"/>
      <c r="CD741" s="80"/>
      <c r="CE741" s="80"/>
      <c r="CF741" s="80"/>
      <c r="CG741" s="80"/>
      <c r="CH741" s="80"/>
      <c r="CI741" s="80"/>
      <c r="CJ741" s="80"/>
      <c r="CK741" s="82"/>
      <c r="CL741" s="12"/>
      <c r="CM741" s="82"/>
      <c r="CN741" s="12"/>
      <c r="CO741" s="82"/>
      <c r="CP741" s="12"/>
      <c r="CQ741" s="83">
        <f t="shared" si="86"/>
        <v>0</v>
      </c>
      <c r="CR741" s="84"/>
      <c r="CS741" s="13"/>
      <c r="CT741" s="85"/>
      <c r="CU741" s="86"/>
      <c r="CV741" s="11"/>
      <c r="CW741" s="86"/>
      <c r="CX741" s="84"/>
      <c r="CY741" s="86"/>
    </row>
    <row r="742" spans="1:103" ht="38.25" x14ac:dyDescent="0.2">
      <c r="A742" s="43">
        <v>40022</v>
      </c>
      <c r="B742" s="44" t="s">
        <v>1127</v>
      </c>
      <c r="C742" s="44" t="s">
        <v>1275</v>
      </c>
      <c r="D742" s="45" t="s">
        <v>1070</v>
      </c>
      <c r="E742" s="11">
        <v>1</v>
      </c>
      <c r="F742" s="12">
        <v>5</v>
      </c>
      <c r="G742" s="12"/>
      <c r="H742" s="12"/>
      <c r="I742" s="12"/>
      <c r="J742" s="12"/>
      <c r="K742" s="12"/>
      <c r="L742" s="12"/>
      <c r="M742" s="12"/>
      <c r="N742" s="12"/>
      <c r="O742" s="12"/>
      <c r="P742" s="12"/>
      <c r="Q742" s="12"/>
      <c r="R742" s="12"/>
      <c r="S742" s="12"/>
      <c r="T742" s="13"/>
      <c r="U742" s="46"/>
      <c r="V742" s="47"/>
      <c r="W742" s="48">
        <f t="shared" si="81"/>
        <v>0</v>
      </c>
      <c r="X742" s="48">
        <f t="shared" si="82"/>
        <v>0</v>
      </c>
      <c r="Y742" s="48">
        <f t="shared" si="83"/>
        <v>0</v>
      </c>
      <c r="Z742" s="48">
        <f t="shared" si="84"/>
        <v>0</v>
      </c>
      <c r="AA742" s="48"/>
      <c r="AB742" s="48"/>
      <c r="AC742" s="49">
        <f t="shared" si="85"/>
        <v>0</v>
      </c>
      <c r="AD742" s="50">
        <v>0</v>
      </c>
      <c r="AE742" s="47">
        <v>40024</v>
      </c>
      <c r="AF742" s="51" t="s">
        <v>516</v>
      </c>
      <c r="AG742" s="52" t="s">
        <v>517</v>
      </c>
      <c r="AH742" s="53" t="s">
        <v>1269</v>
      </c>
      <c r="AI742" s="79"/>
      <c r="AJ742" s="80"/>
      <c r="AK742" s="81"/>
      <c r="AL742" s="80"/>
      <c r="AM742" s="80"/>
      <c r="AN742" s="80"/>
      <c r="AO742" s="80"/>
      <c r="AP742" s="80"/>
      <c r="AQ742" s="80"/>
      <c r="AR742" s="80"/>
      <c r="AS742" s="80"/>
      <c r="AT742" s="80"/>
      <c r="AU742" s="80"/>
      <c r="AV742" s="80"/>
      <c r="AW742" s="80"/>
      <c r="AX742" s="80"/>
      <c r="AY742" s="80"/>
      <c r="AZ742" s="80"/>
      <c r="BA742" s="80"/>
      <c r="BB742" s="80"/>
      <c r="BC742" s="80"/>
      <c r="BD742" s="80"/>
      <c r="BE742" s="80"/>
      <c r="BF742" s="80"/>
      <c r="BG742" s="80"/>
      <c r="BH742" s="80"/>
      <c r="BI742" s="80"/>
      <c r="BJ742" s="80"/>
      <c r="BK742" s="80"/>
      <c r="BL742" s="80"/>
      <c r="BM742" s="80"/>
      <c r="BN742" s="80"/>
      <c r="BO742" s="80"/>
      <c r="BP742" s="80"/>
      <c r="BQ742" s="80"/>
      <c r="BR742" s="80"/>
      <c r="BS742" s="80"/>
      <c r="BT742" s="80"/>
      <c r="BU742" s="80"/>
      <c r="BV742" s="80"/>
      <c r="BW742" s="80"/>
      <c r="BX742" s="80"/>
      <c r="BY742" s="80"/>
      <c r="BZ742" s="80"/>
      <c r="CA742" s="80"/>
      <c r="CB742" s="80"/>
      <c r="CC742" s="80"/>
      <c r="CD742" s="80"/>
      <c r="CE742" s="80"/>
      <c r="CF742" s="80"/>
      <c r="CG742" s="80"/>
      <c r="CH742" s="80"/>
      <c r="CI742" s="80"/>
      <c r="CJ742" s="80"/>
      <c r="CK742" s="82"/>
      <c r="CL742" s="12"/>
      <c r="CM742" s="82"/>
      <c r="CN742" s="12"/>
      <c r="CO742" s="82"/>
      <c r="CP742" s="12"/>
      <c r="CQ742" s="83">
        <f t="shared" si="86"/>
        <v>0</v>
      </c>
      <c r="CR742" s="84"/>
      <c r="CS742" s="13"/>
      <c r="CT742" s="85"/>
      <c r="CU742" s="86"/>
      <c r="CV742" s="11"/>
      <c r="CW742" s="86"/>
      <c r="CX742" s="84"/>
      <c r="CY742" s="86"/>
    </row>
    <row r="743" spans="1:103" ht="38.25" x14ac:dyDescent="0.2">
      <c r="A743" s="43">
        <v>40022</v>
      </c>
      <c r="B743" s="44" t="s">
        <v>765</v>
      </c>
      <c r="C743" s="44" t="s">
        <v>67</v>
      </c>
      <c r="D743" s="45" t="s">
        <v>1118</v>
      </c>
      <c r="E743" s="11"/>
      <c r="F743" s="12"/>
      <c r="G743" s="12"/>
      <c r="H743" s="12">
        <f>24*5</f>
        <v>120</v>
      </c>
      <c r="I743" s="12">
        <v>24</v>
      </c>
      <c r="J743" s="12"/>
      <c r="K743" s="12">
        <v>24</v>
      </c>
      <c r="L743" s="12"/>
      <c r="M743" s="12"/>
      <c r="N743" s="12"/>
      <c r="O743" s="12"/>
      <c r="P743" s="12"/>
      <c r="Q743" s="12"/>
      <c r="R743" s="12"/>
      <c r="S743" s="12"/>
      <c r="T743" s="13"/>
      <c r="U743" s="46"/>
      <c r="V743" s="47"/>
      <c r="W743" s="48">
        <f t="shared" si="81"/>
        <v>0</v>
      </c>
      <c r="X743" s="48">
        <f t="shared" si="82"/>
        <v>0</v>
      </c>
      <c r="Y743" s="48">
        <f t="shared" si="83"/>
        <v>0</v>
      </c>
      <c r="Z743" s="48">
        <f t="shared" si="84"/>
        <v>0</v>
      </c>
      <c r="AA743" s="48"/>
      <c r="AB743" s="48"/>
      <c r="AC743" s="49">
        <f t="shared" si="85"/>
        <v>0</v>
      </c>
      <c r="AD743" s="50">
        <v>0</v>
      </c>
      <c r="AE743" s="47">
        <v>40024</v>
      </c>
      <c r="AF743" s="51" t="s">
        <v>516</v>
      </c>
      <c r="AG743" s="52" t="s">
        <v>517</v>
      </c>
      <c r="AH743" s="53" t="s">
        <v>68</v>
      </c>
      <c r="AI743" s="79"/>
      <c r="AJ743" s="80"/>
      <c r="AK743" s="81"/>
      <c r="AL743" s="80"/>
      <c r="AM743" s="80"/>
      <c r="AN743" s="80"/>
      <c r="AO743" s="80"/>
      <c r="AP743" s="80"/>
      <c r="AQ743" s="80"/>
      <c r="AR743" s="80"/>
      <c r="AS743" s="80"/>
      <c r="AT743" s="80"/>
      <c r="AU743" s="80"/>
      <c r="AV743" s="80"/>
      <c r="AW743" s="80"/>
      <c r="AX743" s="80"/>
      <c r="AY743" s="80"/>
      <c r="AZ743" s="80"/>
      <c r="BA743" s="80"/>
      <c r="BB743" s="80"/>
      <c r="BC743" s="80"/>
      <c r="BD743" s="80"/>
      <c r="BE743" s="80"/>
      <c r="BF743" s="80"/>
      <c r="BG743" s="80"/>
      <c r="BH743" s="80"/>
      <c r="BI743" s="80"/>
      <c r="BJ743" s="80"/>
      <c r="BK743" s="80"/>
      <c r="BL743" s="80"/>
      <c r="BM743" s="80"/>
      <c r="BN743" s="80"/>
      <c r="BO743" s="80"/>
      <c r="BP743" s="80"/>
      <c r="BQ743" s="80"/>
      <c r="BR743" s="80"/>
      <c r="BS743" s="80"/>
      <c r="BT743" s="80"/>
      <c r="BU743" s="80"/>
      <c r="BV743" s="80"/>
      <c r="BW743" s="80"/>
      <c r="BX743" s="80"/>
      <c r="BY743" s="80"/>
      <c r="BZ743" s="80"/>
      <c r="CA743" s="80"/>
      <c r="CB743" s="80"/>
      <c r="CC743" s="80"/>
      <c r="CD743" s="80"/>
      <c r="CE743" s="80"/>
      <c r="CF743" s="80"/>
      <c r="CG743" s="80"/>
      <c r="CH743" s="80"/>
      <c r="CI743" s="80"/>
      <c r="CJ743" s="80"/>
      <c r="CK743" s="82"/>
      <c r="CL743" s="12"/>
      <c r="CM743" s="82"/>
      <c r="CN743" s="12"/>
      <c r="CO743" s="82"/>
      <c r="CP743" s="12"/>
      <c r="CQ743" s="83">
        <f t="shared" si="86"/>
        <v>0</v>
      </c>
      <c r="CR743" s="84"/>
      <c r="CS743" s="13"/>
      <c r="CT743" s="85"/>
      <c r="CU743" s="86"/>
      <c r="CV743" s="11"/>
      <c r="CW743" s="86"/>
      <c r="CX743" s="84"/>
      <c r="CY743" s="86"/>
    </row>
    <row r="744" spans="1:103" ht="25.5" x14ac:dyDescent="0.2">
      <c r="A744" s="43">
        <v>40022</v>
      </c>
      <c r="B744" s="44" t="s">
        <v>481</v>
      </c>
      <c r="C744" s="44" t="s">
        <v>188</v>
      </c>
      <c r="D744" s="45" t="s">
        <v>1117</v>
      </c>
      <c r="E744" s="11"/>
      <c r="F744" s="12"/>
      <c r="G744" s="12"/>
      <c r="H744" s="12">
        <v>35</v>
      </c>
      <c r="I744" s="12">
        <v>7</v>
      </c>
      <c r="J744" s="12"/>
      <c r="K744" s="12">
        <v>7</v>
      </c>
      <c r="L744" s="12"/>
      <c r="M744" s="12"/>
      <c r="N744" s="12"/>
      <c r="O744" s="12"/>
      <c r="P744" s="12"/>
      <c r="Q744" s="12"/>
      <c r="R744" s="12"/>
      <c r="S744" s="12"/>
      <c r="T744" s="13"/>
      <c r="U744" s="46"/>
      <c r="V744" s="47"/>
      <c r="W744" s="48">
        <f t="shared" si="81"/>
        <v>0</v>
      </c>
      <c r="X744" s="48">
        <f t="shared" si="82"/>
        <v>0</v>
      </c>
      <c r="Y744" s="48">
        <f t="shared" si="83"/>
        <v>0</v>
      </c>
      <c r="Z744" s="48">
        <f t="shared" si="84"/>
        <v>0</v>
      </c>
      <c r="AA744" s="48"/>
      <c r="AB744" s="48"/>
      <c r="AC744" s="49">
        <f t="shared" si="85"/>
        <v>0</v>
      </c>
      <c r="AD744" s="50">
        <v>0</v>
      </c>
      <c r="AE744" s="47">
        <v>40024</v>
      </c>
      <c r="AF744" s="51" t="s">
        <v>516</v>
      </c>
      <c r="AG744" s="52" t="s">
        <v>517</v>
      </c>
      <c r="AH744" s="53" t="s">
        <v>917</v>
      </c>
      <c r="AI744" s="79"/>
      <c r="AJ744" s="80"/>
      <c r="AK744" s="81"/>
      <c r="AL744" s="80"/>
      <c r="AM744" s="80"/>
      <c r="AN744" s="80"/>
      <c r="AO744" s="80"/>
      <c r="AP744" s="80"/>
      <c r="AQ744" s="80"/>
      <c r="AR744" s="80"/>
      <c r="AS744" s="80"/>
      <c r="AT744" s="80"/>
      <c r="AU744" s="80"/>
      <c r="AV744" s="80"/>
      <c r="AW744" s="80"/>
      <c r="AX744" s="80"/>
      <c r="AY744" s="80"/>
      <c r="AZ744" s="80"/>
      <c r="BA744" s="80"/>
      <c r="BB744" s="80"/>
      <c r="BC744" s="80"/>
      <c r="BD744" s="80"/>
      <c r="BE744" s="80"/>
      <c r="BF744" s="80"/>
      <c r="BG744" s="80"/>
      <c r="BH744" s="80"/>
      <c r="BI744" s="80"/>
      <c r="BJ744" s="80"/>
      <c r="BK744" s="80"/>
      <c r="BL744" s="80"/>
      <c r="BM744" s="80"/>
      <c r="BN744" s="80"/>
      <c r="BO744" s="80"/>
      <c r="BP744" s="80"/>
      <c r="BQ744" s="80"/>
      <c r="BR744" s="80"/>
      <c r="BS744" s="80"/>
      <c r="BT744" s="80"/>
      <c r="BU744" s="80"/>
      <c r="BV744" s="80"/>
      <c r="BW744" s="80"/>
      <c r="BX744" s="80"/>
      <c r="BY744" s="80"/>
      <c r="BZ744" s="80"/>
      <c r="CA744" s="80"/>
      <c r="CB744" s="80"/>
      <c r="CC744" s="80"/>
      <c r="CD744" s="80"/>
      <c r="CE744" s="80"/>
      <c r="CF744" s="80"/>
      <c r="CG744" s="80"/>
      <c r="CH744" s="80"/>
      <c r="CI744" s="80"/>
      <c r="CJ744" s="80"/>
      <c r="CK744" s="82"/>
      <c r="CL744" s="12"/>
      <c r="CM744" s="82"/>
      <c r="CN744" s="12"/>
      <c r="CO744" s="82"/>
      <c r="CP744" s="12"/>
      <c r="CQ744" s="83">
        <f t="shared" si="86"/>
        <v>0</v>
      </c>
      <c r="CR744" s="84"/>
      <c r="CS744" s="13"/>
      <c r="CT744" s="85"/>
      <c r="CU744" s="86"/>
      <c r="CV744" s="11"/>
      <c r="CW744" s="86"/>
      <c r="CX744" s="84"/>
      <c r="CY744" s="86"/>
    </row>
    <row r="745" spans="1:103" ht="25.5" x14ac:dyDescent="0.2">
      <c r="A745" s="43">
        <v>40022</v>
      </c>
      <c r="B745" s="44" t="s">
        <v>1114</v>
      </c>
      <c r="C745" s="44" t="s">
        <v>881</v>
      </c>
      <c r="D745" s="45" t="s">
        <v>1092</v>
      </c>
      <c r="E745" s="11">
        <v>1</v>
      </c>
      <c r="F745" s="12">
        <v>1</v>
      </c>
      <c r="G745" s="12"/>
      <c r="H745" s="12"/>
      <c r="I745" s="12"/>
      <c r="J745" s="12"/>
      <c r="K745" s="12"/>
      <c r="L745" s="12">
        <v>1</v>
      </c>
      <c r="M745" s="12"/>
      <c r="N745" s="12"/>
      <c r="O745" s="12"/>
      <c r="P745" s="12"/>
      <c r="Q745" s="12"/>
      <c r="R745" s="12"/>
      <c r="S745" s="12"/>
      <c r="T745" s="13"/>
      <c r="U745" s="46"/>
      <c r="V745" s="47"/>
      <c r="W745" s="48">
        <f t="shared" si="81"/>
        <v>0</v>
      </c>
      <c r="X745" s="48">
        <f t="shared" si="82"/>
        <v>0</v>
      </c>
      <c r="Y745" s="48">
        <f t="shared" si="83"/>
        <v>0</v>
      </c>
      <c r="Z745" s="48">
        <f t="shared" si="84"/>
        <v>0</v>
      </c>
      <c r="AA745" s="48"/>
      <c r="AB745" s="48"/>
      <c r="AC745" s="49">
        <f t="shared" si="85"/>
        <v>0</v>
      </c>
      <c r="AD745" s="50">
        <v>0</v>
      </c>
      <c r="AE745" s="47">
        <v>40024</v>
      </c>
      <c r="AF745" s="51" t="s">
        <v>516</v>
      </c>
      <c r="AG745" s="52" t="s">
        <v>517</v>
      </c>
      <c r="AH745" s="53" t="s">
        <v>445</v>
      </c>
      <c r="AI745" s="79"/>
      <c r="AJ745" s="80"/>
      <c r="AK745" s="81"/>
      <c r="AL745" s="80"/>
      <c r="AM745" s="80"/>
      <c r="AN745" s="80"/>
      <c r="AO745" s="80"/>
      <c r="AP745" s="80"/>
      <c r="AQ745" s="80"/>
      <c r="AR745" s="80"/>
      <c r="AS745" s="80"/>
      <c r="AT745" s="80"/>
      <c r="AU745" s="80"/>
      <c r="AV745" s="80"/>
      <c r="AW745" s="80"/>
      <c r="AX745" s="80"/>
      <c r="AY745" s="80"/>
      <c r="AZ745" s="80"/>
      <c r="BA745" s="80"/>
      <c r="BB745" s="80"/>
      <c r="BC745" s="80"/>
      <c r="BD745" s="80"/>
      <c r="BE745" s="80"/>
      <c r="BF745" s="80"/>
      <c r="BG745" s="80"/>
      <c r="BH745" s="80"/>
      <c r="BI745" s="80"/>
      <c r="BJ745" s="80"/>
      <c r="BK745" s="80"/>
      <c r="BL745" s="80"/>
      <c r="BM745" s="80"/>
      <c r="BN745" s="80"/>
      <c r="BO745" s="80"/>
      <c r="BP745" s="80"/>
      <c r="BQ745" s="80"/>
      <c r="BR745" s="80"/>
      <c r="BS745" s="80"/>
      <c r="BT745" s="80"/>
      <c r="BU745" s="80"/>
      <c r="BV745" s="80"/>
      <c r="BW745" s="80"/>
      <c r="BX745" s="80"/>
      <c r="BY745" s="80"/>
      <c r="BZ745" s="80"/>
      <c r="CA745" s="80"/>
      <c r="CB745" s="80"/>
      <c r="CC745" s="80"/>
      <c r="CD745" s="80"/>
      <c r="CE745" s="80"/>
      <c r="CF745" s="80"/>
      <c r="CG745" s="80"/>
      <c r="CH745" s="80"/>
      <c r="CI745" s="80"/>
      <c r="CJ745" s="80"/>
      <c r="CK745" s="82"/>
      <c r="CL745" s="12"/>
      <c r="CM745" s="82"/>
      <c r="CN745" s="12"/>
      <c r="CO745" s="82"/>
      <c r="CP745" s="12"/>
      <c r="CQ745" s="83">
        <f t="shared" si="86"/>
        <v>0</v>
      </c>
      <c r="CR745" s="84"/>
      <c r="CS745" s="13"/>
      <c r="CT745" s="85"/>
      <c r="CU745" s="86"/>
      <c r="CV745" s="11"/>
      <c r="CW745" s="86"/>
      <c r="CX745" s="84"/>
      <c r="CY745" s="86"/>
    </row>
    <row r="746" spans="1:103" ht="51" x14ac:dyDescent="0.2">
      <c r="A746" s="43">
        <v>40022</v>
      </c>
      <c r="B746" s="44" t="s">
        <v>413</v>
      </c>
      <c r="C746" s="44" t="s">
        <v>414</v>
      </c>
      <c r="D746" s="45" t="s">
        <v>1117</v>
      </c>
      <c r="E746" s="11"/>
      <c r="F746" s="12"/>
      <c r="G746" s="12"/>
      <c r="H746" s="12">
        <v>50</v>
      </c>
      <c r="I746" s="12">
        <v>10</v>
      </c>
      <c r="J746" s="12"/>
      <c r="K746" s="12">
        <v>10</v>
      </c>
      <c r="L746" s="12"/>
      <c r="M746" s="12"/>
      <c r="N746" s="12"/>
      <c r="O746" s="12"/>
      <c r="P746" s="12"/>
      <c r="Q746" s="12"/>
      <c r="R746" s="12"/>
      <c r="S746" s="12"/>
      <c r="T746" s="13"/>
      <c r="U746" s="46"/>
      <c r="V746" s="47"/>
      <c r="W746" s="48">
        <f t="shared" si="81"/>
        <v>0</v>
      </c>
      <c r="X746" s="48">
        <f t="shared" si="82"/>
        <v>0</v>
      </c>
      <c r="Y746" s="48">
        <f t="shared" si="83"/>
        <v>0</v>
      </c>
      <c r="Z746" s="48">
        <f t="shared" si="84"/>
        <v>0</v>
      </c>
      <c r="AA746" s="48"/>
      <c r="AB746" s="48"/>
      <c r="AC746" s="49">
        <f t="shared" si="85"/>
        <v>0</v>
      </c>
      <c r="AD746" s="50">
        <v>0</v>
      </c>
      <c r="AE746" s="47">
        <v>40024</v>
      </c>
      <c r="AF746" s="51" t="s">
        <v>516</v>
      </c>
      <c r="AG746" s="52" t="s">
        <v>517</v>
      </c>
      <c r="AH746" s="53" t="s">
        <v>918</v>
      </c>
      <c r="AI746" s="79"/>
      <c r="AJ746" s="80"/>
      <c r="AK746" s="81"/>
      <c r="AL746" s="80"/>
      <c r="AM746" s="80"/>
      <c r="AN746" s="80"/>
      <c r="AO746" s="80"/>
      <c r="AP746" s="80"/>
      <c r="AQ746" s="80"/>
      <c r="AR746" s="80"/>
      <c r="AS746" s="80"/>
      <c r="AT746" s="80"/>
      <c r="AU746" s="80"/>
      <c r="AV746" s="80"/>
      <c r="AW746" s="80"/>
      <c r="AX746" s="80"/>
      <c r="AY746" s="80"/>
      <c r="AZ746" s="80"/>
      <c r="BA746" s="80"/>
      <c r="BB746" s="80"/>
      <c r="BC746" s="80"/>
      <c r="BD746" s="80"/>
      <c r="BE746" s="80"/>
      <c r="BF746" s="80"/>
      <c r="BG746" s="80"/>
      <c r="BH746" s="80"/>
      <c r="BI746" s="80"/>
      <c r="BJ746" s="80"/>
      <c r="BK746" s="80"/>
      <c r="BL746" s="80"/>
      <c r="BM746" s="80"/>
      <c r="BN746" s="80"/>
      <c r="BO746" s="80"/>
      <c r="BP746" s="80"/>
      <c r="BQ746" s="80"/>
      <c r="BR746" s="80"/>
      <c r="BS746" s="80"/>
      <c r="BT746" s="80"/>
      <c r="BU746" s="80"/>
      <c r="BV746" s="80"/>
      <c r="BW746" s="80"/>
      <c r="BX746" s="80"/>
      <c r="BY746" s="80"/>
      <c r="BZ746" s="80"/>
      <c r="CA746" s="80"/>
      <c r="CB746" s="80"/>
      <c r="CC746" s="80"/>
      <c r="CD746" s="80"/>
      <c r="CE746" s="80"/>
      <c r="CF746" s="80"/>
      <c r="CG746" s="80"/>
      <c r="CH746" s="80"/>
      <c r="CI746" s="80"/>
      <c r="CJ746" s="80"/>
      <c r="CK746" s="82"/>
      <c r="CL746" s="12"/>
      <c r="CM746" s="82"/>
      <c r="CN746" s="12"/>
      <c r="CO746" s="82"/>
      <c r="CP746" s="12"/>
      <c r="CQ746" s="83">
        <f t="shared" si="86"/>
        <v>0</v>
      </c>
      <c r="CR746" s="84"/>
      <c r="CS746" s="13"/>
      <c r="CT746" s="85"/>
      <c r="CU746" s="86"/>
      <c r="CV746" s="11"/>
      <c r="CW746" s="86"/>
      <c r="CX746" s="84"/>
      <c r="CY746" s="86"/>
    </row>
    <row r="747" spans="1:103" ht="38.25" x14ac:dyDescent="0.2">
      <c r="A747" s="43">
        <v>40022</v>
      </c>
      <c r="B747" s="44" t="s">
        <v>1350</v>
      </c>
      <c r="C747" s="44" t="s">
        <v>1351</v>
      </c>
      <c r="D747" s="45" t="s">
        <v>1116</v>
      </c>
      <c r="E747" s="11"/>
      <c r="F747" s="12"/>
      <c r="G747" s="12"/>
      <c r="H747" s="12">
        <v>10</v>
      </c>
      <c r="I747" s="12">
        <v>2</v>
      </c>
      <c r="J747" s="12">
        <v>2</v>
      </c>
      <c r="K747" s="12"/>
      <c r="L747" s="12"/>
      <c r="M747" s="12"/>
      <c r="N747" s="12"/>
      <c r="O747" s="12"/>
      <c r="P747" s="12"/>
      <c r="Q747" s="12"/>
      <c r="R747" s="12"/>
      <c r="S747" s="12"/>
      <c r="T747" s="13"/>
      <c r="U747" s="46"/>
      <c r="V747" s="47"/>
      <c r="W747" s="48">
        <f t="shared" si="81"/>
        <v>0</v>
      </c>
      <c r="X747" s="48">
        <f t="shared" si="82"/>
        <v>0</v>
      </c>
      <c r="Y747" s="48">
        <f t="shared" si="83"/>
        <v>0</v>
      </c>
      <c r="Z747" s="48">
        <f t="shared" si="84"/>
        <v>0</v>
      </c>
      <c r="AA747" s="48"/>
      <c r="AB747" s="48"/>
      <c r="AC747" s="49">
        <f t="shared" si="85"/>
        <v>0</v>
      </c>
      <c r="AD747" s="50">
        <v>0</v>
      </c>
      <c r="AE747" s="47">
        <v>40024</v>
      </c>
      <c r="AF747" s="51" t="s">
        <v>516</v>
      </c>
      <c r="AG747" s="52" t="s">
        <v>517</v>
      </c>
      <c r="AH747" s="53" t="s">
        <v>535</v>
      </c>
      <c r="AI747" s="79"/>
      <c r="AJ747" s="80"/>
      <c r="AK747" s="81"/>
      <c r="AL747" s="80"/>
      <c r="AM747" s="80"/>
      <c r="AN747" s="80"/>
      <c r="AO747" s="80"/>
      <c r="AP747" s="80"/>
      <c r="AQ747" s="80"/>
      <c r="AR747" s="80"/>
      <c r="AS747" s="80"/>
      <c r="AT747" s="80"/>
      <c r="AU747" s="80"/>
      <c r="AV747" s="80"/>
      <c r="AW747" s="80"/>
      <c r="AX747" s="80"/>
      <c r="AY747" s="80"/>
      <c r="AZ747" s="80"/>
      <c r="BA747" s="80"/>
      <c r="BB747" s="80"/>
      <c r="BC747" s="80"/>
      <c r="BD747" s="80"/>
      <c r="BE747" s="80"/>
      <c r="BF747" s="80"/>
      <c r="BG747" s="80"/>
      <c r="BH747" s="80"/>
      <c r="BI747" s="80"/>
      <c r="BJ747" s="80"/>
      <c r="BK747" s="80"/>
      <c r="BL747" s="80"/>
      <c r="BM747" s="80"/>
      <c r="BN747" s="80"/>
      <c r="BO747" s="80"/>
      <c r="BP747" s="80"/>
      <c r="BQ747" s="80"/>
      <c r="BR747" s="80"/>
      <c r="BS747" s="80"/>
      <c r="BT747" s="80"/>
      <c r="BU747" s="80"/>
      <c r="BV747" s="80"/>
      <c r="BW747" s="80"/>
      <c r="BX747" s="80"/>
      <c r="BY747" s="80"/>
      <c r="BZ747" s="80"/>
      <c r="CA747" s="80"/>
      <c r="CB747" s="80"/>
      <c r="CC747" s="80"/>
      <c r="CD747" s="80"/>
      <c r="CE747" s="80"/>
      <c r="CF747" s="80"/>
      <c r="CG747" s="80"/>
      <c r="CH747" s="80"/>
      <c r="CI747" s="80"/>
      <c r="CJ747" s="80"/>
      <c r="CK747" s="82"/>
      <c r="CL747" s="12"/>
      <c r="CM747" s="82"/>
      <c r="CN747" s="12"/>
      <c r="CO747" s="82"/>
      <c r="CP747" s="12"/>
      <c r="CQ747" s="83">
        <f t="shared" si="86"/>
        <v>0</v>
      </c>
      <c r="CR747" s="84"/>
      <c r="CS747" s="13"/>
      <c r="CT747" s="85"/>
      <c r="CU747" s="86"/>
      <c r="CV747" s="11"/>
      <c r="CW747" s="86"/>
      <c r="CX747" s="84"/>
      <c r="CY747" s="86"/>
    </row>
    <row r="748" spans="1:103" ht="38.25" x14ac:dyDescent="0.2">
      <c r="A748" s="43">
        <v>40023</v>
      </c>
      <c r="B748" s="44" t="s">
        <v>625</v>
      </c>
      <c r="C748" s="44" t="s">
        <v>447</v>
      </c>
      <c r="D748" s="45" t="s">
        <v>1117</v>
      </c>
      <c r="E748" s="11"/>
      <c r="F748" s="12"/>
      <c r="G748" s="12"/>
      <c r="H748" s="12">
        <v>948</v>
      </c>
      <c r="I748" s="12">
        <v>237</v>
      </c>
      <c r="J748" s="12"/>
      <c r="K748" s="12">
        <v>237</v>
      </c>
      <c r="L748" s="12"/>
      <c r="M748" s="12"/>
      <c r="N748" s="12"/>
      <c r="O748" s="12"/>
      <c r="P748" s="12"/>
      <c r="Q748" s="12"/>
      <c r="R748" s="12"/>
      <c r="S748" s="12"/>
      <c r="T748" s="13"/>
      <c r="U748" s="46"/>
      <c r="V748" s="47"/>
      <c r="W748" s="48">
        <f t="shared" si="81"/>
        <v>0</v>
      </c>
      <c r="X748" s="48">
        <f t="shared" si="82"/>
        <v>0</v>
      </c>
      <c r="Y748" s="48">
        <f t="shared" si="83"/>
        <v>0</v>
      </c>
      <c r="Z748" s="48">
        <f t="shared" si="84"/>
        <v>0</v>
      </c>
      <c r="AA748" s="48"/>
      <c r="AB748" s="48"/>
      <c r="AC748" s="49">
        <f t="shared" si="85"/>
        <v>0</v>
      </c>
      <c r="AD748" s="50">
        <v>0</v>
      </c>
      <c r="AE748" s="47">
        <v>40025</v>
      </c>
      <c r="AF748" s="51" t="s">
        <v>516</v>
      </c>
      <c r="AG748" s="52" t="s">
        <v>517</v>
      </c>
      <c r="AH748" s="53" t="s">
        <v>922</v>
      </c>
      <c r="AI748" s="79"/>
      <c r="AJ748" s="80"/>
      <c r="AK748" s="81"/>
      <c r="AL748" s="80"/>
      <c r="AM748" s="80"/>
      <c r="AN748" s="80"/>
      <c r="AO748" s="80"/>
      <c r="AP748" s="80"/>
      <c r="AQ748" s="80"/>
      <c r="AR748" s="80"/>
      <c r="AS748" s="80"/>
      <c r="AT748" s="80"/>
      <c r="AU748" s="80"/>
      <c r="AV748" s="80"/>
      <c r="AW748" s="80"/>
      <c r="AX748" s="80"/>
      <c r="AY748" s="80"/>
      <c r="AZ748" s="80"/>
      <c r="BA748" s="80"/>
      <c r="BB748" s="80"/>
      <c r="BC748" s="80"/>
      <c r="BD748" s="80"/>
      <c r="BE748" s="80"/>
      <c r="BF748" s="80"/>
      <c r="BG748" s="80"/>
      <c r="BH748" s="80"/>
      <c r="BI748" s="80"/>
      <c r="BJ748" s="80"/>
      <c r="BK748" s="80"/>
      <c r="BL748" s="80"/>
      <c r="BM748" s="80"/>
      <c r="BN748" s="80"/>
      <c r="BO748" s="80"/>
      <c r="BP748" s="80"/>
      <c r="BQ748" s="80"/>
      <c r="BR748" s="80"/>
      <c r="BS748" s="80"/>
      <c r="BT748" s="80"/>
      <c r="BU748" s="80"/>
      <c r="BV748" s="80"/>
      <c r="BW748" s="80"/>
      <c r="BX748" s="80"/>
      <c r="BY748" s="80"/>
      <c r="BZ748" s="80"/>
      <c r="CA748" s="80"/>
      <c r="CB748" s="80"/>
      <c r="CC748" s="80"/>
      <c r="CD748" s="80"/>
      <c r="CE748" s="80"/>
      <c r="CF748" s="80"/>
      <c r="CG748" s="80"/>
      <c r="CH748" s="80"/>
      <c r="CI748" s="80"/>
      <c r="CJ748" s="80"/>
      <c r="CK748" s="82"/>
      <c r="CL748" s="12"/>
      <c r="CM748" s="82"/>
      <c r="CN748" s="12"/>
      <c r="CO748" s="82"/>
      <c r="CP748" s="12"/>
      <c r="CQ748" s="83">
        <f t="shared" si="86"/>
        <v>0</v>
      </c>
      <c r="CR748" s="84"/>
      <c r="CS748" s="13"/>
      <c r="CT748" s="85"/>
      <c r="CU748" s="86"/>
      <c r="CV748" s="11"/>
      <c r="CW748" s="86"/>
      <c r="CX748" s="84"/>
      <c r="CY748" s="86"/>
    </row>
    <row r="749" spans="1:103" ht="25.5" x14ac:dyDescent="0.2">
      <c r="A749" s="43">
        <v>40023</v>
      </c>
      <c r="B749" s="44" t="s">
        <v>1097</v>
      </c>
      <c r="C749" s="44" t="s">
        <v>446</v>
      </c>
      <c r="D749" s="45" t="s">
        <v>1385</v>
      </c>
      <c r="E749" s="11"/>
      <c r="F749" s="12"/>
      <c r="G749" s="12"/>
      <c r="H749" s="12">
        <v>106</v>
      </c>
      <c r="I749" s="12">
        <v>22</v>
      </c>
      <c r="J749" s="12">
        <v>4</v>
      </c>
      <c r="K749" s="12">
        <v>18</v>
      </c>
      <c r="L749" s="12"/>
      <c r="M749" s="12"/>
      <c r="N749" s="12"/>
      <c r="O749" s="12"/>
      <c r="P749" s="12"/>
      <c r="Q749" s="12"/>
      <c r="R749" s="12"/>
      <c r="S749" s="12"/>
      <c r="T749" s="13"/>
      <c r="U749" s="46"/>
      <c r="V749" s="47"/>
      <c r="W749" s="48">
        <f t="shared" si="81"/>
        <v>0</v>
      </c>
      <c r="X749" s="48">
        <f t="shared" si="82"/>
        <v>0</v>
      </c>
      <c r="Y749" s="48">
        <f t="shared" si="83"/>
        <v>0</v>
      </c>
      <c r="Z749" s="48">
        <f t="shared" si="84"/>
        <v>0</v>
      </c>
      <c r="AA749" s="48"/>
      <c r="AB749" s="48"/>
      <c r="AC749" s="49">
        <f t="shared" si="85"/>
        <v>0</v>
      </c>
      <c r="AD749" s="50">
        <v>0</v>
      </c>
      <c r="AE749" s="47">
        <v>40024</v>
      </c>
      <c r="AF749" s="51" t="s">
        <v>516</v>
      </c>
      <c r="AG749" s="52" t="s">
        <v>517</v>
      </c>
      <c r="AH749" s="53" t="s">
        <v>758</v>
      </c>
      <c r="AI749" s="79"/>
      <c r="AJ749" s="80"/>
      <c r="AK749" s="81"/>
      <c r="AL749" s="80"/>
      <c r="AM749" s="80"/>
      <c r="AN749" s="80"/>
      <c r="AO749" s="80"/>
      <c r="AP749" s="80"/>
      <c r="AQ749" s="80"/>
      <c r="AR749" s="80"/>
      <c r="AS749" s="80"/>
      <c r="AT749" s="80"/>
      <c r="AU749" s="80"/>
      <c r="AV749" s="80"/>
      <c r="AW749" s="80"/>
      <c r="AX749" s="80"/>
      <c r="AY749" s="80"/>
      <c r="AZ749" s="80"/>
      <c r="BA749" s="80"/>
      <c r="BB749" s="80"/>
      <c r="BC749" s="80"/>
      <c r="BD749" s="80"/>
      <c r="BE749" s="80"/>
      <c r="BF749" s="80"/>
      <c r="BG749" s="80"/>
      <c r="BH749" s="80"/>
      <c r="BI749" s="80"/>
      <c r="BJ749" s="80"/>
      <c r="BK749" s="80"/>
      <c r="BL749" s="80"/>
      <c r="BM749" s="80"/>
      <c r="BN749" s="80"/>
      <c r="BO749" s="80"/>
      <c r="BP749" s="80"/>
      <c r="BQ749" s="80"/>
      <c r="BR749" s="80"/>
      <c r="BS749" s="80"/>
      <c r="BT749" s="80"/>
      <c r="BU749" s="80"/>
      <c r="BV749" s="80"/>
      <c r="BW749" s="80"/>
      <c r="BX749" s="80"/>
      <c r="BY749" s="80"/>
      <c r="BZ749" s="80"/>
      <c r="CA749" s="80"/>
      <c r="CB749" s="80"/>
      <c r="CC749" s="80"/>
      <c r="CD749" s="80"/>
      <c r="CE749" s="80"/>
      <c r="CF749" s="80"/>
      <c r="CG749" s="80"/>
      <c r="CH749" s="80"/>
      <c r="CI749" s="80"/>
      <c r="CJ749" s="80"/>
      <c r="CK749" s="82"/>
      <c r="CL749" s="12"/>
      <c r="CM749" s="82"/>
      <c r="CN749" s="12"/>
      <c r="CO749" s="82"/>
      <c r="CP749" s="12"/>
      <c r="CQ749" s="83">
        <f t="shared" si="86"/>
        <v>0</v>
      </c>
      <c r="CR749" s="84"/>
      <c r="CS749" s="13"/>
      <c r="CT749" s="85"/>
      <c r="CU749" s="86"/>
      <c r="CV749" s="11"/>
      <c r="CW749" s="86"/>
      <c r="CX749" s="84"/>
      <c r="CY749" s="86"/>
    </row>
    <row r="750" spans="1:103" ht="25.5" x14ac:dyDescent="0.2">
      <c r="A750" s="43">
        <v>40024</v>
      </c>
      <c r="B750" s="44" t="s">
        <v>625</v>
      </c>
      <c r="C750" s="44" t="s">
        <v>440</v>
      </c>
      <c r="D750" s="45" t="s">
        <v>1070</v>
      </c>
      <c r="E750" s="11">
        <v>3</v>
      </c>
      <c r="F750" s="12"/>
      <c r="G750" s="12"/>
      <c r="H750" s="12"/>
      <c r="I750" s="12"/>
      <c r="J750" s="12"/>
      <c r="K750" s="12"/>
      <c r="L750" s="12"/>
      <c r="M750" s="12"/>
      <c r="N750" s="12"/>
      <c r="O750" s="12"/>
      <c r="P750" s="12"/>
      <c r="Q750" s="12"/>
      <c r="R750" s="12"/>
      <c r="S750" s="12"/>
      <c r="T750" s="13"/>
      <c r="U750" s="46"/>
      <c r="V750" s="47"/>
      <c r="W750" s="48">
        <f t="shared" si="81"/>
        <v>0</v>
      </c>
      <c r="X750" s="48">
        <f t="shared" si="82"/>
        <v>0</v>
      </c>
      <c r="Y750" s="48">
        <f t="shared" si="83"/>
        <v>0</v>
      </c>
      <c r="Z750" s="48">
        <f t="shared" si="84"/>
        <v>0</v>
      </c>
      <c r="AA750" s="48"/>
      <c r="AB750" s="48"/>
      <c r="AC750" s="49">
        <f t="shared" si="85"/>
        <v>0</v>
      </c>
      <c r="AD750" s="50">
        <v>0</v>
      </c>
      <c r="AE750" s="47">
        <v>40027</v>
      </c>
      <c r="AF750" s="51" t="s">
        <v>516</v>
      </c>
      <c r="AG750" s="52" t="s">
        <v>517</v>
      </c>
      <c r="AH750" s="53"/>
      <c r="AI750" s="79"/>
      <c r="AJ750" s="80"/>
      <c r="AK750" s="81"/>
      <c r="AL750" s="80"/>
      <c r="AM750" s="80"/>
      <c r="AN750" s="80"/>
      <c r="AO750" s="80"/>
      <c r="AP750" s="80"/>
      <c r="AQ750" s="80"/>
      <c r="AR750" s="80"/>
      <c r="AS750" s="80"/>
      <c r="AT750" s="80"/>
      <c r="AU750" s="80"/>
      <c r="AV750" s="80"/>
      <c r="AW750" s="80"/>
      <c r="AX750" s="80"/>
      <c r="AY750" s="80"/>
      <c r="AZ750" s="80"/>
      <c r="BA750" s="80"/>
      <c r="BB750" s="80"/>
      <c r="BC750" s="80"/>
      <c r="BD750" s="80"/>
      <c r="BE750" s="80"/>
      <c r="BF750" s="80"/>
      <c r="BG750" s="80"/>
      <c r="BH750" s="80"/>
      <c r="BI750" s="80"/>
      <c r="BJ750" s="80"/>
      <c r="BK750" s="80"/>
      <c r="BL750" s="80"/>
      <c r="BM750" s="80"/>
      <c r="BN750" s="80"/>
      <c r="BO750" s="80"/>
      <c r="BP750" s="80"/>
      <c r="BQ750" s="80"/>
      <c r="BR750" s="80"/>
      <c r="BS750" s="80"/>
      <c r="BT750" s="80"/>
      <c r="BU750" s="80"/>
      <c r="BV750" s="80"/>
      <c r="BW750" s="80"/>
      <c r="BX750" s="80"/>
      <c r="BY750" s="80"/>
      <c r="BZ750" s="80"/>
      <c r="CA750" s="80"/>
      <c r="CB750" s="80"/>
      <c r="CC750" s="80"/>
      <c r="CD750" s="80"/>
      <c r="CE750" s="80"/>
      <c r="CF750" s="80"/>
      <c r="CG750" s="80"/>
      <c r="CH750" s="80"/>
      <c r="CI750" s="80"/>
      <c r="CJ750" s="80"/>
      <c r="CK750" s="82"/>
      <c r="CL750" s="12"/>
      <c r="CM750" s="82"/>
      <c r="CN750" s="12"/>
      <c r="CO750" s="82"/>
      <c r="CP750" s="12"/>
      <c r="CQ750" s="83">
        <f t="shared" si="86"/>
        <v>0</v>
      </c>
      <c r="CR750" s="84"/>
      <c r="CS750" s="13"/>
      <c r="CT750" s="85"/>
      <c r="CU750" s="86"/>
      <c r="CV750" s="11"/>
      <c r="CW750" s="86"/>
      <c r="CX750" s="84"/>
      <c r="CY750" s="86"/>
    </row>
    <row r="751" spans="1:103" ht="51" x14ac:dyDescent="0.2">
      <c r="A751" s="43">
        <v>40025</v>
      </c>
      <c r="B751" s="44" t="s">
        <v>1127</v>
      </c>
      <c r="C751" s="44" t="s">
        <v>921</v>
      </c>
      <c r="D751" s="45" t="s">
        <v>1117</v>
      </c>
      <c r="E751" s="11"/>
      <c r="F751" s="12"/>
      <c r="G751" s="12"/>
      <c r="H751" s="12">
        <v>1500</v>
      </c>
      <c r="I751" s="12">
        <v>300</v>
      </c>
      <c r="J751" s="12"/>
      <c r="K751" s="12">
        <v>300</v>
      </c>
      <c r="L751" s="12"/>
      <c r="M751" s="12"/>
      <c r="N751" s="12"/>
      <c r="O751" s="12"/>
      <c r="P751" s="12"/>
      <c r="Q751" s="12"/>
      <c r="R751" s="12">
        <v>3</v>
      </c>
      <c r="S751" s="12"/>
      <c r="T751" s="13"/>
      <c r="U751" s="46" t="s">
        <v>597</v>
      </c>
      <c r="V751" s="47"/>
      <c r="W751" s="48">
        <f t="shared" si="81"/>
        <v>0</v>
      </c>
      <c r="X751" s="48">
        <f t="shared" si="82"/>
        <v>0</v>
      </c>
      <c r="Y751" s="48">
        <f t="shared" si="83"/>
        <v>0</v>
      </c>
      <c r="Z751" s="48">
        <f t="shared" si="84"/>
        <v>0</v>
      </c>
      <c r="AA751" s="48"/>
      <c r="AB751" s="48"/>
      <c r="AC751" s="49">
        <f t="shared" si="85"/>
        <v>0</v>
      </c>
      <c r="AD751" s="50">
        <v>0</v>
      </c>
      <c r="AE751" s="47">
        <v>40027</v>
      </c>
      <c r="AF751" s="51" t="s">
        <v>1016</v>
      </c>
      <c r="AG751" s="52" t="s">
        <v>517</v>
      </c>
      <c r="AH751" s="53" t="s">
        <v>24</v>
      </c>
      <c r="AI751" s="79"/>
      <c r="AJ751" s="80"/>
      <c r="AK751" s="81"/>
      <c r="AL751" s="80"/>
      <c r="AM751" s="80"/>
      <c r="AN751" s="80"/>
      <c r="AO751" s="80"/>
      <c r="AP751" s="80"/>
      <c r="AQ751" s="80"/>
      <c r="AR751" s="80"/>
      <c r="AS751" s="80"/>
      <c r="AT751" s="80"/>
      <c r="AU751" s="80"/>
      <c r="AV751" s="80"/>
      <c r="AW751" s="80"/>
      <c r="AX751" s="80"/>
      <c r="AY751" s="80"/>
      <c r="AZ751" s="80"/>
      <c r="BA751" s="80"/>
      <c r="BB751" s="80"/>
      <c r="BC751" s="80"/>
      <c r="BD751" s="80"/>
      <c r="BE751" s="80"/>
      <c r="BF751" s="80"/>
      <c r="BG751" s="80"/>
      <c r="BH751" s="80"/>
      <c r="BI751" s="80"/>
      <c r="BJ751" s="80"/>
      <c r="BK751" s="80"/>
      <c r="BL751" s="80"/>
      <c r="BM751" s="80"/>
      <c r="BN751" s="80"/>
      <c r="BO751" s="80"/>
      <c r="BP751" s="80"/>
      <c r="BQ751" s="80"/>
      <c r="BR751" s="80"/>
      <c r="BS751" s="80"/>
      <c r="BT751" s="80"/>
      <c r="BU751" s="80"/>
      <c r="BV751" s="80"/>
      <c r="BW751" s="80"/>
      <c r="BX751" s="80"/>
      <c r="BY751" s="80"/>
      <c r="BZ751" s="80"/>
      <c r="CA751" s="80"/>
      <c r="CB751" s="80"/>
      <c r="CC751" s="80"/>
      <c r="CD751" s="80"/>
      <c r="CE751" s="80"/>
      <c r="CF751" s="80"/>
      <c r="CG751" s="80"/>
      <c r="CH751" s="80"/>
      <c r="CI751" s="80"/>
      <c r="CJ751" s="80"/>
      <c r="CK751" s="82"/>
      <c r="CL751" s="12"/>
      <c r="CM751" s="82"/>
      <c r="CN751" s="12"/>
      <c r="CO751" s="82"/>
      <c r="CP751" s="12"/>
      <c r="CQ751" s="83">
        <f t="shared" si="86"/>
        <v>0</v>
      </c>
      <c r="CR751" s="84"/>
      <c r="CS751" s="13"/>
      <c r="CT751" s="85"/>
      <c r="CU751" s="86"/>
      <c r="CV751" s="11"/>
      <c r="CW751" s="86"/>
      <c r="CX751" s="84"/>
      <c r="CY751" s="86"/>
    </row>
    <row r="752" spans="1:103" ht="25.5" x14ac:dyDescent="0.2">
      <c r="A752" s="43">
        <v>40025</v>
      </c>
      <c r="B752" s="44" t="s">
        <v>1127</v>
      </c>
      <c r="C752" s="44" t="s">
        <v>617</v>
      </c>
      <c r="D752" s="45" t="s">
        <v>1117</v>
      </c>
      <c r="E752" s="11"/>
      <c r="F752" s="12"/>
      <c r="G752" s="12"/>
      <c r="H752" s="12">
        <f>67*5</f>
        <v>335</v>
      </c>
      <c r="I752" s="12">
        <v>67</v>
      </c>
      <c r="J752" s="12"/>
      <c r="K752" s="12">
        <v>67</v>
      </c>
      <c r="L752" s="12"/>
      <c r="M752" s="12"/>
      <c r="N752" s="12"/>
      <c r="O752" s="12"/>
      <c r="P752" s="12"/>
      <c r="Q752" s="12"/>
      <c r="R752" s="12">
        <v>7</v>
      </c>
      <c r="S752" s="12">
        <v>1</v>
      </c>
      <c r="T752" s="13"/>
      <c r="U752" s="46"/>
      <c r="V752" s="47">
        <v>40094</v>
      </c>
      <c r="W752" s="48">
        <f t="shared" si="81"/>
        <v>0</v>
      </c>
      <c r="X752" s="48">
        <f t="shared" si="82"/>
        <v>0</v>
      </c>
      <c r="Y752" s="48">
        <f t="shared" si="83"/>
        <v>11612000</v>
      </c>
      <c r="Z752" s="48">
        <f t="shared" si="84"/>
        <v>0</v>
      </c>
      <c r="AA752" s="48"/>
      <c r="AB752" s="48"/>
      <c r="AC752" s="49">
        <f t="shared" si="85"/>
        <v>11612000</v>
      </c>
      <c r="AD752" s="50">
        <v>0</v>
      </c>
      <c r="AE752" s="47">
        <v>40030</v>
      </c>
      <c r="AF752" s="51" t="s">
        <v>1016</v>
      </c>
      <c r="AG752" s="52" t="s">
        <v>565</v>
      </c>
      <c r="AH752" s="53"/>
      <c r="AI752" s="79"/>
      <c r="AJ752" s="80"/>
      <c r="AK752" s="81"/>
      <c r="AL752" s="80"/>
      <c r="AM752" s="80"/>
      <c r="AN752" s="80"/>
      <c r="AO752" s="80"/>
      <c r="AP752" s="80"/>
      <c r="AQ752" s="80"/>
      <c r="AR752" s="80"/>
      <c r="AS752" s="80"/>
      <c r="AT752" s="80"/>
      <c r="AU752" s="80"/>
      <c r="AV752" s="80"/>
      <c r="AW752" s="80"/>
      <c r="AX752" s="80"/>
      <c r="AY752" s="80"/>
      <c r="AZ752" s="80"/>
      <c r="BA752" s="80"/>
      <c r="BB752" s="80"/>
      <c r="BC752" s="80"/>
      <c r="BD752" s="80"/>
      <c r="BE752" s="80"/>
      <c r="BF752" s="80"/>
      <c r="BG752" s="80"/>
      <c r="BH752" s="80"/>
      <c r="BI752" s="80"/>
      <c r="BJ752" s="80"/>
      <c r="BK752" s="80"/>
      <c r="BL752" s="80"/>
      <c r="BM752" s="80"/>
      <c r="BN752" s="80"/>
      <c r="BO752" s="80"/>
      <c r="BP752" s="80"/>
      <c r="BQ752" s="80"/>
      <c r="BR752" s="80"/>
      <c r="BS752" s="80"/>
      <c r="BT752" s="80"/>
      <c r="BU752" s="80"/>
      <c r="BV752" s="80"/>
      <c r="BW752" s="80"/>
      <c r="BX752" s="80"/>
      <c r="BY752" s="80"/>
      <c r="BZ752" s="80"/>
      <c r="CA752" s="80"/>
      <c r="CB752" s="80"/>
      <c r="CC752" s="80"/>
      <c r="CD752" s="80"/>
      <c r="CE752" s="80"/>
      <c r="CF752" s="80"/>
      <c r="CG752" s="80"/>
      <c r="CH752" s="80"/>
      <c r="CI752" s="80"/>
      <c r="CJ752" s="80"/>
      <c r="CK752" s="82"/>
      <c r="CL752" s="12"/>
      <c r="CM752" s="82"/>
      <c r="CN752" s="12"/>
      <c r="CO752" s="82"/>
      <c r="CP752" s="12"/>
      <c r="CQ752" s="83">
        <f t="shared" si="86"/>
        <v>0</v>
      </c>
      <c r="CR752" s="84"/>
      <c r="CS752" s="13"/>
      <c r="CT752" s="85"/>
      <c r="CU752" s="86"/>
      <c r="CV752" s="11"/>
      <c r="CW752" s="86"/>
      <c r="CX752" s="84">
        <v>500</v>
      </c>
      <c r="CY752" s="86">
        <f>500*22504+2000*180</f>
        <v>11612000</v>
      </c>
    </row>
    <row r="753" spans="1:103" ht="38.25" x14ac:dyDescent="0.2">
      <c r="A753" s="43">
        <v>40030</v>
      </c>
      <c r="B753" s="44" t="s">
        <v>300</v>
      </c>
      <c r="C753" s="44" t="s">
        <v>1039</v>
      </c>
      <c r="D753" s="45" t="s">
        <v>1117</v>
      </c>
      <c r="E753" s="11"/>
      <c r="F753" s="12"/>
      <c r="G753" s="12"/>
      <c r="H753" s="12">
        <v>240</v>
      </c>
      <c r="I753" s="12">
        <v>40</v>
      </c>
      <c r="J753" s="12"/>
      <c r="K753" s="12">
        <v>40</v>
      </c>
      <c r="L753" s="12"/>
      <c r="M753" s="12"/>
      <c r="N753" s="12"/>
      <c r="O753" s="12"/>
      <c r="P753" s="12"/>
      <c r="Q753" s="12"/>
      <c r="R753" s="12"/>
      <c r="S753" s="12"/>
      <c r="T753" s="13"/>
      <c r="U753" s="46"/>
      <c r="V753" s="47"/>
      <c r="W753" s="48">
        <f t="shared" si="81"/>
        <v>0</v>
      </c>
      <c r="X753" s="48">
        <f t="shared" si="82"/>
        <v>0</v>
      </c>
      <c r="Y753" s="48">
        <f t="shared" si="83"/>
        <v>0</v>
      </c>
      <c r="Z753" s="48">
        <f t="shared" si="84"/>
        <v>0</v>
      </c>
      <c r="AA753" s="48"/>
      <c r="AB753" s="48"/>
      <c r="AC753" s="49">
        <f t="shared" si="85"/>
        <v>0</v>
      </c>
      <c r="AD753" s="50">
        <v>0</v>
      </c>
      <c r="AE753" s="47">
        <v>40035</v>
      </c>
      <c r="AF753" s="51" t="s">
        <v>516</v>
      </c>
      <c r="AG753" s="52" t="s">
        <v>517</v>
      </c>
      <c r="AH753" s="53" t="s">
        <v>1324</v>
      </c>
      <c r="AI753" s="79"/>
      <c r="AJ753" s="80"/>
      <c r="AK753" s="81"/>
      <c r="AL753" s="80"/>
      <c r="AM753" s="80"/>
      <c r="AN753" s="80"/>
      <c r="AO753" s="80"/>
      <c r="AP753" s="80"/>
      <c r="AQ753" s="80"/>
      <c r="AR753" s="80"/>
      <c r="AS753" s="80"/>
      <c r="AT753" s="80"/>
      <c r="AU753" s="80"/>
      <c r="AV753" s="80"/>
      <c r="AW753" s="80"/>
      <c r="AX753" s="80"/>
      <c r="AY753" s="80"/>
      <c r="AZ753" s="80"/>
      <c r="BA753" s="80"/>
      <c r="BB753" s="80"/>
      <c r="BC753" s="80"/>
      <c r="BD753" s="80"/>
      <c r="BE753" s="80"/>
      <c r="BF753" s="80"/>
      <c r="BG753" s="80"/>
      <c r="BH753" s="80"/>
      <c r="BI753" s="80"/>
      <c r="BJ753" s="80"/>
      <c r="BK753" s="80"/>
      <c r="BL753" s="80"/>
      <c r="BM753" s="80"/>
      <c r="BN753" s="80"/>
      <c r="BO753" s="80"/>
      <c r="BP753" s="80"/>
      <c r="BQ753" s="80"/>
      <c r="BR753" s="80"/>
      <c r="BS753" s="80"/>
      <c r="BT753" s="80"/>
      <c r="BU753" s="80"/>
      <c r="BV753" s="80"/>
      <c r="BW753" s="80"/>
      <c r="BX753" s="80"/>
      <c r="BY753" s="80"/>
      <c r="BZ753" s="80"/>
      <c r="CA753" s="80"/>
      <c r="CB753" s="80"/>
      <c r="CC753" s="80"/>
      <c r="CD753" s="80"/>
      <c r="CE753" s="80"/>
      <c r="CF753" s="80"/>
      <c r="CG753" s="80"/>
      <c r="CH753" s="80"/>
      <c r="CI753" s="80"/>
      <c r="CJ753" s="80"/>
      <c r="CK753" s="82"/>
      <c r="CL753" s="12"/>
      <c r="CM753" s="82"/>
      <c r="CN753" s="12"/>
      <c r="CO753" s="82"/>
      <c r="CP753" s="12"/>
      <c r="CQ753" s="83">
        <f t="shared" si="86"/>
        <v>0</v>
      </c>
      <c r="CR753" s="84"/>
      <c r="CS753" s="13"/>
      <c r="CT753" s="85"/>
      <c r="CU753" s="86"/>
      <c r="CV753" s="11"/>
      <c r="CW753" s="86"/>
      <c r="CX753" s="84"/>
      <c r="CY753" s="86"/>
    </row>
    <row r="754" spans="1:103" ht="63.75" x14ac:dyDescent="0.2">
      <c r="A754" s="43">
        <v>40030</v>
      </c>
      <c r="B754" s="44" t="s">
        <v>1224</v>
      </c>
      <c r="C754" s="44" t="s">
        <v>259</v>
      </c>
      <c r="D754" s="45" t="s">
        <v>133</v>
      </c>
      <c r="E754" s="11"/>
      <c r="F754" s="12"/>
      <c r="G754" s="12"/>
      <c r="H754" s="12"/>
      <c r="I754" s="12"/>
      <c r="J754" s="12"/>
      <c r="K754" s="12"/>
      <c r="L754" s="12"/>
      <c r="M754" s="12"/>
      <c r="N754" s="12"/>
      <c r="O754" s="12"/>
      <c r="P754" s="12"/>
      <c r="Q754" s="12"/>
      <c r="R754" s="12"/>
      <c r="S754" s="12"/>
      <c r="T754" s="13"/>
      <c r="U754" s="46"/>
      <c r="V754" s="47"/>
      <c r="W754" s="48">
        <f t="shared" si="81"/>
        <v>0</v>
      </c>
      <c r="X754" s="48">
        <f t="shared" si="82"/>
        <v>0</v>
      </c>
      <c r="Y754" s="48">
        <f t="shared" si="83"/>
        <v>0</v>
      </c>
      <c r="Z754" s="48">
        <f t="shared" si="84"/>
        <v>0</v>
      </c>
      <c r="AA754" s="48"/>
      <c r="AB754" s="48"/>
      <c r="AC754" s="49">
        <f t="shared" si="85"/>
        <v>0</v>
      </c>
      <c r="AD754" s="50">
        <v>0</v>
      </c>
      <c r="AE754" s="47">
        <v>40050</v>
      </c>
      <c r="AF754" s="51" t="s">
        <v>516</v>
      </c>
      <c r="AG754" s="52" t="s">
        <v>517</v>
      </c>
      <c r="AH754" s="53" t="s">
        <v>260</v>
      </c>
      <c r="AI754" s="79"/>
      <c r="AJ754" s="80"/>
      <c r="AK754" s="81"/>
      <c r="AL754" s="80"/>
      <c r="AM754" s="80"/>
      <c r="AN754" s="80"/>
      <c r="AO754" s="80"/>
      <c r="AP754" s="80"/>
      <c r="AQ754" s="80"/>
      <c r="AR754" s="80"/>
      <c r="AS754" s="80"/>
      <c r="AT754" s="80"/>
      <c r="AU754" s="80"/>
      <c r="AV754" s="80"/>
      <c r="AW754" s="80"/>
      <c r="AX754" s="80"/>
      <c r="AY754" s="80"/>
      <c r="AZ754" s="80"/>
      <c r="BA754" s="80"/>
      <c r="BB754" s="80"/>
      <c r="BC754" s="80"/>
      <c r="BD754" s="80"/>
      <c r="BE754" s="80"/>
      <c r="BF754" s="80"/>
      <c r="BG754" s="80"/>
      <c r="BH754" s="80"/>
      <c r="BI754" s="80"/>
      <c r="BJ754" s="80"/>
      <c r="BK754" s="80"/>
      <c r="BL754" s="80"/>
      <c r="BM754" s="80"/>
      <c r="BN754" s="80"/>
      <c r="BO754" s="80"/>
      <c r="BP754" s="80"/>
      <c r="BQ754" s="80"/>
      <c r="BR754" s="80"/>
      <c r="BS754" s="80"/>
      <c r="BT754" s="80"/>
      <c r="BU754" s="80"/>
      <c r="BV754" s="80"/>
      <c r="BW754" s="80"/>
      <c r="BX754" s="80"/>
      <c r="BY754" s="80"/>
      <c r="BZ754" s="80"/>
      <c r="CA754" s="80"/>
      <c r="CB754" s="80"/>
      <c r="CC754" s="80"/>
      <c r="CD754" s="80"/>
      <c r="CE754" s="80"/>
      <c r="CF754" s="80"/>
      <c r="CG754" s="80"/>
      <c r="CH754" s="80"/>
      <c r="CI754" s="80"/>
      <c r="CJ754" s="80"/>
      <c r="CK754" s="82"/>
      <c r="CL754" s="12"/>
      <c r="CM754" s="82"/>
      <c r="CN754" s="12"/>
      <c r="CO754" s="82"/>
      <c r="CP754" s="12"/>
      <c r="CQ754" s="83">
        <f t="shared" si="86"/>
        <v>0</v>
      </c>
      <c r="CR754" s="84"/>
      <c r="CS754" s="13"/>
      <c r="CT754" s="85"/>
      <c r="CU754" s="86"/>
      <c r="CV754" s="11"/>
      <c r="CW754" s="86"/>
      <c r="CX754" s="84"/>
      <c r="CY754" s="86"/>
    </row>
    <row r="755" spans="1:103" ht="76.5" x14ac:dyDescent="0.2">
      <c r="A755" s="43">
        <v>40030</v>
      </c>
      <c r="B755" s="44" t="s">
        <v>1224</v>
      </c>
      <c r="C755" s="44" t="s">
        <v>378</v>
      </c>
      <c r="D755" s="45" t="s">
        <v>1117</v>
      </c>
      <c r="E755" s="11"/>
      <c r="F755" s="12"/>
      <c r="G755" s="12"/>
      <c r="H755" s="12"/>
      <c r="I755" s="12"/>
      <c r="J755" s="12"/>
      <c r="K755" s="12"/>
      <c r="L755" s="12"/>
      <c r="M755" s="12"/>
      <c r="N755" s="12"/>
      <c r="O755" s="12"/>
      <c r="P755" s="12"/>
      <c r="Q755" s="12"/>
      <c r="R755" s="12">
        <v>1</v>
      </c>
      <c r="S755" s="12"/>
      <c r="T755" s="13"/>
      <c r="U755" s="46"/>
      <c r="V755" s="47"/>
      <c r="W755" s="48">
        <f t="shared" si="81"/>
        <v>0</v>
      </c>
      <c r="X755" s="48">
        <f t="shared" si="82"/>
        <v>0</v>
      </c>
      <c r="Y755" s="48">
        <f t="shared" si="83"/>
        <v>0</v>
      </c>
      <c r="Z755" s="48">
        <f t="shared" si="84"/>
        <v>0</v>
      </c>
      <c r="AA755" s="48"/>
      <c r="AB755" s="48"/>
      <c r="AC755" s="49">
        <f t="shared" si="85"/>
        <v>0</v>
      </c>
      <c r="AD755" s="50">
        <v>0</v>
      </c>
      <c r="AE755" s="47">
        <v>40035</v>
      </c>
      <c r="AF755" s="51" t="s">
        <v>516</v>
      </c>
      <c r="AG755" s="52" t="s">
        <v>517</v>
      </c>
      <c r="AH755" s="53" t="s">
        <v>196</v>
      </c>
      <c r="AI755" s="79"/>
      <c r="AJ755" s="80"/>
      <c r="AK755" s="81"/>
      <c r="AL755" s="80"/>
      <c r="AM755" s="80"/>
      <c r="AN755" s="80"/>
      <c r="AO755" s="80"/>
      <c r="AP755" s="80"/>
      <c r="AQ755" s="80"/>
      <c r="AR755" s="80"/>
      <c r="AS755" s="80"/>
      <c r="AT755" s="80"/>
      <c r="AU755" s="80"/>
      <c r="AV755" s="80"/>
      <c r="AW755" s="80"/>
      <c r="AX755" s="80"/>
      <c r="AY755" s="80"/>
      <c r="AZ755" s="80"/>
      <c r="BA755" s="80"/>
      <c r="BB755" s="80"/>
      <c r="BC755" s="80"/>
      <c r="BD755" s="80"/>
      <c r="BE755" s="80"/>
      <c r="BF755" s="80"/>
      <c r="BG755" s="80"/>
      <c r="BH755" s="80"/>
      <c r="BI755" s="80"/>
      <c r="BJ755" s="80"/>
      <c r="BK755" s="80"/>
      <c r="BL755" s="80"/>
      <c r="BM755" s="80"/>
      <c r="BN755" s="80"/>
      <c r="BO755" s="80"/>
      <c r="BP755" s="80"/>
      <c r="BQ755" s="80"/>
      <c r="BR755" s="80"/>
      <c r="BS755" s="80"/>
      <c r="BT755" s="80"/>
      <c r="BU755" s="80"/>
      <c r="BV755" s="80"/>
      <c r="BW755" s="80"/>
      <c r="BX755" s="80"/>
      <c r="BY755" s="80"/>
      <c r="BZ755" s="80"/>
      <c r="CA755" s="80"/>
      <c r="CB755" s="80"/>
      <c r="CC755" s="80"/>
      <c r="CD755" s="80"/>
      <c r="CE755" s="80"/>
      <c r="CF755" s="80"/>
      <c r="CG755" s="80"/>
      <c r="CH755" s="80"/>
      <c r="CI755" s="80"/>
      <c r="CJ755" s="80"/>
      <c r="CK755" s="82"/>
      <c r="CL755" s="12"/>
      <c r="CM755" s="82"/>
      <c r="CN755" s="12"/>
      <c r="CO755" s="82"/>
      <c r="CP755" s="12"/>
      <c r="CQ755" s="83">
        <f t="shared" si="86"/>
        <v>0</v>
      </c>
      <c r="CR755" s="84"/>
      <c r="CS755" s="13"/>
      <c r="CT755" s="85"/>
      <c r="CU755" s="86"/>
      <c r="CV755" s="11"/>
      <c r="CW755" s="86"/>
      <c r="CX755" s="84"/>
      <c r="CY755" s="86"/>
    </row>
    <row r="756" spans="1:103" ht="51" x14ac:dyDescent="0.2">
      <c r="A756" s="43">
        <v>40030</v>
      </c>
      <c r="B756" s="44" t="s">
        <v>1453</v>
      </c>
      <c r="C756" s="44" t="s">
        <v>490</v>
      </c>
      <c r="D756" s="45" t="s">
        <v>1117</v>
      </c>
      <c r="E756" s="11"/>
      <c r="F756" s="12"/>
      <c r="G756" s="12"/>
      <c r="H756" s="12">
        <v>500</v>
      </c>
      <c r="I756" s="12">
        <v>100</v>
      </c>
      <c r="J756" s="12"/>
      <c r="K756" s="12">
        <v>100</v>
      </c>
      <c r="L756" s="12"/>
      <c r="M756" s="12"/>
      <c r="N756" s="12"/>
      <c r="O756" s="12"/>
      <c r="P756" s="12"/>
      <c r="Q756" s="12"/>
      <c r="R756" s="12"/>
      <c r="S756" s="12"/>
      <c r="T756" s="13"/>
      <c r="U756" s="46"/>
      <c r="V756" s="47"/>
      <c r="W756" s="48">
        <f t="shared" si="81"/>
        <v>0</v>
      </c>
      <c r="X756" s="48">
        <f t="shared" si="82"/>
        <v>0</v>
      </c>
      <c r="Y756" s="48">
        <f t="shared" si="83"/>
        <v>0</v>
      </c>
      <c r="Z756" s="48">
        <f t="shared" si="84"/>
        <v>0</v>
      </c>
      <c r="AA756" s="48"/>
      <c r="AB756" s="48"/>
      <c r="AC756" s="49">
        <f t="shared" si="85"/>
        <v>0</v>
      </c>
      <c r="AD756" s="50">
        <v>0</v>
      </c>
      <c r="AE756" s="47">
        <v>40035</v>
      </c>
      <c r="AF756" s="51" t="s">
        <v>1016</v>
      </c>
      <c r="AG756" s="52" t="s">
        <v>565</v>
      </c>
      <c r="AH756" s="53" t="s">
        <v>1408</v>
      </c>
      <c r="AI756" s="79"/>
      <c r="AJ756" s="80"/>
      <c r="AK756" s="81"/>
      <c r="AL756" s="80"/>
      <c r="AM756" s="80"/>
      <c r="AN756" s="80"/>
      <c r="AO756" s="80"/>
      <c r="AP756" s="80"/>
      <c r="AQ756" s="80"/>
      <c r="AR756" s="80"/>
      <c r="AS756" s="80"/>
      <c r="AT756" s="80"/>
      <c r="AU756" s="80"/>
      <c r="AV756" s="80"/>
      <c r="AW756" s="80"/>
      <c r="AX756" s="80"/>
      <c r="AY756" s="80"/>
      <c r="AZ756" s="80"/>
      <c r="BA756" s="80"/>
      <c r="BB756" s="80"/>
      <c r="BC756" s="80"/>
      <c r="BD756" s="80"/>
      <c r="BE756" s="80"/>
      <c r="BF756" s="80"/>
      <c r="BG756" s="80"/>
      <c r="BH756" s="80"/>
      <c r="BI756" s="80"/>
      <c r="BJ756" s="80"/>
      <c r="BK756" s="80"/>
      <c r="BL756" s="80"/>
      <c r="BM756" s="80"/>
      <c r="BN756" s="80"/>
      <c r="BO756" s="80"/>
      <c r="BP756" s="80"/>
      <c r="BQ756" s="80"/>
      <c r="BR756" s="80"/>
      <c r="BS756" s="80"/>
      <c r="BT756" s="80"/>
      <c r="BU756" s="80"/>
      <c r="BV756" s="80"/>
      <c r="BW756" s="80"/>
      <c r="BX756" s="80"/>
      <c r="BY756" s="80"/>
      <c r="BZ756" s="80"/>
      <c r="CA756" s="80"/>
      <c r="CB756" s="80"/>
      <c r="CC756" s="80"/>
      <c r="CD756" s="80"/>
      <c r="CE756" s="80"/>
      <c r="CF756" s="80"/>
      <c r="CG756" s="80"/>
      <c r="CH756" s="80"/>
      <c r="CI756" s="80"/>
      <c r="CJ756" s="80"/>
      <c r="CK756" s="82"/>
      <c r="CL756" s="12"/>
      <c r="CM756" s="82"/>
      <c r="CN756" s="12"/>
      <c r="CO756" s="82"/>
      <c r="CP756" s="12"/>
      <c r="CQ756" s="83">
        <f t="shared" si="86"/>
        <v>0</v>
      </c>
      <c r="CR756" s="84"/>
      <c r="CS756" s="13"/>
      <c r="CT756" s="85"/>
      <c r="CU756" s="86"/>
      <c r="CV756" s="11"/>
      <c r="CW756" s="86"/>
      <c r="CX756" s="84"/>
      <c r="CY756" s="86"/>
    </row>
    <row r="757" spans="1:103" ht="76.5" x14ac:dyDescent="0.2">
      <c r="A757" s="43">
        <v>40030</v>
      </c>
      <c r="B757" s="44" t="s">
        <v>1224</v>
      </c>
      <c r="C757" s="44" t="s">
        <v>1171</v>
      </c>
      <c r="D757" s="45" t="s">
        <v>751</v>
      </c>
      <c r="E757" s="11"/>
      <c r="F757" s="12"/>
      <c r="G757" s="12"/>
      <c r="H757" s="12"/>
      <c r="I757" s="12"/>
      <c r="J757" s="12"/>
      <c r="K757" s="12"/>
      <c r="L757" s="12"/>
      <c r="M757" s="12"/>
      <c r="N757" s="12"/>
      <c r="O757" s="12"/>
      <c r="P757" s="12"/>
      <c r="Q757" s="12"/>
      <c r="R757" s="12"/>
      <c r="S757" s="12"/>
      <c r="T757" s="13"/>
      <c r="U757" s="46"/>
      <c r="V757" s="47">
        <v>40115</v>
      </c>
      <c r="W757" s="48">
        <f t="shared" si="81"/>
        <v>0</v>
      </c>
      <c r="X757" s="48">
        <f t="shared" si="82"/>
        <v>0</v>
      </c>
      <c r="Y757" s="48">
        <f t="shared" si="83"/>
        <v>0</v>
      </c>
      <c r="Z757" s="48">
        <f t="shared" si="84"/>
        <v>0</v>
      </c>
      <c r="AA757" s="48"/>
      <c r="AB757" s="48">
        <v>25320000</v>
      </c>
      <c r="AC757" s="49">
        <f t="shared" si="85"/>
        <v>25320000</v>
      </c>
      <c r="AD757" s="50">
        <v>0</v>
      </c>
      <c r="AE757" s="47">
        <v>40115</v>
      </c>
      <c r="AF757" s="51" t="s">
        <v>1016</v>
      </c>
      <c r="AG757" s="52" t="s">
        <v>565</v>
      </c>
      <c r="AH757" s="54" t="s">
        <v>926</v>
      </c>
      <c r="AI757" s="79"/>
      <c r="AJ757" s="80"/>
      <c r="AK757" s="81"/>
      <c r="AL757" s="80"/>
      <c r="AM757" s="80"/>
      <c r="AN757" s="80"/>
      <c r="AO757" s="80"/>
      <c r="AP757" s="80"/>
      <c r="AQ757" s="80"/>
      <c r="AR757" s="80"/>
      <c r="AS757" s="80"/>
      <c r="AT757" s="80"/>
      <c r="AU757" s="80"/>
      <c r="AV757" s="80"/>
      <c r="AW757" s="80"/>
      <c r="AX757" s="80"/>
      <c r="AY757" s="80"/>
      <c r="AZ757" s="80"/>
      <c r="BA757" s="80"/>
      <c r="BB757" s="80"/>
      <c r="BC757" s="80"/>
      <c r="BD757" s="80"/>
      <c r="BE757" s="80"/>
      <c r="BF757" s="80"/>
      <c r="BG757" s="80"/>
      <c r="BH757" s="80"/>
      <c r="BI757" s="80"/>
      <c r="BJ757" s="80"/>
      <c r="BK757" s="80"/>
      <c r="BL757" s="80"/>
      <c r="BM757" s="80"/>
      <c r="BN757" s="80"/>
      <c r="BO757" s="80"/>
      <c r="BP757" s="80"/>
      <c r="BQ757" s="80"/>
      <c r="BR757" s="80"/>
      <c r="BS757" s="80"/>
      <c r="BT757" s="80"/>
      <c r="BU757" s="80"/>
      <c r="BV757" s="80"/>
      <c r="BW757" s="80"/>
      <c r="BX757" s="80"/>
      <c r="BY757" s="80"/>
      <c r="BZ757" s="80"/>
      <c r="CA757" s="80"/>
      <c r="CB757" s="80"/>
      <c r="CC757" s="80"/>
      <c r="CD757" s="80"/>
      <c r="CE757" s="80"/>
      <c r="CF757" s="80"/>
      <c r="CG757" s="80"/>
      <c r="CH757" s="80"/>
      <c r="CI757" s="80"/>
      <c r="CJ757" s="80"/>
      <c r="CK757" s="82"/>
      <c r="CL757" s="12"/>
      <c r="CM757" s="82"/>
      <c r="CN757" s="12"/>
      <c r="CO757" s="82"/>
      <c r="CP757" s="12"/>
      <c r="CQ757" s="83">
        <f t="shared" si="86"/>
        <v>0</v>
      </c>
      <c r="CR757" s="84"/>
      <c r="CS757" s="13"/>
      <c r="CT757" s="85"/>
      <c r="CU757" s="86"/>
      <c r="CV757" s="11"/>
      <c r="CW757" s="86"/>
      <c r="CX757" s="84"/>
      <c r="CY757" s="86"/>
    </row>
    <row r="758" spans="1:103" ht="51" x14ac:dyDescent="0.2">
      <c r="A758" s="43">
        <v>40031</v>
      </c>
      <c r="B758" s="44" t="s">
        <v>625</v>
      </c>
      <c r="C758" s="44" t="s">
        <v>1361</v>
      </c>
      <c r="D758" s="45" t="s">
        <v>1070</v>
      </c>
      <c r="E758" s="11">
        <v>9</v>
      </c>
      <c r="F758" s="12">
        <v>3</v>
      </c>
      <c r="G758" s="12"/>
      <c r="H758" s="12"/>
      <c r="I758" s="12"/>
      <c r="J758" s="12"/>
      <c r="K758" s="12"/>
      <c r="L758" s="12"/>
      <c r="M758" s="12"/>
      <c r="N758" s="12"/>
      <c r="O758" s="12"/>
      <c r="P758" s="12"/>
      <c r="Q758" s="12"/>
      <c r="R758" s="12"/>
      <c r="S758" s="12"/>
      <c r="T758" s="13"/>
      <c r="U758" s="46"/>
      <c r="V758" s="47"/>
      <c r="W758" s="48">
        <f t="shared" si="81"/>
        <v>0</v>
      </c>
      <c r="X758" s="48">
        <f t="shared" si="82"/>
        <v>0</v>
      </c>
      <c r="Y758" s="48">
        <f t="shared" si="83"/>
        <v>0</v>
      </c>
      <c r="Z758" s="48">
        <f t="shared" si="84"/>
        <v>0</v>
      </c>
      <c r="AA758" s="48"/>
      <c r="AB758" s="48"/>
      <c r="AC758" s="49">
        <f t="shared" si="85"/>
        <v>0</v>
      </c>
      <c r="AD758" s="50">
        <v>0</v>
      </c>
      <c r="AE758" s="47">
        <v>40035</v>
      </c>
      <c r="AF758" s="51" t="s">
        <v>516</v>
      </c>
      <c r="AG758" s="52" t="s">
        <v>517</v>
      </c>
      <c r="AH758" s="53" t="s">
        <v>71</v>
      </c>
      <c r="AI758" s="79"/>
      <c r="AJ758" s="80"/>
      <c r="AK758" s="81"/>
      <c r="AL758" s="80"/>
      <c r="AM758" s="80"/>
      <c r="AN758" s="80"/>
      <c r="AO758" s="80"/>
      <c r="AP758" s="80"/>
      <c r="AQ758" s="80"/>
      <c r="AR758" s="80"/>
      <c r="AS758" s="80"/>
      <c r="AT758" s="80"/>
      <c r="AU758" s="80"/>
      <c r="AV758" s="80"/>
      <c r="AW758" s="80"/>
      <c r="AX758" s="80"/>
      <c r="AY758" s="80"/>
      <c r="AZ758" s="80"/>
      <c r="BA758" s="80"/>
      <c r="BB758" s="80"/>
      <c r="BC758" s="80"/>
      <c r="BD758" s="80"/>
      <c r="BE758" s="80"/>
      <c r="BF758" s="80"/>
      <c r="BG758" s="80"/>
      <c r="BH758" s="80"/>
      <c r="BI758" s="80"/>
      <c r="BJ758" s="80"/>
      <c r="BK758" s="80"/>
      <c r="BL758" s="80"/>
      <c r="BM758" s="80"/>
      <c r="BN758" s="80"/>
      <c r="BO758" s="80"/>
      <c r="BP758" s="80"/>
      <c r="BQ758" s="80"/>
      <c r="BR758" s="80"/>
      <c r="BS758" s="80"/>
      <c r="BT758" s="80"/>
      <c r="BU758" s="80"/>
      <c r="BV758" s="80"/>
      <c r="BW758" s="80"/>
      <c r="BX758" s="80"/>
      <c r="BY758" s="80"/>
      <c r="BZ758" s="80"/>
      <c r="CA758" s="80"/>
      <c r="CB758" s="80"/>
      <c r="CC758" s="80"/>
      <c r="CD758" s="80"/>
      <c r="CE758" s="80"/>
      <c r="CF758" s="80"/>
      <c r="CG758" s="80"/>
      <c r="CH758" s="80"/>
      <c r="CI758" s="80"/>
      <c r="CJ758" s="80"/>
      <c r="CK758" s="82"/>
      <c r="CL758" s="12"/>
      <c r="CM758" s="82"/>
      <c r="CN758" s="12"/>
      <c r="CO758" s="82"/>
      <c r="CP758" s="12"/>
      <c r="CQ758" s="83">
        <f t="shared" si="86"/>
        <v>0</v>
      </c>
      <c r="CR758" s="84"/>
      <c r="CS758" s="13"/>
      <c r="CT758" s="85"/>
      <c r="CU758" s="86"/>
      <c r="CV758" s="11"/>
      <c r="CW758" s="86"/>
      <c r="CX758" s="84"/>
      <c r="CY758" s="86"/>
    </row>
    <row r="759" spans="1:103" ht="12.75" x14ac:dyDescent="0.2">
      <c r="A759" s="43">
        <v>40031</v>
      </c>
      <c r="B759" s="44" t="s">
        <v>1067</v>
      </c>
      <c r="C759" s="44" t="s">
        <v>263</v>
      </c>
      <c r="D759" s="45" t="s">
        <v>1117</v>
      </c>
      <c r="E759" s="11"/>
      <c r="F759" s="12"/>
      <c r="G759" s="12"/>
      <c r="H759" s="12">
        <v>25</v>
      </c>
      <c r="I759" s="12">
        <v>5</v>
      </c>
      <c r="J759" s="12"/>
      <c r="K759" s="12">
        <v>5</v>
      </c>
      <c r="L759" s="12"/>
      <c r="M759" s="12"/>
      <c r="N759" s="12"/>
      <c r="O759" s="12"/>
      <c r="P759" s="12"/>
      <c r="Q759" s="12"/>
      <c r="R759" s="12"/>
      <c r="S759" s="12"/>
      <c r="T759" s="13"/>
      <c r="U759" s="46"/>
      <c r="V759" s="47">
        <v>40094</v>
      </c>
      <c r="W759" s="48">
        <f t="shared" si="81"/>
        <v>0</v>
      </c>
      <c r="X759" s="48">
        <f t="shared" si="82"/>
        <v>0</v>
      </c>
      <c r="Y759" s="48">
        <f t="shared" si="83"/>
        <v>3021800</v>
      </c>
      <c r="Z759" s="48">
        <f t="shared" si="84"/>
        <v>0</v>
      </c>
      <c r="AA759" s="48"/>
      <c r="AB759" s="48"/>
      <c r="AC759" s="49">
        <f t="shared" si="85"/>
        <v>3021800</v>
      </c>
      <c r="AD759" s="50">
        <v>0</v>
      </c>
      <c r="AE759" s="47">
        <v>40052</v>
      </c>
      <c r="AF759" s="51" t="s">
        <v>1016</v>
      </c>
      <c r="AG759" s="52" t="s">
        <v>565</v>
      </c>
      <c r="AH759" s="53"/>
      <c r="AI759" s="79"/>
      <c r="AJ759" s="80"/>
      <c r="AK759" s="81"/>
      <c r="AL759" s="80"/>
      <c r="AM759" s="80"/>
      <c r="AN759" s="80"/>
      <c r="AO759" s="80"/>
      <c r="AP759" s="80"/>
      <c r="AQ759" s="80"/>
      <c r="AR759" s="80"/>
      <c r="AS759" s="80"/>
      <c r="AT759" s="80"/>
      <c r="AU759" s="80"/>
      <c r="AV759" s="80"/>
      <c r="AW759" s="80"/>
      <c r="AX759" s="80"/>
      <c r="AY759" s="80"/>
      <c r="AZ759" s="80"/>
      <c r="BA759" s="80"/>
      <c r="BB759" s="80"/>
      <c r="BC759" s="80"/>
      <c r="BD759" s="80"/>
      <c r="BE759" s="80"/>
      <c r="BF759" s="80"/>
      <c r="BG759" s="80"/>
      <c r="BH759" s="80"/>
      <c r="BI759" s="80"/>
      <c r="BJ759" s="80"/>
      <c r="BK759" s="80"/>
      <c r="BL759" s="80"/>
      <c r="BM759" s="80"/>
      <c r="BN759" s="80"/>
      <c r="BO759" s="80"/>
      <c r="BP759" s="80"/>
      <c r="BQ759" s="80"/>
      <c r="BR759" s="80"/>
      <c r="BS759" s="80"/>
      <c r="BT759" s="80"/>
      <c r="BU759" s="80"/>
      <c r="BV759" s="80"/>
      <c r="BW759" s="80"/>
      <c r="BX759" s="80"/>
      <c r="BY759" s="80"/>
      <c r="BZ759" s="80"/>
      <c r="CA759" s="80"/>
      <c r="CB759" s="80"/>
      <c r="CC759" s="80"/>
      <c r="CD759" s="80"/>
      <c r="CE759" s="80"/>
      <c r="CF759" s="80"/>
      <c r="CG759" s="80"/>
      <c r="CH759" s="80"/>
      <c r="CI759" s="80"/>
      <c r="CJ759" s="80"/>
      <c r="CK759" s="82"/>
      <c r="CL759" s="12"/>
      <c r="CM759" s="82"/>
      <c r="CN759" s="12"/>
      <c r="CO759" s="82"/>
      <c r="CP759" s="12"/>
      <c r="CQ759" s="83">
        <f t="shared" si="86"/>
        <v>0</v>
      </c>
      <c r="CR759" s="84"/>
      <c r="CS759" s="13"/>
      <c r="CT759" s="85"/>
      <c r="CU759" s="86"/>
      <c r="CV759" s="11"/>
      <c r="CW759" s="86"/>
      <c r="CX759" s="84">
        <f>50+50</f>
        <v>100</v>
      </c>
      <c r="CY759" s="86">
        <f>50*37932+50*22504</f>
        <v>3021800</v>
      </c>
    </row>
    <row r="760" spans="1:103" ht="25.5" x14ac:dyDescent="0.2">
      <c r="A760" s="43">
        <v>40031</v>
      </c>
      <c r="B760" s="44" t="s">
        <v>437</v>
      </c>
      <c r="C760" s="44" t="s">
        <v>580</v>
      </c>
      <c r="D760" s="45" t="s">
        <v>1117</v>
      </c>
      <c r="E760" s="11"/>
      <c r="F760" s="12"/>
      <c r="G760" s="12"/>
      <c r="H760" s="12">
        <f>66*5</f>
        <v>330</v>
      </c>
      <c r="I760" s="12">
        <v>66</v>
      </c>
      <c r="J760" s="12">
        <v>1</v>
      </c>
      <c r="K760" s="12">
        <v>65</v>
      </c>
      <c r="L760" s="12"/>
      <c r="M760" s="12"/>
      <c r="N760" s="12"/>
      <c r="O760" s="12"/>
      <c r="P760" s="12"/>
      <c r="Q760" s="12"/>
      <c r="R760" s="12"/>
      <c r="S760" s="12"/>
      <c r="T760" s="13"/>
      <c r="U760" s="46"/>
      <c r="V760" s="47"/>
      <c r="W760" s="48">
        <f t="shared" si="81"/>
        <v>0</v>
      </c>
      <c r="X760" s="48">
        <f t="shared" si="82"/>
        <v>0</v>
      </c>
      <c r="Y760" s="48">
        <f t="shared" si="83"/>
        <v>0</v>
      </c>
      <c r="Z760" s="48">
        <f t="shared" si="84"/>
        <v>0</v>
      </c>
      <c r="AA760" s="48"/>
      <c r="AB760" s="48"/>
      <c r="AC760" s="49">
        <f t="shared" si="85"/>
        <v>0</v>
      </c>
      <c r="AD760" s="50">
        <v>0</v>
      </c>
      <c r="AE760" s="47">
        <v>40035</v>
      </c>
      <c r="AF760" s="51" t="s">
        <v>1016</v>
      </c>
      <c r="AG760" s="52" t="s">
        <v>565</v>
      </c>
      <c r="AH760" s="53" t="s">
        <v>113</v>
      </c>
      <c r="AI760" s="79"/>
      <c r="AJ760" s="80"/>
      <c r="AK760" s="81"/>
      <c r="AL760" s="80"/>
      <c r="AM760" s="80"/>
      <c r="AN760" s="80"/>
      <c r="AO760" s="80"/>
      <c r="AP760" s="80"/>
      <c r="AQ760" s="80"/>
      <c r="AR760" s="80"/>
      <c r="AS760" s="80"/>
      <c r="AT760" s="80"/>
      <c r="AU760" s="80"/>
      <c r="AV760" s="80"/>
      <c r="AW760" s="80"/>
      <c r="AX760" s="80"/>
      <c r="AY760" s="80"/>
      <c r="AZ760" s="80"/>
      <c r="BA760" s="80"/>
      <c r="BB760" s="80"/>
      <c r="BC760" s="80"/>
      <c r="BD760" s="80"/>
      <c r="BE760" s="80"/>
      <c r="BF760" s="80"/>
      <c r="BG760" s="80"/>
      <c r="BH760" s="80"/>
      <c r="BI760" s="80"/>
      <c r="BJ760" s="80"/>
      <c r="BK760" s="80"/>
      <c r="BL760" s="80"/>
      <c r="BM760" s="80"/>
      <c r="BN760" s="80"/>
      <c r="BO760" s="80"/>
      <c r="BP760" s="80"/>
      <c r="BQ760" s="80"/>
      <c r="BR760" s="80"/>
      <c r="BS760" s="80"/>
      <c r="BT760" s="80"/>
      <c r="BU760" s="80"/>
      <c r="BV760" s="80"/>
      <c r="BW760" s="80"/>
      <c r="BX760" s="80"/>
      <c r="BY760" s="80"/>
      <c r="BZ760" s="80"/>
      <c r="CA760" s="80"/>
      <c r="CB760" s="80"/>
      <c r="CC760" s="80"/>
      <c r="CD760" s="80"/>
      <c r="CE760" s="80"/>
      <c r="CF760" s="80"/>
      <c r="CG760" s="80"/>
      <c r="CH760" s="80"/>
      <c r="CI760" s="80"/>
      <c r="CJ760" s="80"/>
      <c r="CK760" s="82"/>
      <c r="CL760" s="12"/>
      <c r="CM760" s="82"/>
      <c r="CN760" s="12"/>
      <c r="CO760" s="82"/>
      <c r="CP760" s="12"/>
      <c r="CQ760" s="83">
        <f t="shared" si="86"/>
        <v>0</v>
      </c>
      <c r="CR760" s="84"/>
      <c r="CS760" s="13"/>
      <c r="CT760" s="85"/>
      <c r="CU760" s="86"/>
      <c r="CV760" s="11"/>
      <c r="CW760" s="86"/>
      <c r="CX760" s="84"/>
      <c r="CY760" s="86"/>
    </row>
    <row r="761" spans="1:103" ht="51" x14ac:dyDescent="0.2">
      <c r="A761" s="43">
        <v>40031</v>
      </c>
      <c r="B761" s="44" t="s">
        <v>1350</v>
      </c>
      <c r="C761" s="44" t="s">
        <v>300</v>
      </c>
      <c r="D761" s="45" t="s">
        <v>72</v>
      </c>
      <c r="E761" s="11">
        <v>1</v>
      </c>
      <c r="F761" s="12">
        <v>1</v>
      </c>
      <c r="G761" s="12"/>
      <c r="H761" s="12"/>
      <c r="I761" s="12"/>
      <c r="J761" s="12"/>
      <c r="K761" s="12"/>
      <c r="L761" s="12"/>
      <c r="M761" s="12"/>
      <c r="N761" s="12"/>
      <c r="O761" s="12"/>
      <c r="P761" s="12"/>
      <c r="Q761" s="12"/>
      <c r="R761" s="12"/>
      <c r="S761" s="12"/>
      <c r="T761" s="13"/>
      <c r="U761" s="46"/>
      <c r="V761" s="47">
        <v>40157</v>
      </c>
      <c r="W761" s="48">
        <f t="shared" si="81"/>
        <v>0</v>
      </c>
      <c r="X761" s="48">
        <f t="shared" si="82"/>
        <v>0</v>
      </c>
      <c r="Y761" s="48">
        <f t="shared" si="83"/>
        <v>0</v>
      </c>
      <c r="Z761" s="48">
        <f t="shared" si="84"/>
        <v>0</v>
      </c>
      <c r="AA761" s="48">
        <f>450000+90000+290000+728480</f>
        <v>1558480</v>
      </c>
      <c r="AB761" s="48"/>
      <c r="AC761" s="49">
        <f t="shared" si="85"/>
        <v>1558480</v>
      </c>
      <c r="AD761" s="50">
        <v>0</v>
      </c>
      <c r="AE761" s="47">
        <v>40035</v>
      </c>
      <c r="AF761" s="51" t="s">
        <v>1016</v>
      </c>
      <c r="AG761" s="52" t="s">
        <v>565</v>
      </c>
      <c r="AH761" s="53" t="s">
        <v>25</v>
      </c>
      <c r="AI761" s="79"/>
      <c r="AJ761" s="80"/>
      <c r="AK761" s="81"/>
      <c r="AL761" s="80"/>
      <c r="AM761" s="80"/>
      <c r="AN761" s="80"/>
      <c r="AO761" s="80"/>
      <c r="AP761" s="80"/>
      <c r="AQ761" s="80"/>
      <c r="AR761" s="80"/>
      <c r="AS761" s="80"/>
      <c r="AT761" s="80"/>
      <c r="AU761" s="80"/>
      <c r="AV761" s="80"/>
      <c r="AW761" s="80"/>
      <c r="AX761" s="80"/>
      <c r="AY761" s="80"/>
      <c r="AZ761" s="80"/>
      <c r="BA761" s="80"/>
      <c r="BB761" s="80"/>
      <c r="BC761" s="80"/>
      <c r="BD761" s="80"/>
      <c r="BE761" s="80"/>
      <c r="BF761" s="80"/>
      <c r="BG761" s="80"/>
      <c r="BH761" s="80"/>
      <c r="BI761" s="80"/>
      <c r="BJ761" s="80"/>
      <c r="BK761" s="80"/>
      <c r="BL761" s="80"/>
      <c r="BM761" s="80"/>
      <c r="BN761" s="80"/>
      <c r="BO761" s="80"/>
      <c r="BP761" s="80"/>
      <c r="BQ761" s="80"/>
      <c r="BR761" s="80"/>
      <c r="BS761" s="80"/>
      <c r="BT761" s="80"/>
      <c r="BU761" s="80"/>
      <c r="BV761" s="80"/>
      <c r="BW761" s="80"/>
      <c r="BX761" s="80"/>
      <c r="BY761" s="80"/>
      <c r="BZ761" s="80"/>
      <c r="CA761" s="80"/>
      <c r="CB761" s="80"/>
      <c r="CC761" s="80"/>
      <c r="CD761" s="80"/>
      <c r="CE761" s="80"/>
      <c r="CF761" s="80"/>
      <c r="CG761" s="80"/>
      <c r="CH761" s="80"/>
      <c r="CI761" s="80"/>
      <c r="CJ761" s="80"/>
      <c r="CK761" s="82"/>
      <c r="CL761" s="12"/>
      <c r="CM761" s="82"/>
      <c r="CN761" s="12"/>
      <c r="CO761" s="82"/>
      <c r="CP761" s="12"/>
      <c r="CQ761" s="83">
        <f t="shared" si="86"/>
        <v>0</v>
      </c>
      <c r="CR761" s="84"/>
      <c r="CS761" s="13"/>
      <c r="CT761" s="85"/>
      <c r="CU761" s="86"/>
      <c r="CV761" s="11"/>
      <c r="CW761" s="86"/>
      <c r="CX761" s="84"/>
      <c r="CY761" s="86"/>
    </row>
    <row r="762" spans="1:103" ht="25.5" x14ac:dyDescent="0.2">
      <c r="A762" s="43">
        <v>40033</v>
      </c>
      <c r="B762" s="44" t="s">
        <v>1226</v>
      </c>
      <c r="C762" s="44" t="s">
        <v>1058</v>
      </c>
      <c r="D762" s="45" t="s">
        <v>1095</v>
      </c>
      <c r="E762" s="11">
        <v>1</v>
      </c>
      <c r="F762" s="12"/>
      <c r="G762" s="12"/>
      <c r="H762" s="12"/>
      <c r="I762" s="12"/>
      <c r="J762" s="12"/>
      <c r="K762" s="12"/>
      <c r="L762" s="12"/>
      <c r="M762" s="12"/>
      <c r="N762" s="12"/>
      <c r="O762" s="12"/>
      <c r="P762" s="12"/>
      <c r="Q762" s="12"/>
      <c r="R762" s="12"/>
      <c r="S762" s="12"/>
      <c r="T762" s="13"/>
      <c r="U762" s="46"/>
      <c r="V762" s="47"/>
      <c r="W762" s="48">
        <f t="shared" si="81"/>
        <v>0</v>
      </c>
      <c r="X762" s="48">
        <f t="shared" si="82"/>
        <v>0</v>
      </c>
      <c r="Y762" s="48">
        <f t="shared" si="83"/>
        <v>0</v>
      </c>
      <c r="Z762" s="48">
        <f t="shared" si="84"/>
        <v>0</v>
      </c>
      <c r="AA762" s="48"/>
      <c r="AB762" s="48"/>
      <c r="AC762" s="49">
        <f t="shared" si="85"/>
        <v>0</v>
      </c>
      <c r="AD762" s="50">
        <v>0</v>
      </c>
      <c r="AE762" s="47">
        <v>40035</v>
      </c>
      <c r="AF762" s="51" t="s">
        <v>516</v>
      </c>
      <c r="AG762" s="52" t="s">
        <v>517</v>
      </c>
      <c r="AH762" s="53" t="s">
        <v>73</v>
      </c>
      <c r="AI762" s="79"/>
      <c r="AJ762" s="80"/>
      <c r="AK762" s="81"/>
      <c r="AL762" s="80"/>
      <c r="AM762" s="80"/>
      <c r="AN762" s="80"/>
      <c r="AO762" s="80"/>
      <c r="AP762" s="80"/>
      <c r="AQ762" s="80"/>
      <c r="AR762" s="80"/>
      <c r="AS762" s="80"/>
      <c r="AT762" s="80"/>
      <c r="AU762" s="80"/>
      <c r="AV762" s="80"/>
      <c r="AW762" s="80"/>
      <c r="AX762" s="80"/>
      <c r="AY762" s="80"/>
      <c r="AZ762" s="80"/>
      <c r="BA762" s="80"/>
      <c r="BB762" s="80"/>
      <c r="BC762" s="80"/>
      <c r="BD762" s="80"/>
      <c r="BE762" s="80"/>
      <c r="BF762" s="80"/>
      <c r="BG762" s="80"/>
      <c r="BH762" s="80"/>
      <c r="BI762" s="80"/>
      <c r="BJ762" s="80"/>
      <c r="BK762" s="80"/>
      <c r="BL762" s="80"/>
      <c r="BM762" s="80"/>
      <c r="BN762" s="80"/>
      <c r="BO762" s="80"/>
      <c r="BP762" s="80"/>
      <c r="BQ762" s="80"/>
      <c r="BR762" s="80"/>
      <c r="BS762" s="80"/>
      <c r="BT762" s="80"/>
      <c r="BU762" s="80"/>
      <c r="BV762" s="80"/>
      <c r="BW762" s="80"/>
      <c r="BX762" s="80"/>
      <c r="BY762" s="80"/>
      <c r="BZ762" s="80"/>
      <c r="CA762" s="80"/>
      <c r="CB762" s="80"/>
      <c r="CC762" s="80"/>
      <c r="CD762" s="80"/>
      <c r="CE762" s="80"/>
      <c r="CF762" s="80"/>
      <c r="CG762" s="80"/>
      <c r="CH762" s="80"/>
      <c r="CI762" s="80"/>
      <c r="CJ762" s="80"/>
      <c r="CK762" s="82"/>
      <c r="CL762" s="12"/>
      <c r="CM762" s="82"/>
      <c r="CN762" s="12"/>
      <c r="CO762" s="82"/>
      <c r="CP762" s="12"/>
      <c r="CQ762" s="83">
        <f t="shared" si="86"/>
        <v>0</v>
      </c>
      <c r="CR762" s="84"/>
      <c r="CS762" s="13"/>
      <c r="CT762" s="85"/>
      <c r="CU762" s="86"/>
      <c r="CV762" s="11"/>
      <c r="CW762" s="86"/>
      <c r="CX762" s="84"/>
      <c r="CY762" s="86"/>
    </row>
    <row r="763" spans="1:103" ht="38.25" x14ac:dyDescent="0.2">
      <c r="A763" s="43">
        <v>40034</v>
      </c>
      <c r="B763" s="44" t="s">
        <v>1094</v>
      </c>
      <c r="C763" s="44" t="s">
        <v>74</v>
      </c>
      <c r="D763" s="45" t="s">
        <v>1116</v>
      </c>
      <c r="E763" s="11">
        <v>2</v>
      </c>
      <c r="F763" s="12"/>
      <c r="G763" s="12"/>
      <c r="H763" s="12"/>
      <c r="I763" s="12"/>
      <c r="J763" s="12"/>
      <c r="K763" s="12"/>
      <c r="L763" s="12"/>
      <c r="M763" s="12"/>
      <c r="N763" s="12"/>
      <c r="O763" s="12"/>
      <c r="P763" s="12"/>
      <c r="Q763" s="12"/>
      <c r="R763" s="12"/>
      <c r="S763" s="12"/>
      <c r="T763" s="13"/>
      <c r="U763" s="46"/>
      <c r="V763" s="47"/>
      <c r="W763" s="48">
        <f t="shared" si="81"/>
        <v>0</v>
      </c>
      <c r="X763" s="48">
        <f t="shared" si="82"/>
        <v>0</v>
      </c>
      <c r="Y763" s="48">
        <f t="shared" si="83"/>
        <v>0</v>
      </c>
      <c r="Z763" s="48">
        <f t="shared" si="84"/>
        <v>0</v>
      </c>
      <c r="AA763" s="48"/>
      <c r="AB763" s="48"/>
      <c r="AC763" s="49">
        <f t="shared" si="85"/>
        <v>0</v>
      </c>
      <c r="AD763" s="50">
        <v>0</v>
      </c>
      <c r="AE763" s="47">
        <v>40035</v>
      </c>
      <c r="AF763" s="51" t="s">
        <v>516</v>
      </c>
      <c r="AG763" s="52" t="s">
        <v>517</v>
      </c>
      <c r="AH763" s="53" t="s">
        <v>372</v>
      </c>
      <c r="AI763" s="79"/>
      <c r="AJ763" s="80"/>
      <c r="AK763" s="81"/>
      <c r="AL763" s="80"/>
      <c r="AM763" s="80"/>
      <c r="AN763" s="80"/>
      <c r="AO763" s="80"/>
      <c r="AP763" s="80"/>
      <c r="AQ763" s="80"/>
      <c r="AR763" s="80"/>
      <c r="AS763" s="80"/>
      <c r="AT763" s="80"/>
      <c r="AU763" s="80"/>
      <c r="AV763" s="80"/>
      <c r="AW763" s="80"/>
      <c r="AX763" s="80"/>
      <c r="AY763" s="80"/>
      <c r="AZ763" s="80"/>
      <c r="BA763" s="80"/>
      <c r="BB763" s="80"/>
      <c r="BC763" s="80"/>
      <c r="BD763" s="80"/>
      <c r="BE763" s="80"/>
      <c r="BF763" s="80"/>
      <c r="BG763" s="80"/>
      <c r="BH763" s="80"/>
      <c r="BI763" s="80"/>
      <c r="BJ763" s="80"/>
      <c r="BK763" s="80"/>
      <c r="BL763" s="80"/>
      <c r="BM763" s="80"/>
      <c r="BN763" s="80"/>
      <c r="BO763" s="80"/>
      <c r="BP763" s="80"/>
      <c r="BQ763" s="80"/>
      <c r="BR763" s="80"/>
      <c r="BS763" s="80"/>
      <c r="BT763" s="80"/>
      <c r="BU763" s="80"/>
      <c r="BV763" s="80"/>
      <c r="BW763" s="80"/>
      <c r="BX763" s="80"/>
      <c r="BY763" s="80"/>
      <c r="BZ763" s="80"/>
      <c r="CA763" s="80"/>
      <c r="CB763" s="80"/>
      <c r="CC763" s="80"/>
      <c r="CD763" s="80"/>
      <c r="CE763" s="80"/>
      <c r="CF763" s="80"/>
      <c r="CG763" s="80"/>
      <c r="CH763" s="80"/>
      <c r="CI763" s="80"/>
      <c r="CJ763" s="80"/>
      <c r="CK763" s="82"/>
      <c r="CL763" s="12"/>
      <c r="CM763" s="82"/>
      <c r="CN763" s="12"/>
      <c r="CO763" s="82"/>
      <c r="CP763" s="12"/>
      <c r="CQ763" s="83">
        <f t="shared" si="86"/>
        <v>0</v>
      </c>
      <c r="CR763" s="84"/>
      <c r="CS763" s="13"/>
      <c r="CT763" s="85"/>
      <c r="CU763" s="86"/>
      <c r="CV763" s="11"/>
      <c r="CW763" s="86"/>
      <c r="CX763" s="84"/>
      <c r="CY763" s="86"/>
    </row>
    <row r="764" spans="1:103" ht="38.25" x14ac:dyDescent="0.2">
      <c r="A764" s="43">
        <v>40035</v>
      </c>
      <c r="B764" s="44" t="s">
        <v>1301</v>
      </c>
      <c r="C764" s="44" t="s">
        <v>1020</v>
      </c>
      <c r="D764" s="45" t="s">
        <v>1118</v>
      </c>
      <c r="E764" s="11"/>
      <c r="F764" s="12"/>
      <c r="G764" s="12"/>
      <c r="H764" s="12">
        <v>75</v>
      </c>
      <c r="I764" s="12">
        <v>15</v>
      </c>
      <c r="J764" s="12"/>
      <c r="K764" s="12">
        <v>15</v>
      </c>
      <c r="L764" s="12"/>
      <c r="M764" s="12"/>
      <c r="N764" s="12"/>
      <c r="O764" s="12"/>
      <c r="P764" s="12"/>
      <c r="Q764" s="12"/>
      <c r="R764" s="12"/>
      <c r="S764" s="12"/>
      <c r="T764" s="13"/>
      <c r="U764" s="46"/>
      <c r="V764" s="47"/>
      <c r="W764" s="48">
        <f t="shared" si="81"/>
        <v>0</v>
      </c>
      <c r="X764" s="48">
        <f t="shared" si="82"/>
        <v>0</v>
      </c>
      <c r="Y764" s="48">
        <f t="shared" si="83"/>
        <v>0</v>
      </c>
      <c r="Z764" s="48">
        <f t="shared" si="84"/>
        <v>0</v>
      </c>
      <c r="AA764" s="48"/>
      <c r="AB764" s="48"/>
      <c r="AC764" s="49">
        <f t="shared" si="85"/>
        <v>0</v>
      </c>
      <c r="AD764" s="50">
        <v>0</v>
      </c>
      <c r="AE764" s="47">
        <v>40036</v>
      </c>
      <c r="AF764" s="51" t="s">
        <v>516</v>
      </c>
      <c r="AG764" s="52" t="s">
        <v>517</v>
      </c>
      <c r="AH764" s="53" t="s">
        <v>466</v>
      </c>
      <c r="AI764" s="79"/>
      <c r="AJ764" s="80"/>
      <c r="AK764" s="81"/>
      <c r="AL764" s="80"/>
      <c r="AM764" s="80"/>
      <c r="AN764" s="80"/>
      <c r="AO764" s="80"/>
      <c r="AP764" s="80"/>
      <c r="AQ764" s="80"/>
      <c r="AR764" s="80"/>
      <c r="AS764" s="80"/>
      <c r="AT764" s="80"/>
      <c r="AU764" s="80"/>
      <c r="AV764" s="80"/>
      <c r="AW764" s="80"/>
      <c r="AX764" s="80"/>
      <c r="AY764" s="80"/>
      <c r="AZ764" s="80"/>
      <c r="BA764" s="80"/>
      <c r="BB764" s="80"/>
      <c r="BC764" s="80"/>
      <c r="BD764" s="80"/>
      <c r="BE764" s="80"/>
      <c r="BF764" s="80"/>
      <c r="BG764" s="80"/>
      <c r="BH764" s="80"/>
      <c r="BI764" s="80"/>
      <c r="BJ764" s="80"/>
      <c r="BK764" s="80"/>
      <c r="BL764" s="80"/>
      <c r="BM764" s="80"/>
      <c r="BN764" s="80"/>
      <c r="BO764" s="80"/>
      <c r="BP764" s="80"/>
      <c r="BQ764" s="80"/>
      <c r="BR764" s="80"/>
      <c r="BS764" s="80"/>
      <c r="BT764" s="80"/>
      <c r="BU764" s="80"/>
      <c r="BV764" s="80"/>
      <c r="BW764" s="80"/>
      <c r="BX764" s="80"/>
      <c r="BY764" s="80"/>
      <c r="BZ764" s="80"/>
      <c r="CA764" s="80"/>
      <c r="CB764" s="80"/>
      <c r="CC764" s="80"/>
      <c r="CD764" s="80"/>
      <c r="CE764" s="80"/>
      <c r="CF764" s="80"/>
      <c r="CG764" s="80"/>
      <c r="CH764" s="80"/>
      <c r="CI764" s="80"/>
      <c r="CJ764" s="80"/>
      <c r="CK764" s="82"/>
      <c r="CL764" s="12"/>
      <c r="CM764" s="82"/>
      <c r="CN764" s="12"/>
      <c r="CO764" s="82"/>
      <c r="CP764" s="12"/>
      <c r="CQ764" s="83">
        <f t="shared" si="86"/>
        <v>0</v>
      </c>
      <c r="CR764" s="84"/>
      <c r="CS764" s="13"/>
      <c r="CT764" s="85"/>
      <c r="CU764" s="86"/>
      <c r="CV764" s="11"/>
      <c r="CW764" s="86"/>
      <c r="CX764" s="84"/>
      <c r="CY764" s="86"/>
    </row>
    <row r="765" spans="1:103" ht="38.25" x14ac:dyDescent="0.2">
      <c r="A765" s="43">
        <v>40035</v>
      </c>
      <c r="B765" s="44" t="s">
        <v>1301</v>
      </c>
      <c r="C765" s="44" t="s">
        <v>533</v>
      </c>
      <c r="D765" s="45" t="s">
        <v>1118</v>
      </c>
      <c r="E765" s="11"/>
      <c r="F765" s="12"/>
      <c r="G765" s="12"/>
      <c r="H765" s="12">
        <v>5</v>
      </c>
      <c r="I765" s="12">
        <v>1</v>
      </c>
      <c r="J765" s="12">
        <v>1</v>
      </c>
      <c r="K765" s="12"/>
      <c r="L765" s="12"/>
      <c r="M765" s="12"/>
      <c r="N765" s="12"/>
      <c r="O765" s="12"/>
      <c r="P765" s="12"/>
      <c r="Q765" s="12"/>
      <c r="R765" s="12"/>
      <c r="S765" s="12"/>
      <c r="T765" s="13"/>
      <c r="U765" s="46"/>
      <c r="V765" s="47"/>
      <c r="W765" s="48">
        <f t="shared" si="81"/>
        <v>0</v>
      </c>
      <c r="X765" s="48">
        <f t="shared" si="82"/>
        <v>0</v>
      </c>
      <c r="Y765" s="48">
        <f t="shared" si="83"/>
        <v>0</v>
      </c>
      <c r="Z765" s="48">
        <f t="shared" si="84"/>
        <v>0</v>
      </c>
      <c r="AA765" s="48"/>
      <c r="AB765" s="48"/>
      <c r="AC765" s="49">
        <f t="shared" si="85"/>
        <v>0</v>
      </c>
      <c r="AD765" s="50">
        <v>0</v>
      </c>
      <c r="AE765" s="47">
        <v>40036</v>
      </c>
      <c r="AF765" s="51" t="s">
        <v>516</v>
      </c>
      <c r="AG765" s="52" t="s">
        <v>517</v>
      </c>
      <c r="AH765" s="53" t="s">
        <v>467</v>
      </c>
      <c r="AI765" s="79"/>
      <c r="AJ765" s="80"/>
      <c r="AK765" s="81"/>
      <c r="AL765" s="80"/>
      <c r="AM765" s="80"/>
      <c r="AN765" s="80"/>
      <c r="AO765" s="80"/>
      <c r="AP765" s="80"/>
      <c r="AQ765" s="80"/>
      <c r="AR765" s="80"/>
      <c r="AS765" s="80"/>
      <c r="AT765" s="80"/>
      <c r="AU765" s="80"/>
      <c r="AV765" s="80"/>
      <c r="AW765" s="80"/>
      <c r="AX765" s="80"/>
      <c r="AY765" s="80"/>
      <c r="AZ765" s="80"/>
      <c r="BA765" s="80"/>
      <c r="BB765" s="80"/>
      <c r="BC765" s="80"/>
      <c r="BD765" s="80"/>
      <c r="BE765" s="80"/>
      <c r="BF765" s="80"/>
      <c r="BG765" s="80"/>
      <c r="BH765" s="80"/>
      <c r="BI765" s="80"/>
      <c r="BJ765" s="80"/>
      <c r="BK765" s="80"/>
      <c r="BL765" s="80"/>
      <c r="BM765" s="80"/>
      <c r="BN765" s="80"/>
      <c r="BO765" s="80"/>
      <c r="BP765" s="80"/>
      <c r="BQ765" s="80"/>
      <c r="BR765" s="80"/>
      <c r="BS765" s="80"/>
      <c r="BT765" s="80"/>
      <c r="BU765" s="80"/>
      <c r="BV765" s="80"/>
      <c r="BW765" s="80"/>
      <c r="BX765" s="80"/>
      <c r="BY765" s="80"/>
      <c r="BZ765" s="80"/>
      <c r="CA765" s="80"/>
      <c r="CB765" s="80"/>
      <c r="CC765" s="80"/>
      <c r="CD765" s="80"/>
      <c r="CE765" s="80"/>
      <c r="CF765" s="80"/>
      <c r="CG765" s="80"/>
      <c r="CH765" s="80"/>
      <c r="CI765" s="80"/>
      <c r="CJ765" s="80"/>
      <c r="CK765" s="82"/>
      <c r="CL765" s="12"/>
      <c r="CM765" s="82"/>
      <c r="CN765" s="12"/>
      <c r="CO765" s="82"/>
      <c r="CP765" s="12"/>
      <c r="CQ765" s="83">
        <f t="shared" si="86"/>
        <v>0</v>
      </c>
      <c r="CR765" s="84"/>
      <c r="CS765" s="13"/>
      <c r="CT765" s="85"/>
      <c r="CU765" s="86"/>
      <c r="CV765" s="11"/>
      <c r="CW765" s="86"/>
      <c r="CX765" s="84"/>
      <c r="CY765" s="86"/>
    </row>
    <row r="766" spans="1:103" ht="25.5" x14ac:dyDescent="0.2">
      <c r="A766" s="43">
        <v>40035</v>
      </c>
      <c r="B766" s="44" t="s">
        <v>765</v>
      </c>
      <c r="C766" s="44" t="s">
        <v>578</v>
      </c>
      <c r="D766" s="45" t="s">
        <v>1118</v>
      </c>
      <c r="E766" s="11"/>
      <c r="F766" s="12"/>
      <c r="G766" s="12"/>
      <c r="H766" s="12">
        <v>30</v>
      </c>
      <c r="I766" s="12">
        <v>6</v>
      </c>
      <c r="J766" s="12"/>
      <c r="K766" s="12"/>
      <c r="L766" s="12"/>
      <c r="M766" s="12"/>
      <c r="N766" s="12"/>
      <c r="O766" s="12"/>
      <c r="P766" s="12"/>
      <c r="Q766" s="12"/>
      <c r="R766" s="12"/>
      <c r="S766" s="12"/>
      <c r="T766" s="13"/>
      <c r="U766" s="46"/>
      <c r="V766" s="47"/>
      <c r="W766" s="48">
        <f t="shared" si="81"/>
        <v>0</v>
      </c>
      <c r="X766" s="48">
        <f t="shared" si="82"/>
        <v>0</v>
      </c>
      <c r="Y766" s="48">
        <f t="shared" si="83"/>
        <v>0</v>
      </c>
      <c r="Z766" s="48">
        <f t="shared" si="84"/>
        <v>0</v>
      </c>
      <c r="AA766" s="48"/>
      <c r="AB766" s="48"/>
      <c r="AC766" s="49">
        <f t="shared" si="85"/>
        <v>0</v>
      </c>
      <c r="AD766" s="50">
        <v>0</v>
      </c>
      <c r="AE766" s="47">
        <v>40044</v>
      </c>
      <c r="AF766" s="51" t="s">
        <v>516</v>
      </c>
      <c r="AG766" s="52" t="s">
        <v>517</v>
      </c>
      <c r="AH766" s="53" t="s">
        <v>1287</v>
      </c>
      <c r="AI766" s="79"/>
      <c r="AJ766" s="80"/>
      <c r="AK766" s="81"/>
      <c r="AL766" s="80"/>
      <c r="AM766" s="80"/>
      <c r="AN766" s="80"/>
      <c r="AO766" s="80"/>
      <c r="AP766" s="80"/>
      <c r="AQ766" s="80"/>
      <c r="AR766" s="80"/>
      <c r="AS766" s="80"/>
      <c r="AT766" s="80"/>
      <c r="AU766" s="80"/>
      <c r="AV766" s="80"/>
      <c r="AW766" s="80"/>
      <c r="AX766" s="80"/>
      <c r="AY766" s="80"/>
      <c r="AZ766" s="80"/>
      <c r="BA766" s="80"/>
      <c r="BB766" s="80"/>
      <c r="BC766" s="80"/>
      <c r="BD766" s="80"/>
      <c r="BE766" s="80"/>
      <c r="BF766" s="80"/>
      <c r="BG766" s="80"/>
      <c r="BH766" s="80"/>
      <c r="BI766" s="80"/>
      <c r="BJ766" s="80"/>
      <c r="BK766" s="80"/>
      <c r="BL766" s="80"/>
      <c r="BM766" s="80"/>
      <c r="BN766" s="80"/>
      <c r="BO766" s="80"/>
      <c r="BP766" s="80"/>
      <c r="BQ766" s="80"/>
      <c r="BR766" s="80"/>
      <c r="BS766" s="80"/>
      <c r="BT766" s="80"/>
      <c r="BU766" s="80"/>
      <c r="BV766" s="80"/>
      <c r="BW766" s="80"/>
      <c r="BX766" s="80"/>
      <c r="BY766" s="80"/>
      <c r="BZ766" s="80"/>
      <c r="CA766" s="80"/>
      <c r="CB766" s="80"/>
      <c r="CC766" s="80"/>
      <c r="CD766" s="80"/>
      <c r="CE766" s="80"/>
      <c r="CF766" s="80"/>
      <c r="CG766" s="80"/>
      <c r="CH766" s="80"/>
      <c r="CI766" s="80"/>
      <c r="CJ766" s="80"/>
      <c r="CK766" s="82"/>
      <c r="CL766" s="12"/>
      <c r="CM766" s="82"/>
      <c r="CN766" s="12"/>
      <c r="CO766" s="82"/>
      <c r="CP766" s="12"/>
      <c r="CQ766" s="83">
        <f t="shared" si="86"/>
        <v>0</v>
      </c>
      <c r="CR766" s="84"/>
      <c r="CS766" s="13"/>
      <c r="CT766" s="85"/>
      <c r="CU766" s="86"/>
      <c r="CV766" s="11"/>
      <c r="CW766" s="86"/>
      <c r="CX766" s="84"/>
      <c r="CY766" s="86"/>
    </row>
    <row r="767" spans="1:103" ht="38.25" x14ac:dyDescent="0.2">
      <c r="A767" s="43">
        <v>40037</v>
      </c>
      <c r="B767" s="44" t="s">
        <v>478</v>
      </c>
      <c r="C767" s="44" t="s">
        <v>949</v>
      </c>
      <c r="D767" s="45" t="s">
        <v>1116</v>
      </c>
      <c r="E767" s="11"/>
      <c r="F767" s="12">
        <v>1</v>
      </c>
      <c r="G767" s="12"/>
      <c r="H767" s="12">
        <v>15</v>
      </c>
      <c r="I767" s="12">
        <v>3</v>
      </c>
      <c r="J767" s="12">
        <v>3</v>
      </c>
      <c r="K767" s="12"/>
      <c r="L767" s="12"/>
      <c r="M767" s="12"/>
      <c r="N767" s="12"/>
      <c r="O767" s="12"/>
      <c r="P767" s="12"/>
      <c r="Q767" s="12"/>
      <c r="R767" s="12"/>
      <c r="S767" s="12"/>
      <c r="T767" s="13"/>
      <c r="U767" s="46"/>
      <c r="V767" s="47"/>
      <c r="W767" s="48">
        <f t="shared" si="81"/>
        <v>0</v>
      </c>
      <c r="X767" s="48">
        <f t="shared" si="82"/>
        <v>0</v>
      </c>
      <c r="Y767" s="48">
        <f t="shared" si="83"/>
        <v>0</v>
      </c>
      <c r="Z767" s="48">
        <f t="shared" si="84"/>
        <v>0</v>
      </c>
      <c r="AA767" s="48"/>
      <c r="AB767" s="48"/>
      <c r="AC767" s="49">
        <f t="shared" si="85"/>
        <v>0</v>
      </c>
      <c r="AD767" s="50">
        <v>0</v>
      </c>
      <c r="AE767" s="47">
        <v>40040</v>
      </c>
      <c r="AF767" s="51" t="s">
        <v>516</v>
      </c>
      <c r="AG767" s="52" t="s">
        <v>517</v>
      </c>
      <c r="AH767" s="53" t="s">
        <v>394</v>
      </c>
      <c r="AI767" s="79"/>
      <c r="AJ767" s="80"/>
      <c r="AK767" s="81"/>
      <c r="AL767" s="80"/>
      <c r="AM767" s="80"/>
      <c r="AN767" s="80"/>
      <c r="AO767" s="80"/>
      <c r="AP767" s="80"/>
      <c r="AQ767" s="80"/>
      <c r="AR767" s="80"/>
      <c r="AS767" s="80"/>
      <c r="AT767" s="80"/>
      <c r="AU767" s="80"/>
      <c r="AV767" s="80"/>
      <c r="AW767" s="80"/>
      <c r="AX767" s="80"/>
      <c r="AY767" s="80"/>
      <c r="AZ767" s="80"/>
      <c r="BA767" s="80"/>
      <c r="BB767" s="80"/>
      <c r="BC767" s="80"/>
      <c r="BD767" s="80"/>
      <c r="BE767" s="80"/>
      <c r="BF767" s="80"/>
      <c r="BG767" s="80"/>
      <c r="BH767" s="80"/>
      <c r="BI767" s="80"/>
      <c r="BJ767" s="80"/>
      <c r="BK767" s="80"/>
      <c r="BL767" s="80"/>
      <c r="BM767" s="80"/>
      <c r="BN767" s="80"/>
      <c r="BO767" s="80"/>
      <c r="BP767" s="80"/>
      <c r="BQ767" s="80"/>
      <c r="BR767" s="80"/>
      <c r="BS767" s="80"/>
      <c r="BT767" s="80"/>
      <c r="BU767" s="80"/>
      <c r="BV767" s="80"/>
      <c r="BW767" s="80"/>
      <c r="BX767" s="80"/>
      <c r="BY767" s="80"/>
      <c r="BZ767" s="80"/>
      <c r="CA767" s="80"/>
      <c r="CB767" s="80"/>
      <c r="CC767" s="80"/>
      <c r="CD767" s="80"/>
      <c r="CE767" s="80"/>
      <c r="CF767" s="80"/>
      <c r="CG767" s="80"/>
      <c r="CH767" s="80"/>
      <c r="CI767" s="80"/>
      <c r="CJ767" s="80"/>
      <c r="CK767" s="82"/>
      <c r="CL767" s="12"/>
      <c r="CM767" s="82"/>
      <c r="CN767" s="12"/>
      <c r="CO767" s="82"/>
      <c r="CP767" s="12"/>
      <c r="CQ767" s="83">
        <f t="shared" si="86"/>
        <v>0</v>
      </c>
      <c r="CR767" s="84"/>
      <c r="CS767" s="13"/>
      <c r="CT767" s="85"/>
      <c r="CU767" s="86"/>
      <c r="CV767" s="11"/>
      <c r="CW767" s="86"/>
      <c r="CX767" s="84"/>
      <c r="CY767" s="86"/>
    </row>
    <row r="768" spans="1:103" ht="25.5" x14ac:dyDescent="0.2">
      <c r="A768" s="43">
        <v>40037</v>
      </c>
      <c r="B768" s="44" t="s">
        <v>300</v>
      </c>
      <c r="C768" s="44" t="s">
        <v>945</v>
      </c>
      <c r="D768" s="45" t="s">
        <v>1117</v>
      </c>
      <c r="E768" s="11"/>
      <c r="F768" s="12"/>
      <c r="G768" s="12"/>
      <c r="H768" s="12">
        <v>250</v>
      </c>
      <c r="I768" s="12">
        <v>50</v>
      </c>
      <c r="J768" s="12">
        <v>3</v>
      </c>
      <c r="K768" s="12">
        <v>47</v>
      </c>
      <c r="L768" s="12"/>
      <c r="M768" s="12"/>
      <c r="N768" s="12"/>
      <c r="O768" s="12"/>
      <c r="P768" s="12"/>
      <c r="Q768" s="12"/>
      <c r="R768" s="12"/>
      <c r="S768" s="12"/>
      <c r="T768" s="13"/>
      <c r="U768" s="46"/>
      <c r="V768" s="47"/>
      <c r="W768" s="48">
        <f t="shared" si="81"/>
        <v>0</v>
      </c>
      <c r="X768" s="48">
        <f t="shared" si="82"/>
        <v>0</v>
      </c>
      <c r="Y768" s="48">
        <f t="shared" si="83"/>
        <v>0</v>
      </c>
      <c r="Z768" s="48">
        <f t="shared" si="84"/>
        <v>0</v>
      </c>
      <c r="AA768" s="48"/>
      <c r="AB768" s="48"/>
      <c r="AC768" s="49">
        <f t="shared" si="85"/>
        <v>0</v>
      </c>
      <c r="AD768" s="50">
        <v>0</v>
      </c>
      <c r="AE768" s="47">
        <v>40038</v>
      </c>
      <c r="AF768" s="51" t="s">
        <v>516</v>
      </c>
      <c r="AG768" s="52" t="s">
        <v>517</v>
      </c>
      <c r="AH768" s="53" t="s">
        <v>313</v>
      </c>
      <c r="AI768" s="79"/>
      <c r="AJ768" s="80"/>
      <c r="AK768" s="81"/>
      <c r="AL768" s="80"/>
      <c r="AM768" s="80"/>
      <c r="AN768" s="80"/>
      <c r="AO768" s="80"/>
      <c r="AP768" s="80"/>
      <c r="AQ768" s="80"/>
      <c r="AR768" s="80"/>
      <c r="AS768" s="80"/>
      <c r="AT768" s="80"/>
      <c r="AU768" s="80"/>
      <c r="AV768" s="80"/>
      <c r="AW768" s="80"/>
      <c r="AX768" s="80"/>
      <c r="AY768" s="80"/>
      <c r="AZ768" s="80"/>
      <c r="BA768" s="80"/>
      <c r="BB768" s="80"/>
      <c r="BC768" s="80"/>
      <c r="BD768" s="80"/>
      <c r="BE768" s="80"/>
      <c r="BF768" s="80"/>
      <c r="BG768" s="80"/>
      <c r="BH768" s="80"/>
      <c r="BI768" s="80"/>
      <c r="BJ768" s="80"/>
      <c r="BK768" s="80"/>
      <c r="BL768" s="80"/>
      <c r="BM768" s="80"/>
      <c r="BN768" s="80"/>
      <c r="BO768" s="80"/>
      <c r="BP768" s="80"/>
      <c r="BQ768" s="80"/>
      <c r="BR768" s="80"/>
      <c r="BS768" s="80"/>
      <c r="BT768" s="80"/>
      <c r="BU768" s="80"/>
      <c r="BV768" s="80"/>
      <c r="BW768" s="80"/>
      <c r="BX768" s="80"/>
      <c r="BY768" s="80"/>
      <c r="BZ768" s="80"/>
      <c r="CA768" s="80"/>
      <c r="CB768" s="80"/>
      <c r="CC768" s="80"/>
      <c r="CD768" s="80"/>
      <c r="CE768" s="80"/>
      <c r="CF768" s="80"/>
      <c r="CG768" s="80"/>
      <c r="CH768" s="80"/>
      <c r="CI768" s="80"/>
      <c r="CJ768" s="80"/>
      <c r="CK768" s="82"/>
      <c r="CL768" s="12"/>
      <c r="CM768" s="82"/>
      <c r="CN768" s="12"/>
      <c r="CO768" s="82"/>
      <c r="CP768" s="12"/>
      <c r="CQ768" s="83">
        <f t="shared" si="86"/>
        <v>0</v>
      </c>
      <c r="CR768" s="84"/>
      <c r="CS768" s="13"/>
      <c r="CT768" s="85"/>
      <c r="CU768" s="86"/>
      <c r="CV768" s="11"/>
      <c r="CW768" s="86"/>
      <c r="CX768" s="84"/>
      <c r="CY768" s="86"/>
    </row>
    <row r="769" spans="1:104" ht="25.5" x14ac:dyDescent="0.2">
      <c r="A769" s="43">
        <v>40037</v>
      </c>
      <c r="B769" s="44" t="s">
        <v>300</v>
      </c>
      <c r="C769" s="44" t="s">
        <v>1085</v>
      </c>
      <c r="D769" s="45" t="s">
        <v>1117</v>
      </c>
      <c r="E769" s="11"/>
      <c r="F769" s="12"/>
      <c r="G769" s="12"/>
      <c r="H769" s="12"/>
      <c r="I769" s="12"/>
      <c r="J769" s="12"/>
      <c r="K769" s="12"/>
      <c r="L769" s="12"/>
      <c r="M769" s="12"/>
      <c r="N769" s="12"/>
      <c r="O769" s="12"/>
      <c r="P769" s="12"/>
      <c r="Q769" s="12"/>
      <c r="R769" s="12"/>
      <c r="S769" s="12"/>
      <c r="T769" s="13"/>
      <c r="U769" s="46"/>
      <c r="V769" s="47"/>
      <c r="W769" s="48">
        <f t="shared" si="81"/>
        <v>0</v>
      </c>
      <c r="X769" s="48">
        <f t="shared" si="82"/>
        <v>0</v>
      </c>
      <c r="Y769" s="48">
        <f t="shared" si="83"/>
        <v>0</v>
      </c>
      <c r="Z769" s="48">
        <f t="shared" si="84"/>
        <v>0</v>
      </c>
      <c r="AA769" s="48"/>
      <c r="AB769" s="48"/>
      <c r="AC769" s="49">
        <f t="shared" si="85"/>
        <v>0</v>
      </c>
      <c r="AD769" s="50">
        <v>0</v>
      </c>
      <c r="AE769" s="47">
        <v>40038</v>
      </c>
      <c r="AF769" s="51" t="s">
        <v>516</v>
      </c>
      <c r="AG769" s="52" t="s">
        <v>517</v>
      </c>
      <c r="AH769" s="53" t="s">
        <v>1086</v>
      </c>
      <c r="AI769" s="79"/>
      <c r="AJ769" s="80"/>
      <c r="AK769" s="81"/>
      <c r="AL769" s="80"/>
      <c r="AM769" s="80"/>
      <c r="AN769" s="80"/>
      <c r="AO769" s="80"/>
      <c r="AP769" s="80"/>
      <c r="AQ769" s="80"/>
      <c r="AR769" s="80"/>
      <c r="AS769" s="80"/>
      <c r="AT769" s="80"/>
      <c r="AU769" s="80"/>
      <c r="AV769" s="80"/>
      <c r="AW769" s="80"/>
      <c r="AX769" s="80"/>
      <c r="AY769" s="80"/>
      <c r="AZ769" s="80"/>
      <c r="BA769" s="80"/>
      <c r="BB769" s="80"/>
      <c r="BC769" s="80"/>
      <c r="BD769" s="80"/>
      <c r="BE769" s="80"/>
      <c r="BF769" s="80"/>
      <c r="BG769" s="80"/>
      <c r="BH769" s="80"/>
      <c r="BI769" s="80"/>
      <c r="BJ769" s="80"/>
      <c r="BK769" s="80"/>
      <c r="BL769" s="80"/>
      <c r="BM769" s="80"/>
      <c r="BN769" s="80"/>
      <c r="BO769" s="80"/>
      <c r="BP769" s="80"/>
      <c r="BQ769" s="80"/>
      <c r="BR769" s="80"/>
      <c r="BS769" s="80"/>
      <c r="BT769" s="80"/>
      <c r="BU769" s="80"/>
      <c r="BV769" s="80"/>
      <c r="BW769" s="80"/>
      <c r="BX769" s="80"/>
      <c r="BY769" s="80"/>
      <c r="BZ769" s="80"/>
      <c r="CA769" s="80"/>
      <c r="CB769" s="80"/>
      <c r="CC769" s="80"/>
      <c r="CD769" s="80"/>
      <c r="CE769" s="80"/>
      <c r="CF769" s="80"/>
      <c r="CG769" s="80"/>
      <c r="CH769" s="80"/>
      <c r="CI769" s="80"/>
      <c r="CJ769" s="80"/>
      <c r="CK769" s="82"/>
      <c r="CL769" s="12"/>
      <c r="CM769" s="82"/>
      <c r="CN769" s="12"/>
      <c r="CO769" s="82"/>
      <c r="CP769" s="12"/>
      <c r="CQ769" s="83">
        <f t="shared" si="86"/>
        <v>0</v>
      </c>
      <c r="CR769" s="84"/>
      <c r="CS769" s="13"/>
      <c r="CT769" s="85"/>
      <c r="CU769" s="86"/>
      <c r="CV769" s="11"/>
      <c r="CW769" s="86"/>
      <c r="CX769" s="84"/>
      <c r="CY769" s="86"/>
    </row>
    <row r="770" spans="1:104" ht="38.25" x14ac:dyDescent="0.2">
      <c r="A770" s="43">
        <v>40037</v>
      </c>
      <c r="B770" s="44" t="s">
        <v>1224</v>
      </c>
      <c r="C770" s="44" t="s">
        <v>378</v>
      </c>
      <c r="D770" s="45" t="s">
        <v>1117</v>
      </c>
      <c r="E770" s="11"/>
      <c r="F770" s="12"/>
      <c r="G770" s="12"/>
      <c r="H770" s="12">
        <f>15*5</f>
        <v>75</v>
      </c>
      <c r="I770" s="12">
        <v>15</v>
      </c>
      <c r="J770" s="12"/>
      <c r="K770" s="12">
        <v>15</v>
      </c>
      <c r="L770" s="12"/>
      <c r="M770" s="12"/>
      <c r="N770" s="12"/>
      <c r="O770" s="12"/>
      <c r="P770" s="12"/>
      <c r="Q770" s="12"/>
      <c r="R770" s="12"/>
      <c r="S770" s="12"/>
      <c r="T770" s="13"/>
      <c r="U770" s="46"/>
      <c r="V770" s="47"/>
      <c r="W770" s="48">
        <f t="shared" si="81"/>
        <v>0</v>
      </c>
      <c r="X770" s="48">
        <f t="shared" si="82"/>
        <v>0</v>
      </c>
      <c r="Y770" s="48">
        <f t="shared" si="83"/>
        <v>0</v>
      </c>
      <c r="Z770" s="48">
        <f t="shared" si="84"/>
        <v>0</v>
      </c>
      <c r="AA770" s="48"/>
      <c r="AB770" s="48"/>
      <c r="AC770" s="49">
        <f t="shared" si="85"/>
        <v>0</v>
      </c>
      <c r="AD770" s="50">
        <v>0</v>
      </c>
      <c r="AE770" s="47">
        <v>40050</v>
      </c>
      <c r="AF770" s="51" t="s">
        <v>1016</v>
      </c>
      <c r="AG770" s="52" t="s">
        <v>517</v>
      </c>
      <c r="AH770" s="53" t="s">
        <v>26</v>
      </c>
      <c r="AI770" s="79"/>
      <c r="AJ770" s="80"/>
      <c r="AK770" s="81"/>
      <c r="AL770" s="80"/>
      <c r="AM770" s="80"/>
      <c r="AN770" s="80"/>
      <c r="AO770" s="80"/>
      <c r="AP770" s="80"/>
      <c r="AQ770" s="80"/>
      <c r="AR770" s="80"/>
      <c r="AS770" s="80"/>
      <c r="AT770" s="80"/>
      <c r="AU770" s="80"/>
      <c r="AV770" s="80"/>
      <c r="AW770" s="80"/>
      <c r="AX770" s="80"/>
      <c r="AY770" s="80"/>
      <c r="AZ770" s="80"/>
      <c r="BA770" s="80"/>
      <c r="BB770" s="80"/>
      <c r="BC770" s="80"/>
      <c r="BD770" s="80"/>
      <c r="BE770" s="80"/>
      <c r="BF770" s="80"/>
      <c r="BG770" s="80"/>
      <c r="BH770" s="80"/>
      <c r="BI770" s="80"/>
      <c r="BJ770" s="80"/>
      <c r="BK770" s="80"/>
      <c r="BL770" s="80"/>
      <c r="BM770" s="80"/>
      <c r="BN770" s="80"/>
      <c r="BO770" s="80"/>
      <c r="BP770" s="80"/>
      <c r="BQ770" s="80"/>
      <c r="BR770" s="80"/>
      <c r="BS770" s="80"/>
      <c r="BT770" s="80"/>
      <c r="BU770" s="80"/>
      <c r="BV770" s="80"/>
      <c r="BW770" s="80"/>
      <c r="BX770" s="80"/>
      <c r="BY770" s="80"/>
      <c r="BZ770" s="80"/>
      <c r="CA770" s="80"/>
      <c r="CB770" s="80"/>
      <c r="CC770" s="80"/>
      <c r="CD770" s="80"/>
      <c r="CE770" s="80"/>
      <c r="CF770" s="80"/>
      <c r="CG770" s="80"/>
      <c r="CH770" s="80"/>
      <c r="CI770" s="80"/>
      <c r="CJ770" s="80"/>
      <c r="CK770" s="82"/>
      <c r="CL770" s="12"/>
      <c r="CM770" s="82"/>
      <c r="CN770" s="12"/>
      <c r="CO770" s="82"/>
      <c r="CP770" s="12"/>
      <c r="CQ770" s="83">
        <f t="shared" si="86"/>
        <v>0</v>
      </c>
      <c r="CR770" s="84"/>
      <c r="CS770" s="13"/>
      <c r="CT770" s="85"/>
      <c r="CU770" s="86"/>
      <c r="CV770" s="11"/>
      <c r="CW770" s="86"/>
      <c r="CX770" s="84"/>
      <c r="CY770" s="86"/>
    </row>
    <row r="771" spans="1:104" ht="25.5" x14ac:dyDescent="0.2">
      <c r="A771" s="43">
        <v>40037</v>
      </c>
      <c r="B771" s="44" t="s">
        <v>781</v>
      </c>
      <c r="C771" s="44" t="s">
        <v>1011</v>
      </c>
      <c r="D771" s="45" t="s">
        <v>1118</v>
      </c>
      <c r="E771" s="11"/>
      <c r="F771" s="12"/>
      <c r="G771" s="12"/>
      <c r="H771" s="12">
        <v>115</v>
      </c>
      <c r="I771" s="12">
        <v>23</v>
      </c>
      <c r="J771" s="12"/>
      <c r="K771" s="12">
        <v>23</v>
      </c>
      <c r="L771" s="12"/>
      <c r="M771" s="12"/>
      <c r="N771" s="12"/>
      <c r="O771" s="12"/>
      <c r="P771" s="12"/>
      <c r="Q771" s="12"/>
      <c r="R771" s="12"/>
      <c r="S771" s="12"/>
      <c r="T771" s="13"/>
      <c r="U771" s="46"/>
      <c r="V771" s="47"/>
      <c r="W771" s="48">
        <f t="shared" ref="W771:W808" si="87">CQ771</f>
        <v>0</v>
      </c>
      <c r="X771" s="48">
        <f t="shared" ref="X771:X808" si="88">CU771</f>
        <v>0</v>
      </c>
      <c r="Y771" s="48">
        <f t="shared" ref="Y771:Y808" si="89">CW771+CY771</f>
        <v>0</v>
      </c>
      <c r="Z771" s="48">
        <f t="shared" ref="Z771:Z808" si="90">CS771</f>
        <v>0</v>
      </c>
      <c r="AA771" s="48"/>
      <c r="AB771" s="48"/>
      <c r="AC771" s="49">
        <f t="shared" ref="AC771:AC808" si="91">W771+X771+Y771+Z771+AA771+AB771</f>
        <v>0</v>
      </c>
      <c r="AD771" s="50">
        <v>0</v>
      </c>
      <c r="AE771" s="47">
        <v>40040</v>
      </c>
      <c r="AF771" s="51" t="s">
        <v>516</v>
      </c>
      <c r="AG771" s="52" t="s">
        <v>517</v>
      </c>
      <c r="AH771" s="53" t="s">
        <v>396</v>
      </c>
      <c r="AI771" s="79"/>
      <c r="AJ771" s="80"/>
      <c r="AK771" s="81"/>
      <c r="AL771" s="80"/>
      <c r="AM771" s="80"/>
      <c r="AN771" s="80"/>
      <c r="AO771" s="80"/>
      <c r="AP771" s="80"/>
      <c r="AQ771" s="80"/>
      <c r="AR771" s="80"/>
      <c r="AS771" s="80"/>
      <c r="AT771" s="80"/>
      <c r="AU771" s="80"/>
      <c r="AV771" s="80"/>
      <c r="AW771" s="80"/>
      <c r="AX771" s="80"/>
      <c r="AY771" s="80"/>
      <c r="AZ771" s="80"/>
      <c r="BA771" s="80"/>
      <c r="BB771" s="80"/>
      <c r="BC771" s="80"/>
      <c r="BD771" s="80"/>
      <c r="BE771" s="80"/>
      <c r="BF771" s="80"/>
      <c r="BG771" s="80"/>
      <c r="BH771" s="80"/>
      <c r="BI771" s="80"/>
      <c r="BJ771" s="80"/>
      <c r="BK771" s="80"/>
      <c r="BL771" s="80"/>
      <c r="BM771" s="80"/>
      <c r="BN771" s="80"/>
      <c r="BO771" s="80"/>
      <c r="BP771" s="80"/>
      <c r="BQ771" s="80"/>
      <c r="BR771" s="80"/>
      <c r="BS771" s="80"/>
      <c r="BT771" s="80"/>
      <c r="BU771" s="80"/>
      <c r="BV771" s="80"/>
      <c r="BW771" s="80"/>
      <c r="BX771" s="80"/>
      <c r="BY771" s="80"/>
      <c r="BZ771" s="80"/>
      <c r="CA771" s="80"/>
      <c r="CB771" s="80"/>
      <c r="CC771" s="80"/>
      <c r="CD771" s="80"/>
      <c r="CE771" s="80"/>
      <c r="CF771" s="80"/>
      <c r="CG771" s="80"/>
      <c r="CH771" s="80"/>
      <c r="CI771" s="80"/>
      <c r="CJ771" s="80"/>
      <c r="CK771" s="82"/>
      <c r="CL771" s="12"/>
      <c r="CM771" s="82"/>
      <c r="CN771" s="12"/>
      <c r="CO771" s="82"/>
      <c r="CP771" s="12"/>
      <c r="CQ771" s="83">
        <f t="shared" ref="CQ771:CQ808" si="92">AJ771+AL771+AN771+AP771+AR771+AT771+AV771+AX771+AZ771+BB771+BD771+BF771+BH771+BJ771+BL771+BN771+BP771+BR771+BT771+BV771+BX771+BZ771+CB771+CD771+CF771+CH771+CJ771+CL771+CN771+CP771</f>
        <v>0</v>
      </c>
      <c r="CR771" s="84"/>
      <c r="CS771" s="13"/>
      <c r="CT771" s="85"/>
      <c r="CU771" s="86"/>
      <c r="CV771" s="11"/>
      <c r="CW771" s="86"/>
      <c r="CX771" s="84"/>
      <c r="CY771" s="86"/>
    </row>
    <row r="772" spans="1:104" ht="25.5" x14ac:dyDescent="0.2">
      <c r="A772" s="43">
        <v>40037</v>
      </c>
      <c r="B772" s="44" t="s">
        <v>413</v>
      </c>
      <c r="C772" s="44" t="s">
        <v>414</v>
      </c>
      <c r="D772" s="45" t="s">
        <v>1117</v>
      </c>
      <c r="E772" s="11"/>
      <c r="F772" s="12"/>
      <c r="G772" s="12"/>
      <c r="H772" s="12">
        <v>100</v>
      </c>
      <c r="I772" s="12">
        <v>20</v>
      </c>
      <c r="J772" s="12"/>
      <c r="K772" s="12">
        <v>20</v>
      </c>
      <c r="L772" s="12"/>
      <c r="M772" s="12"/>
      <c r="N772" s="12"/>
      <c r="O772" s="12"/>
      <c r="P772" s="12"/>
      <c r="Q772" s="12"/>
      <c r="R772" s="12"/>
      <c r="S772" s="12"/>
      <c r="T772" s="13"/>
      <c r="U772" s="46"/>
      <c r="V772" s="47"/>
      <c r="W772" s="48">
        <f t="shared" si="87"/>
        <v>0</v>
      </c>
      <c r="X772" s="48">
        <f t="shared" si="88"/>
        <v>0</v>
      </c>
      <c r="Y772" s="48">
        <f t="shared" si="89"/>
        <v>0</v>
      </c>
      <c r="Z772" s="48">
        <f t="shared" si="90"/>
        <v>0</v>
      </c>
      <c r="AA772" s="48"/>
      <c r="AB772" s="48"/>
      <c r="AC772" s="49">
        <f t="shared" si="91"/>
        <v>0</v>
      </c>
      <c r="AD772" s="50">
        <v>0</v>
      </c>
      <c r="AE772" s="47">
        <v>40038</v>
      </c>
      <c r="AF772" s="51" t="s">
        <v>516</v>
      </c>
      <c r="AG772" s="52" t="s">
        <v>517</v>
      </c>
      <c r="AH772" s="53" t="s">
        <v>1087</v>
      </c>
      <c r="AI772" s="79"/>
      <c r="AJ772" s="80"/>
      <c r="AK772" s="81"/>
      <c r="AL772" s="80"/>
      <c r="AM772" s="80"/>
      <c r="AN772" s="80"/>
      <c r="AO772" s="80"/>
      <c r="AP772" s="80"/>
      <c r="AQ772" s="80"/>
      <c r="AR772" s="80"/>
      <c r="AS772" s="80"/>
      <c r="AT772" s="80"/>
      <c r="AU772" s="80"/>
      <c r="AV772" s="80"/>
      <c r="AW772" s="80"/>
      <c r="AX772" s="80"/>
      <c r="AY772" s="80"/>
      <c r="AZ772" s="80"/>
      <c r="BA772" s="80"/>
      <c r="BB772" s="80"/>
      <c r="BC772" s="80"/>
      <c r="BD772" s="80"/>
      <c r="BE772" s="80"/>
      <c r="BF772" s="80"/>
      <c r="BG772" s="80"/>
      <c r="BH772" s="80"/>
      <c r="BI772" s="80"/>
      <c r="BJ772" s="80"/>
      <c r="BK772" s="80"/>
      <c r="BL772" s="80"/>
      <c r="BM772" s="80"/>
      <c r="BN772" s="80"/>
      <c r="BO772" s="80"/>
      <c r="BP772" s="80"/>
      <c r="BQ772" s="80"/>
      <c r="BR772" s="80"/>
      <c r="BS772" s="80"/>
      <c r="BT772" s="80"/>
      <c r="BU772" s="80"/>
      <c r="BV772" s="80"/>
      <c r="BW772" s="80"/>
      <c r="BX772" s="80"/>
      <c r="BY772" s="80"/>
      <c r="BZ772" s="80"/>
      <c r="CA772" s="80"/>
      <c r="CB772" s="80"/>
      <c r="CC772" s="80"/>
      <c r="CD772" s="80"/>
      <c r="CE772" s="80"/>
      <c r="CF772" s="80"/>
      <c r="CG772" s="80"/>
      <c r="CH772" s="80"/>
      <c r="CI772" s="80"/>
      <c r="CJ772" s="80"/>
      <c r="CK772" s="82"/>
      <c r="CL772" s="12"/>
      <c r="CM772" s="82"/>
      <c r="CN772" s="12"/>
      <c r="CO772" s="82"/>
      <c r="CP772" s="12"/>
      <c r="CQ772" s="83">
        <f t="shared" si="92"/>
        <v>0</v>
      </c>
      <c r="CR772" s="84"/>
      <c r="CS772" s="13"/>
      <c r="CT772" s="85"/>
      <c r="CU772" s="86"/>
      <c r="CV772" s="11"/>
      <c r="CW772" s="86"/>
      <c r="CX772" s="84"/>
      <c r="CY772" s="86"/>
    </row>
    <row r="773" spans="1:104" ht="25.5" x14ac:dyDescent="0.2">
      <c r="A773" s="43">
        <v>40038</v>
      </c>
      <c r="B773" s="44" t="s">
        <v>625</v>
      </c>
      <c r="C773" s="44" t="s">
        <v>462</v>
      </c>
      <c r="D773" s="45" t="s">
        <v>1117</v>
      </c>
      <c r="E773" s="11"/>
      <c r="F773" s="12"/>
      <c r="G773" s="12"/>
      <c r="H773" s="12"/>
      <c r="I773" s="12"/>
      <c r="J773" s="12"/>
      <c r="K773" s="12"/>
      <c r="L773" s="12"/>
      <c r="M773" s="12"/>
      <c r="N773" s="12"/>
      <c r="O773" s="12"/>
      <c r="P773" s="12"/>
      <c r="Q773" s="12"/>
      <c r="R773" s="12"/>
      <c r="S773" s="12"/>
      <c r="T773" s="13"/>
      <c r="U773" s="46"/>
      <c r="V773" s="47"/>
      <c r="W773" s="48">
        <f t="shared" si="87"/>
        <v>0</v>
      </c>
      <c r="X773" s="48">
        <f t="shared" si="88"/>
        <v>0</v>
      </c>
      <c r="Y773" s="48">
        <f t="shared" si="89"/>
        <v>0</v>
      </c>
      <c r="Z773" s="48">
        <f t="shared" si="90"/>
        <v>0</v>
      </c>
      <c r="AA773" s="48"/>
      <c r="AB773" s="48"/>
      <c r="AC773" s="49">
        <f t="shared" si="91"/>
        <v>0</v>
      </c>
      <c r="AD773" s="50">
        <v>0</v>
      </c>
      <c r="AE773" s="47">
        <v>40040</v>
      </c>
      <c r="AF773" s="51" t="s">
        <v>516</v>
      </c>
      <c r="AG773" s="52" t="s">
        <v>517</v>
      </c>
      <c r="AH773" s="53" t="s">
        <v>395</v>
      </c>
      <c r="AI773" s="79"/>
      <c r="AJ773" s="80"/>
      <c r="AK773" s="81"/>
      <c r="AL773" s="80"/>
      <c r="AM773" s="80"/>
      <c r="AN773" s="80"/>
      <c r="AO773" s="80"/>
      <c r="AP773" s="80"/>
      <c r="AQ773" s="80"/>
      <c r="AR773" s="80"/>
      <c r="AS773" s="80"/>
      <c r="AT773" s="80"/>
      <c r="AU773" s="80"/>
      <c r="AV773" s="80"/>
      <c r="AW773" s="80"/>
      <c r="AX773" s="80"/>
      <c r="AY773" s="80"/>
      <c r="AZ773" s="80"/>
      <c r="BA773" s="80"/>
      <c r="BB773" s="80"/>
      <c r="BC773" s="80"/>
      <c r="BD773" s="80"/>
      <c r="BE773" s="80"/>
      <c r="BF773" s="80"/>
      <c r="BG773" s="80"/>
      <c r="BH773" s="80"/>
      <c r="BI773" s="80"/>
      <c r="BJ773" s="80"/>
      <c r="BK773" s="80"/>
      <c r="BL773" s="80"/>
      <c r="BM773" s="80"/>
      <c r="BN773" s="80"/>
      <c r="BO773" s="80"/>
      <c r="BP773" s="80"/>
      <c r="BQ773" s="80"/>
      <c r="BR773" s="80"/>
      <c r="BS773" s="80"/>
      <c r="BT773" s="80"/>
      <c r="BU773" s="80"/>
      <c r="BV773" s="80"/>
      <c r="BW773" s="80"/>
      <c r="BX773" s="80"/>
      <c r="BY773" s="80"/>
      <c r="BZ773" s="80"/>
      <c r="CA773" s="80"/>
      <c r="CB773" s="80"/>
      <c r="CC773" s="80"/>
      <c r="CD773" s="80"/>
      <c r="CE773" s="80"/>
      <c r="CF773" s="80"/>
      <c r="CG773" s="80"/>
      <c r="CH773" s="80"/>
      <c r="CI773" s="80"/>
      <c r="CJ773" s="80"/>
      <c r="CK773" s="82"/>
      <c r="CL773" s="12"/>
      <c r="CM773" s="82"/>
      <c r="CN773" s="12"/>
      <c r="CO773" s="82"/>
      <c r="CP773" s="12"/>
      <c r="CQ773" s="83">
        <f t="shared" si="92"/>
        <v>0</v>
      </c>
      <c r="CR773" s="84"/>
      <c r="CS773" s="13"/>
      <c r="CT773" s="85"/>
      <c r="CU773" s="86"/>
      <c r="CV773" s="11"/>
      <c r="CW773" s="86"/>
      <c r="CX773" s="84"/>
      <c r="CY773" s="86"/>
    </row>
    <row r="774" spans="1:104" ht="25.5" x14ac:dyDescent="0.2">
      <c r="A774" s="43">
        <v>40038</v>
      </c>
      <c r="B774" s="44" t="s">
        <v>625</v>
      </c>
      <c r="C774" s="44" t="s">
        <v>944</v>
      </c>
      <c r="D774" s="45" t="s">
        <v>1117</v>
      </c>
      <c r="E774" s="11"/>
      <c r="F774" s="12"/>
      <c r="G774" s="12"/>
      <c r="H774" s="12">
        <v>225</v>
      </c>
      <c r="I774" s="12">
        <v>45</v>
      </c>
      <c r="J774" s="12">
        <v>5</v>
      </c>
      <c r="K774" s="12">
        <v>40</v>
      </c>
      <c r="L774" s="12"/>
      <c r="M774" s="12"/>
      <c r="N774" s="12"/>
      <c r="O774" s="12"/>
      <c r="P774" s="12"/>
      <c r="Q774" s="12"/>
      <c r="R774" s="12"/>
      <c r="S774" s="12"/>
      <c r="T774" s="13"/>
      <c r="U774" s="46"/>
      <c r="V774" s="47"/>
      <c r="W774" s="48">
        <f t="shared" si="87"/>
        <v>0</v>
      </c>
      <c r="X774" s="48">
        <f t="shared" si="88"/>
        <v>0</v>
      </c>
      <c r="Y774" s="48">
        <f t="shared" si="89"/>
        <v>0</v>
      </c>
      <c r="Z774" s="48">
        <f t="shared" si="90"/>
        <v>0</v>
      </c>
      <c r="AA774" s="48"/>
      <c r="AB774" s="48"/>
      <c r="AC774" s="49">
        <f t="shared" si="91"/>
        <v>0</v>
      </c>
      <c r="AD774" s="50">
        <v>0</v>
      </c>
      <c r="AE774" s="47">
        <v>40040</v>
      </c>
      <c r="AF774" s="51" t="s">
        <v>516</v>
      </c>
      <c r="AG774" s="52" t="s">
        <v>517</v>
      </c>
      <c r="AH774" s="53" t="s">
        <v>1281</v>
      </c>
      <c r="AI774" s="79"/>
      <c r="AJ774" s="80"/>
      <c r="AK774" s="81"/>
      <c r="AL774" s="80"/>
      <c r="AM774" s="80"/>
      <c r="AN774" s="80"/>
      <c r="AO774" s="80"/>
      <c r="AP774" s="80"/>
      <c r="AQ774" s="80"/>
      <c r="AR774" s="80"/>
      <c r="AS774" s="80"/>
      <c r="AT774" s="80"/>
      <c r="AU774" s="80"/>
      <c r="AV774" s="80"/>
      <c r="AW774" s="80"/>
      <c r="AX774" s="80"/>
      <c r="AY774" s="80"/>
      <c r="AZ774" s="80"/>
      <c r="BA774" s="80"/>
      <c r="BB774" s="80"/>
      <c r="BC774" s="80"/>
      <c r="BD774" s="80"/>
      <c r="BE774" s="80"/>
      <c r="BF774" s="80"/>
      <c r="BG774" s="80"/>
      <c r="BH774" s="80"/>
      <c r="BI774" s="80"/>
      <c r="BJ774" s="80"/>
      <c r="BK774" s="80"/>
      <c r="BL774" s="80"/>
      <c r="BM774" s="80"/>
      <c r="BN774" s="80"/>
      <c r="BO774" s="80"/>
      <c r="BP774" s="80"/>
      <c r="BQ774" s="80"/>
      <c r="BR774" s="80"/>
      <c r="BS774" s="80"/>
      <c r="BT774" s="80"/>
      <c r="BU774" s="80"/>
      <c r="BV774" s="80"/>
      <c r="BW774" s="80"/>
      <c r="BX774" s="80"/>
      <c r="BY774" s="80"/>
      <c r="BZ774" s="80"/>
      <c r="CA774" s="80"/>
      <c r="CB774" s="80"/>
      <c r="CC774" s="80"/>
      <c r="CD774" s="80"/>
      <c r="CE774" s="80"/>
      <c r="CF774" s="80"/>
      <c r="CG774" s="80"/>
      <c r="CH774" s="80"/>
      <c r="CI774" s="80"/>
      <c r="CJ774" s="80"/>
      <c r="CK774" s="82"/>
      <c r="CL774" s="12"/>
      <c r="CM774" s="82"/>
      <c r="CN774" s="12"/>
      <c r="CO774" s="82"/>
      <c r="CP774" s="12"/>
      <c r="CQ774" s="83">
        <f t="shared" si="92"/>
        <v>0</v>
      </c>
      <c r="CR774" s="84"/>
      <c r="CS774" s="13"/>
      <c r="CT774" s="85"/>
      <c r="CU774" s="86"/>
      <c r="CV774" s="11"/>
      <c r="CW774" s="86"/>
      <c r="CX774" s="84"/>
      <c r="CY774" s="86"/>
    </row>
    <row r="775" spans="1:104" ht="25.5" x14ac:dyDescent="0.2">
      <c r="A775" s="43">
        <v>40038</v>
      </c>
      <c r="B775" s="44" t="s">
        <v>625</v>
      </c>
      <c r="C775" s="44" t="s">
        <v>693</v>
      </c>
      <c r="D775" s="45" t="s">
        <v>1117</v>
      </c>
      <c r="E775" s="11"/>
      <c r="F775" s="12"/>
      <c r="G775" s="12"/>
      <c r="H775" s="12"/>
      <c r="I775" s="12"/>
      <c r="J775" s="12"/>
      <c r="K775" s="12"/>
      <c r="L775" s="12"/>
      <c r="M775" s="12"/>
      <c r="N775" s="12"/>
      <c r="O775" s="12"/>
      <c r="P775" s="12"/>
      <c r="Q775" s="12"/>
      <c r="R775" s="12"/>
      <c r="S775" s="12"/>
      <c r="T775" s="13"/>
      <c r="U775" s="46"/>
      <c r="V775" s="47"/>
      <c r="W775" s="48">
        <f t="shared" si="87"/>
        <v>0</v>
      </c>
      <c r="X775" s="48">
        <f t="shared" si="88"/>
        <v>0</v>
      </c>
      <c r="Y775" s="48">
        <f t="shared" si="89"/>
        <v>0</v>
      </c>
      <c r="Z775" s="48">
        <f t="shared" si="90"/>
        <v>0</v>
      </c>
      <c r="AA775" s="48"/>
      <c r="AB775" s="48"/>
      <c r="AC775" s="49">
        <f t="shared" si="91"/>
        <v>0</v>
      </c>
      <c r="AD775" s="50">
        <v>0</v>
      </c>
      <c r="AE775" s="47">
        <v>40040</v>
      </c>
      <c r="AF775" s="51" t="s">
        <v>516</v>
      </c>
      <c r="AG775" s="52" t="s">
        <v>517</v>
      </c>
      <c r="AH775" s="53" t="s">
        <v>397</v>
      </c>
      <c r="AI775" s="79"/>
      <c r="AJ775" s="80"/>
      <c r="AK775" s="81"/>
      <c r="AL775" s="80"/>
      <c r="AM775" s="80"/>
      <c r="AN775" s="80"/>
      <c r="AO775" s="80"/>
      <c r="AP775" s="80"/>
      <c r="AQ775" s="80"/>
      <c r="AR775" s="80"/>
      <c r="AS775" s="80"/>
      <c r="AT775" s="80"/>
      <c r="AU775" s="80"/>
      <c r="AV775" s="80"/>
      <c r="AW775" s="80"/>
      <c r="AX775" s="80"/>
      <c r="AY775" s="80"/>
      <c r="AZ775" s="80"/>
      <c r="BA775" s="80"/>
      <c r="BB775" s="80"/>
      <c r="BC775" s="80"/>
      <c r="BD775" s="80"/>
      <c r="BE775" s="80"/>
      <c r="BF775" s="80"/>
      <c r="BG775" s="80"/>
      <c r="BH775" s="80"/>
      <c r="BI775" s="80"/>
      <c r="BJ775" s="80"/>
      <c r="BK775" s="80"/>
      <c r="BL775" s="80"/>
      <c r="BM775" s="80"/>
      <c r="BN775" s="80"/>
      <c r="BO775" s="80"/>
      <c r="BP775" s="80"/>
      <c r="BQ775" s="80"/>
      <c r="BR775" s="80"/>
      <c r="BS775" s="80"/>
      <c r="BT775" s="80"/>
      <c r="BU775" s="80"/>
      <c r="BV775" s="80"/>
      <c r="BW775" s="80"/>
      <c r="BX775" s="80"/>
      <c r="BY775" s="80"/>
      <c r="BZ775" s="80"/>
      <c r="CA775" s="80"/>
      <c r="CB775" s="80"/>
      <c r="CC775" s="80"/>
      <c r="CD775" s="80"/>
      <c r="CE775" s="80"/>
      <c r="CF775" s="80"/>
      <c r="CG775" s="80"/>
      <c r="CH775" s="80"/>
      <c r="CI775" s="80"/>
      <c r="CJ775" s="80"/>
      <c r="CK775" s="82"/>
      <c r="CL775" s="12"/>
      <c r="CM775" s="82"/>
      <c r="CN775" s="12"/>
      <c r="CO775" s="82"/>
      <c r="CP775" s="12"/>
      <c r="CQ775" s="83">
        <f t="shared" si="92"/>
        <v>0</v>
      </c>
      <c r="CR775" s="84"/>
      <c r="CS775" s="13"/>
      <c r="CT775" s="85"/>
      <c r="CU775" s="86"/>
      <c r="CV775" s="11"/>
      <c r="CW775" s="86"/>
      <c r="CX775" s="84"/>
      <c r="CY775" s="86"/>
    </row>
    <row r="776" spans="1:104" ht="25.5" x14ac:dyDescent="0.2">
      <c r="A776" s="43">
        <v>40038</v>
      </c>
      <c r="B776" s="44" t="s">
        <v>1067</v>
      </c>
      <c r="C776" s="44" t="s">
        <v>1076</v>
      </c>
      <c r="D776" s="45" t="s">
        <v>1117</v>
      </c>
      <c r="E776" s="11"/>
      <c r="F776" s="12"/>
      <c r="G776" s="12"/>
      <c r="H776" s="12">
        <v>45</v>
      </c>
      <c r="I776" s="12">
        <v>9</v>
      </c>
      <c r="J776" s="12"/>
      <c r="K776" s="12">
        <v>9</v>
      </c>
      <c r="L776" s="12"/>
      <c r="M776" s="12"/>
      <c r="N776" s="12"/>
      <c r="O776" s="12"/>
      <c r="P776" s="12"/>
      <c r="Q776" s="12"/>
      <c r="R776" s="12"/>
      <c r="S776" s="12"/>
      <c r="T776" s="13"/>
      <c r="U776" s="46"/>
      <c r="V776" s="47"/>
      <c r="W776" s="48">
        <f t="shared" si="87"/>
        <v>0</v>
      </c>
      <c r="X776" s="48">
        <f t="shared" si="88"/>
        <v>0</v>
      </c>
      <c r="Y776" s="48">
        <f t="shared" si="89"/>
        <v>0</v>
      </c>
      <c r="Z776" s="48">
        <f t="shared" si="90"/>
        <v>0</v>
      </c>
      <c r="AA776" s="48"/>
      <c r="AB776" s="48"/>
      <c r="AC776" s="49">
        <f t="shared" si="91"/>
        <v>0</v>
      </c>
      <c r="AD776" s="50">
        <v>0</v>
      </c>
      <c r="AE776" s="47">
        <v>40040</v>
      </c>
      <c r="AF776" s="51" t="s">
        <v>516</v>
      </c>
      <c r="AG776" s="52" t="s">
        <v>517</v>
      </c>
      <c r="AH776" s="53" t="s">
        <v>313</v>
      </c>
      <c r="AI776" s="79"/>
      <c r="AJ776" s="80"/>
      <c r="AK776" s="81"/>
      <c r="AL776" s="80"/>
      <c r="AM776" s="80"/>
      <c r="AN776" s="80"/>
      <c r="AO776" s="80"/>
      <c r="AP776" s="80"/>
      <c r="AQ776" s="80"/>
      <c r="AR776" s="80"/>
      <c r="AS776" s="80"/>
      <c r="AT776" s="80"/>
      <c r="AU776" s="80"/>
      <c r="AV776" s="80"/>
      <c r="AW776" s="80"/>
      <c r="AX776" s="80"/>
      <c r="AY776" s="80"/>
      <c r="AZ776" s="80"/>
      <c r="BA776" s="80"/>
      <c r="BB776" s="80"/>
      <c r="BC776" s="80"/>
      <c r="BD776" s="80"/>
      <c r="BE776" s="80"/>
      <c r="BF776" s="80"/>
      <c r="BG776" s="80"/>
      <c r="BH776" s="80"/>
      <c r="BI776" s="80"/>
      <c r="BJ776" s="80"/>
      <c r="BK776" s="80"/>
      <c r="BL776" s="80"/>
      <c r="BM776" s="80"/>
      <c r="BN776" s="80"/>
      <c r="BO776" s="80"/>
      <c r="BP776" s="80"/>
      <c r="BQ776" s="80"/>
      <c r="BR776" s="80"/>
      <c r="BS776" s="80"/>
      <c r="BT776" s="80"/>
      <c r="BU776" s="80"/>
      <c r="BV776" s="80"/>
      <c r="BW776" s="80"/>
      <c r="BX776" s="80"/>
      <c r="BY776" s="80"/>
      <c r="BZ776" s="80"/>
      <c r="CA776" s="80"/>
      <c r="CB776" s="80"/>
      <c r="CC776" s="80"/>
      <c r="CD776" s="80"/>
      <c r="CE776" s="80"/>
      <c r="CF776" s="80"/>
      <c r="CG776" s="80"/>
      <c r="CH776" s="80"/>
      <c r="CI776" s="80"/>
      <c r="CJ776" s="80"/>
      <c r="CK776" s="82"/>
      <c r="CL776" s="12"/>
      <c r="CM776" s="82"/>
      <c r="CN776" s="12"/>
      <c r="CO776" s="82"/>
      <c r="CP776" s="12"/>
      <c r="CQ776" s="83">
        <f t="shared" si="92"/>
        <v>0</v>
      </c>
      <c r="CR776" s="84"/>
      <c r="CS776" s="13"/>
      <c r="CT776" s="85"/>
      <c r="CU776" s="86"/>
      <c r="CV776" s="11"/>
      <c r="CW776" s="86"/>
      <c r="CX776" s="84"/>
      <c r="CY776" s="86"/>
    </row>
    <row r="777" spans="1:104" ht="38.25" x14ac:dyDescent="0.2">
      <c r="A777" s="43">
        <v>40038</v>
      </c>
      <c r="B777" s="44" t="s">
        <v>300</v>
      </c>
      <c r="C777" s="44" t="s">
        <v>61</v>
      </c>
      <c r="D777" s="45" t="s">
        <v>1116</v>
      </c>
      <c r="E777" s="11"/>
      <c r="F777" s="12"/>
      <c r="G777" s="12"/>
      <c r="H777" s="12">
        <v>15</v>
      </c>
      <c r="I777" s="12">
        <v>3</v>
      </c>
      <c r="J777" s="12">
        <v>3</v>
      </c>
      <c r="K777" s="12"/>
      <c r="L777" s="12"/>
      <c r="M777" s="12"/>
      <c r="N777" s="12"/>
      <c r="O777" s="12"/>
      <c r="P777" s="12"/>
      <c r="Q777" s="12"/>
      <c r="R777" s="12"/>
      <c r="S777" s="12"/>
      <c r="T777" s="13"/>
      <c r="U777" s="46" t="s">
        <v>398</v>
      </c>
      <c r="V777" s="47"/>
      <c r="W777" s="48">
        <f t="shared" si="87"/>
        <v>0</v>
      </c>
      <c r="X777" s="48">
        <f t="shared" si="88"/>
        <v>0</v>
      </c>
      <c r="Y777" s="48">
        <f t="shared" si="89"/>
        <v>0</v>
      </c>
      <c r="Z777" s="48">
        <f t="shared" si="90"/>
        <v>0</v>
      </c>
      <c r="AA777" s="48"/>
      <c r="AB777" s="48"/>
      <c r="AC777" s="49">
        <f t="shared" si="91"/>
        <v>0</v>
      </c>
      <c r="AD777" s="50">
        <v>0</v>
      </c>
      <c r="AE777" s="47">
        <v>40040</v>
      </c>
      <c r="AF777" s="51" t="s">
        <v>516</v>
      </c>
      <c r="AG777" s="52" t="s">
        <v>517</v>
      </c>
      <c r="AH777" s="53" t="s">
        <v>399</v>
      </c>
      <c r="AI777" s="79"/>
      <c r="AJ777" s="80"/>
      <c r="AK777" s="81"/>
      <c r="AL777" s="80"/>
      <c r="AM777" s="80"/>
      <c r="AN777" s="80"/>
      <c r="AO777" s="80"/>
      <c r="AP777" s="80"/>
      <c r="AQ777" s="80"/>
      <c r="AR777" s="80"/>
      <c r="AS777" s="80"/>
      <c r="AT777" s="80"/>
      <c r="AU777" s="80"/>
      <c r="AV777" s="80"/>
      <c r="AW777" s="80"/>
      <c r="AX777" s="80"/>
      <c r="AY777" s="80"/>
      <c r="AZ777" s="80"/>
      <c r="BA777" s="80"/>
      <c r="BB777" s="80"/>
      <c r="BC777" s="80"/>
      <c r="BD777" s="80"/>
      <c r="BE777" s="80"/>
      <c r="BF777" s="80"/>
      <c r="BG777" s="80"/>
      <c r="BH777" s="80"/>
      <c r="BI777" s="80"/>
      <c r="BJ777" s="80"/>
      <c r="BK777" s="80"/>
      <c r="BL777" s="80"/>
      <c r="BM777" s="80"/>
      <c r="BN777" s="80"/>
      <c r="BO777" s="80"/>
      <c r="BP777" s="80"/>
      <c r="BQ777" s="80"/>
      <c r="BR777" s="80"/>
      <c r="BS777" s="80"/>
      <c r="BT777" s="80"/>
      <c r="BU777" s="80"/>
      <c r="BV777" s="80"/>
      <c r="BW777" s="80"/>
      <c r="BX777" s="80"/>
      <c r="BY777" s="80"/>
      <c r="BZ777" s="80"/>
      <c r="CA777" s="80"/>
      <c r="CB777" s="80"/>
      <c r="CC777" s="80"/>
      <c r="CD777" s="80"/>
      <c r="CE777" s="80"/>
      <c r="CF777" s="80"/>
      <c r="CG777" s="80"/>
      <c r="CH777" s="80"/>
      <c r="CI777" s="80"/>
      <c r="CJ777" s="80"/>
      <c r="CK777" s="82"/>
      <c r="CL777" s="12"/>
      <c r="CM777" s="82"/>
      <c r="CN777" s="12"/>
      <c r="CO777" s="82"/>
      <c r="CP777" s="12"/>
      <c r="CQ777" s="83">
        <f t="shared" si="92"/>
        <v>0</v>
      </c>
      <c r="CR777" s="84"/>
      <c r="CS777" s="13"/>
      <c r="CT777" s="85"/>
      <c r="CU777" s="86"/>
      <c r="CV777" s="11"/>
      <c r="CW777" s="86"/>
      <c r="CX777" s="84"/>
      <c r="CY777" s="86"/>
    </row>
    <row r="778" spans="1:104" ht="51" x14ac:dyDescent="0.2">
      <c r="A778" s="43">
        <v>40038</v>
      </c>
      <c r="B778" s="44" t="s">
        <v>1226</v>
      </c>
      <c r="C778" s="44" t="s">
        <v>1394</v>
      </c>
      <c r="D778" s="45" t="s">
        <v>1117</v>
      </c>
      <c r="E778" s="11"/>
      <c r="F778" s="12"/>
      <c r="G778" s="12"/>
      <c r="H778" s="12">
        <f>19*5</f>
        <v>95</v>
      </c>
      <c r="I778" s="12">
        <v>19</v>
      </c>
      <c r="J778" s="12"/>
      <c r="K778" s="12">
        <f>13+4+2</f>
        <v>19</v>
      </c>
      <c r="L778" s="12">
        <v>1</v>
      </c>
      <c r="M778" s="12"/>
      <c r="N778" s="12"/>
      <c r="O778" s="12"/>
      <c r="P778" s="12"/>
      <c r="Q778" s="12"/>
      <c r="R778" s="12"/>
      <c r="S778" s="12"/>
      <c r="T778" s="13"/>
      <c r="U778" s="46"/>
      <c r="V778" s="47"/>
      <c r="W778" s="48">
        <f t="shared" si="87"/>
        <v>0</v>
      </c>
      <c r="X778" s="48">
        <f t="shared" si="88"/>
        <v>0</v>
      </c>
      <c r="Y778" s="48">
        <f t="shared" si="89"/>
        <v>0</v>
      </c>
      <c r="Z778" s="48">
        <f t="shared" si="90"/>
        <v>0</v>
      </c>
      <c r="AA778" s="48"/>
      <c r="AB778" s="48"/>
      <c r="AC778" s="49">
        <f t="shared" si="91"/>
        <v>0</v>
      </c>
      <c r="AD778" s="50">
        <v>0</v>
      </c>
      <c r="AE778" s="47">
        <v>40067</v>
      </c>
      <c r="AF778" s="51" t="s">
        <v>516</v>
      </c>
      <c r="AG778" s="52" t="s">
        <v>517</v>
      </c>
      <c r="AH778" s="53" t="s">
        <v>735</v>
      </c>
      <c r="AI778" s="79"/>
      <c r="AJ778" s="80"/>
      <c r="AK778" s="81"/>
      <c r="AL778" s="80"/>
      <c r="AM778" s="80"/>
      <c r="AN778" s="80"/>
      <c r="AO778" s="80"/>
      <c r="AP778" s="80"/>
      <c r="AQ778" s="80"/>
      <c r="AR778" s="80"/>
      <c r="AS778" s="80"/>
      <c r="AT778" s="80"/>
      <c r="AU778" s="80"/>
      <c r="AV778" s="80"/>
      <c r="AW778" s="80"/>
      <c r="AX778" s="80"/>
      <c r="AY778" s="80"/>
      <c r="AZ778" s="80"/>
      <c r="BA778" s="80"/>
      <c r="BB778" s="80"/>
      <c r="BC778" s="80"/>
      <c r="BD778" s="80"/>
      <c r="BE778" s="80"/>
      <c r="BF778" s="80"/>
      <c r="BG778" s="80"/>
      <c r="BH778" s="80"/>
      <c r="BI778" s="80"/>
      <c r="BJ778" s="80"/>
      <c r="BK778" s="80"/>
      <c r="BL778" s="80"/>
      <c r="BM778" s="80"/>
      <c r="BN778" s="80"/>
      <c r="BO778" s="80"/>
      <c r="BP778" s="80"/>
      <c r="BQ778" s="80"/>
      <c r="BR778" s="80"/>
      <c r="BS778" s="80"/>
      <c r="BT778" s="80"/>
      <c r="BU778" s="80"/>
      <c r="BV778" s="80"/>
      <c r="BW778" s="80"/>
      <c r="BX778" s="80"/>
      <c r="BY778" s="80"/>
      <c r="BZ778" s="80"/>
      <c r="CA778" s="80"/>
      <c r="CB778" s="80"/>
      <c r="CC778" s="80"/>
      <c r="CD778" s="80"/>
      <c r="CE778" s="80"/>
      <c r="CF778" s="80"/>
      <c r="CG778" s="80"/>
      <c r="CH778" s="80"/>
      <c r="CI778" s="80"/>
      <c r="CJ778" s="80"/>
      <c r="CK778" s="82"/>
      <c r="CL778" s="12"/>
      <c r="CM778" s="82"/>
      <c r="CN778" s="12"/>
      <c r="CO778" s="82"/>
      <c r="CP778" s="12"/>
      <c r="CQ778" s="83">
        <f t="shared" si="92"/>
        <v>0</v>
      </c>
      <c r="CR778" s="84"/>
      <c r="CS778" s="13"/>
      <c r="CT778" s="85"/>
      <c r="CU778" s="86"/>
      <c r="CV778" s="11"/>
      <c r="CW778" s="86"/>
      <c r="CX778" s="84"/>
      <c r="CY778" s="86"/>
    </row>
    <row r="779" spans="1:104" ht="25.5" x14ac:dyDescent="0.2">
      <c r="A779" s="43">
        <v>40039</v>
      </c>
      <c r="B779" s="44" t="s">
        <v>1067</v>
      </c>
      <c r="C779" s="44" t="s">
        <v>1017</v>
      </c>
      <c r="D779" s="45" t="s">
        <v>1117</v>
      </c>
      <c r="E779" s="11"/>
      <c r="F779" s="12">
        <v>3</v>
      </c>
      <c r="G779" s="12"/>
      <c r="H779" s="12">
        <v>280</v>
      </c>
      <c r="I779" s="12">
        <v>56</v>
      </c>
      <c r="J779" s="12"/>
      <c r="K779" s="12">
        <v>56</v>
      </c>
      <c r="L779" s="12"/>
      <c r="M779" s="12"/>
      <c r="N779" s="12"/>
      <c r="O779" s="12"/>
      <c r="P779" s="12"/>
      <c r="Q779" s="12"/>
      <c r="R779" s="12">
        <v>1</v>
      </c>
      <c r="S779" s="12"/>
      <c r="T779" s="13"/>
      <c r="U779" s="46"/>
      <c r="V779" s="47"/>
      <c r="W779" s="48">
        <f t="shared" si="87"/>
        <v>0</v>
      </c>
      <c r="X779" s="48">
        <f t="shared" si="88"/>
        <v>0</v>
      </c>
      <c r="Y779" s="48">
        <f t="shared" si="89"/>
        <v>0</v>
      </c>
      <c r="Z779" s="48">
        <f t="shared" si="90"/>
        <v>0</v>
      </c>
      <c r="AA779" s="48"/>
      <c r="AB779" s="48"/>
      <c r="AC779" s="49">
        <f t="shared" si="91"/>
        <v>0</v>
      </c>
      <c r="AD779" s="50">
        <v>0</v>
      </c>
      <c r="AE779" s="47">
        <v>40040</v>
      </c>
      <c r="AF779" s="51" t="s">
        <v>1016</v>
      </c>
      <c r="AG779" s="52" t="s">
        <v>565</v>
      </c>
      <c r="AH779" s="53" t="s">
        <v>400</v>
      </c>
      <c r="AI779" s="79"/>
      <c r="AJ779" s="80"/>
      <c r="AK779" s="81"/>
      <c r="AL779" s="80"/>
      <c r="AM779" s="80"/>
      <c r="AN779" s="80"/>
      <c r="AO779" s="80"/>
      <c r="AP779" s="80"/>
      <c r="AQ779" s="80"/>
      <c r="AR779" s="80"/>
      <c r="AS779" s="80"/>
      <c r="AT779" s="80"/>
      <c r="AU779" s="80"/>
      <c r="AV779" s="80"/>
      <c r="AW779" s="80"/>
      <c r="AX779" s="80"/>
      <c r="AY779" s="80"/>
      <c r="AZ779" s="80"/>
      <c r="BA779" s="80"/>
      <c r="BB779" s="80"/>
      <c r="BC779" s="80"/>
      <c r="BD779" s="80"/>
      <c r="BE779" s="80"/>
      <c r="BF779" s="80"/>
      <c r="BG779" s="80"/>
      <c r="BH779" s="80"/>
      <c r="BI779" s="80"/>
      <c r="BJ779" s="80"/>
      <c r="BK779" s="80"/>
      <c r="BL779" s="80"/>
      <c r="BM779" s="80"/>
      <c r="BN779" s="80"/>
      <c r="BO779" s="80"/>
      <c r="BP779" s="80"/>
      <c r="BQ779" s="80"/>
      <c r="BR779" s="80"/>
      <c r="BS779" s="80"/>
      <c r="BT779" s="80"/>
      <c r="BU779" s="80"/>
      <c r="BV779" s="80"/>
      <c r="BW779" s="80"/>
      <c r="BX779" s="80"/>
      <c r="BY779" s="80"/>
      <c r="BZ779" s="80"/>
      <c r="CA779" s="80"/>
      <c r="CB779" s="80"/>
      <c r="CC779" s="80"/>
      <c r="CD779" s="80"/>
      <c r="CE779" s="80"/>
      <c r="CF779" s="80"/>
      <c r="CG779" s="80"/>
      <c r="CH779" s="80"/>
      <c r="CI779" s="80"/>
      <c r="CJ779" s="80"/>
      <c r="CK779" s="82"/>
      <c r="CL779" s="12"/>
      <c r="CM779" s="82"/>
      <c r="CN779" s="12"/>
      <c r="CO779" s="82"/>
      <c r="CP779" s="12"/>
      <c r="CQ779" s="83">
        <f t="shared" si="92"/>
        <v>0</v>
      </c>
      <c r="CR779" s="84"/>
      <c r="CS779" s="13"/>
      <c r="CT779" s="85"/>
      <c r="CU779" s="86"/>
      <c r="CV779" s="11"/>
      <c r="CW779" s="86"/>
      <c r="CX779" s="84"/>
      <c r="CY779" s="86"/>
    </row>
    <row r="780" spans="1:104" ht="38.25" x14ac:dyDescent="0.2">
      <c r="A780" s="43">
        <v>40040</v>
      </c>
      <c r="B780" s="44" t="s">
        <v>1226</v>
      </c>
      <c r="C780" s="44" t="s">
        <v>92</v>
      </c>
      <c r="D780" s="45" t="s">
        <v>1117</v>
      </c>
      <c r="E780" s="11"/>
      <c r="F780" s="12"/>
      <c r="G780" s="12"/>
      <c r="H780" s="12">
        <f>43*5</f>
        <v>215</v>
      </c>
      <c r="I780" s="12">
        <v>43</v>
      </c>
      <c r="J780" s="12"/>
      <c r="K780" s="12">
        <v>43</v>
      </c>
      <c r="L780" s="12"/>
      <c r="M780" s="12"/>
      <c r="N780" s="12"/>
      <c r="O780" s="12"/>
      <c r="P780" s="12"/>
      <c r="Q780" s="12"/>
      <c r="R780" s="12"/>
      <c r="S780" s="12"/>
      <c r="T780" s="13"/>
      <c r="U780" s="46"/>
      <c r="V780" s="47"/>
      <c r="W780" s="48">
        <f t="shared" si="87"/>
        <v>0</v>
      </c>
      <c r="X780" s="48">
        <f t="shared" si="88"/>
        <v>0</v>
      </c>
      <c r="Y780" s="48">
        <f t="shared" si="89"/>
        <v>0</v>
      </c>
      <c r="Z780" s="48">
        <f t="shared" si="90"/>
        <v>0</v>
      </c>
      <c r="AA780" s="48"/>
      <c r="AB780" s="48"/>
      <c r="AC780" s="49">
        <f t="shared" si="91"/>
        <v>0</v>
      </c>
      <c r="AD780" s="50">
        <v>0</v>
      </c>
      <c r="AE780" s="47">
        <v>40142</v>
      </c>
      <c r="AF780" s="51" t="s">
        <v>1016</v>
      </c>
      <c r="AG780" s="52" t="s">
        <v>565</v>
      </c>
      <c r="AH780" s="53" t="s">
        <v>374</v>
      </c>
      <c r="AI780" s="79"/>
      <c r="AJ780" s="80"/>
      <c r="AK780" s="81"/>
      <c r="AL780" s="80"/>
      <c r="AM780" s="80"/>
      <c r="AN780" s="80"/>
      <c r="AO780" s="80"/>
      <c r="AP780" s="80"/>
      <c r="AQ780" s="80"/>
      <c r="AR780" s="80"/>
      <c r="AS780" s="80"/>
      <c r="AT780" s="80"/>
      <c r="AU780" s="80"/>
      <c r="AV780" s="80"/>
      <c r="AW780" s="80"/>
      <c r="AX780" s="80"/>
      <c r="AY780" s="80"/>
      <c r="AZ780" s="80"/>
      <c r="BA780" s="80"/>
      <c r="BB780" s="80"/>
      <c r="BC780" s="80"/>
      <c r="BD780" s="80"/>
      <c r="BE780" s="80"/>
      <c r="BF780" s="80"/>
      <c r="BG780" s="80"/>
      <c r="BH780" s="80"/>
      <c r="BI780" s="80"/>
      <c r="BJ780" s="80"/>
      <c r="BK780" s="80"/>
      <c r="BL780" s="80"/>
      <c r="BM780" s="80"/>
      <c r="BN780" s="80"/>
      <c r="BO780" s="80"/>
      <c r="BP780" s="80"/>
      <c r="BQ780" s="80"/>
      <c r="BR780" s="80"/>
      <c r="BS780" s="80"/>
      <c r="BT780" s="80"/>
      <c r="BU780" s="80"/>
      <c r="BV780" s="80"/>
      <c r="BW780" s="80"/>
      <c r="BX780" s="80"/>
      <c r="BY780" s="80"/>
      <c r="BZ780" s="80"/>
      <c r="CA780" s="80"/>
      <c r="CB780" s="80"/>
      <c r="CC780" s="80"/>
      <c r="CD780" s="80"/>
      <c r="CE780" s="80"/>
      <c r="CF780" s="80"/>
      <c r="CG780" s="80"/>
      <c r="CH780" s="80"/>
      <c r="CI780" s="80"/>
      <c r="CJ780" s="80"/>
      <c r="CK780" s="82"/>
      <c r="CL780" s="12"/>
      <c r="CM780" s="82"/>
      <c r="CN780" s="12"/>
      <c r="CO780" s="82"/>
      <c r="CP780" s="12"/>
      <c r="CQ780" s="83">
        <f t="shared" si="92"/>
        <v>0</v>
      </c>
      <c r="CR780" s="84"/>
      <c r="CS780" s="13"/>
      <c r="CT780" s="85"/>
      <c r="CU780" s="86"/>
      <c r="CV780" s="11"/>
      <c r="CW780" s="86"/>
      <c r="CX780" s="84"/>
      <c r="CY780" s="86"/>
    </row>
    <row r="781" spans="1:104" ht="25.5" x14ac:dyDescent="0.2">
      <c r="A781" s="43">
        <v>40041</v>
      </c>
      <c r="B781" s="44" t="s">
        <v>1226</v>
      </c>
      <c r="C781" s="44" t="s">
        <v>249</v>
      </c>
      <c r="D781" s="45" t="s">
        <v>1095</v>
      </c>
      <c r="E781" s="11">
        <v>2</v>
      </c>
      <c r="F781" s="12">
        <v>6</v>
      </c>
      <c r="G781" s="12"/>
      <c r="H781" s="12"/>
      <c r="I781" s="12"/>
      <c r="J781" s="12"/>
      <c r="K781" s="12"/>
      <c r="L781" s="12"/>
      <c r="M781" s="12">
        <v>1</v>
      </c>
      <c r="N781" s="12"/>
      <c r="O781" s="12"/>
      <c r="P781" s="12"/>
      <c r="Q781" s="12"/>
      <c r="R781" s="12"/>
      <c r="S781" s="12"/>
      <c r="T781" s="13"/>
      <c r="U781" s="46"/>
      <c r="V781" s="47"/>
      <c r="W781" s="48">
        <f t="shared" si="87"/>
        <v>0</v>
      </c>
      <c r="X781" s="48">
        <f t="shared" si="88"/>
        <v>0</v>
      </c>
      <c r="Y781" s="48">
        <f t="shared" si="89"/>
        <v>0</v>
      </c>
      <c r="Z781" s="48">
        <f t="shared" si="90"/>
        <v>0</v>
      </c>
      <c r="AA781" s="48"/>
      <c r="AB781" s="48"/>
      <c r="AC781" s="49">
        <f t="shared" si="91"/>
        <v>0</v>
      </c>
      <c r="AD781" s="50">
        <v>0</v>
      </c>
      <c r="AE781" s="47">
        <v>40044</v>
      </c>
      <c r="AF781" s="51" t="s">
        <v>516</v>
      </c>
      <c r="AG781" s="52" t="s">
        <v>517</v>
      </c>
      <c r="AH781" s="53" t="s">
        <v>264</v>
      </c>
      <c r="AI781" s="79"/>
      <c r="AJ781" s="80"/>
      <c r="AK781" s="81"/>
      <c r="AL781" s="80"/>
      <c r="AM781" s="80"/>
      <c r="AN781" s="80"/>
      <c r="AO781" s="80"/>
      <c r="AP781" s="80"/>
      <c r="AQ781" s="80"/>
      <c r="AR781" s="80"/>
      <c r="AS781" s="80"/>
      <c r="AT781" s="80"/>
      <c r="AU781" s="80"/>
      <c r="AV781" s="80"/>
      <c r="AW781" s="80"/>
      <c r="AX781" s="80"/>
      <c r="AY781" s="80"/>
      <c r="AZ781" s="80"/>
      <c r="BA781" s="80"/>
      <c r="BB781" s="80"/>
      <c r="BC781" s="80"/>
      <c r="BD781" s="80"/>
      <c r="BE781" s="80"/>
      <c r="BF781" s="80"/>
      <c r="BG781" s="80"/>
      <c r="BH781" s="80"/>
      <c r="BI781" s="80"/>
      <c r="BJ781" s="80"/>
      <c r="BK781" s="80"/>
      <c r="BL781" s="80"/>
      <c r="BM781" s="80"/>
      <c r="BN781" s="80"/>
      <c r="BO781" s="80"/>
      <c r="BP781" s="80"/>
      <c r="BQ781" s="80"/>
      <c r="BR781" s="80"/>
      <c r="BS781" s="80"/>
      <c r="BT781" s="80"/>
      <c r="BU781" s="80"/>
      <c r="BV781" s="80"/>
      <c r="BW781" s="80"/>
      <c r="BX781" s="80"/>
      <c r="BY781" s="80"/>
      <c r="BZ781" s="80"/>
      <c r="CA781" s="80"/>
      <c r="CB781" s="80"/>
      <c r="CC781" s="80"/>
      <c r="CD781" s="80"/>
      <c r="CE781" s="80"/>
      <c r="CF781" s="80"/>
      <c r="CG781" s="80"/>
      <c r="CH781" s="80"/>
      <c r="CI781" s="80"/>
      <c r="CJ781" s="80"/>
      <c r="CK781" s="82"/>
      <c r="CL781" s="12"/>
      <c r="CM781" s="82"/>
      <c r="CN781" s="12"/>
      <c r="CO781" s="82"/>
      <c r="CP781" s="12"/>
      <c r="CQ781" s="83">
        <f t="shared" si="92"/>
        <v>0</v>
      </c>
      <c r="CR781" s="84"/>
      <c r="CS781" s="13"/>
      <c r="CT781" s="85"/>
      <c r="CU781" s="86"/>
      <c r="CV781" s="11"/>
      <c r="CW781" s="86"/>
      <c r="CX781" s="84"/>
      <c r="CY781" s="86"/>
    </row>
    <row r="782" spans="1:104" ht="38.25" x14ac:dyDescent="0.2">
      <c r="A782" s="43">
        <v>40041</v>
      </c>
      <c r="B782" s="44" t="s">
        <v>1097</v>
      </c>
      <c r="C782" s="44" t="s">
        <v>125</v>
      </c>
      <c r="D782" s="45" t="s">
        <v>1118</v>
      </c>
      <c r="E782" s="11">
        <v>2</v>
      </c>
      <c r="F782" s="12"/>
      <c r="G782" s="12"/>
      <c r="H782" s="12">
        <f>83*5</f>
        <v>415</v>
      </c>
      <c r="I782" s="12">
        <v>83</v>
      </c>
      <c r="J782" s="12">
        <v>3</v>
      </c>
      <c r="K782" s="12">
        <v>80</v>
      </c>
      <c r="L782" s="12"/>
      <c r="M782" s="12"/>
      <c r="N782" s="12"/>
      <c r="O782" s="12"/>
      <c r="P782" s="12"/>
      <c r="Q782" s="12"/>
      <c r="R782" s="12"/>
      <c r="S782" s="12"/>
      <c r="T782" s="13"/>
      <c r="U782" s="46"/>
      <c r="V782" s="47"/>
      <c r="W782" s="48">
        <f t="shared" si="87"/>
        <v>0</v>
      </c>
      <c r="X782" s="48">
        <f t="shared" si="88"/>
        <v>0</v>
      </c>
      <c r="Y782" s="48">
        <f t="shared" si="89"/>
        <v>0</v>
      </c>
      <c r="Z782" s="48">
        <f t="shared" si="90"/>
        <v>0</v>
      </c>
      <c r="AA782" s="48"/>
      <c r="AB782" s="48"/>
      <c r="AC782" s="49">
        <f t="shared" si="91"/>
        <v>0</v>
      </c>
      <c r="AD782" s="50">
        <v>0</v>
      </c>
      <c r="AE782" s="47">
        <v>40044</v>
      </c>
      <c r="AF782" s="51" t="s">
        <v>516</v>
      </c>
      <c r="AG782" s="52" t="s">
        <v>517</v>
      </c>
      <c r="AH782" s="53" t="s">
        <v>950</v>
      </c>
      <c r="AI782" s="79"/>
      <c r="AJ782" s="80"/>
      <c r="AK782" s="81"/>
      <c r="AL782" s="80"/>
      <c r="AM782" s="80"/>
      <c r="AN782" s="80"/>
      <c r="AO782" s="80"/>
      <c r="AP782" s="80"/>
      <c r="AQ782" s="80"/>
      <c r="AR782" s="80"/>
      <c r="AS782" s="80"/>
      <c r="AT782" s="80"/>
      <c r="AU782" s="80"/>
      <c r="AV782" s="80"/>
      <c r="AW782" s="80"/>
      <c r="AX782" s="80"/>
      <c r="AY782" s="80"/>
      <c r="AZ782" s="80"/>
      <c r="BA782" s="80"/>
      <c r="BB782" s="80"/>
      <c r="BC782" s="80"/>
      <c r="BD782" s="80"/>
      <c r="BE782" s="80"/>
      <c r="BF782" s="80"/>
      <c r="BG782" s="80"/>
      <c r="BH782" s="80"/>
      <c r="BI782" s="80"/>
      <c r="BJ782" s="80"/>
      <c r="BK782" s="80"/>
      <c r="BL782" s="80"/>
      <c r="BM782" s="80"/>
      <c r="BN782" s="80"/>
      <c r="BO782" s="80"/>
      <c r="BP782" s="80"/>
      <c r="BQ782" s="80"/>
      <c r="BR782" s="80"/>
      <c r="BS782" s="80"/>
      <c r="BT782" s="80"/>
      <c r="BU782" s="80"/>
      <c r="BV782" s="80"/>
      <c r="BW782" s="80"/>
      <c r="BX782" s="80"/>
      <c r="BY782" s="80"/>
      <c r="BZ782" s="80"/>
      <c r="CA782" s="80"/>
      <c r="CB782" s="80"/>
      <c r="CC782" s="80"/>
      <c r="CD782" s="80"/>
      <c r="CE782" s="80"/>
      <c r="CF782" s="80"/>
      <c r="CG782" s="80"/>
      <c r="CH782" s="80"/>
      <c r="CI782" s="80"/>
      <c r="CJ782" s="80"/>
      <c r="CK782" s="82"/>
      <c r="CL782" s="12"/>
      <c r="CM782" s="82"/>
      <c r="CN782" s="12"/>
      <c r="CO782" s="82"/>
      <c r="CP782" s="12"/>
      <c r="CQ782" s="83">
        <f t="shared" si="92"/>
        <v>0</v>
      </c>
      <c r="CR782" s="84"/>
      <c r="CS782" s="13"/>
      <c r="CT782" s="85"/>
      <c r="CU782" s="86"/>
      <c r="CV782" s="11"/>
      <c r="CW782" s="86"/>
      <c r="CX782" s="84"/>
      <c r="CY782" s="86"/>
    </row>
    <row r="783" spans="1:104" ht="127.5" x14ac:dyDescent="0.2">
      <c r="A783" s="43">
        <v>40043</v>
      </c>
      <c r="B783" s="44" t="s">
        <v>1067</v>
      </c>
      <c r="C783" s="44" t="s">
        <v>1017</v>
      </c>
      <c r="D783" s="45" t="s">
        <v>1118</v>
      </c>
      <c r="E783" s="11"/>
      <c r="F783" s="12"/>
      <c r="G783" s="12"/>
      <c r="H783" s="12">
        <f>552*5</f>
        <v>2760</v>
      </c>
      <c r="I783" s="12">
        <v>552</v>
      </c>
      <c r="J783" s="12"/>
      <c r="K783" s="12">
        <v>552</v>
      </c>
      <c r="L783" s="12"/>
      <c r="M783" s="12"/>
      <c r="N783" s="12"/>
      <c r="O783" s="12"/>
      <c r="P783" s="12"/>
      <c r="Q783" s="12"/>
      <c r="R783" s="12"/>
      <c r="S783" s="12"/>
      <c r="T783" s="13"/>
      <c r="U783" s="46"/>
      <c r="V783" s="47">
        <v>40094</v>
      </c>
      <c r="W783" s="48">
        <f t="shared" si="87"/>
        <v>0</v>
      </c>
      <c r="X783" s="48">
        <f t="shared" si="88"/>
        <v>42500000</v>
      </c>
      <c r="Y783" s="48">
        <f t="shared" si="89"/>
        <v>56898000</v>
      </c>
      <c r="Z783" s="48">
        <f t="shared" si="90"/>
        <v>0</v>
      </c>
      <c r="AA783" s="48"/>
      <c r="AB783" s="48"/>
      <c r="AC783" s="49">
        <f t="shared" si="91"/>
        <v>99398000</v>
      </c>
      <c r="AD783" s="50">
        <v>0</v>
      </c>
      <c r="AE783" s="47">
        <v>40044</v>
      </c>
      <c r="AF783" s="51" t="s">
        <v>1016</v>
      </c>
      <c r="AG783" s="52" t="s">
        <v>565</v>
      </c>
      <c r="AH783" s="53" t="s">
        <v>27</v>
      </c>
      <c r="AI783" s="79"/>
      <c r="AJ783" s="80"/>
      <c r="AK783" s="81"/>
      <c r="AL783" s="80"/>
      <c r="AM783" s="80"/>
      <c r="AN783" s="80"/>
      <c r="AO783" s="80"/>
      <c r="AP783" s="80"/>
      <c r="AQ783" s="80"/>
      <c r="AR783" s="80"/>
      <c r="AS783" s="80"/>
      <c r="AT783" s="80"/>
      <c r="AU783" s="80"/>
      <c r="AV783" s="80"/>
      <c r="AW783" s="80"/>
      <c r="AX783" s="80"/>
      <c r="AY783" s="80"/>
      <c r="AZ783" s="80"/>
      <c r="BA783" s="80"/>
      <c r="BB783" s="80"/>
      <c r="BC783" s="80"/>
      <c r="BD783" s="80"/>
      <c r="BE783" s="80"/>
      <c r="BF783" s="80"/>
      <c r="BG783" s="80"/>
      <c r="BH783" s="80"/>
      <c r="BI783" s="80"/>
      <c r="BJ783" s="80"/>
      <c r="BK783" s="80"/>
      <c r="BL783" s="80"/>
      <c r="BM783" s="80"/>
      <c r="BN783" s="80"/>
      <c r="BO783" s="80"/>
      <c r="BP783" s="80"/>
      <c r="BQ783" s="80"/>
      <c r="BR783" s="80"/>
      <c r="BS783" s="80"/>
      <c r="BT783" s="80"/>
      <c r="BU783" s="80"/>
      <c r="BV783" s="80"/>
      <c r="BW783" s="80"/>
      <c r="BX783" s="80"/>
      <c r="BY783" s="80"/>
      <c r="BZ783" s="80"/>
      <c r="CA783" s="80"/>
      <c r="CB783" s="80"/>
      <c r="CC783" s="80"/>
      <c r="CD783" s="80"/>
      <c r="CE783" s="80"/>
      <c r="CF783" s="80"/>
      <c r="CG783" s="80"/>
      <c r="CH783" s="80"/>
      <c r="CI783" s="80"/>
      <c r="CJ783" s="80"/>
      <c r="CK783" s="82"/>
      <c r="CL783" s="12"/>
      <c r="CM783" s="82"/>
      <c r="CN783" s="12"/>
      <c r="CO783" s="82"/>
      <c r="CP783" s="12"/>
      <c r="CQ783" s="83">
        <f t="shared" si="92"/>
        <v>0</v>
      </c>
      <c r="CR783" s="84"/>
      <c r="CS783" s="13"/>
      <c r="CT783" s="85">
        <v>500</v>
      </c>
      <c r="CU783" s="86">
        <f>500*85000</f>
        <v>42500000</v>
      </c>
      <c r="CV783" s="11"/>
      <c r="CW783" s="86"/>
      <c r="CX783" s="84">
        <v>1500</v>
      </c>
      <c r="CY783" s="86">
        <f>1500*37932</f>
        <v>56898000</v>
      </c>
      <c r="CZ783" s="9" t="s">
        <v>713</v>
      </c>
    </row>
    <row r="784" spans="1:104" ht="12.75" x14ac:dyDescent="0.2">
      <c r="A784" s="43">
        <v>40043</v>
      </c>
      <c r="B784" s="44" t="s">
        <v>1224</v>
      </c>
      <c r="C784" s="44" t="s">
        <v>349</v>
      </c>
      <c r="D784" s="45" t="s">
        <v>1117</v>
      </c>
      <c r="E784" s="11"/>
      <c r="F784" s="12"/>
      <c r="G784" s="12"/>
      <c r="H784" s="12">
        <f>90*5</f>
        <v>450</v>
      </c>
      <c r="I784" s="12">
        <v>90</v>
      </c>
      <c r="J784" s="12"/>
      <c r="K784" s="12">
        <v>90</v>
      </c>
      <c r="L784" s="12"/>
      <c r="M784" s="12"/>
      <c r="N784" s="12"/>
      <c r="O784" s="12"/>
      <c r="P784" s="12"/>
      <c r="Q784" s="12"/>
      <c r="R784" s="12"/>
      <c r="S784" s="12"/>
      <c r="T784" s="13"/>
      <c r="U784" s="46"/>
      <c r="V784" s="47">
        <v>40099</v>
      </c>
      <c r="W784" s="48">
        <f t="shared" si="87"/>
        <v>0</v>
      </c>
      <c r="X784" s="48">
        <f t="shared" si="88"/>
        <v>17000000</v>
      </c>
      <c r="Y784" s="48">
        <f t="shared" si="89"/>
        <v>16800000</v>
      </c>
      <c r="Z784" s="48">
        <f t="shared" si="90"/>
        <v>0</v>
      </c>
      <c r="AA784" s="48"/>
      <c r="AB784" s="48"/>
      <c r="AC784" s="49">
        <f t="shared" si="91"/>
        <v>33800000</v>
      </c>
      <c r="AD784" s="50">
        <v>0</v>
      </c>
      <c r="AE784" s="47">
        <v>40066</v>
      </c>
      <c r="AF784" s="51" t="s">
        <v>1016</v>
      </c>
      <c r="AG784" s="52" t="s">
        <v>565</v>
      </c>
      <c r="AH784" s="53"/>
      <c r="AI784" s="79"/>
      <c r="AJ784" s="80"/>
      <c r="AK784" s="81"/>
      <c r="AL784" s="80"/>
      <c r="AM784" s="80"/>
      <c r="AN784" s="80"/>
      <c r="AO784" s="80"/>
      <c r="AP784" s="80"/>
      <c r="AQ784" s="80"/>
      <c r="AR784" s="80"/>
      <c r="AS784" s="80"/>
      <c r="AT784" s="80"/>
      <c r="AU784" s="80"/>
      <c r="AV784" s="80"/>
      <c r="AW784" s="80"/>
      <c r="AX784" s="80"/>
      <c r="AY784" s="80"/>
      <c r="AZ784" s="80"/>
      <c r="BA784" s="80"/>
      <c r="BB784" s="80"/>
      <c r="BC784" s="80"/>
      <c r="BD784" s="80"/>
      <c r="BE784" s="80"/>
      <c r="BF784" s="80"/>
      <c r="BG784" s="80"/>
      <c r="BH784" s="80"/>
      <c r="BI784" s="80"/>
      <c r="BJ784" s="80"/>
      <c r="BK784" s="80"/>
      <c r="BL784" s="80"/>
      <c r="BM784" s="80"/>
      <c r="BN784" s="80"/>
      <c r="BO784" s="80"/>
      <c r="BP784" s="80"/>
      <c r="BQ784" s="80"/>
      <c r="BR784" s="80"/>
      <c r="BS784" s="80"/>
      <c r="BT784" s="80"/>
      <c r="BU784" s="80"/>
      <c r="BV784" s="80"/>
      <c r="BW784" s="80"/>
      <c r="BX784" s="80"/>
      <c r="BY784" s="80"/>
      <c r="BZ784" s="80"/>
      <c r="CA784" s="80"/>
      <c r="CB784" s="80"/>
      <c r="CC784" s="80"/>
      <c r="CD784" s="80"/>
      <c r="CE784" s="80"/>
      <c r="CF784" s="80"/>
      <c r="CG784" s="80"/>
      <c r="CH784" s="80"/>
      <c r="CI784" s="80"/>
      <c r="CJ784" s="80"/>
      <c r="CK784" s="82"/>
      <c r="CL784" s="12"/>
      <c r="CM784" s="82"/>
      <c r="CN784" s="12"/>
      <c r="CO784" s="82"/>
      <c r="CP784" s="12"/>
      <c r="CQ784" s="83">
        <f t="shared" si="92"/>
        <v>0</v>
      </c>
      <c r="CR784" s="84"/>
      <c r="CS784" s="13"/>
      <c r="CT784" s="85">
        <v>200</v>
      </c>
      <c r="CU784" s="86">
        <f>200*85000</f>
        <v>17000000</v>
      </c>
      <c r="CV784" s="11"/>
      <c r="CW784" s="86"/>
      <c r="CX784" s="84">
        <v>800</v>
      </c>
      <c r="CY784" s="86">
        <f>800*21000</f>
        <v>16800000</v>
      </c>
    </row>
    <row r="785" spans="1:103" ht="25.5" x14ac:dyDescent="0.2">
      <c r="A785" s="43">
        <v>40043</v>
      </c>
      <c r="B785" s="44" t="s">
        <v>1094</v>
      </c>
      <c r="C785" s="44" t="s">
        <v>680</v>
      </c>
      <c r="D785" s="45" t="s">
        <v>1117</v>
      </c>
      <c r="E785" s="11"/>
      <c r="F785" s="12"/>
      <c r="G785" s="12"/>
      <c r="H785" s="12">
        <v>255</v>
      </c>
      <c r="I785" s="12">
        <v>51</v>
      </c>
      <c r="J785" s="12"/>
      <c r="K785" s="12">
        <v>51</v>
      </c>
      <c r="L785" s="12"/>
      <c r="M785" s="12"/>
      <c r="N785" s="12"/>
      <c r="O785" s="12"/>
      <c r="P785" s="12"/>
      <c r="Q785" s="12"/>
      <c r="R785" s="12"/>
      <c r="S785" s="12"/>
      <c r="T785" s="13"/>
      <c r="U785" s="46"/>
      <c r="V785" s="47"/>
      <c r="W785" s="48">
        <f t="shared" si="87"/>
        <v>0</v>
      </c>
      <c r="X785" s="48">
        <f t="shared" si="88"/>
        <v>0</v>
      </c>
      <c r="Y785" s="48">
        <f t="shared" si="89"/>
        <v>0</v>
      </c>
      <c r="Z785" s="48">
        <f t="shared" si="90"/>
        <v>0</v>
      </c>
      <c r="AA785" s="48"/>
      <c r="AB785" s="48"/>
      <c r="AC785" s="49">
        <f t="shared" si="91"/>
        <v>0</v>
      </c>
      <c r="AD785" s="50">
        <v>0</v>
      </c>
      <c r="AE785" s="47">
        <v>40044</v>
      </c>
      <c r="AF785" s="51" t="s">
        <v>516</v>
      </c>
      <c r="AG785" s="52" t="s">
        <v>517</v>
      </c>
      <c r="AH785" s="53" t="s">
        <v>1367</v>
      </c>
      <c r="AI785" s="79"/>
      <c r="AJ785" s="80"/>
      <c r="AK785" s="81"/>
      <c r="AL785" s="80"/>
      <c r="AM785" s="80"/>
      <c r="AN785" s="80"/>
      <c r="AO785" s="80"/>
      <c r="AP785" s="80"/>
      <c r="AQ785" s="80"/>
      <c r="AR785" s="80"/>
      <c r="AS785" s="80"/>
      <c r="AT785" s="80"/>
      <c r="AU785" s="80"/>
      <c r="AV785" s="80"/>
      <c r="AW785" s="80"/>
      <c r="AX785" s="80"/>
      <c r="AY785" s="80"/>
      <c r="AZ785" s="80"/>
      <c r="BA785" s="80"/>
      <c r="BB785" s="80"/>
      <c r="BC785" s="80"/>
      <c r="BD785" s="80"/>
      <c r="BE785" s="80"/>
      <c r="BF785" s="80"/>
      <c r="BG785" s="80"/>
      <c r="BH785" s="80"/>
      <c r="BI785" s="80"/>
      <c r="BJ785" s="80"/>
      <c r="BK785" s="80"/>
      <c r="BL785" s="80"/>
      <c r="BM785" s="80"/>
      <c r="BN785" s="80"/>
      <c r="BO785" s="80"/>
      <c r="BP785" s="80"/>
      <c r="BQ785" s="80"/>
      <c r="BR785" s="80"/>
      <c r="BS785" s="80"/>
      <c r="BT785" s="80"/>
      <c r="BU785" s="80"/>
      <c r="BV785" s="80"/>
      <c r="BW785" s="80"/>
      <c r="BX785" s="80"/>
      <c r="BY785" s="80"/>
      <c r="BZ785" s="80"/>
      <c r="CA785" s="80"/>
      <c r="CB785" s="80"/>
      <c r="CC785" s="80"/>
      <c r="CD785" s="80"/>
      <c r="CE785" s="80"/>
      <c r="CF785" s="80"/>
      <c r="CG785" s="80"/>
      <c r="CH785" s="80"/>
      <c r="CI785" s="80"/>
      <c r="CJ785" s="80"/>
      <c r="CK785" s="82"/>
      <c r="CL785" s="12"/>
      <c r="CM785" s="82"/>
      <c r="CN785" s="12"/>
      <c r="CO785" s="82"/>
      <c r="CP785" s="12"/>
      <c r="CQ785" s="83">
        <f t="shared" si="92"/>
        <v>0</v>
      </c>
      <c r="CR785" s="84"/>
      <c r="CS785" s="13"/>
      <c r="CT785" s="85"/>
      <c r="CU785" s="86"/>
      <c r="CV785" s="11"/>
      <c r="CW785" s="86"/>
      <c r="CX785" s="84"/>
      <c r="CY785" s="86"/>
    </row>
    <row r="786" spans="1:103" ht="38.25" x14ac:dyDescent="0.2">
      <c r="A786" s="43">
        <v>40043</v>
      </c>
      <c r="B786" s="44" t="s">
        <v>1114</v>
      </c>
      <c r="C786" s="44" t="s">
        <v>646</v>
      </c>
      <c r="D786" s="45" t="s">
        <v>1116</v>
      </c>
      <c r="E786" s="11"/>
      <c r="F786" s="12"/>
      <c r="G786" s="12"/>
      <c r="H786" s="12">
        <v>15</v>
      </c>
      <c r="I786" s="12">
        <v>3</v>
      </c>
      <c r="J786" s="12">
        <v>1</v>
      </c>
      <c r="K786" s="12"/>
      <c r="L786" s="12"/>
      <c r="M786" s="12"/>
      <c r="N786" s="12"/>
      <c r="O786" s="12"/>
      <c r="P786" s="12"/>
      <c r="Q786" s="12"/>
      <c r="R786" s="12"/>
      <c r="S786" s="12"/>
      <c r="T786" s="13"/>
      <c r="U786" s="46"/>
      <c r="V786" s="47"/>
      <c r="W786" s="48">
        <f t="shared" si="87"/>
        <v>0</v>
      </c>
      <c r="X786" s="48">
        <f t="shared" si="88"/>
        <v>0</v>
      </c>
      <c r="Y786" s="48">
        <f t="shared" si="89"/>
        <v>0</v>
      </c>
      <c r="Z786" s="48">
        <f t="shared" si="90"/>
        <v>0</v>
      </c>
      <c r="AA786" s="48"/>
      <c r="AB786" s="48"/>
      <c r="AC786" s="49">
        <f t="shared" si="91"/>
        <v>0</v>
      </c>
      <c r="AD786" s="50">
        <v>0</v>
      </c>
      <c r="AE786" s="47">
        <v>40044</v>
      </c>
      <c r="AF786" s="51" t="s">
        <v>516</v>
      </c>
      <c r="AG786" s="52" t="s">
        <v>517</v>
      </c>
      <c r="AH786" s="53" t="s">
        <v>758</v>
      </c>
      <c r="AI786" s="79"/>
      <c r="AJ786" s="80"/>
      <c r="AK786" s="81"/>
      <c r="AL786" s="80"/>
      <c r="AM786" s="80"/>
      <c r="AN786" s="80"/>
      <c r="AO786" s="80"/>
      <c r="AP786" s="80"/>
      <c r="AQ786" s="80"/>
      <c r="AR786" s="80"/>
      <c r="AS786" s="80"/>
      <c r="AT786" s="80"/>
      <c r="AU786" s="80"/>
      <c r="AV786" s="80"/>
      <c r="AW786" s="80"/>
      <c r="AX786" s="80"/>
      <c r="AY786" s="80"/>
      <c r="AZ786" s="80"/>
      <c r="BA786" s="80"/>
      <c r="BB786" s="80"/>
      <c r="BC786" s="80"/>
      <c r="BD786" s="80"/>
      <c r="BE786" s="80"/>
      <c r="BF786" s="80"/>
      <c r="BG786" s="80"/>
      <c r="BH786" s="80"/>
      <c r="BI786" s="80"/>
      <c r="BJ786" s="80"/>
      <c r="BK786" s="80"/>
      <c r="BL786" s="80"/>
      <c r="BM786" s="80"/>
      <c r="BN786" s="80"/>
      <c r="BO786" s="80"/>
      <c r="BP786" s="80"/>
      <c r="BQ786" s="80"/>
      <c r="BR786" s="80"/>
      <c r="BS786" s="80"/>
      <c r="BT786" s="80"/>
      <c r="BU786" s="80"/>
      <c r="BV786" s="80"/>
      <c r="BW786" s="80"/>
      <c r="BX786" s="80"/>
      <c r="BY786" s="80"/>
      <c r="BZ786" s="80"/>
      <c r="CA786" s="80"/>
      <c r="CB786" s="80"/>
      <c r="CC786" s="80"/>
      <c r="CD786" s="80"/>
      <c r="CE786" s="80"/>
      <c r="CF786" s="80"/>
      <c r="CG786" s="80"/>
      <c r="CH786" s="80"/>
      <c r="CI786" s="80"/>
      <c r="CJ786" s="80"/>
      <c r="CK786" s="82"/>
      <c r="CL786" s="12"/>
      <c r="CM786" s="82"/>
      <c r="CN786" s="12"/>
      <c r="CO786" s="82"/>
      <c r="CP786" s="12"/>
      <c r="CQ786" s="83">
        <f t="shared" si="92"/>
        <v>0</v>
      </c>
      <c r="CR786" s="84"/>
      <c r="CS786" s="13"/>
      <c r="CT786" s="85"/>
      <c r="CU786" s="86"/>
      <c r="CV786" s="11"/>
      <c r="CW786" s="86"/>
      <c r="CX786" s="84"/>
      <c r="CY786" s="86"/>
    </row>
    <row r="787" spans="1:103" ht="25.5" x14ac:dyDescent="0.2">
      <c r="A787" s="43">
        <v>40044</v>
      </c>
      <c r="B787" s="44" t="s">
        <v>1097</v>
      </c>
      <c r="C787" s="44" t="s">
        <v>1053</v>
      </c>
      <c r="D787" s="45" t="s">
        <v>1461</v>
      </c>
      <c r="E787" s="11">
        <v>3</v>
      </c>
      <c r="F787" s="12">
        <v>6</v>
      </c>
      <c r="G787" s="12">
        <v>1</v>
      </c>
      <c r="H787" s="12"/>
      <c r="I787" s="12"/>
      <c r="J787" s="12"/>
      <c r="K787" s="12"/>
      <c r="L787" s="12"/>
      <c r="M787" s="12"/>
      <c r="N787" s="12"/>
      <c r="O787" s="12"/>
      <c r="P787" s="12"/>
      <c r="Q787" s="12"/>
      <c r="R787" s="12"/>
      <c r="S787" s="12"/>
      <c r="T787" s="13"/>
      <c r="U787" s="46"/>
      <c r="V787" s="47"/>
      <c r="W787" s="48">
        <f t="shared" si="87"/>
        <v>0</v>
      </c>
      <c r="X787" s="48">
        <f t="shared" si="88"/>
        <v>0</v>
      </c>
      <c r="Y787" s="48">
        <f t="shared" si="89"/>
        <v>0</v>
      </c>
      <c r="Z787" s="48">
        <f t="shared" si="90"/>
        <v>0</v>
      </c>
      <c r="AA787" s="48"/>
      <c r="AB787" s="48"/>
      <c r="AC787" s="49">
        <f t="shared" si="91"/>
        <v>0</v>
      </c>
      <c r="AD787" s="50">
        <v>0</v>
      </c>
      <c r="AE787" s="47">
        <v>40045</v>
      </c>
      <c r="AF787" s="51" t="s">
        <v>516</v>
      </c>
      <c r="AG787" s="52" t="s">
        <v>517</v>
      </c>
      <c r="AH787" s="53" t="s">
        <v>1426</v>
      </c>
      <c r="AI787" s="79"/>
      <c r="AJ787" s="80"/>
      <c r="AK787" s="81"/>
      <c r="AL787" s="80"/>
      <c r="AM787" s="80"/>
      <c r="AN787" s="80"/>
      <c r="AO787" s="80"/>
      <c r="AP787" s="80"/>
      <c r="AQ787" s="80"/>
      <c r="AR787" s="80"/>
      <c r="AS787" s="80"/>
      <c r="AT787" s="80"/>
      <c r="AU787" s="80"/>
      <c r="AV787" s="80"/>
      <c r="AW787" s="80"/>
      <c r="AX787" s="80"/>
      <c r="AY787" s="80"/>
      <c r="AZ787" s="80"/>
      <c r="BA787" s="80"/>
      <c r="BB787" s="80"/>
      <c r="BC787" s="80"/>
      <c r="BD787" s="80"/>
      <c r="BE787" s="80"/>
      <c r="BF787" s="80"/>
      <c r="BG787" s="80"/>
      <c r="BH787" s="80"/>
      <c r="BI787" s="80"/>
      <c r="BJ787" s="80"/>
      <c r="BK787" s="80"/>
      <c r="BL787" s="80"/>
      <c r="BM787" s="80"/>
      <c r="BN787" s="80"/>
      <c r="BO787" s="80"/>
      <c r="BP787" s="80"/>
      <c r="BQ787" s="80"/>
      <c r="BR787" s="80"/>
      <c r="BS787" s="80"/>
      <c r="BT787" s="80"/>
      <c r="BU787" s="80"/>
      <c r="BV787" s="80"/>
      <c r="BW787" s="80"/>
      <c r="BX787" s="80"/>
      <c r="BY787" s="80"/>
      <c r="BZ787" s="80"/>
      <c r="CA787" s="80"/>
      <c r="CB787" s="80"/>
      <c r="CC787" s="80"/>
      <c r="CD787" s="80"/>
      <c r="CE787" s="80"/>
      <c r="CF787" s="80"/>
      <c r="CG787" s="80"/>
      <c r="CH787" s="80"/>
      <c r="CI787" s="80"/>
      <c r="CJ787" s="80"/>
      <c r="CK787" s="82"/>
      <c r="CL787" s="12"/>
      <c r="CM787" s="82"/>
      <c r="CN787" s="12"/>
      <c r="CO787" s="82"/>
      <c r="CP787" s="12"/>
      <c r="CQ787" s="83">
        <f t="shared" si="92"/>
        <v>0</v>
      </c>
      <c r="CR787" s="84"/>
      <c r="CS787" s="13"/>
      <c r="CT787" s="85"/>
      <c r="CU787" s="86"/>
      <c r="CV787" s="11"/>
      <c r="CW787" s="86"/>
      <c r="CX787" s="84"/>
      <c r="CY787" s="86"/>
    </row>
    <row r="788" spans="1:103" ht="89.25" x14ac:dyDescent="0.2">
      <c r="A788" s="43">
        <v>40044</v>
      </c>
      <c r="B788" s="44" t="s">
        <v>1066</v>
      </c>
      <c r="C788" s="44" t="s">
        <v>1348</v>
      </c>
      <c r="D788" s="45" t="s">
        <v>1116</v>
      </c>
      <c r="E788" s="11"/>
      <c r="F788" s="12"/>
      <c r="G788" s="12"/>
      <c r="H788" s="12">
        <v>54</v>
      </c>
      <c r="I788" s="12">
        <v>11</v>
      </c>
      <c r="J788" s="12">
        <v>10</v>
      </c>
      <c r="K788" s="12"/>
      <c r="L788" s="12"/>
      <c r="M788" s="12"/>
      <c r="N788" s="12"/>
      <c r="O788" s="12"/>
      <c r="P788" s="12"/>
      <c r="Q788" s="12"/>
      <c r="R788" s="12"/>
      <c r="S788" s="12"/>
      <c r="T788" s="13"/>
      <c r="U788" s="46"/>
      <c r="V788" s="47"/>
      <c r="W788" s="48">
        <f t="shared" si="87"/>
        <v>0</v>
      </c>
      <c r="X788" s="48">
        <f t="shared" si="88"/>
        <v>0</v>
      </c>
      <c r="Y788" s="48">
        <f t="shared" si="89"/>
        <v>0</v>
      </c>
      <c r="Z788" s="48">
        <f t="shared" si="90"/>
        <v>0</v>
      </c>
      <c r="AA788" s="48"/>
      <c r="AB788" s="48"/>
      <c r="AC788" s="49">
        <f t="shared" si="91"/>
        <v>0</v>
      </c>
      <c r="AD788" s="50">
        <v>0</v>
      </c>
      <c r="AE788" s="47">
        <v>40045</v>
      </c>
      <c r="AF788" s="51" t="s">
        <v>1016</v>
      </c>
      <c r="AG788" s="52" t="s">
        <v>517</v>
      </c>
      <c r="AH788" s="53" t="s">
        <v>28</v>
      </c>
      <c r="AI788" s="79"/>
      <c r="AJ788" s="80"/>
      <c r="AK788" s="81"/>
      <c r="AL788" s="80"/>
      <c r="AM788" s="80"/>
      <c r="AN788" s="80"/>
      <c r="AO788" s="80"/>
      <c r="AP788" s="80"/>
      <c r="AQ788" s="80"/>
      <c r="AR788" s="80"/>
      <c r="AS788" s="80"/>
      <c r="AT788" s="80"/>
      <c r="AU788" s="80"/>
      <c r="AV788" s="80"/>
      <c r="AW788" s="80"/>
      <c r="AX788" s="80"/>
      <c r="AY788" s="80"/>
      <c r="AZ788" s="80"/>
      <c r="BA788" s="80"/>
      <c r="BB788" s="80"/>
      <c r="BC788" s="80"/>
      <c r="BD788" s="80"/>
      <c r="BE788" s="80"/>
      <c r="BF788" s="80"/>
      <c r="BG788" s="80"/>
      <c r="BH788" s="80"/>
      <c r="BI788" s="80"/>
      <c r="BJ788" s="80"/>
      <c r="BK788" s="80"/>
      <c r="BL788" s="80"/>
      <c r="BM788" s="80"/>
      <c r="BN788" s="80"/>
      <c r="BO788" s="80"/>
      <c r="BP788" s="80"/>
      <c r="BQ788" s="80"/>
      <c r="BR788" s="80"/>
      <c r="BS788" s="80"/>
      <c r="BT788" s="80"/>
      <c r="BU788" s="80"/>
      <c r="BV788" s="80"/>
      <c r="BW788" s="80"/>
      <c r="BX788" s="80"/>
      <c r="BY788" s="80"/>
      <c r="BZ788" s="80"/>
      <c r="CA788" s="80"/>
      <c r="CB788" s="80"/>
      <c r="CC788" s="80"/>
      <c r="CD788" s="80"/>
      <c r="CE788" s="80"/>
      <c r="CF788" s="80"/>
      <c r="CG788" s="80"/>
      <c r="CH788" s="80"/>
      <c r="CI788" s="80"/>
      <c r="CJ788" s="80"/>
      <c r="CK788" s="82"/>
      <c r="CL788" s="12"/>
      <c r="CM788" s="82"/>
      <c r="CN788" s="12"/>
      <c r="CO788" s="82"/>
      <c r="CP788" s="12"/>
      <c r="CQ788" s="83">
        <f t="shared" si="92"/>
        <v>0</v>
      </c>
      <c r="CR788" s="84"/>
      <c r="CS788" s="13"/>
      <c r="CT788" s="85"/>
      <c r="CU788" s="86"/>
      <c r="CV788" s="11"/>
      <c r="CW788" s="86"/>
      <c r="CX788" s="84"/>
      <c r="CY788" s="86"/>
    </row>
    <row r="789" spans="1:103" ht="25.5" x14ac:dyDescent="0.2">
      <c r="A789" s="43">
        <v>40045</v>
      </c>
      <c r="B789" s="44" t="s">
        <v>1226</v>
      </c>
      <c r="C789" s="44" t="s">
        <v>1210</v>
      </c>
      <c r="D789" s="45" t="s">
        <v>1211</v>
      </c>
      <c r="E789" s="11">
        <v>1</v>
      </c>
      <c r="F789" s="12"/>
      <c r="G789" s="12"/>
      <c r="H789" s="12"/>
      <c r="I789" s="12"/>
      <c r="J789" s="12"/>
      <c r="K789" s="12"/>
      <c r="L789" s="12"/>
      <c r="M789" s="12"/>
      <c r="N789" s="12"/>
      <c r="O789" s="12"/>
      <c r="P789" s="12"/>
      <c r="Q789" s="12"/>
      <c r="R789" s="12"/>
      <c r="S789" s="12"/>
      <c r="T789" s="13"/>
      <c r="U789" s="46"/>
      <c r="V789" s="47"/>
      <c r="W789" s="48">
        <f t="shared" si="87"/>
        <v>0</v>
      </c>
      <c r="X789" s="48">
        <f t="shared" si="88"/>
        <v>0</v>
      </c>
      <c r="Y789" s="48">
        <f t="shared" si="89"/>
        <v>0</v>
      </c>
      <c r="Z789" s="48">
        <f t="shared" si="90"/>
        <v>0</v>
      </c>
      <c r="AA789" s="48"/>
      <c r="AB789" s="48"/>
      <c r="AC789" s="49">
        <f t="shared" si="91"/>
        <v>0</v>
      </c>
      <c r="AD789" s="50">
        <v>0</v>
      </c>
      <c r="AE789" s="47">
        <v>40049</v>
      </c>
      <c r="AF789" s="51" t="s">
        <v>516</v>
      </c>
      <c r="AG789" s="52" t="s">
        <v>517</v>
      </c>
      <c r="AH789" s="53" t="s">
        <v>1212</v>
      </c>
      <c r="AI789" s="79"/>
      <c r="AJ789" s="80"/>
      <c r="AK789" s="81"/>
      <c r="AL789" s="80"/>
      <c r="AM789" s="80"/>
      <c r="AN789" s="80"/>
      <c r="AO789" s="80"/>
      <c r="AP789" s="80"/>
      <c r="AQ789" s="80"/>
      <c r="AR789" s="80"/>
      <c r="AS789" s="80"/>
      <c r="AT789" s="80"/>
      <c r="AU789" s="80"/>
      <c r="AV789" s="80"/>
      <c r="AW789" s="80"/>
      <c r="AX789" s="80"/>
      <c r="AY789" s="80"/>
      <c r="AZ789" s="80"/>
      <c r="BA789" s="80"/>
      <c r="BB789" s="80"/>
      <c r="BC789" s="80"/>
      <c r="BD789" s="80"/>
      <c r="BE789" s="80"/>
      <c r="BF789" s="80"/>
      <c r="BG789" s="80"/>
      <c r="BH789" s="80"/>
      <c r="BI789" s="80"/>
      <c r="BJ789" s="80"/>
      <c r="BK789" s="80"/>
      <c r="BL789" s="80"/>
      <c r="BM789" s="80"/>
      <c r="BN789" s="80"/>
      <c r="BO789" s="80"/>
      <c r="BP789" s="80"/>
      <c r="BQ789" s="80"/>
      <c r="BR789" s="80"/>
      <c r="BS789" s="80"/>
      <c r="BT789" s="80"/>
      <c r="BU789" s="80"/>
      <c r="BV789" s="80"/>
      <c r="BW789" s="80"/>
      <c r="BX789" s="80"/>
      <c r="BY789" s="80"/>
      <c r="BZ789" s="80"/>
      <c r="CA789" s="80"/>
      <c r="CB789" s="80"/>
      <c r="CC789" s="80"/>
      <c r="CD789" s="80"/>
      <c r="CE789" s="80"/>
      <c r="CF789" s="80"/>
      <c r="CG789" s="80"/>
      <c r="CH789" s="80"/>
      <c r="CI789" s="80"/>
      <c r="CJ789" s="80"/>
      <c r="CK789" s="82"/>
      <c r="CL789" s="12"/>
      <c r="CM789" s="82"/>
      <c r="CN789" s="12"/>
      <c r="CO789" s="82"/>
      <c r="CP789" s="12"/>
      <c r="CQ789" s="83">
        <f t="shared" si="92"/>
        <v>0</v>
      </c>
      <c r="CR789" s="84"/>
      <c r="CS789" s="13"/>
      <c r="CT789" s="85"/>
      <c r="CU789" s="86"/>
      <c r="CV789" s="11"/>
      <c r="CW789" s="86"/>
      <c r="CX789" s="84"/>
      <c r="CY789" s="86"/>
    </row>
    <row r="790" spans="1:103" ht="25.5" x14ac:dyDescent="0.2">
      <c r="A790" s="43">
        <v>40046</v>
      </c>
      <c r="B790" s="44" t="s">
        <v>625</v>
      </c>
      <c r="C790" s="44" t="s">
        <v>470</v>
      </c>
      <c r="D790" s="45" t="s">
        <v>1070</v>
      </c>
      <c r="E790" s="11"/>
      <c r="F790" s="12">
        <v>2</v>
      </c>
      <c r="G790" s="12"/>
      <c r="H790" s="12">
        <v>35</v>
      </c>
      <c r="I790" s="12">
        <v>7</v>
      </c>
      <c r="J790" s="12">
        <v>2</v>
      </c>
      <c r="K790" s="12">
        <v>5</v>
      </c>
      <c r="L790" s="12"/>
      <c r="M790" s="12"/>
      <c r="N790" s="12"/>
      <c r="O790" s="12"/>
      <c r="P790" s="12"/>
      <c r="Q790" s="12"/>
      <c r="R790" s="12"/>
      <c r="S790" s="12"/>
      <c r="T790" s="13"/>
      <c r="U790" s="46"/>
      <c r="V790" s="47"/>
      <c r="W790" s="48">
        <f t="shared" si="87"/>
        <v>0</v>
      </c>
      <c r="X790" s="48">
        <f t="shared" si="88"/>
        <v>0</v>
      </c>
      <c r="Y790" s="48">
        <f t="shared" si="89"/>
        <v>0</v>
      </c>
      <c r="Z790" s="48">
        <f t="shared" si="90"/>
        <v>0</v>
      </c>
      <c r="AA790" s="48"/>
      <c r="AB790" s="48"/>
      <c r="AC790" s="49">
        <f t="shared" si="91"/>
        <v>0</v>
      </c>
      <c r="AD790" s="50">
        <v>0</v>
      </c>
      <c r="AE790" s="47">
        <v>40046</v>
      </c>
      <c r="AF790" s="51" t="s">
        <v>516</v>
      </c>
      <c r="AG790" s="52" t="s">
        <v>517</v>
      </c>
      <c r="AH790" s="53" t="s">
        <v>491</v>
      </c>
      <c r="AI790" s="79"/>
      <c r="AJ790" s="80"/>
      <c r="AK790" s="81"/>
      <c r="AL790" s="80"/>
      <c r="AM790" s="80"/>
      <c r="AN790" s="80"/>
      <c r="AO790" s="80"/>
      <c r="AP790" s="80"/>
      <c r="AQ790" s="80"/>
      <c r="AR790" s="80"/>
      <c r="AS790" s="80"/>
      <c r="AT790" s="80"/>
      <c r="AU790" s="80"/>
      <c r="AV790" s="80"/>
      <c r="AW790" s="80"/>
      <c r="AX790" s="80"/>
      <c r="AY790" s="80"/>
      <c r="AZ790" s="80"/>
      <c r="BA790" s="80"/>
      <c r="BB790" s="80"/>
      <c r="BC790" s="80"/>
      <c r="BD790" s="80"/>
      <c r="BE790" s="80"/>
      <c r="BF790" s="80"/>
      <c r="BG790" s="80"/>
      <c r="BH790" s="80"/>
      <c r="BI790" s="80"/>
      <c r="BJ790" s="80"/>
      <c r="BK790" s="80"/>
      <c r="BL790" s="80"/>
      <c r="BM790" s="80"/>
      <c r="BN790" s="80"/>
      <c r="BO790" s="80"/>
      <c r="BP790" s="80"/>
      <c r="BQ790" s="80"/>
      <c r="BR790" s="80"/>
      <c r="BS790" s="80"/>
      <c r="BT790" s="80"/>
      <c r="BU790" s="80"/>
      <c r="BV790" s="80"/>
      <c r="BW790" s="80"/>
      <c r="BX790" s="80"/>
      <c r="BY790" s="80"/>
      <c r="BZ790" s="80"/>
      <c r="CA790" s="80"/>
      <c r="CB790" s="80"/>
      <c r="CC790" s="80"/>
      <c r="CD790" s="80"/>
      <c r="CE790" s="80"/>
      <c r="CF790" s="80"/>
      <c r="CG790" s="80"/>
      <c r="CH790" s="80"/>
      <c r="CI790" s="80"/>
      <c r="CJ790" s="80"/>
      <c r="CK790" s="82"/>
      <c r="CL790" s="12"/>
      <c r="CM790" s="82"/>
      <c r="CN790" s="12"/>
      <c r="CO790" s="82"/>
      <c r="CP790" s="12"/>
      <c r="CQ790" s="83">
        <f t="shared" si="92"/>
        <v>0</v>
      </c>
      <c r="CR790" s="84"/>
      <c r="CS790" s="13"/>
      <c r="CT790" s="85"/>
      <c r="CU790" s="86"/>
      <c r="CV790" s="11"/>
      <c r="CW790" s="86"/>
      <c r="CX790" s="84"/>
      <c r="CY790" s="86"/>
    </row>
    <row r="791" spans="1:103" ht="25.5" x14ac:dyDescent="0.2">
      <c r="A791" s="43">
        <v>40046</v>
      </c>
      <c r="B791" s="44" t="s">
        <v>625</v>
      </c>
      <c r="C791" s="44" t="s">
        <v>348</v>
      </c>
      <c r="D791" s="45" t="s">
        <v>1117</v>
      </c>
      <c r="E791" s="11"/>
      <c r="F791" s="12"/>
      <c r="G791" s="12"/>
      <c r="H791" s="12">
        <v>35</v>
      </c>
      <c r="I791" s="12">
        <v>7</v>
      </c>
      <c r="J791" s="12"/>
      <c r="K791" s="12">
        <v>7</v>
      </c>
      <c r="L791" s="12"/>
      <c r="M791" s="12"/>
      <c r="N791" s="12"/>
      <c r="O791" s="12"/>
      <c r="P791" s="12"/>
      <c r="Q791" s="12">
        <v>1</v>
      </c>
      <c r="R791" s="12">
        <v>2</v>
      </c>
      <c r="S791" s="12"/>
      <c r="T791" s="13"/>
      <c r="U791" s="46"/>
      <c r="V791" s="47"/>
      <c r="W791" s="48">
        <f t="shared" si="87"/>
        <v>0</v>
      </c>
      <c r="X791" s="48">
        <f t="shared" si="88"/>
        <v>0</v>
      </c>
      <c r="Y791" s="48">
        <f t="shared" si="89"/>
        <v>0</v>
      </c>
      <c r="Z791" s="48">
        <f t="shared" si="90"/>
        <v>0</v>
      </c>
      <c r="AA791" s="48"/>
      <c r="AB791" s="48"/>
      <c r="AC791" s="49">
        <f t="shared" si="91"/>
        <v>0</v>
      </c>
      <c r="AD791" s="50">
        <v>0</v>
      </c>
      <c r="AE791" s="47">
        <v>40046</v>
      </c>
      <c r="AF791" s="51" t="s">
        <v>516</v>
      </c>
      <c r="AG791" s="52" t="s">
        <v>517</v>
      </c>
      <c r="AH791" s="53"/>
      <c r="AI791" s="79"/>
      <c r="AJ791" s="80"/>
      <c r="AK791" s="81"/>
      <c r="AL791" s="80"/>
      <c r="AM791" s="80"/>
      <c r="AN791" s="80"/>
      <c r="AO791" s="80"/>
      <c r="AP791" s="80"/>
      <c r="AQ791" s="80"/>
      <c r="AR791" s="80"/>
      <c r="AS791" s="80"/>
      <c r="AT791" s="80"/>
      <c r="AU791" s="80"/>
      <c r="AV791" s="80"/>
      <c r="AW791" s="80"/>
      <c r="AX791" s="80"/>
      <c r="AY791" s="80"/>
      <c r="AZ791" s="80"/>
      <c r="BA791" s="80"/>
      <c r="BB791" s="80"/>
      <c r="BC791" s="80"/>
      <c r="BD791" s="80"/>
      <c r="BE791" s="80"/>
      <c r="BF791" s="80"/>
      <c r="BG791" s="80"/>
      <c r="BH791" s="80"/>
      <c r="BI791" s="80"/>
      <c r="BJ791" s="80"/>
      <c r="BK791" s="80"/>
      <c r="BL791" s="80"/>
      <c r="BM791" s="80"/>
      <c r="BN791" s="80"/>
      <c r="BO791" s="80"/>
      <c r="BP791" s="80"/>
      <c r="BQ791" s="80"/>
      <c r="BR791" s="80"/>
      <c r="BS791" s="80"/>
      <c r="BT791" s="80"/>
      <c r="BU791" s="80"/>
      <c r="BV791" s="80"/>
      <c r="BW791" s="80"/>
      <c r="BX791" s="80"/>
      <c r="BY791" s="80"/>
      <c r="BZ791" s="80"/>
      <c r="CA791" s="80"/>
      <c r="CB791" s="80"/>
      <c r="CC791" s="80"/>
      <c r="CD791" s="80"/>
      <c r="CE791" s="80"/>
      <c r="CF791" s="80"/>
      <c r="CG791" s="80"/>
      <c r="CH791" s="80"/>
      <c r="CI791" s="80"/>
      <c r="CJ791" s="80"/>
      <c r="CK791" s="82"/>
      <c r="CL791" s="12"/>
      <c r="CM791" s="82"/>
      <c r="CN791" s="12"/>
      <c r="CO791" s="82"/>
      <c r="CP791" s="12"/>
      <c r="CQ791" s="83">
        <f t="shared" si="92"/>
        <v>0</v>
      </c>
      <c r="CR791" s="84"/>
      <c r="CS791" s="13"/>
      <c r="CT791" s="85"/>
      <c r="CU791" s="86"/>
      <c r="CV791" s="11"/>
      <c r="CW791" s="86"/>
      <c r="CX791" s="84"/>
      <c r="CY791" s="86"/>
    </row>
    <row r="792" spans="1:103" ht="12.75" x14ac:dyDescent="0.2">
      <c r="A792" s="43">
        <v>40047</v>
      </c>
      <c r="B792" s="44" t="s">
        <v>1067</v>
      </c>
      <c r="C792" s="44" t="s">
        <v>261</v>
      </c>
      <c r="D792" s="45" t="s">
        <v>1117</v>
      </c>
      <c r="E792" s="11"/>
      <c r="F792" s="12"/>
      <c r="G792" s="12"/>
      <c r="H792" s="12">
        <v>35</v>
      </c>
      <c r="I792" s="12">
        <v>7</v>
      </c>
      <c r="J792" s="12"/>
      <c r="K792" s="12">
        <v>7</v>
      </c>
      <c r="L792" s="12"/>
      <c r="M792" s="12"/>
      <c r="N792" s="12"/>
      <c r="O792" s="12"/>
      <c r="P792" s="12"/>
      <c r="Q792" s="12"/>
      <c r="R792" s="12"/>
      <c r="S792" s="12"/>
      <c r="T792" s="13"/>
      <c r="U792" s="46"/>
      <c r="V792" s="47">
        <v>40094</v>
      </c>
      <c r="W792" s="48">
        <f t="shared" si="87"/>
        <v>0</v>
      </c>
      <c r="X792" s="48">
        <f t="shared" si="88"/>
        <v>0</v>
      </c>
      <c r="Y792" s="48">
        <f t="shared" si="89"/>
        <v>3793200</v>
      </c>
      <c r="Z792" s="48">
        <f t="shared" si="90"/>
        <v>0</v>
      </c>
      <c r="AA792" s="48"/>
      <c r="AB792" s="48"/>
      <c r="AC792" s="49">
        <f t="shared" si="91"/>
        <v>3793200</v>
      </c>
      <c r="AD792" s="50">
        <v>0</v>
      </c>
      <c r="AE792" s="47">
        <v>40056</v>
      </c>
      <c r="AF792" s="51" t="s">
        <v>1016</v>
      </c>
      <c r="AG792" s="52" t="s">
        <v>565</v>
      </c>
      <c r="AH792" s="53" t="s">
        <v>262</v>
      </c>
      <c r="AI792" s="79"/>
      <c r="AJ792" s="80"/>
      <c r="AK792" s="81"/>
      <c r="AL792" s="80"/>
      <c r="AM792" s="80"/>
      <c r="AN792" s="80"/>
      <c r="AO792" s="80"/>
      <c r="AP792" s="80"/>
      <c r="AQ792" s="80"/>
      <c r="AR792" s="80"/>
      <c r="AS792" s="80"/>
      <c r="AT792" s="80"/>
      <c r="AU792" s="80"/>
      <c r="AV792" s="80"/>
      <c r="AW792" s="80"/>
      <c r="AX792" s="80"/>
      <c r="AY792" s="80"/>
      <c r="AZ792" s="80"/>
      <c r="BA792" s="80"/>
      <c r="BB792" s="80"/>
      <c r="BC792" s="80"/>
      <c r="BD792" s="80"/>
      <c r="BE792" s="80"/>
      <c r="BF792" s="80"/>
      <c r="BG792" s="80"/>
      <c r="BH792" s="80"/>
      <c r="BI792" s="80"/>
      <c r="BJ792" s="80"/>
      <c r="BK792" s="80"/>
      <c r="BL792" s="80"/>
      <c r="BM792" s="80"/>
      <c r="BN792" s="80"/>
      <c r="BO792" s="80"/>
      <c r="BP792" s="80"/>
      <c r="BQ792" s="80"/>
      <c r="BR792" s="80"/>
      <c r="BS792" s="80"/>
      <c r="BT792" s="80"/>
      <c r="BU792" s="80"/>
      <c r="BV792" s="80"/>
      <c r="BW792" s="80"/>
      <c r="BX792" s="80"/>
      <c r="BY792" s="80"/>
      <c r="BZ792" s="80"/>
      <c r="CA792" s="80"/>
      <c r="CB792" s="80"/>
      <c r="CC792" s="80"/>
      <c r="CD792" s="80"/>
      <c r="CE792" s="80"/>
      <c r="CF792" s="80"/>
      <c r="CG792" s="80"/>
      <c r="CH792" s="80"/>
      <c r="CI792" s="80"/>
      <c r="CJ792" s="80"/>
      <c r="CK792" s="82"/>
      <c r="CL792" s="12"/>
      <c r="CM792" s="82"/>
      <c r="CN792" s="12"/>
      <c r="CO792" s="82"/>
      <c r="CP792" s="12"/>
      <c r="CQ792" s="83">
        <f t="shared" si="92"/>
        <v>0</v>
      </c>
      <c r="CR792" s="84"/>
      <c r="CS792" s="13"/>
      <c r="CT792" s="85"/>
      <c r="CU792" s="86"/>
      <c r="CV792" s="11"/>
      <c r="CW792" s="86"/>
      <c r="CX792" s="84">
        <v>100</v>
      </c>
      <c r="CY792" s="86">
        <f>100*37932</f>
        <v>3793200</v>
      </c>
    </row>
    <row r="793" spans="1:103" ht="25.5" x14ac:dyDescent="0.2">
      <c r="A793" s="43">
        <v>40047</v>
      </c>
      <c r="B793" s="44" t="s">
        <v>1097</v>
      </c>
      <c r="C793" s="44" t="s">
        <v>125</v>
      </c>
      <c r="D793" s="45" t="s">
        <v>1092</v>
      </c>
      <c r="E793" s="11"/>
      <c r="F793" s="12"/>
      <c r="G793" s="12"/>
      <c r="H793" s="12">
        <v>20</v>
      </c>
      <c r="I793" s="12">
        <v>4</v>
      </c>
      <c r="J793" s="12">
        <v>1</v>
      </c>
      <c r="K793" s="12">
        <v>3</v>
      </c>
      <c r="L793" s="12"/>
      <c r="M793" s="12"/>
      <c r="N793" s="12"/>
      <c r="O793" s="12"/>
      <c r="P793" s="12"/>
      <c r="Q793" s="12"/>
      <c r="R793" s="12"/>
      <c r="S793" s="12"/>
      <c r="T793" s="13"/>
      <c r="U793" s="46"/>
      <c r="V793" s="47"/>
      <c r="W793" s="48">
        <f t="shared" si="87"/>
        <v>0</v>
      </c>
      <c r="X793" s="48">
        <f t="shared" si="88"/>
        <v>0</v>
      </c>
      <c r="Y793" s="48">
        <f t="shared" si="89"/>
        <v>0</v>
      </c>
      <c r="Z793" s="48">
        <f t="shared" si="90"/>
        <v>0</v>
      </c>
      <c r="AA793" s="48"/>
      <c r="AB793" s="48"/>
      <c r="AC793" s="49">
        <f t="shared" si="91"/>
        <v>0</v>
      </c>
      <c r="AD793" s="50">
        <v>0</v>
      </c>
      <c r="AE793" s="47">
        <v>40049</v>
      </c>
      <c r="AF793" s="51" t="s">
        <v>516</v>
      </c>
      <c r="AG793" s="52" t="s">
        <v>517</v>
      </c>
      <c r="AH793" s="53" t="s">
        <v>1209</v>
      </c>
      <c r="AI793" s="79"/>
      <c r="AJ793" s="80"/>
      <c r="AK793" s="81"/>
      <c r="AL793" s="80"/>
      <c r="AM793" s="80"/>
      <c r="AN793" s="80"/>
      <c r="AO793" s="80"/>
      <c r="AP793" s="80"/>
      <c r="AQ793" s="80"/>
      <c r="AR793" s="80"/>
      <c r="AS793" s="80"/>
      <c r="AT793" s="80"/>
      <c r="AU793" s="80"/>
      <c r="AV793" s="80"/>
      <c r="AW793" s="80"/>
      <c r="AX793" s="80"/>
      <c r="AY793" s="80"/>
      <c r="AZ793" s="80"/>
      <c r="BA793" s="80"/>
      <c r="BB793" s="80"/>
      <c r="BC793" s="80"/>
      <c r="BD793" s="80"/>
      <c r="BE793" s="80"/>
      <c r="BF793" s="80"/>
      <c r="BG793" s="80"/>
      <c r="BH793" s="80"/>
      <c r="BI793" s="80"/>
      <c r="BJ793" s="80"/>
      <c r="BK793" s="80"/>
      <c r="BL793" s="80"/>
      <c r="BM793" s="80"/>
      <c r="BN793" s="80"/>
      <c r="BO793" s="80"/>
      <c r="BP793" s="80"/>
      <c r="BQ793" s="80"/>
      <c r="BR793" s="80"/>
      <c r="BS793" s="80"/>
      <c r="BT793" s="80"/>
      <c r="BU793" s="80"/>
      <c r="BV793" s="80"/>
      <c r="BW793" s="80"/>
      <c r="BX793" s="80"/>
      <c r="BY793" s="80"/>
      <c r="BZ793" s="80"/>
      <c r="CA793" s="80"/>
      <c r="CB793" s="80"/>
      <c r="CC793" s="80"/>
      <c r="CD793" s="80"/>
      <c r="CE793" s="80"/>
      <c r="CF793" s="80"/>
      <c r="CG793" s="80"/>
      <c r="CH793" s="80"/>
      <c r="CI793" s="80"/>
      <c r="CJ793" s="80"/>
      <c r="CK793" s="82"/>
      <c r="CL793" s="12"/>
      <c r="CM793" s="82"/>
      <c r="CN793" s="12"/>
      <c r="CO793" s="82"/>
      <c r="CP793" s="12"/>
      <c r="CQ793" s="83">
        <f t="shared" si="92"/>
        <v>0</v>
      </c>
      <c r="CR793" s="84"/>
      <c r="CS793" s="13"/>
      <c r="CT793" s="85"/>
      <c r="CU793" s="86"/>
      <c r="CV793" s="11"/>
      <c r="CW793" s="86"/>
      <c r="CX793" s="84"/>
      <c r="CY793" s="86"/>
    </row>
    <row r="794" spans="1:103" ht="51" x14ac:dyDescent="0.2">
      <c r="A794" s="43">
        <v>40047</v>
      </c>
      <c r="B794" s="44" t="s">
        <v>1224</v>
      </c>
      <c r="C794" s="44" t="s">
        <v>326</v>
      </c>
      <c r="D794" s="45" t="s">
        <v>1117</v>
      </c>
      <c r="E794" s="11"/>
      <c r="F794" s="12"/>
      <c r="G794" s="12"/>
      <c r="H794" s="12">
        <f>84*5</f>
        <v>420</v>
      </c>
      <c r="I794" s="12">
        <v>84</v>
      </c>
      <c r="J794" s="12"/>
      <c r="K794" s="12">
        <v>84</v>
      </c>
      <c r="L794" s="12"/>
      <c r="M794" s="12"/>
      <c r="N794" s="12"/>
      <c r="O794" s="12"/>
      <c r="P794" s="12"/>
      <c r="Q794" s="12"/>
      <c r="R794" s="12"/>
      <c r="S794" s="12"/>
      <c r="T794" s="13"/>
      <c r="U794" s="46"/>
      <c r="V794" s="47">
        <v>40156</v>
      </c>
      <c r="W794" s="48">
        <f t="shared" si="87"/>
        <v>16390000</v>
      </c>
      <c r="X794" s="48">
        <f t="shared" si="88"/>
        <v>18700000</v>
      </c>
      <c r="Y794" s="48">
        <f t="shared" si="89"/>
        <v>52030000</v>
      </c>
      <c r="Z794" s="48">
        <f t="shared" si="90"/>
        <v>0</v>
      </c>
      <c r="AA794" s="48"/>
      <c r="AB794" s="48"/>
      <c r="AC794" s="49">
        <f t="shared" si="91"/>
        <v>87120000</v>
      </c>
      <c r="AD794" s="50">
        <v>0</v>
      </c>
      <c r="AE794" s="47">
        <v>40105</v>
      </c>
      <c r="AF794" s="51" t="s">
        <v>1016</v>
      </c>
      <c r="AG794" s="52" t="s">
        <v>565</v>
      </c>
      <c r="AH794" s="53" t="s">
        <v>266</v>
      </c>
      <c r="AI794" s="79"/>
      <c r="AJ794" s="80"/>
      <c r="AK794" s="81"/>
      <c r="AL794" s="80"/>
      <c r="AM794" s="80"/>
      <c r="AN794" s="80"/>
      <c r="AO794" s="80"/>
      <c r="AP794" s="80"/>
      <c r="AQ794" s="80"/>
      <c r="AR794" s="80"/>
      <c r="AS794" s="80"/>
      <c r="AT794" s="80"/>
      <c r="AU794" s="80"/>
      <c r="AV794" s="80"/>
      <c r="AW794" s="80"/>
      <c r="AX794" s="80"/>
      <c r="AY794" s="80"/>
      <c r="AZ794" s="80"/>
      <c r="BA794" s="80"/>
      <c r="BB794" s="80"/>
      <c r="BC794" s="80"/>
      <c r="BD794" s="80"/>
      <c r="BE794" s="80"/>
      <c r="BF794" s="80"/>
      <c r="BG794" s="80"/>
      <c r="BH794" s="80"/>
      <c r="BI794" s="80"/>
      <c r="BJ794" s="80"/>
      <c r="BK794" s="80"/>
      <c r="BL794" s="80"/>
      <c r="BM794" s="80"/>
      <c r="BN794" s="80"/>
      <c r="BO794" s="80"/>
      <c r="BP794" s="80"/>
      <c r="BQ794" s="80"/>
      <c r="BR794" s="80"/>
      <c r="BS794" s="80"/>
      <c r="BT794" s="80"/>
      <c r="BU794" s="80"/>
      <c r="BV794" s="80"/>
      <c r="BW794" s="80"/>
      <c r="BX794" s="80"/>
      <c r="BY794" s="80"/>
      <c r="BZ794" s="80"/>
      <c r="CA794" s="80"/>
      <c r="CB794" s="80"/>
      <c r="CC794" s="80"/>
      <c r="CD794" s="80"/>
      <c r="CE794" s="80"/>
      <c r="CF794" s="80"/>
      <c r="CG794" s="80"/>
      <c r="CH794" s="80"/>
      <c r="CI794" s="80"/>
      <c r="CJ794" s="80"/>
      <c r="CK794" s="82">
        <v>220</v>
      </c>
      <c r="CL794" s="12">
        <f>220*38500</f>
        <v>8470000</v>
      </c>
      <c r="CM794" s="82">
        <v>220</v>
      </c>
      <c r="CN794" s="12">
        <f>220*36000</f>
        <v>7920000</v>
      </c>
      <c r="CO794" s="82"/>
      <c r="CP794" s="12"/>
      <c r="CQ794" s="83">
        <f t="shared" si="92"/>
        <v>16390000</v>
      </c>
      <c r="CR794" s="84"/>
      <c r="CS794" s="13"/>
      <c r="CT794" s="85">
        <v>220</v>
      </c>
      <c r="CU794" s="86">
        <f>220*85000</f>
        <v>18700000</v>
      </c>
      <c r="CV794" s="11">
        <v>1100</v>
      </c>
      <c r="CW794" s="86">
        <f>1100*25500</f>
        <v>28050000</v>
      </c>
      <c r="CX794" s="84">
        <v>1100</v>
      </c>
      <c r="CY794" s="86">
        <f>1100*21000+4400*200</f>
        <v>23980000</v>
      </c>
    </row>
    <row r="795" spans="1:103" ht="25.5" x14ac:dyDescent="0.2">
      <c r="A795" s="43">
        <v>40048</v>
      </c>
      <c r="B795" s="44" t="s">
        <v>625</v>
      </c>
      <c r="C795" s="44" t="s">
        <v>662</v>
      </c>
      <c r="D795" s="45" t="s">
        <v>1118</v>
      </c>
      <c r="E795" s="11"/>
      <c r="F795" s="12">
        <v>1</v>
      </c>
      <c r="G795" s="12"/>
      <c r="H795" s="12">
        <v>7</v>
      </c>
      <c r="I795" s="12">
        <v>1</v>
      </c>
      <c r="J795" s="12">
        <v>1</v>
      </c>
      <c r="K795" s="12"/>
      <c r="L795" s="12"/>
      <c r="M795" s="12"/>
      <c r="N795" s="12"/>
      <c r="O795" s="12"/>
      <c r="P795" s="12"/>
      <c r="Q795" s="12"/>
      <c r="R795" s="12"/>
      <c r="S795" s="12"/>
      <c r="T795" s="13"/>
      <c r="U795" s="46"/>
      <c r="V795" s="47"/>
      <c r="W795" s="48">
        <f t="shared" si="87"/>
        <v>0</v>
      </c>
      <c r="X795" s="48">
        <f t="shared" si="88"/>
        <v>0</v>
      </c>
      <c r="Y795" s="48">
        <f t="shared" si="89"/>
        <v>0</v>
      </c>
      <c r="Z795" s="48">
        <f t="shared" si="90"/>
        <v>0</v>
      </c>
      <c r="AA795" s="48"/>
      <c r="AB795" s="48"/>
      <c r="AC795" s="49">
        <f t="shared" si="91"/>
        <v>0</v>
      </c>
      <c r="AD795" s="50">
        <v>0</v>
      </c>
      <c r="AE795" s="47">
        <v>40049</v>
      </c>
      <c r="AF795" s="51" t="s">
        <v>516</v>
      </c>
      <c r="AG795" s="52" t="s">
        <v>517</v>
      </c>
      <c r="AH795" s="53"/>
      <c r="AI795" s="79"/>
      <c r="AJ795" s="80"/>
      <c r="AK795" s="81"/>
      <c r="AL795" s="80"/>
      <c r="AM795" s="80"/>
      <c r="AN795" s="80"/>
      <c r="AO795" s="80"/>
      <c r="AP795" s="80"/>
      <c r="AQ795" s="80"/>
      <c r="AR795" s="80"/>
      <c r="AS795" s="80"/>
      <c r="AT795" s="80"/>
      <c r="AU795" s="80"/>
      <c r="AV795" s="80"/>
      <c r="AW795" s="80"/>
      <c r="AX795" s="80"/>
      <c r="AY795" s="80"/>
      <c r="AZ795" s="80"/>
      <c r="BA795" s="80"/>
      <c r="BB795" s="80"/>
      <c r="BC795" s="80"/>
      <c r="BD795" s="80"/>
      <c r="BE795" s="80"/>
      <c r="BF795" s="80"/>
      <c r="BG795" s="80"/>
      <c r="BH795" s="80"/>
      <c r="BI795" s="80"/>
      <c r="BJ795" s="80"/>
      <c r="BK795" s="80"/>
      <c r="BL795" s="80"/>
      <c r="BM795" s="80"/>
      <c r="BN795" s="80"/>
      <c r="BO795" s="80"/>
      <c r="BP795" s="80"/>
      <c r="BQ795" s="80"/>
      <c r="BR795" s="80"/>
      <c r="BS795" s="80"/>
      <c r="BT795" s="80"/>
      <c r="BU795" s="80"/>
      <c r="BV795" s="80"/>
      <c r="BW795" s="80"/>
      <c r="BX795" s="80"/>
      <c r="BY795" s="80"/>
      <c r="BZ795" s="80"/>
      <c r="CA795" s="80"/>
      <c r="CB795" s="80"/>
      <c r="CC795" s="80"/>
      <c r="CD795" s="80"/>
      <c r="CE795" s="80"/>
      <c r="CF795" s="80"/>
      <c r="CG795" s="80"/>
      <c r="CH795" s="80"/>
      <c r="CI795" s="80"/>
      <c r="CJ795" s="80"/>
      <c r="CK795" s="82"/>
      <c r="CL795" s="12"/>
      <c r="CM795" s="82"/>
      <c r="CN795" s="12"/>
      <c r="CO795" s="82"/>
      <c r="CP795" s="12"/>
      <c r="CQ795" s="83">
        <f t="shared" si="92"/>
        <v>0</v>
      </c>
      <c r="CR795" s="84"/>
      <c r="CS795" s="13"/>
      <c r="CT795" s="85"/>
      <c r="CU795" s="86"/>
      <c r="CV795" s="11"/>
      <c r="CW795" s="86"/>
      <c r="CX795" s="84"/>
      <c r="CY795" s="86"/>
    </row>
    <row r="796" spans="1:103" ht="38.25" x14ac:dyDescent="0.2">
      <c r="A796" s="43">
        <v>40048</v>
      </c>
      <c r="B796" s="44" t="s">
        <v>300</v>
      </c>
      <c r="C796" s="44" t="s">
        <v>61</v>
      </c>
      <c r="D796" s="45" t="s">
        <v>1095</v>
      </c>
      <c r="E796" s="11"/>
      <c r="F796" s="12"/>
      <c r="G796" s="12"/>
      <c r="H796" s="12"/>
      <c r="I796" s="12"/>
      <c r="J796" s="12"/>
      <c r="K796" s="12"/>
      <c r="L796" s="12"/>
      <c r="M796" s="12"/>
      <c r="N796" s="12"/>
      <c r="O796" s="12"/>
      <c r="P796" s="12"/>
      <c r="Q796" s="12"/>
      <c r="R796" s="12"/>
      <c r="S796" s="12"/>
      <c r="T796" s="13"/>
      <c r="U796" s="46"/>
      <c r="V796" s="47"/>
      <c r="W796" s="48">
        <f t="shared" si="87"/>
        <v>0</v>
      </c>
      <c r="X796" s="48">
        <f t="shared" si="88"/>
        <v>0</v>
      </c>
      <c r="Y796" s="48">
        <f t="shared" si="89"/>
        <v>0</v>
      </c>
      <c r="Z796" s="48">
        <f t="shared" si="90"/>
        <v>0</v>
      </c>
      <c r="AA796" s="48"/>
      <c r="AB796" s="48"/>
      <c r="AC796" s="49">
        <f t="shared" si="91"/>
        <v>0</v>
      </c>
      <c r="AD796" s="50">
        <v>0</v>
      </c>
      <c r="AE796" s="47">
        <v>40049</v>
      </c>
      <c r="AF796" s="51" t="s">
        <v>516</v>
      </c>
      <c r="AG796" s="52" t="s">
        <v>517</v>
      </c>
      <c r="AH796" s="53" t="s">
        <v>1214</v>
      </c>
      <c r="AI796" s="79"/>
      <c r="AJ796" s="80"/>
      <c r="AK796" s="81"/>
      <c r="AL796" s="80"/>
      <c r="AM796" s="80"/>
      <c r="AN796" s="80"/>
      <c r="AO796" s="80"/>
      <c r="AP796" s="80"/>
      <c r="AQ796" s="80"/>
      <c r="AR796" s="80"/>
      <c r="AS796" s="80"/>
      <c r="AT796" s="80"/>
      <c r="AU796" s="80"/>
      <c r="AV796" s="80"/>
      <c r="AW796" s="80"/>
      <c r="AX796" s="80"/>
      <c r="AY796" s="80"/>
      <c r="AZ796" s="80"/>
      <c r="BA796" s="80"/>
      <c r="BB796" s="80"/>
      <c r="BC796" s="80"/>
      <c r="BD796" s="80"/>
      <c r="BE796" s="80"/>
      <c r="BF796" s="80"/>
      <c r="BG796" s="80"/>
      <c r="BH796" s="80"/>
      <c r="BI796" s="80"/>
      <c r="BJ796" s="80"/>
      <c r="BK796" s="80"/>
      <c r="BL796" s="80"/>
      <c r="BM796" s="80"/>
      <c r="BN796" s="80"/>
      <c r="BO796" s="80"/>
      <c r="BP796" s="80"/>
      <c r="BQ796" s="80"/>
      <c r="BR796" s="80"/>
      <c r="BS796" s="80"/>
      <c r="BT796" s="80"/>
      <c r="BU796" s="80"/>
      <c r="BV796" s="80"/>
      <c r="BW796" s="80"/>
      <c r="BX796" s="80"/>
      <c r="BY796" s="80"/>
      <c r="BZ796" s="80"/>
      <c r="CA796" s="80"/>
      <c r="CB796" s="80"/>
      <c r="CC796" s="80"/>
      <c r="CD796" s="80"/>
      <c r="CE796" s="80"/>
      <c r="CF796" s="80"/>
      <c r="CG796" s="80"/>
      <c r="CH796" s="80"/>
      <c r="CI796" s="80"/>
      <c r="CJ796" s="80"/>
      <c r="CK796" s="82"/>
      <c r="CL796" s="12"/>
      <c r="CM796" s="82"/>
      <c r="CN796" s="12"/>
      <c r="CO796" s="82"/>
      <c r="CP796" s="12"/>
      <c r="CQ796" s="83">
        <f t="shared" si="92"/>
        <v>0</v>
      </c>
      <c r="CR796" s="84"/>
      <c r="CS796" s="13"/>
      <c r="CT796" s="85"/>
      <c r="CU796" s="86"/>
      <c r="CV796" s="11"/>
      <c r="CW796" s="86"/>
      <c r="CX796" s="84"/>
      <c r="CY796" s="86"/>
    </row>
    <row r="797" spans="1:103" ht="25.5" x14ac:dyDescent="0.2">
      <c r="A797" s="43">
        <v>40048</v>
      </c>
      <c r="B797" s="44" t="s">
        <v>688</v>
      </c>
      <c r="C797" s="44" t="s">
        <v>363</v>
      </c>
      <c r="D797" s="45" t="s">
        <v>1117</v>
      </c>
      <c r="E797" s="11"/>
      <c r="F797" s="12"/>
      <c r="G797" s="12"/>
      <c r="H797" s="12"/>
      <c r="I797" s="12"/>
      <c r="J797" s="12"/>
      <c r="K797" s="12"/>
      <c r="L797" s="12"/>
      <c r="M797" s="12"/>
      <c r="N797" s="12"/>
      <c r="O797" s="12"/>
      <c r="P797" s="12"/>
      <c r="Q797" s="12"/>
      <c r="R797" s="12"/>
      <c r="S797" s="12"/>
      <c r="T797" s="13"/>
      <c r="U797" s="46"/>
      <c r="V797" s="47"/>
      <c r="W797" s="48">
        <f t="shared" si="87"/>
        <v>0</v>
      </c>
      <c r="X797" s="48">
        <f t="shared" si="88"/>
        <v>0</v>
      </c>
      <c r="Y797" s="48">
        <f t="shared" si="89"/>
        <v>0</v>
      </c>
      <c r="Z797" s="48">
        <f t="shared" si="90"/>
        <v>0</v>
      </c>
      <c r="AA797" s="48"/>
      <c r="AB797" s="48"/>
      <c r="AC797" s="49">
        <f t="shared" si="91"/>
        <v>0</v>
      </c>
      <c r="AD797" s="50">
        <v>0</v>
      </c>
      <c r="AE797" s="47">
        <v>40049</v>
      </c>
      <c r="AF797" s="51" t="s">
        <v>516</v>
      </c>
      <c r="AG797" s="52" t="s">
        <v>517</v>
      </c>
      <c r="AH797" s="53" t="s">
        <v>1213</v>
      </c>
      <c r="AI797" s="79"/>
      <c r="AJ797" s="80"/>
      <c r="AK797" s="81"/>
      <c r="AL797" s="80"/>
      <c r="AM797" s="80"/>
      <c r="AN797" s="80"/>
      <c r="AO797" s="80"/>
      <c r="AP797" s="80"/>
      <c r="AQ797" s="80"/>
      <c r="AR797" s="80"/>
      <c r="AS797" s="80"/>
      <c r="AT797" s="80"/>
      <c r="AU797" s="80"/>
      <c r="AV797" s="80"/>
      <c r="AW797" s="80"/>
      <c r="AX797" s="80"/>
      <c r="AY797" s="80"/>
      <c r="AZ797" s="80"/>
      <c r="BA797" s="80"/>
      <c r="BB797" s="80"/>
      <c r="BC797" s="80"/>
      <c r="BD797" s="80"/>
      <c r="BE797" s="80"/>
      <c r="BF797" s="80"/>
      <c r="BG797" s="80"/>
      <c r="BH797" s="80"/>
      <c r="BI797" s="80"/>
      <c r="BJ797" s="80"/>
      <c r="BK797" s="80"/>
      <c r="BL797" s="80"/>
      <c r="BM797" s="80"/>
      <c r="BN797" s="80"/>
      <c r="BO797" s="80"/>
      <c r="BP797" s="80"/>
      <c r="BQ797" s="80"/>
      <c r="BR797" s="80"/>
      <c r="BS797" s="80"/>
      <c r="BT797" s="80"/>
      <c r="BU797" s="80"/>
      <c r="BV797" s="80"/>
      <c r="BW797" s="80"/>
      <c r="BX797" s="80"/>
      <c r="BY797" s="80"/>
      <c r="BZ797" s="80"/>
      <c r="CA797" s="80"/>
      <c r="CB797" s="80"/>
      <c r="CC797" s="80"/>
      <c r="CD797" s="80"/>
      <c r="CE797" s="80"/>
      <c r="CF797" s="80"/>
      <c r="CG797" s="80"/>
      <c r="CH797" s="80"/>
      <c r="CI797" s="80"/>
      <c r="CJ797" s="80"/>
      <c r="CK797" s="82"/>
      <c r="CL797" s="12"/>
      <c r="CM797" s="82"/>
      <c r="CN797" s="12"/>
      <c r="CO797" s="82"/>
      <c r="CP797" s="12"/>
      <c r="CQ797" s="83">
        <f t="shared" si="92"/>
        <v>0</v>
      </c>
      <c r="CR797" s="84"/>
      <c r="CS797" s="13"/>
      <c r="CT797" s="85"/>
      <c r="CU797" s="86"/>
      <c r="CV797" s="11"/>
      <c r="CW797" s="86"/>
      <c r="CX797" s="84"/>
      <c r="CY797" s="86"/>
    </row>
    <row r="798" spans="1:103" ht="51" x14ac:dyDescent="0.2">
      <c r="A798" s="43">
        <v>40048</v>
      </c>
      <c r="B798" s="44" t="s">
        <v>1136</v>
      </c>
      <c r="C798" s="44" t="s">
        <v>122</v>
      </c>
      <c r="D798" s="45" t="s">
        <v>1070</v>
      </c>
      <c r="E798" s="11">
        <v>2</v>
      </c>
      <c r="F798" s="12"/>
      <c r="G798" s="12"/>
      <c r="H798" s="12"/>
      <c r="I798" s="12"/>
      <c r="J798" s="12"/>
      <c r="K798" s="12"/>
      <c r="L798" s="12"/>
      <c r="M798" s="12"/>
      <c r="N798" s="12"/>
      <c r="O798" s="12"/>
      <c r="P798" s="12"/>
      <c r="Q798" s="12"/>
      <c r="R798" s="12"/>
      <c r="S798" s="12"/>
      <c r="T798" s="13"/>
      <c r="U798" s="46"/>
      <c r="V798" s="47"/>
      <c r="W798" s="48">
        <f t="shared" si="87"/>
        <v>0</v>
      </c>
      <c r="X798" s="48">
        <f t="shared" si="88"/>
        <v>0</v>
      </c>
      <c r="Y798" s="48">
        <f t="shared" si="89"/>
        <v>0</v>
      </c>
      <c r="Z798" s="48">
        <f t="shared" si="90"/>
        <v>0</v>
      </c>
      <c r="AA798" s="48"/>
      <c r="AB798" s="48"/>
      <c r="AC798" s="49">
        <f t="shared" si="91"/>
        <v>0</v>
      </c>
      <c r="AD798" s="50">
        <v>0</v>
      </c>
      <c r="AE798" s="47">
        <v>40049</v>
      </c>
      <c r="AF798" s="51" t="s">
        <v>516</v>
      </c>
      <c r="AG798" s="52" t="s">
        <v>517</v>
      </c>
      <c r="AH798" s="53" t="s">
        <v>935</v>
      </c>
      <c r="AI798" s="79"/>
      <c r="AJ798" s="80"/>
      <c r="AK798" s="81"/>
      <c r="AL798" s="80"/>
      <c r="AM798" s="80"/>
      <c r="AN798" s="80"/>
      <c r="AO798" s="80"/>
      <c r="AP798" s="80"/>
      <c r="AQ798" s="80"/>
      <c r="AR798" s="80"/>
      <c r="AS798" s="80"/>
      <c r="AT798" s="80"/>
      <c r="AU798" s="80"/>
      <c r="AV798" s="80"/>
      <c r="AW798" s="80"/>
      <c r="AX798" s="80"/>
      <c r="AY798" s="80"/>
      <c r="AZ798" s="80"/>
      <c r="BA798" s="80"/>
      <c r="BB798" s="80"/>
      <c r="BC798" s="80"/>
      <c r="BD798" s="80"/>
      <c r="BE798" s="80"/>
      <c r="BF798" s="80"/>
      <c r="BG798" s="80"/>
      <c r="BH798" s="80"/>
      <c r="BI798" s="80"/>
      <c r="BJ798" s="80"/>
      <c r="BK798" s="80"/>
      <c r="BL798" s="80"/>
      <c r="BM798" s="80"/>
      <c r="BN798" s="80"/>
      <c r="BO798" s="80"/>
      <c r="BP798" s="80"/>
      <c r="BQ798" s="80"/>
      <c r="BR798" s="80"/>
      <c r="BS798" s="80"/>
      <c r="BT798" s="80"/>
      <c r="BU798" s="80"/>
      <c r="BV798" s="80"/>
      <c r="BW798" s="80"/>
      <c r="BX798" s="80"/>
      <c r="BY798" s="80"/>
      <c r="BZ798" s="80"/>
      <c r="CA798" s="80"/>
      <c r="CB798" s="80"/>
      <c r="CC798" s="80"/>
      <c r="CD798" s="80"/>
      <c r="CE798" s="80"/>
      <c r="CF798" s="80"/>
      <c r="CG798" s="80"/>
      <c r="CH798" s="80"/>
      <c r="CI798" s="80"/>
      <c r="CJ798" s="80"/>
      <c r="CK798" s="82"/>
      <c r="CL798" s="12"/>
      <c r="CM798" s="82"/>
      <c r="CN798" s="12"/>
      <c r="CO798" s="82"/>
      <c r="CP798" s="12"/>
      <c r="CQ798" s="83">
        <f t="shared" si="92"/>
        <v>0</v>
      </c>
      <c r="CR798" s="84"/>
      <c r="CS798" s="13"/>
      <c r="CT798" s="85"/>
      <c r="CU798" s="86"/>
      <c r="CV798" s="11"/>
      <c r="CW798" s="86"/>
      <c r="CX798" s="84"/>
      <c r="CY798" s="86"/>
    </row>
    <row r="799" spans="1:103" ht="63.75" x14ac:dyDescent="0.2">
      <c r="A799" s="43">
        <v>40048</v>
      </c>
      <c r="B799" s="44" t="s">
        <v>1114</v>
      </c>
      <c r="C799" s="44" t="s">
        <v>560</v>
      </c>
      <c r="D799" s="45" t="s">
        <v>1118</v>
      </c>
      <c r="E799" s="11"/>
      <c r="F799" s="12"/>
      <c r="G799" s="12"/>
      <c r="H799" s="12">
        <v>163</v>
      </c>
      <c r="I799" s="12">
        <v>50</v>
      </c>
      <c r="J799" s="12"/>
      <c r="K799" s="12">
        <v>50</v>
      </c>
      <c r="L799" s="12"/>
      <c r="M799" s="12"/>
      <c r="N799" s="12"/>
      <c r="O799" s="12"/>
      <c r="P799" s="12"/>
      <c r="Q799" s="12"/>
      <c r="R799" s="12"/>
      <c r="S799" s="12"/>
      <c r="T799" s="13"/>
      <c r="U799" s="46"/>
      <c r="V799" s="47"/>
      <c r="W799" s="48">
        <f t="shared" si="87"/>
        <v>0</v>
      </c>
      <c r="X799" s="48">
        <f t="shared" si="88"/>
        <v>0</v>
      </c>
      <c r="Y799" s="48">
        <f t="shared" si="89"/>
        <v>0</v>
      </c>
      <c r="Z799" s="48">
        <f t="shared" si="90"/>
        <v>0</v>
      </c>
      <c r="AA799" s="48"/>
      <c r="AB799" s="48"/>
      <c r="AC799" s="49">
        <f t="shared" si="91"/>
        <v>0</v>
      </c>
      <c r="AD799" s="50">
        <v>0</v>
      </c>
      <c r="AE799" s="47">
        <v>40049</v>
      </c>
      <c r="AF799" s="51" t="s">
        <v>516</v>
      </c>
      <c r="AG799" s="52" t="s">
        <v>517</v>
      </c>
      <c r="AH799" s="53" t="s">
        <v>538</v>
      </c>
      <c r="AI799" s="79"/>
      <c r="AJ799" s="80"/>
      <c r="AK799" s="81"/>
      <c r="AL799" s="80"/>
      <c r="AM799" s="80"/>
      <c r="AN799" s="80"/>
      <c r="AO799" s="80"/>
      <c r="AP799" s="80"/>
      <c r="AQ799" s="80"/>
      <c r="AR799" s="80"/>
      <c r="AS799" s="80"/>
      <c r="AT799" s="80"/>
      <c r="AU799" s="80"/>
      <c r="AV799" s="80"/>
      <c r="AW799" s="80"/>
      <c r="AX799" s="80"/>
      <c r="AY799" s="80"/>
      <c r="AZ799" s="80"/>
      <c r="BA799" s="80"/>
      <c r="BB799" s="80"/>
      <c r="BC799" s="80"/>
      <c r="BD799" s="80"/>
      <c r="BE799" s="80"/>
      <c r="BF799" s="80"/>
      <c r="BG799" s="80"/>
      <c r="BH799" s="80"/>
      <c r="BI799" s="80"/>
      <c r="BJ799" s="80"/>
      <c r="BK799" s="80"/>
      <c r="BL799" s="80"/>
      <c r="BM799" s="80"/>
      <c r="BN799" s="80"/>
      <c r="BO799" s="80"/>
      <c r="BP799" s="80"/>
      <c r="BQ799" s="80"/>
      <c r="BR799" s="80"/>
      <c r="BS799" s="80"/>
      <c r="BT799" s="80"/>
      <c r="BU799" s="80"/>
      <c r="BV799" s="80"/>
      <c r="BW799" s="80"/>
      <c r="BX799" s="80"/>
      <c r="BY799" s="80"/>
      <c r="BZ799" s="80"/>
      <c r="CA799" s="80"/>
      <c r="CB799" s="80"/>
      <c r="CC799" s="80"/>
      <c r="CD799" s="80"/>
      <c r="CE799" s="80"/>
      <c r="CF799" s="80"/>
      <c r="CG799" s="80"/>
      <c r="CH799" s="80"/>
      <c r="CI799" s="80"/>
      <c r="CJ799" s="80"/>
      <c r="CK799" s="82"/>
      <c r="CL799" s="12"/>
      <c r="CM799" s="82"/>
      <c r="CN799" s="12"/>
      <c r="CO799" s="82"/>
      <c r="CP799" s="12"/>
      <c r="CQ799" s="83">
        <f t="shared" si="92"/>
        <v>0</v>
      </c>
      <c r="CR799" s="84"/>
      <c r="CS799" s="13"/>
      <c r="CT799" s="85"/>
      <c r="CU799" s="86"/>
      <c r="CV799" s="11"/>
      <c r="CW799" s="86"/>
      <c r="CX799" s="84"/>
      <c r="CY799" s="86"/>
    </row>
    <row r="800" spans="1:103" ht="25.5" x14ac:dyDescent="0.2">
      <c r="A800" s="43">
        <v>40049</v>
      </c>
      <c r="B800" s="44" t="s">
        <v>625</v>
      </c>
      <c r="C800" s="44" t="s">
        <v>1245</v>
      </c>
      <c r="D800" s="45" t="s">
        <v>1118</v>
      </c>
      <c r="E800" s="11"/>
      <c r="F800" s="12"/>
      <c r="G800" s="12"/>
      <c r="H800" s="12">
        <f>25*5</f>
        <v>125</v>
      </c>
      <c r="I800" s="12">
        <v>25</v>
      </c>
      <c r="J800" s="12"/>
      <c r="K800" s="12">
        <v>25</v>
      </c>
      <c r="L800" s="12"/>
      <c r="M800" s="12"/>
      <c r="N800" s="12"/>
      <c r="O800" s="12"/>
      <c r="P800" s="12"/>
      <c r="Q800" s="12"/>
      <c r="R800" s="12"/>
      <c r="S800" s="12"/>
      <c r="T800" s="13"/>
      <c r="U800" s="46"/>
      <c r="V800" s="47"/>
      <c r="W800" s="48">
        <f t="shared" si="87"/>
        <v>0</v>
      </c>
      <c r="X800" s="48">
        <f t="shared" si="88"/>
        <v>0</v>
      </c>
      <c r="Y800" s="48">
        <f t="shared" si="89"/>
        <v>0</v>
      </c>
      <c r="Z800" s="48">
        <f t="shared" si="90"/>
        <v>0</v>
      </c>
      <c r="AA800" s="48"/>
      <c r="AB800" s="48"/>
      <c r="AC800" s="49">
        <f t="shared" si="91"/>
        <v>0</v>
      </c>
      <c r="AD800" s="50">
        <v>0</v>
      </c>
      <c r="AE800" s="47">
        <v>40053</v>
      </c>
      <c r="AF800" s="51" t="s">
        <v>516</v>
      </c>
      <c r="AG800" s="52" t="s">
        <v>517</v>
      </c>
      <c r="AH800" s="53"/>
      <c r="AI800" s="79"/>
      <c r="AJ800" s="80"/>
      <c r="AK800" s="81"/>
      <c r="AL800" s="80"/>
      <c r="AM800" s="80"/>
      <c r="AN800" s="80"/>
      <c r="AO800" s="80"/>
      <c r="AP800" s="80"/>
      <c r="AQ800" s="80"/>
      <c r="AR800" s="80"/>
      <c r="AS800" s="80"/>
      <c r="AT800" s="80"/>
      <c r="AU800" s="80"/>
      <c r="AV800" s="80"/>
      <c r="AW800" s="80"/>
      <c r="AX800" s="80"/>
      <c r="AY800" s="80"/>
      <c r="AZ800" s="80"/>
      <c r="BA800" s="80"/>
      <c r="BB800" s="80"/>
      <c r="BC800" s="80"/>
      <c r="BD800" s="80"/>
      <c r="BE800" s="80"/>
      <c r="BF800" s="80"/>
      <c r="BG800" s="80"/>
      <c r="BH800" s="80"/>
      <c r="BI800" s="80"/>
      <c r="BJ800" s="80"/>
      <c r="BK800" s="80"/>
      <c r="BL800" s="80"/>
      <c r="BM800" s="80"/>
      <c r="BN800" s="80"/>
      <c r="BO800" s="80"/>
      <c r="BP800" s="80"/>
      <c r="BQ800" s="80"/>
      <c r="BR800" s="80"/>
      <c r="BS800" s="80"/>
      <c r="BT800" s="80"/>
      <c r="BU800" s="80"/>
      <c r="BV800" s="80"/>
      <c r="BW800" s="80"/>
      <c r="BX800" s="80"/>
      <c r="BY800" s="80"/>
      <c r="BZ800" s="80"/>
      <c r="CA800" s="80"/>
      <c r="CB800" s="80"/>
      <c r="CC800" s="80"/>
      <c r="CD800" s="80"/>
      <c r="CE800" s="80"/>
      <c r="CF800" s="80"/>
      <c r="CG800" s="80"/>
      <c r="CH800" s="80"/>
      <c r="CI800" s="80"/>
      <c r="CJ800" s="80"/>
      <c r="CK800" s="82"/>
      <c r="CL800" s="12"/>
      <c r="CM800" s="82"/>
      <c r="CN800" s="12"/>
      <c r="CO800" s="82"/>
      <c r="CP800" s="12"/>
      <c r="CQ800" s="83">
        <f t="shared" si="92"/>
        <v>0</v>
      </c>
      <c r="CR800" s="84"/>
      <c r="CS800" s="13"/>
      <c r="CT800" s="85"/>
      <c r="CU800" s="86"/>
      <c r="CV800" s="11"/>
      <c r="CW800" s="86"/>
      <c r="CX800" s="84"/>
      <c r="CY800" s="86"/>
    </row>
    <row r="801" spans="1:103" ht="25.5" x14ac:dyDescent="0.2">
      <c r="A801" s="43">
        <v>40049</v>
      </c>
      <c r="B801" s="44" t="s">
        <v>300</v>
      </c>
      <c r="C801" s="44" t="s">
        <v>1215</v>
      </c>
      <c r="D801" s="45" t="s">
        <v>1117</v>
      </c>
      <c r="E801" s="11"/>
      <c r="F801" s="12"/>
      <c r="G801" s="12"/>
      <c r="H801" s="12">
        <v>168</v>
      </c>
      <c r="I801" s="12">
        <v>52</v>
      </c>
      <c r="J801" s="12">
        <v>4</v>
      </c>
      <c r="K801" s="12">
        <v>48</v>
      </c>
      <c r="L801" s="12"/>
      <c r="M801" s="12"/>
      <c r="N801" s="12"/>
      <c r="O801" s="12"/>
      <c r="P801" s="12"/>
      <c r="Q801" s="12"/>
      <c r="R801" s="12"/>
      <c r="S801" s="12"/>
      <c r="T801" s="13"/>
      <c r="U801" s="46"/>
      <c r="V801" s="47"/>
      <c r="W801" s="48">
        <f t="shared" si="87"/>
        <v>0</v>
      </c>
      <c r="X801" s="48">
        <f t="shared" si="88"/>
        <v>0</v>
      </c>
      <c r="Y801" s="48">
        <f t="shared" si="89"/>
        <v>0</v>
      </c>
      <c r="Z801" s="48">
        <f t="shared" si="90"/>
        <v>0</v>
      </c>
      <c r="AA801" s="48"/>
      <c r="AB801" s="48"/>
      <c r="AC801" s="49">
        <f t="shared" si="91"/>
        <v>0</v>
      </c>
      <c r="AD801" s="50">
        <v>0</v>
      </c>
      <c r="AE801" s="47">
        <v>40049</v>
      </c>
      <c r="AF801" s="51" t="s">
        <v>516</v>
      </c>
      <c r="AG801" s="52" t="s">
        <v>517</v>
      </c>
      <c r="AH801" s="53" t="s">
        <v>635</v>
      </c>
      <c r="AI801" s="79"/>
      <c r="AJ801" s="80"/>
      <c r="AK801" s="81"/>
      <c r="AL801" s="80"/>
      <c r="AM801" s="80"/>
      <c r="AN801" s="80"/>
      <c r="AO801" s="80"/>
      <c r="AP801" s="80"/>
      <c r="AQ801" s="80"/>
      <c r="AR801" s="80"/>
      <c r="AS801" s="80"/>
      <c r="AT801" s="80"/>
      <c r="AU801" s="80"/>
      <c r="AV801" s="80"/>
      <c r="AW801" s="80"/>
      <c r="AX801" s="80"/>
      <c r="AY801" s="80"/>
      <c r="AZ801" s="80"/>
      <c r="BA801" s="80"/>
      <c r="BB801" s="80"/>
      <c r="BC801" s="80"/>
      <c r="BD801" s="80"/>
      <c r="BE801" s="80"/>
      <c r="BF801" s="80"/>
      <c r="BG801" s="80"/>
      <c r="BH801" s="80"/>
      <c r="BI801" s="80"/>
      <c r="BJ801" s="80"/>
      <c r="BK801" s="80"/>
      <c r="BL801" s="80"/>
      <c r="BM801" s="80"/>
      <c r="BN801" s="80"/>
      <c r="BO801" s="80"/>
      <c r="BP801" s="80"/>
      <c r="BQ801" s="80"/>
      <c r="BR801" s="80"/>
      <c r="BS801" s="80"/>
      <c r="BT801" s="80"/>
      <c r="BU801" s="80"/>
      <c r="BV801" s="80"/>
      <c r="BW801" s="80"/>
      <c r="BX801" s="80"/>
      <c r="BY801" s="80"/>
      <c r="BZ801" s="80"/>
      <c r="CA801" s="80"/>
      <c r="CB801" s="80"/>
      <c r="CC801" s="80"/>
      <c r="CD801" s="80"/>
      <c r="CE801" s="80"/>
      <c r="CF801" s="80"/>
      <c r="CG801" s="80"/>
      <c r="CH801" s="80"/>
      <c r="CI801" s="80"/>
      <c r="CJ801" s="80"/>
      <c r="CK801" s="82"/>
      <c r="CL801" s="12"/>
      <c r="CM801" s="82"/>
      <c r="CN801" s="12"/>
      <c r="CO801" s="82"/>
      <c r="CP801" s="12"/>
      <c r="CQ801" s="83">
        <f t="shared" si="92"/>
        <v>0</v>
      </c>
      <c r="CR801" s="84"/>
      <c r="CS801" s="13"/>
      <c r="CT801" s="85"/>
      <c r="CU801" s="86"/>
      <c r="CV801" s="11"/>
      <c r="CW801" s="86"/>
      <c r="CX801" s="84"/>
      <c r="CY801" s="86"/>
    </row>
    <row r="802" spans="1:103" ht="25.5" x14ac:dyDescent="0.2">
      <c r="A802" s="43">
        <v>40051</v>
      </c>
      <c r="B802" s="44" t="s">
        <v>1350</v>
      </c>
      <c r="C802" s="44" t="s">
        <v>1263</v>
      </c>
      <c r="D802" s="45" t="s">
        <v>1117</v>
      </c>
      <c r="E802" s="11"/>
      <c r="F802" s="12"/>
      <c r="G802" s="12"/>
      <c r="H802" s="12">
        <v>350</v>
      </c>
      <c r="I802" s="12">
        <v>70</v>
      </c>
      <c r="J802" s="12"/>
      <c r="K802" s="12">
        <v>70</v>
      </c>
      <c r="L802" s="12"/>
      <c r="M802" s="12"/>
      <c r="N802" s="12"/>
      <c r="O802" s="12"/>
      <c r="P802" s="12"/>
      <c r="Q802" s="12"/>
      <c r="R802" s="12"/>
      <c r="S802" s="12"/>
      <c r="T802" s="13"/>
      <c r="U802" s="46"/>
      <c r="V802" s="47"/>
      <c r="W802" s="48">
        <f t="shared" si="87"/>
        <v>0</v>
      </c>
      <c r="X802" s="48">
        <f t="shared" si="88"/>
        <v>0</v>
      </c>
      <c r="Y802" s="48">
        <f t="shared" si="89"/>
        <v>0</v>
      </c>
      <c r="Z802" s="48">
        <f t="shared" si="90"/>
        <v>0</v>
      </c>
      <c r="AA802" s="48"/>
      <c r="AB802" s="48"/>
      <c r="AC802" s="49">
        <f t="shared" si="91"/>
        <v>0</v>
      </c>
      <c r="AD802" s="50">
        <v>0</v>
      </c>
      <c r="AE802" s="47">
        <v>40053</v>
      </c>
      <c r="AF802" s="51" t="s">
        <v>516</v>
      </c>
      <c r="AG802" s="52" t="s">
        <v>517</v>
      </c>
      <c r="AH802" s="53" t="s">
        <v>317</v>
      </c>
      <c r="AI802" s="79"/>
      <c r="AJ802" s="80"/>
      <c r="AK802" s="81"/>
      <c r="AL802" s="80"/>
      <c r="AM802" s="80"/>
      <c r="AN802" s="80"/>
      <c r="AO802" s="80"/>
      <c r="AP802" s="80"/>
      <c r="AQ802" s="80"/>
      <c r="AR802" s="80"/>
      <c r="AS802" s="80"/>
      <c r="AT802" s="80"/>
      <c r="AU802" s="80"/>
      <c r="AV802" s="80"/>
      <c r="AW802" s="80"/>
      <c r="AX802" s="80"/>
      <c r="AY802" s="80"/>
      <c r="AZ802" s="80"/>
      <c r="BA802" s="80"/>
      <c r="BB802" s="80"/>
      <c r="BC802" s="80"/>
      <c r="BD802" s="80"/>
      <c r="BE802" s="80"/>
      <c r="BF802" s="80"/>
      <c r="BG802" s="80"/>
      <c r="BH802" s="80"/>
      <c r="BI802" s="80"/>
      <c r="BJ802" s="80"/>
      <c r="BK802" s="80"/>
      <c r="BL802" s="80"/>
      <c r="BM802" s="80"/>
      <c r="BN802" s="80"/>
      <c r="BO802" s="80"/>
      <c r="BP802" s="80"/>
      <c r="BQ802" s="80"/>
      <c r="BR802" s="80"/>
      <c r="BS802" s="80"/>
      <c r="BT802" s="80"/>
      <c r="BU802" s="80"/>
      <c r="BV802" s="80"/>
      <c r="BW802" s="80"/>
      <c r="BX802" s="80"/>
      <c r="BY802" s="80"/>
      <c r="BZ802" s="80"/>
      <c r="CA802" s="80"/>
      <c r="CB802" s="80"/>
      <c r="CC802" s="80"/>
      <c r="CD802" s="80"/>
      <c r="CE802" s="80"/>
      <c r="CF802" s="80"/>
      <c r="CG802" s="80"/>
      <c r="CH802" s="80"/>
      <c r="CI802" s="80"/>
      <c r="CJ802" s="80"/>
      <c r="CK802" s="82"/>
      <c r="CL802" s="12"/>
      <c r="CM802" s="82"/>
      <c r="CN802" s="12"/>
      <c r="CO802" s="82"/>
      <c r="CP802" s="12"/>
      <c r="CQ802" s="83">
        <f t="shared" si="92"/>
        <v>0</v>
      </c>
      <c r="CR802" s="84"/>
      <c r="CS802" s="13"/>
      <c r="CT802" s="85"/>
      <c r="CU802" s="86"/>
      <c r="CV802" s="11"/>
      <c r="CW802" s="86"/>
      <c r="CX802" s="84"/>
      <c r="CY802" s="86"/>
    </row>
    <row r="803" spans="1:103" ht="25.5" x14ac:dyDescent="0.2">
      <c r="A803" s="43">
        <v>40051</v>
      </c>
      <c r="B803" s="44" t="s">
        <v>1350</v>
      </c>
      <c r="C803" s="44" t="s">
        <v>896</v>
      </c>
      <c r="D803" s="45" t="s">
        <v>1117</v>
      </c>
      <c r="E803" s="11"/>
      <c r="F803" s="12"/>
      <c r="G803" s="12"/>
      <c r="H803" s="12">
        <v>55</v>
      </c>
      <c r="I803" s="12">
        <v>10</v>
      </c>
      <c r="J803" s="12"/>
      <c r="K803" s="12">
        <v>10</v>
      </c>
      <c r="L803" s="12"/>
      <c r="M803" s="12"/>
      <c r="N803" s="12"/>
      <c r="O803" s="12"/>
      <c r="P803" s="12"/>
      <c r="Q803" s="12"/>
      <c r="R803" s="12">
        <v>1</v>
      </c>
      <c r="S803" s="12"/>
      <c r="T803" s="13"/>
      <c r="U803" s="46"/>
      <c r="V803" s="47"/>
      <c r="W803" s="48">
        <f t="shared" si="87"/>
        <v>0</v>
      </c>
      <c r="X803" s="48">
        <f t="shared" si="88"/>
        <v>0</v>
      </c>
      <c r="Y803" s="48">
        <f t="shared" si="89"/>
        <v>0</v>
      </c>
      <c r="Z803" s="48">
        <f t="shared" si="90"/>
        <v>0</v>
      </c>
      <c r="AA803" s="48"/>
      <c r="AB803" s="48"/>
      <c r="AC803" s="49">
        <f t="shared" si="91"/>
        <v>0</v>
      </c>
      <c r="AD803" s="50">
        <v>0</v>
      </c>
      <c r="AE803" s="47">
        <v>40053</v>
      </c>
      <c r="AF803" s="51" t="s">
        <v>516</v>
      </c>
      <c r="AG803" s="52" t="s">
        <v>517</v>
      </c>
      <c r="AH803" s="53" t="s">
        <v>897</v>
      </c>
      <c r="AI803" s="79"/>
      <c r="AJ803" s="80"/>
      <c r="AK803" s="81"/>
      <c r="AL803" s="80"/>
      <c r="AM803" s="80"/>
      <c r="AN803" s="80"/>
      <c r="AO803" s="80"/>
      <c r="AP803" s="80"/>
      <c r="AQ803" s="80"/>
      <c r="AR803" s="80"/>
      <c r="AS803" s="80"/>
      <c r="AT803" s="80"/>
      <c r="AU803" s="80"/>
      <c r="AV803" s="80"/>
      <c r="AW803" s="80"/>
      <c r="AX803" s="80"/>
      <c r="AY803" s="80"/>
      <c r="AZ803" s="80"/>
      <c r="BA803" s="80"/>
      <c r="BB803" s="80"/>
      <c r="BC803" s="80"/>
      <c r="BD803" s="80"/>
      <c r="BE803" s="80"/>
      <c r="BF803" s="80"/>
      <c r="BG803" s="80"/>
      <c r="BH803" s="80"/>
      <c r="BI803" s="80"/>
      <c r="BJ803" s="80"/>
      <c r="BK803" s="80"/>
      <c r="BL803" s="80"/>
      <c r="BM803" s="80"/>
      <c r="BN803" s="80"/>
      <c r="BO803" s="80"/>
      <c r="BP803" s="80"/>
      <c r="BQ803" s="80"/>
      <c r="BR803" s="80"/>
      <c r="BS803" s="80"/>
      <c r="BT803" s="80"/>
      <c r="BU803" s="80"/>
      <c r="BV803" s="80"/>
      <c r="BW803" s="80"/>
      <c r="BX803" s="80"/>
      <c r="BY803" s="80"/>
      <c r="BZ803" s="80"/>
      <c r="CA803" s="80"/>
      <c r="CB803" s="80"/>
      <c r="CC803" s="80"/>
      <c r="CD803" s="80"/>
      <c r="CE803" s="80"/>
      <c r="CF803" s="80"/>
      <c r="CG803" s="80"/>
      <c r="CH803" s="80"/>
      <c r="CI803" s="80"/>
      <c r="CJ803" s="80"/>
      <c r="CK803" s="82"/>
      <c r="CL803" s="12"/>
      <c r="CM803" s="82"/>
      <c r="CN803" s="12"/>
      <c r="CO803" s="82"/>
      <c r="CP803" s="12"/>
      <c r="CQ803" s="83">
        <f t="shared" si="92"/>
        <v>0</v>
      </c>
      <c r="CR803" s="84"/>
      <c r="CS803" s="13"/>
      <c r="CT803" s="85"/>
      <c r="CU803" s="86"/>
      <c r="CV803" s="11"/>
      <c r="CW803" s="86"/>
      <c r="CX803" s="84"/>
      <c r="CY803" s="86"/>
    </row>
    <row r="804" spans="1:103" ht="25.5" x14ac:dyDescent="0.2">
      <c r="A804" s="43">
        <v>40051</v>
      </c>
      <c r="B804" s="44" t="s">
        <v>1350</v>
      </c>
      <c r="C804" s="44" t="s">
        <v>898</v>
      </c>
      <c r="D804" s="45" t="s">
        <v>1117</v>
      </c>
      <c r="E804" s="11"/>
      <c r="F804" s="12"/>
      <c r="G804" s="12"/>
      <c r="H804" s="12">
        <v>111</v>
      </c>
      <c r="I804" s="12">
        <v>21</v>
      </c>
      <c r="J804" s="12">
        <v>1</v>
      </c>
      <c r="K804" s="12">
        <v>20</v>
      </c>
      <c r="L804" s="12"/>
      <c r="M804" s="12"/>
      <c r="N804" s="12"/>
      <c r="O804" s="12"/>
      <c r="P804" s="12"/>
      <c r="Q804" s="12"/>
      <c r="R804" s="12"/>
      <c r="S804" s="12"/>
      <c r="T804" s="13"/>
      <c r="U804" s="46"/>
      <c r="V804" s="47"/>
      <c r="W804" s="48">
        <f t="shared" si="87"/>
        <v>0</v>
      </c>
      <c r="X804" s="48">
        <f t="shared" si="88"/>
        <v>0</v>
      </c>
      <c r="Y804" s="48">
        <f t="shared" si="89"/>
        <v>0</v>
      </c>
      <c r="Z804" s="48">
        <f t="shared" si="90"/>
        <v>0</v>
      </c>
      <c r="AA804" s="48"/>
      <c r="AB804" s="48"/>
      <c r="AC804" s="49">
        <f t="shared" si="91"/>
        <v>0</v>
      </c>
      <c r="AD804" s="50">
        <v>0</v>
      </c>
      <c r="AE804" s="47">
        <v>40053</v>
      </c>
      <c r="AF804" s="51" t="s">
        <v>516</v>
      </c>
      <c r="AG804" s="52" t="s">
        <v>517</v>
      </c>
      <c r="AH804" s="53" t="s">
        <v>317</v>
      </c>
      <c r="AI804" s="79"/>
      <c r="AJ804" s="80"/>
      <c r="AK804" s="81"/>
      <c r="AL804" s="80"/>
      <c r="AM804" s="80"/>
      <c r="AN804" s="80"/>
      <c r="AO804" s="80"/>
      <c r="AP804" s="80"/>
      <c r="AQ804" s="80"/>
      <c r="AR804" s="80"/>
      <c r="AS804" s="80"/>
      <c r="AT804" s="80"/>
      <c r="AU804" s="80"/>
      <c r="AV804" s="80"/>
      <c r="AW804" s="80"/>
      <c r="AX804" s="80"/>
      <c r="AY804" s="80"/>
      <c r="AZ804" s="80"/>
      <c r="BA804" s="80"/>
      <c r="BB804" s="80"/>
      <c r="BC804" s="80"/>
      <c r="BD804" s="80"/>
      <c r="BE804" s="80"/>
      <c r="BF804" s="80"/>
      <c r="BG804" s="80"/>
      <c r="BH804" s="80"/>
      <c r="BI804" s="80"/>
      <c r="BJ804" s="80"/>
      <c r="BK804" s="80"/>
      <c r="BL804" s="80"/>
      <c r="BM804" s="80"/>
      <c r="BN804" s="80"/>
      <c r="BO804" s="80"/>
      <c r="BP804" s="80"/>
      <c r="BQ804" s="80"/>
      <c r="BR804" s="80"/>
      <c r="BS804" s="80"/>
      <c r="BT804" s="80"/>
      <c r="BU804" s="80"/>
      <c r="BV804" s="80"/>
      <c r="BW804" s="80"/>
      <c r="BX804" s="80"/>
      <c r="BY804" s="80"/>
      <c r="BZ804" s="80"/>
      <c r="CA804" s="80"/>
      <c r="CB804" s="80"/>
      <c r="CC804" s="80"/>
      <c r="CD804" s="80"/>
      <c r="CE804" s="80"/>
      <c r="CF804" s="80"/>
      <c r="CG804" s="80"/>
      <c r="CH804" s="80"/>
      <c r="CI804" s="80"/>
      <c r="CJ804" s="80"/>
      <c r="CK804" s="82"/>
      <c r="CL804" s="12"/>
      <c r="CM804" s="82"/>
      <c r="CN804" s="12"/>
      <c r="CO804" s="82"/>
      <c r="CP804" s="12"/>
      <c r="CQ804" s="83">
        <f t="shared" si="92"/>
        <v>0</v>
      </c>
      <c r="CR804" s="84"/>
      <c r="CS804" s="13"/>
      <c r="CT804" s="85"/>
      <c r="CU804" s="86"/>
      <c r="CV804" s="11"/>
      <c r="CW804" s="86"/>
      <c r="CX804" s="84"/>
      <c r="CY804" s="86"/>
    </row>
    <row r="805" spans="1:103" ht="25.5" x14ac:dyDescent="0.2">
      <c r="A805" s="43">
        <v>40052</v>
      </c>
      <c r="B805" s="44" t="s">
        <v>625</v>
      </c>
      <c r="C805" s="44" t="s">
        <v>899</v>
      </c>
      <c r="D805" s="45" t="s">
        <v>1117</v>
      </c>
      <c r="E805" s="11"/>
      <c r="F805" s="12"/>
      <c r="G805" s="12"/>
      <c r="H805" s="12">
        <v>15</v>
      </c>
      <c r="I805" s="12">
        <v>3</v>
      </c>
      <c r="J805" s="12"/>
      <c r="K805" s="12">
        <v>3</v>
      </c>
      <c r="L805" s="12"/>
      <c r="M805" s="12"/>
      <c r="N805" s="12"/>
      <c r="O805" s="12"/>
      <c r="P805" s="12"/>
      <c r="Q805" s="12"/>
      <c r="R805" s="12"/>
      <c r="S805" s="12"/>
      <c r="T805" s="13"/>
      <c r="U805" s="46"/>
      <c r="V805" s="47"/>
      <c r="W805" s="48">
        <f t="shared" si="87"/>
        <v>0</v>
      </c>
      <c r="X805" s="48">
        <f t="shared" si="88"/>
        <v>0</v>
      </c>
      <c r="Y805" s="48">
        <f t="shared" si="89"/>
        <v>0</v>
      </c>
      <c r="Z805" s="48">
        <f t="shared" si="90"/>
        <v>0</v>
      </c>
      <c r="AA805" s="48"/>
      <c r="AB805" s="48"/>
      <c r="AC805" s="49">
        <f t="shared" si="91"/>
        <v>0</v>
      </c>
      <c r="AD805" s="50">
        <v>0</v>
      </c>
      <c r="AE805" s="47">
        <v>40053</v>
      </c>
      <c r="AF805" s="51" t="s">
        <v>516</v>
      </c>
      <c r="AG805" s="52" t="s">
        <v>517</v>
      </c>
      <c r="AH805" s="53" t="s">
        <v>317</v>
      </c>
      <c r="AI805" s="79"/>
      <c r="AJ805" s="80"/>
      <c r="AK805" s="81"/>
      <c r="AL805" s="80"/>
      <c r="AM805" s="80"/>
      <c r="AN805" s="80"/>
      <c r="AO805" s="80"/>
      <c r="AP805" s="80"/>
      <c r="AQ805" s="80"/>
      <c r="AR805" s="80"/>
      <c r="AS805" s="80"/>
      <c r="AT805" s="80"/>
      <c r="AU805" s="80"/>
      <c r="AV805" s="80"/>
      <c r="AW805" s="80"/>
      <c r="AX805" s="80"/>
      <c r="AY805" s="80"/>
      <c r="AZ805" s="80"/>
      <c r="BA805" s="80"/>
      <c r="BB805" s="80"/>
      <c r="BC805" s="80"/>
      <c r="BD805" s="80"/>
      <c r="BE805" s="80"/>
      <c r="BF805" s="80"/>
      <c r="BG805" s="80"/>
      <c r="BH805" s="80"/>
      <c r="BI805" s="80"/>
      <c r="BJ805" s="80"/>
      <c r="BK805" s="80"/>
      <c r="BL805" s="80"/>
      <c r="BM805" s="80"/>
      <c r="BN805" s="80"/>
      <c r="BO805" s="80"/>
      <c r="BP805" s="80"/>
      <c r="BQ805" s="80"/>
      <c r="BR805" s="80"/>
      <c r="BS805" s="80"/>
      <c r="BT805" s="80"/>
      <c r="BU805" s="80"/>
      <c r="BV805" s="80"/>
      <c r="BW805" s="80"/>
      <c r="BX805" s="80"/>
      <c r="BY805" s="80"/>
      <c r="BZ805" s="80"/>
      <c r="CA805" s="80"/>
      <c r="CB805" s="80"/>
      <c r="CC805" s="80"/>
      <c r="CD805" s="80"/>
      <c r="CE805" s="80"/>
      <c r="CF805" s="80"/>
      <c r="CG805" s="80"/>
      <c r="CH805" s="80"/>
      <c r="CI805" s="80"/>
      <c r="CJ805" s="80"/>
      <c r="CK805" s="82"/>
      <c r="CL805" s="12"/>
      <c r="CM805" s="82"/>
      <c r="CN805" s="12"/>
      <c r="CO805" s="82"/>
      <c r="CP805" s="12"/>
      <c r="CQ805" s="83">
        <f t="shared" si="92"/>
        <v>0</v>
      </c>
      <c r="CR805" s="84"/>
      <c r="CS805" s="13"/>
      <c r="CT805" s="85"/>
      <c r="CU805" s="86"/>
      <c r="CV805" s="11"/>
      <c r="CW805" s="86"/>
      <c r="CX805" s="84"/>
      <c r="CY805" s="86"/>
    </row>
    <row r="806" spans="1:103" ht="25.5" x14ac:dyDescent="0.2">
      <c r="A806" s="43">
        <v>40052</v>
      </c>
      <c r="B806" s="44" t="s">
        <v>625</v>
      </c>
      <c r="C806" s="44" t="s">
        <v>599</v>
      </c>
      <c r="D806" s="45" t="s">
        <v>1117</v>
      </c>
      <c r="E806" s="11"/>
      <c r="F806" s="12"/>
      <c r="G806" s="12"/>
      <c r="H806" s="12">
        <v>225</v>
      </c>
      <c r="I806" s="12">
        <v>45</v>
      </c>
      <c r="J806" s="12"/>
      <c r="K806" s="12">
        <v>45</v>
      </c>
      <c r="L806" s="12"/>
      <c r="M806" s="12"/>
      <c r="N806" s="12"/>
      <c r="O806" s="12"/>
      <c r="P806" s="12"/>
      <c r="Q806" s="12"/>
      <c r="R806" s="12"/>
      <c r="S806" s="12"/>
      <c r="T806" s="13"/>
      <c r="U806" s="46"/>
      <c r="V806" s="47"/>
      <c r="W806" s="48">
        <f t="shared" si="87"/>
        <v>0</v>
      </c>
      <c r="X806" s="48">
        <f t="shared" si="88"/>
        <v>0</v>
      </c>
      <c r="Y806" s="48">
        <f t="shared" si="89"/>
        <v>0</v>
      </c>
      <c r="Z806" s="48">
        <f t="shared" si="90"/>
        <v>0</v>
      </c>
      <c r="AA806" s="48"/>
      <c r="AB806" s="48"/>
      <c r="AC806" s="49">
        <f t="shared" si="91"/>
        <v>0</v>
      </c>
      <c r="AD806" s="50">
        <v>0</v>
      </c>
      <c r="AE806" s="47">
        <v>40053</v>
      </c>
      <c r="AF806" s="51" t="s">
        <v>516</v>
      </c>
      <c r="AG806" s="52" t="s">
        <v>517</v>
      </c>
      <c r="AH806" s="53" t="s">
        <v>317</v>
      </c>
      <c r="AI806" s="79"/>
      <c r="AJ806" s="80"/>
      <c r="AK806" s="81"/>
      <c r="AL806" s="80"/>
      <c r="AM806" s="80"/>
      <c r="AN806" s="80"/>
      <c r="AO806" s="80"/>
      <c r="AP806" s="80"/>
      <c r="AQ806" s="80"/>
      <c r="AR806" s="80"/>
      <c r="AS806" s="80"/>
      <c r="AT806" s="80"/>
      <c r="AU806" s="80"/>
      <c r="AV806" s="80"/>
      <c r="AW806" s="80"/>
      <c r="AX806" s="80"/>
      <c r="AY806" s="80"/>
      <c r="AZ806" s="80"/>
      <c r="BA806" s="80"/>
      <c r="BB806" s="80"/>
      <c r="BC806" s="80"/>
      <c r="BD806" s="80"/>
      <c r="BE806" s="80"/>
      <c r="BF806" s="80"/>
      <c r="BG806" s="80"/>
      <c r="BH806" s="80"/>
      <c r="BI806" s="80"/>
      <c r="BJ806" s="80"/>
      <c r="BK806" s="80"/>
      <c r="BL806" s="80"/>
      <c r="BM806" s="80"/>
      <c r="BN806" s="80"/>
      <c r="BO806" s="80"/>
      <c r="BP806" s="80"/>
      <c r="BQ806" s="80"/>
      <c r="BR806" s="80"/>
      <c r="BS806" s="80"/>
      <c r="BT806" s="80"/>
      <c r="BU806" s="80"/>
      <c r="BV806" s="80"/>
      <c r="BW806" s="80"/>
      <c r="BX806" s="80"/>
      <c r="BY806" s="80"/>
      <c r="BZ806" s="80"/>
      <c r="CA806" s="80"/>
      <c r="CB806" s="80"/>
      <c r="CC806" s="80"/>
      <c r="CD806" s="80"/>
      <c r="CE806" s="80"/>
      <c r="CF806" s="80"/>
      <c r="CG806" s="80"/>
      <c r="CH806" s="80"/>
      <c r="CI806" s="80"/>
      <c r="CJ806" s="80"/>
      <c r="CK806" s="82"/>
      <c r="CL806" s="12"/>
      <c r="CM806" s="82"/>
      <c r="CN806" s="12"/>
      <c r="CO806" s="82"/>
      <c r="CP806" s="12"/>
      <c r="CQ806" s="83">
        <f t="shared" si="92"/>
        <v>0</v>
      </c>
      <c r="CR806" s="84"/>
      <c r="CS806" s="13"/>
      <c r="CT806" s="85"/>
      <c r="CU806" s="86"/>
      <c r="CV806" s="11"/>
      <c r="CW806" s="86"/>
      <c r="CX806" s="84"/>
      <c r="CY806" s="86"/>
    </row>
    <row r="807" spans="1:103" ht="25.5" x14ac:dyDescent="0.2">
      <c r="A807" s="43">
        <v>40052</v>
      </c>
      <c r="B807" s="44" t="s">
        <v>625</v>
      </c>
      <c r="C807" s="44" t="s">
        <v>1245</v>
      </c>
      <c r="D807" s="45" t="s">
        <v>1117</v>
      </c>
      <c r="E807" s="11"/>
      <c r="F807" s="12"/>
      <c r="G807" s="12"/>
      <c r="H807" s="12">
        <v>150</v>
      </c>
      <c r="I807" s="12">
        <v>30</v>
      </c>
      <c r="J807" s="12"/>
      <c r="K807" s="12">
        <v>30</v>
      </c>
      <c r="L807" s="12"/>
      <c r="M807" s="12"/>
      <c r="N807" s="12"/>
      <c r="O807" s="12"/>
      <c r="P807" s="12"/>
      <c r="Q807" s="12"/>
      <c r="R807" s="12"/>
      <c r="S807" s="12"/>
      <c r="T807" s="13"/>
      <c r="U807" s="46"/>
      <c r="V807" s="47"/>
      <c r="W807" s="48">
        <f t="shared" si="87"/>
        <v>0</v>
      </c>
      <c r="X807" s="48">
        <f t="shared" si="88"/>
        <v>0</v>
      </c>
      <c r="Y807" s="48">
        <f t="shared" si="89"/>
        <v>0</v>
      </c>
      <c r="Z807" s="48">
        <f t="shared" si="90"/>
        <v>0</v>
      </c>
      <c r="AA807" s="48"/>
      <c r="AB807" s="48"/>
      <c r="AC807" s="49">
        <f t="shared" si="91"/>
        <v>0</v>
      </c>
      <c r="AD807" s="50">
        <v>0</v>
      </c>
      <c r="AE807" s="47">
        <v>40053</v>
      </c>
      <c r="AF807" s="51" t="s">
        <v>516</v>
      </c>
      <c r="AG807" s="52" t="s">
        <v>517</v>
      </c>
      <c r="AH807" s="53" t="s">
        <v>317</v>
      </c>
      <c r="AI807" s="79"/>
      <c r="AJ807" s="80"/>
      <c r="AK807" s="81"/>
      <c r="AL807" s="80"/>
      <c r="AM807" s="80"/>
      <c r="AN807" s="80"/>
      <c r="AO807" s="80"/>
      <c r="AP807" s="80"/>
      <c r="AQ807" s="80"/>
      <c r="AR807" s="80"/>
      <c r="AS807" s="80"/>
      <c r="AT807" s="80"/>
      <c r="AU807" s="80"/>
      <c r="AV807" s="80"/>
      <c r="AW807" s="80"/>
      <c r="AX807" s="80"/>
      <c r="AY807" s="80"/>
      <c r="AZ807" s="80"/>
      <c r="BA807" s="80"/>
      <c r="BB807" s="80"/>
      <c r="BC807" s="80"/>
      <c r="BD807" s="80"/>
      <c r="BE807" s="80"/>
      <c r="BF807" s="80"/>
      <c r="BG807" s="80"/>
      <c r="BH807" s="80"/>
      <c r="BI807" s="80"/>
      <c r="BJ807" s="80"/>
      <c r="BK807" s="80"/>
      <c r="BL807" s="80"/>
      <c r="BM807" s="80"/>
      <c r="BN807" s="80"/>
      <c r="BO807" s="80"/>
      <c r="BP807" s="80"/>
      <c r="BQ807" s="80"/>
      <c r="BR807" s="80"/>
      <c r="BS807" s="80"/>
      <c r="BT807" s="80"/>
      <c r="BU807" s="80"/>
      <c r="BV807" s="80"/>
      <c r="BW807" s="80"/>
      <c r="BX807" s="80"/>
      <c r="BY807" s="80"/>
      <c r="BZ807" s="80"/>
      <c r="CA807" s="80"/>
      <c r="CB807" s="80"/>
      <c r="CC807" s="80"/>
      <c r="CD807" s="80"/>
      <c r="CE807" s="80"/>
      <c r="CF807" s="80"/>
      <c r="CG807" s="80"/>
      <c r="CH807" s="80"/>
      <c r="CI807" s="80"/>
      <c r="CJ807" s="80"/>
      <c r="CK807" s="82"/>
      <c r="CL807" s="12"/>
      <c r="CM807" s="82"/>
      <c r="CN807" s="12"/>
      <c r="CO807" s="82"/>
      <c r="CP807" s="12"/>
      <c r="CQ807" s="83">
        <f t="shared" si="92"/>
        <v>0</v>
      </c>
      <c r="CR807" s="84"/>
      <c r="CS807" s="13"/>
      <c r="CT807" s="85"/>
      <c r="CU807" s="86"/>
      <c r="CV807" s="11"/>
      <c r="CW807" s="86"/>
      <c r="CX807" s="84"/>
      <c r="CY807" s="86"/>
    </row>
    <row r="808" spans="1:103" ht="51" x14ac:dyDescent="0.2">
      <c r="A808" s="43">
        <v>40052</v>
      </c>
      <c r="B808" s="44" t="s">
        <v>625</v>
      </c>
      <c r="C808" s="44" t="s">
        <v>738</v>
      </c>
      <c r="D808" s="45" t="s">
        <v>1117</v>
      </c>
      <c r="E808" s="11"/>
      <c r="F808" s="12"/>
      <c r="G808" s="12"/>
      <c r="H808" s="12">
        <v>600</v>
      </c>
      <c r="I808" s="12">
        <v>160</v>
      </c>
      <c r="J808" s="12"/>
      <c r="K808" s="12">
        <v>160</v>
      </c>
      <c r="L808" s="12"/>
      <c r="M808" s="12"/>
      <c r="N808" s="12"/>
      <c r="O808" s="12">
        <v>1</v>
      </c>
      <c r="P808" s="12"/>
      <c r="Q808" s="12">
        <v>1</v>
      </c>
      <c r="R808" s="12">
        <v>2</v>
      </c>
      <c r="S808" s="12">
        <v>2</v>
      </c>
      <c r="T808" s="13"/>
      <c r="U808" s="46"/>
      <c r="V808" s="47"/>
      <c r="W808" s="48">
        <f t="shared" si="87"/>
        <v>27975200</v>
      </c>
      <c r="X808" s="48">
        <f t="shared" si="88"/>
        <v>13600000</v>
      </c>
      <c r="Y808" s="48">
        <f t="shared" si="89"/>
        <v>31400000</v>
      </c>
      <c r="Z808" s="48">
        <f t="shared" si="90"/>
        <v>0</v>
      </c>
      <c r="AA808" s="48"/>
      <c r="AB808" s="48"/>
      <c r="AC808" s="49">
        <f t="shared" si="91"/>
        <v>72975200</v>
      </c>
      <c r="AD808" s="50">
        <v>0</v>
      </c>
      <c r="AE808" s="47">
        <v>40053</v>
      </c>
      <c r="AF808" s="51" t="s">
        <v>1016</v>
      </c>
      <c r="AG808" s="52" t="s">
        <v>565</v>
      </c>
      <c r="AH808" s="53" t="s">
        <v>112</v>
      </c>
      <c r="AI808" s="79"/>
      <c r="AJ808" s="80"/>
      <c r="AK808" s="81"/>
      <c r="AL808" s="80"/>
      <c r="AM808" s="80"/>
      <c r="AN808" s="80"/>
      <c r="AO808" s="80"/>
      <c r="AP808" s="80"/>
      <c r="AQ808" s="80">
        <v>200</v>
      </c>
      <c r="AR808" s="80">
        <f>200*21000</f>
        <v>4200000</v>
      </c>
      <c r="AS808" s="80"/>
      <c r="AT808" s="80"/>
      <c r="AU808" s="80">
        <v>320</v>
      </c>
      <c r="AV808" s="80">
        <f>320*56000</f>
        <v>17920000</v>
      </c>
      <c r="AW808" s="80"/>
      <c r="AX808" s="80"/>
      <c r="AY808" s="80"/>
      <c r="AZ808" s="80"/>
      <c r="BA808" s="80"/>
      <c r="BB808" s="80"/>
      <c r="BC808" s="80"/>
      <c r="BD808" s="80"/>
      <c r="BE808" s="80"/>
      <c r="BF808" s="80"/>
      <c r="BG808" s="80"/>
      <c r="BH808" s="80"/>
      <c r="BI808" s="80"/>
      <c r="BJ808" s="80"/>
      <c r="BK808" s="80"/>
      <c r="BL808" s="80"/>
      <c r="BM808" s="80"/>
      <c r="BN808" s="80"/>
      <c r="BO808" s="80"/>
      <c r="BP808" s="80"/>
      <c r="BQ808" s="80"/>
      <c r="BR808" s="80"/>
      <c r="BS808" s="80"/>
      <c r="BT808" s="80"/>
      <c r="BU808" s="80"/>
      <c r="BV808" s="80"/>
      <c r="BW808" s="80"/>
      <c r="BX808" s="80"/>
      <c r="BY808" s="80"/>
      <c r="BZ808" s="80"/>
      <c r="CA808" s="80"/>
      <c r="CB808" s="80"/>
      <c r="CC808" s="80"/>
      <c r="CD808" s="80"/>
      <c r="CE808" s="80"/>
      <c r="CF808" s="80"/>
      <c r="CG808" s="80"/>
      <c r="CH808" s="80"/>
      <c r="CI808" s="80"/>
      <c r="CJ808" s="80"/>
      <c r="CK808" s="82">
        <v>160</v>
      </c>
      <c r="CL808" s="12">
        <f>160*36595</f>
        <v>5855200</v>
      </c>
      <c r="CM808" s="82"/>
      <c r="CN808" s="12"/>
      <c r="CO808" s="82"/>
      <c r="CP808" s="12"/>
      <c r="CQ808" s="83">
        <f t="shared" si="92"/>
        <v>27975200</v>
      </c>
      <c r="CR808" s="84"/>
      <c r="CS808" s="13"/>
      <c r="CT808" s="85">
        <v>160</v>
      </c>
      <c r="CU808" s="86">
        <f>160*85000</f>
        <v>13600000</v>
      </c>
      <c r="CV808" s="11"/>
      <c r="CW808" s="86"/>
      <c r="CX808" s="84">
        <f>500+500</f>
        <v>1000</v>
      </c>
      <c r="CY808" s="86">
        <f>500*22800+500*40000</f>
        <v>31400000</v>
      </c>
    </row>
    <row r="809" spans="1:103" ht="12.75" x14ac:dyDescent="0.2">
      <c r="A809" s="43">
        <v>40053</v>
      </c>
      <c r="B809" s="44" t="s">
        <v>1453</v>
      </c>
      <c r="C809" s="44" t="s">
        <v>998</v>
      </c>
      <c r="D809" s="45" t="s">
        <v>1117</v>
      </c>
      <c r="E809" s="11"/>
      <c r="F809" s="12"/>
      <c r="G809" s="12"/>
      <c r="H809" s="12">
        <f>110*5</f>
        <v>550</v>
      </c>
      <c r="I809" s="12">
        <v>110</v>
      </c>
      <c r="J809" s="12"/>
      <c r="K809" s="12">
        <v>110</v>
      </c>
      <c r="L809" s="12"/>
      <c r="M809" s="12"/>
      <c r="N809" s="12"/>
      <c r="O809" s="12"/>
      <c r="P809" s="12"/>
      <c r="Q809" s="12"/>
      <c r="R809" s="12"/>
      <c r="S809" s="12"/>
      <c r="T809" s="13"/>
      <c r="U809" s="46"/>
      <c r="V809" s="47"/>
      <c r="W809" s="48">
        <f t="shared" ref="W809:W843" si="93">CQ809</f>
        <v>0</v>
      </c>
      <c r="X809" s="48">
        <f t="shared" ref="X809:X843" si="94">CU809</f>
        <v>0</v>
      </c>
      <c r="Y809" s="48">
        <f t="shared" ref="Y809:Y843" si="95">CW809+CY809</f>
        <v>30511600</v>
      </c>
      <c r="Z809" s="48">
        <f t="shared" ref="Z809:Z843" si="96">CS809</f>
        <v>0</v>
      </c>
      <c r="AA809" s="48"/>
      <c r="AB809" s="48"/>
      <c r="AC809" s="49">
        <f t="shared" ref="AC809:AC843" si="97">W809+X809+Y809+Z809+AA809+AB809</f>
        <v>30511600</v>
      </c>
      <c r="AD809" s="50">
        <v>0</v>
      </c>
      <c r="AE809" s="47">
        <v>40053</v>
      </c>
      <c r="AF809" s="51" t="s">
        <v>1016</v>
      </c>
      <c r="AG809" s="52" t="s">
        <v>565</v>
      </c>
      <c r="AH809" s="53" t="s">
        <v>317</v>
      </c>
      <c r="AI809" s="79"/>
      <c r="AJ809" s="80"/>
      <c r="AK809" s="81"/>
      <c r="AL809" s="80"/>
      <c r="AM809" s="80"/>
      <c r="AN809" s="80"/>
      <c r="AO809" s="80"/>
      <c r="AP809" s="80"/>
      <c r="AQ809" s="80"/>
      <c r="AR809" s="80"/>
      <c r="AS809" s="80"/>
      <c r="AT809" s="80"/>
      <c r="AU809" s="80"/>
      <c r="AV809" s="80"/>
      <c r="AW809" s="80"/>
      <c r="AX809" s="80"/>
      <c r="AY809" s="80"/>
      <c r="AZ809" s="80"/>
      <c r="BA809" s="80"/>
      <c r="BB809" s="80"/>
      <c r="BC809" s="80"/>
      <c r="BD809" s="80"/>
      <c r="BE809" s="80"/>
      <c r="BF809" s="80"/>
      <c r="BG809" s="80"/>
      <c r="BH809" s="80"/>
      <c r="BI809" s="80"/>
      <c r="BJ809" s="80"/>
      <c r="BK809" s="80"/>
      <c r="BL809" s="80"/>
      <c r="BM809" s="80"/>
      <c r="BN809" s="80"/>
      <c r="BO809" s="80"/>
      <c r="BP809" s="80"/>
      <c r="BQ809" s="80"/>
      <c r="BR809" s="80"/>
      <c r="BS809" s="80"/>
      <c r="BT809" s="80"/>
      <c r="BU809" s="80"/>
      <c r="BV809" s="80"/>
      <c r="BW809" s="80"/>
      <c r="BX809" s="80"/>
      <c r="BY809" s="80"/>
      <c r="BZ809" s="80"/>
      <c r="CA809" s="80"/>
      <c r="CB809" s="80"/>
      <c r="CC809" s="80"/>
      <c r="CD809" s="80"/>
      <c r="CE809" s="80"/>
      <c r="CF809" s="80"/>
      <c r="CG809" s="80"/>
      <c r="CH809" s="80"/>
      <c r="CI809" s="80"/>
      <c r="CJ809" s="80"/>
      <c r="CK809" s="82"/>
      <c r="CL809" s="12"/>
      <c r="CM809" s="82"/>
      <c r="CN809" s="12"/>
      <c r="CO809" s="82"/>
      <c r="CP809" s="12"/>
      <c r="CQ809" s="83">
        <f t="shared" ref="CQ809:CQ843" si="98">AJ809+AL809+AN809+AP809+AR809+AT809+AV809+AX809+AZ809+BB809+BD809+BF809+BH809+BJ809+BL809+BN809+BP809+BR809+BT809+BV809+BX809+BZ809+CB809+CD809+CF809+CH809+CJ809+CL809+CN809+CP809</f>
        <v>0</v>
      </c>
      <c r="CR809" s="84"/>
      <c r="CS809" s="13"/>
      <c r="CT809" s="85"/>
      <c r="CU809" s="86"/>
      <c r="CV809" s="11"/>
      <c r="CW809" s="86"/>
      <c r="CX809" s="84">
        <v>1280</v>
      </c>
      <c r="CY809" s="86">
        <f>1280*22500+7780*220</f>
        <v>30511600</v>
      </c>
    </row>
    <row r="810" spans="1:103" ht="25.5" x14ac:dyDescent="0.2">
      <c r="A810" s="43">
        <v>40053</v>
      </c>
      <c r="B810" s="44" t="s">
        <v>1453</v>
      </c>
      <c r="C810" s="44" t="s">
        <v>1309</v>
      </c>
      <c r="D810" s="45" t="s">
        <v>1117</v>
      </c>
      <c r="E810" s="11"/>
      <c r="F810" s="12"/>
      <c r="G810" s="12"/>
      <c r="H810" s="12">
        <f>27*5</f>
        <v>135</v>
      </c>
      <c r="I810" s="12">
        <v>27</v>
      </c>
      <c r="J810" s="12"/>
      <c r="K810" s="12">
        <v>27</v>
      </c>
      <c r="L810" s="12"/>
      <c r="M810" s="12"/>
      <c r="N810" s="12"/>
      <c r="O810" s="12"/>
      <c r="P810" s="12"/>
      <c r="Q810" s="12"/>
      <c r="R810" s="12"/>
      <c r="S810" s="12"/>
      <c r="T810" s="13"/>
      <c r="U810" s="46"/>
      <c r="V810" s="47">
        <v>40193</v>
      </c>
      <c r="W810" s="48">
        <f t="shared" si="93"/>
        <v>11200000</v>
      </c>
      <c r="X810" s="48">
        <f t="shared" si="94"/>
        <v>25500000</v>
      </c>
      <c r="Y810" s="48">
        <f t="shared" si="95"/>
        <v>12100000</v>
      </c>
      <c r="Z810" s="48">
        <f t="shared" si="96"/>
        <v>0</v>
      </c>
      <c r="AA810" s="48"/>
      <c r="AB810" s="48"/>
      <c r="AC810" s="49">
        <f t="shared" si="97"/>
        <v>48800000</v>
      </c>
      <c r="AD810" s="50">
        <v>0</v>
      </c>
      <c r="AE810" s="47">
        <v>40155</v>
      </c>
      <c r="AF810" s="51" t="s">
        <v>1016</v>
      </c>
      <c r="AG810" s="52" t="s">
        <v>565</v>
      </c>
      <c r="AH810" s="53" t="s">
        <v>1281</v>
      </c>
      <c r="AI810" s="79"/>
      <c r="AJ810" s="80"/>
      <c r="AK810" s="81"/>
      <c r="AL810" s="80"/>
      <c r="AM810" s="80"/>
      <c r="AN810" s="80"/>
      <c r="AO810" s="80"/>
      <c r="AP810" s="80"/>
      <c r="AQ810" s="80"/>
      <c r="AR810" s="80"/>
      <c r="AS810" s="80"/>
      <c r="AT810" s="80"/>
      <c r="AU810" s="80">
        <v>200</v>
      </c>
      <c r="AV810" s="80">
        <f>200*56000</f>
        <v>11200000</v>
      </c>
      <c r="AW810" s="80"/>
      <c r="AX810" s="80"/>
      <c r="AY810" s="80"/>
      <c r="AZ810" s="80"/>
      <c r="BA810" s="80"/>
      <c r="BB810" s="80"/>
      <c r="BC810" s="80"/>
      <c r="BD810" s="80"/>
      <c r="BE810" s="80"/>
      <c r="BF810" s="80"/>
      <c r="BG810" s="80"/>
      <c r="BH810" s="80"/>
      <c r="BI810" s="80"/>
      <c r="BJ810" s="80"/>
      <c r="BK810" s="80"/>
      <c r="BL810" s="80"/>
      <c r="BM810" s="80"/>
      <c r="BN810" s="80"/>
      <c r="BO810" s="80"/>
      <c r="BP810" s="80"/>
      <c r="BQ810" s="80"/>
      <c r="BR810" s="80"/>
      <c r="BS810" s="80"/>
      <c r="BT810" s="80"/>
      <c r="BU810" s="80"/>
      <c r="BV810" s="80"/>
      <c r="BW810" s="80"/>
      <c r="BX810" s="80"/>
      <c r="BY810" s="80"/>
      <c r="BZ810" s="80"/>
      <c r="CA810" s="80"/>
      <c r="CB810" s="80"/>
      <c r="CC810" s="80"/>
      <c r="CD810" s="80"/>
      <c r="CE810" s="80"/>
      <c r="CF810" s="80"/>
      <c r="CG810" s="80"/>
      <c r="CH810" s="80"/>
      <c r="CI810" s="80"/>
      <c r="CJ810" s="80"/>
      <c r="CK810" s="82"/>
      <c r="CL810" s="12"/>
      <c r="CM810" s="82"/>
      <c r="CN810" s="12"/>
      <c r="CO810" s="82"/>
      <c r="CP810" s="12"/>
      <c r="CQ810" s="83">
        <f t="shared" si="98"/>
        <v>11200000</v>
      </c>
      <c r="CR810" s="84"/>
      <c r="CS810" s="13"/>
      <c r="CT810" s="85">
        <v>300</v>
      </c>
      <c r="CU810" s="86">
        <f>300*85000</f>
        <v>25500000</v>
      </c>
      <c r="CV810" s="11"/>
      <c r="CW810" s="86"/>
      <c r="CX810" s="84">
        <v>550</v>
      </c>
      <c r="CY810" s="86">
        <f>550*22000</f>
        <v>12100000</v>
      </c>
    </row>
    <row r="811" spans="1:103" ht="25.5" x14ac:dyDescent="0.2">
      <c r="A811" s="43">
        <v>40054</v>
      </c>
      <c r="B811" s="44" t="s">
        <v>1094</v>
      </c>
      <c r="C811" s="44" t="s">
        <v>1477</v>
      </c>
      <c r="D811" s="45" t="s">
        <v>1117</v>
      </c>
      <c r="E811" s="11"/>
      <c r="F811" s="12"/>
      <c r="G811" s="12"/>
      <c r="H811" s="12">
        <v>30</v>
      </c>
      <c r="I811" s="12">
        <v>6</v>
      </c>
      <c r="J811" s="12"/>
      <c r="K811" s="12">
        <v>6</v>
      </c>
      <c r="L811" s="12"/>
      <c r="M811" s="12"/>
      <c r="N811" s="12"/>
      <c r="O811" s="12"/>
      <c r="P811" s="12"/>
      <c r="Q811" s="12"/>
      <c r="R811" s="12"/>
      <c r="S811" s="12"/>
      <c r="T811" s="13"/>
      <c r="U811" s="46"/>
      <c r="V811" s="47"/>
      <c r="W811" s="48">
        <f t="shared" si="93"/>
        <v>0</v>
      </c>
      <c r="X811" s="48">
        <f t="shared" si="94"/>
        <v>0</v>
      </c>
      <c r="Y811" s="48">
        <f t="shared" si="95"/>
        <v>0</v>
      </c>
      <c r="Z811" s="48">
        <f t="shared" si="96"/>
        <v>0</v>
      </c>
      <c r="AA811" s="48"/>
      <c r="AB811" s="48"/>
      <c r="AC811" s="49">
        <f t="shared" si="97"/>
        <v>0</v>
      </c>
      <c r="AD811" s="50">
        <v>0</v>
      </c>
      <c r="AE811" s="47">
        <v>40061</v>
      </c>
      <c r="AF811" s="51" t="s">
        <v>516</v>
      </c>
      <c r="AG811" s="52" t="s">
        <v>517</v>
      </c>
      <c r="AH811" s="53" t="s">
        <v>1479</v>
      </c>
      <c r="AI811" s="79"/>
      <c r="AJ811" s="80"/>
      <c r="AK811" s="81"/>
      <c r="AL811" s="80"/>
      <c r="AM811" s="80"/>
      <c r="AN811" s="80"/>
      <c r="AO811" s="80"/>
      <c r="AP811" s="80"/>
      <c r="AQ811" s="80"/>
      <c r="AR811" s="80"/>
      <c r="AS811" s="80"/>
      <c r="AT811" s="80"/>
      <c r="AU811" s="80"/>
      <c r="AV811" s="80"/>
      <c r="AW811" s="80"/>
      <c r="AX811" s="80"/>
      <c r="AY811" s="80"/>
      <c r="AZ811" s="80"/>
      <c r="BA811" s="80"/>
      <c r="BB811" s="80"/>
      <c r="BC811" s="80"/>
      <c r="BD811" s="80"/>
      <c r="BE811" s="80"/>
      <c r="BF811" s="80"/>
      <c r="BG811" s="80"/>
      <c r="BH811" s="80"/>
      <c r="BI811" s="80"/>
      <c r="BJ811" s="80"/>
      <c r="BK811" s="80"/>
      <c r="BL811" s="80"/>
      <c r="BM811" s="80"/>
      <c r="BN811" s="80"/>
      <c r="BO811" s="80"/>
      <c r="BP811" s="80"/>
      <c r="BQ811" s="80"/>
      <c r="BR811" s="80"/>
      <c r="BS811" s="80"/>
      <c r="BT811" s="80"/>
      <c r="BU811" s="80"/>
      <c r="BV811" s="80"/>
      <c r="BW811" s="80"/>
      <c r="BX811" s="80"/>
      <c r="BY811" s="80"/>
      <c r="BZ811" s="80"/>
      <c r="CA811" s="80"/>
      <c r="CB811" s="80"/>
      <c r="CC811" s="80"/>
      <c r="CD811" s="80"/>
      <c r="CE811" s="80"/>
      <c r="CF811" s="80"/>
      <c r="CG811" s="80"/>
      <c r="CH811" s="80"/>
      <c r="CI811" s="80"/>
      <c r="CJ811" s="80"/>
      <c r="CK811" s="82"/>
      <c r="CL811" s="12"/>
      <c r="CM811" s="82"/>
      <c r="CN811" s="12"/>
      <c r="CO811" s="82"/>
      <c r="CP811" s="12"/>
      <c r="CQ811" s="83">
        <f t="shared" si="98"/>
        <v>0</v>
      </c>
      <c r="CR811" s="84"/>
      <c r="CS811" s="13"/>
      <c r="CT811" s="85"/>
      <c r="CU811" s="86"/>
      <c r="CV811" s="11"/>
      <c r="CW811" s="86"/>
      <c r="CX811" s="84"/>
      <c r="CY811" s="86"/>
    </row>
    <row r="812" spans="1:103" ht="25.5" x14ac:dyDescent="0.2">
      <c r="A812" s="43">
        <v>40055</v>
      </c>
      <c r="B812" s="44" t="s">
        <v>625</v>
      </c>
      <c r="C812" s="44" t="s">
        <v>662</v>
      </c>
      <c r="D812" s="45" t="s">
        <v>1117</v>
      </c>
      <c r="E812" s="11"/>
      <c r="F812" s="12"/>
      <c r="G812" s="12"/>
      <c r="H812" s="12">
        <v>200</v>
      </c>
      <c r="I812" s="12">
        <v>40</v>
      </c>
      <c r="J812" s="12"/>
      <c r="K812" s="12">
        <v>40</v>
      </c>
      <c r="L812" s="12"/>
      <c r="M812" s="12"/>
      <c r="N812" s="12"/>
      <c r="O812" s="12"/>
      <c r="P812" s="12"/>
      <c r="Q812" s="12"/>
      <c r="R812" s="12"/>
      <c r="S812" s="12"/>
      <c r="T812" s="13"/>
      <c r="U812" s="46"/>
      <c r="V812" s="47"/>
      <c r="W812" s="48">
        <f t="shared" si="93"/>
        <v>0</v>
      </c>
      <c r="X812" s="48">
        <f t="shared" si="94"/>
        <v>0</v>
      </c>
      <c r="Y812" s="48">
        <f t="shared" si="95"/>
        <v>0</v>
      </c>
      <c r="Z812" s="48">
        <f t="shared" si="96"/>
        <v>0</v>
      </c>
      <c r="AA812" s="48"/>
      <c r="AB812" s="48"/>
      <c r="AC812" s="49">
        <f t="shared" si="97"/>
        <v>0</v>
      </c>
      <c r="AD812" s="50">
        <v>0</v>
      </c>
      <c r="AE812" s="47">
        <v>40061</v>
      </c>
      <c r="AF812" s="51" t="s">
        <v>516</v>
      </c>
      <c r="AG812" s="52" t="s">
        <v>517</v>
      </c>
      <c r="AH812" s="53"/>
      <c r="AI812" s="79"/>
      <c r="AJ812" s="80"/>
      <c r="AK812" s="81"/>
      <c r="AL812" s="80"/>
      <c r="AM812" s="80"/>
      <c r="AN812" s="80"/>
      <c r="AO812" s="80"/>
      <c r="AP812" s="80"/>
      <c r="AQ812" s="80"/>
      <c r="AR812" s="80"/>
      <c r="AS812" s="80"/>
      <c r="AT812" s="80"/>
      <c r="AU812" s="80"/>
      <c r="AV812" s="80"/>
      <c r="AW812" s="80"/>
      <c r="AX812" s="80"/>
      <c r="AY812" s="80"/>
      <c r="AZ812" s="80"/>
      <c r="BA812" s="80"/>
      <c r="BB812" s="80"/>
      <c r="BC812" s="80"/>
      <c r="BD812" s="80"/>
      <c r="BE812" s="80"/>
      <c r="BF812" s="80"/>
      <c r="BG812" s="80"/>
      <c r="BH812" s="80"/>
      <c r="BI812" s="80"/>
      <c r="BJ812" s="80"/>
      <c r="BK812" s="80"/>
      <c r="BL812" s="80"/>
      <c r="BM812" s="80"/>
      <c r="BN812" s="80"/>
      <c r="BO812" s="80"/>
      <c r="BP812" s="80"/>
      <c r="BQ812" s="80"/>
      <c r="BR812" s="80"/>
      <c r="BS812" s="80"/>
      <c r="BT812" s="80"/>
      <c r="BU812" s="80"/>
      <c r="BV812" s="80"/>
      <c r="BW812" s="80"/>
      <c r="BX812" s="80"/>
      <c r="BY812" s="80"/>
      <c r="BZ812" s="80"/>
      <c r="CA812" s="80"/>
      <c r="CB812" s="80"/>
      <c r="CC812" s="80"/>
      <c r="CD812" s="80"/>
      <c r="CE812" s="80"/>
      <c r="CF812" s="80"/>
      <c r="CG812" s="80"/>
      <c r="CH812" s="80"/>
      <c r="CI812" s="80"/>
      <c r="CJ812" s="80"/>
      <c r="CK812" s="82"/>
      <c r="CL812" s="12"/>
      <c r="CM812" s="82"/>
      <c r="CN812" s="12"/>
      <c r="CO812" s="82"/>
      <c r="CP812" s="12"/>
      <c r="CQ812" s="83">
        <f t="shared" si="98"/>
        <v>0</v>
      </c>
      <c r="CR812" s="84"/>
      <c r="CS812" s="13"/>
      <c r="CT812" s="85"/>
      <c r="CU812" s="86"/>
      <c r="CV812" s="11"/>
      <c r="CW812" s="86"/>
      <c r="CX812" s="84"/>
      <c r="CY812" s="86"/>
    </row>
    <row r="813" spans="1:103" ht="51" x14ac:dyDescent="0.2">
      <c r="A813" s="43">
        <v>40056</v>
      </c>
      <c r="B813" s="44" t="s">
        <v>1453</v>
      </c>
      <c r="C813" s="44" t="s">
        <v>1476</v>
      </c>
      <c r="D813" s="45" t="s">
        <v>1117</v>
      </c>
      <c r="E813" s="11"/>
      <c r="F813" s="12"/>
      <c r="G813" s="12"/>
      <c r="H813" s="12">
        <f>103*5</f>
        <v>515</v>
      </c>
      <c r="I813" s="12">
        <f>99+4</f>
        <v>103</v>
      </c>
      <c r="J813" s="12">
        <v>4</v>
      </c>
      <c r="K813" s="12">
        <v>99</v>
      </c>
      <c r="L813" s="12"/>
      <c r="M813" s="12"/>
      <c r="N813" s="12"/>
      <c r="O813" s="12"/>
      <c r="P813" s="12"/>
      <c r="Q813" s="12"/>
      <c r="R813" s="12"/>
      <c r="S813" s="12"/>
      <c r="T813" s="13"/>
      <c r="U813" s="46"/>
      <c r="V813" s="47">
        <v>40106</v>
      </c>
      <c r="W813" s="48">
        <f t="shared" si="93"/>
        <v>0</v>
      </c>
      <c r="X813" s="48">
        <f t="shared" si="94"/>
        <v>0</v>
      </c>
      <c r="Y813" s="48">
        <f t="shared" si="95"/>
        <v>34600000</v>
      </c>
      <c r="Z813" s="48">
        <f t="shared" si="96"/>
        <v>0</v>
      </c>
      <c r="AA813" s="48">
        <f>16700*2500</f>
        <v>41750000</v>
      </c>
      <c r="AB813" s="48"/>
      <c r="AC813" s="49">
        <f t="shared" si="97"/>
        <v>76350000</v>
      </c>
      <c r="AD813" s="50">
        <v>0</v>
      </c>
      <c r="AE813" s="47">
        <v>40061</v>
      </c>
      <c r="AF813" s="51" t="s">
        <v>1016</v>
      </c>
      <c r="AG813" s="52" t="s">
        <v>565</v>
      </c>
      <c r="AH813" s="53" t="s">
        <v>1478</v>
      </c>
      <c r="AI813" s="79"/>
      <c r="AJ813" s="80"/>
      <c r="AK813" s="81"/>
      <c r="AL813" s="80"/>
      <c r="AM813" s="80"/>
      <c r="AN813" s="80"/>
      <c r="AO813" s="80"/>
      <c r="AP813" s="80"/>
      <c r="AQ813" s="80"/>
      <c r="AR813" s="80"/>
      <c r="AS813" s="80"/>
      <c r="AT813" s="80"/>
      <c r="AU813" s="80"/>
      <c r="AV813" s="80"/>
      <c r="AW813" s="80"/>
      <c r="AX813" s="80"/>
      <c r="AY813" s="80"/>
      <c r="AZ813" s="80"/>
      <c r="BA813" s="80"/>
      <c r="BB813" s="80"/>
      <c r="BC813" s="80"/>
      <c r="BD813" s="80"/>
      <c r="BE813" s="80"/>
      <c r="BF813" s="80"/>
      <c r="BG813" s="80"/>
      <c r="BH813" s="80"/>
      <c r="BI813" s="80"/>
      <c r="BJ813" s="80"/>
      <c r="BK813" s="80"/>
      <c r="BL813" s="80"/>
      <c r="BM813" s="80"/>
      <c r="BN813" s="80"/>
      <c r="BO813" s="80"/>
      <c r="BP813" s="80"/>
      <c r="BQ813" s="80"/>
      <c r="BR813" s="80"/>
      <c r="BS813" s="80"/>
      <c r="BT813" s="80"/>
      <c r="BU813" s="80"/>
      <c r="BV813" s="80"/>
      <c r="BW813" s="80"/>
      <c r="BX813" s="80"/>
      <c r="BY813" s="80"/>
      <c r="BZ813" s="80"/>
      <c r="CA813" s="80"/>
      <c r="CB813" s="80"/>
      <c r="CC813" s="80"/>
      <c r="CD813" s="80"/>
      <c r="CE813" s="80"/>
      <c r="CF813" s="80"/>
      <c r="CG813" s="80"/>
      <c r="CH813" s="80"/>
      <c r="CI813" s="80"/>
      <c r="CJ813" s="80"/>
      <c r="CK813" s="82"/>
      <c r="CL813" s="12"/>
      <c r="CM813" s="82"/>
      <c r="CN813" s="12"/>
      <c r="CO813" s="82"/>
      <c r="CP813" s="12"/>
      <c r="CQ813" s="83">
        <f t="shared" si="98"/>
        <v>0</v>
      </c>
      <c r="CR813" s="84"/>
      <c r="CS813" s="13"/>
      <c r="CT813" s="85"/>
      <c r="CU813" s="86"/>
      <c r="CV813" s="11">
        <v>1300</v>
      </c>
      <c r="CW813" s="86">
        <f>1300*25000</f>
        <v>32500000</v>
      </c>
      <c r="CX813" s="84">
        <v>100</v>
      </c>
      <c r="CY813" s="86">
        <f>100*21000</f>
        <v>2100000</v>
      </c>
    </row>
    <row r="814" spans="1:103" ht="12.75" x14ac:dyDescent="0.2">
      <c r="A814" s="43">
        <v>40057</v>
      </c>
      <c r="B814" s="44" t="s">
        <v>413</v>
      </c>
      <c r="C814" s="44" t="s">
        <v>854</v>
      </c>
      <c r="D814" s="45" t="s">
        <v>1118</v>
      </c>
      <c r="E814" s="11"/>
      <c r="F814" s="12"/>
      <c r="G814" s="12"/>
      <c r="H814" s="12">
        <v>250</v>
      </c>
      <c r="I814" s="12">
        <v>50</v>
      </c>
      <c r="J814" s="12"/>
      <c r="K814" s="12"/>
      <c r="L814" s="12"/>
      <c r="M814" s="12"/>
      <c r="N814" s="12"/>
      <c r="O814" s="12"/>
      <c r="P814" s="12"/>
      <c r="Q814" s="12"/>
      <c r="R814" s="12"/>
      <c r="S814" s="12"/>
      <c r="T814" s="13"/>
      <c r="U814" s="46"/>
      <c r="V814" s="47"/>
      <c r="W814" s="48">
        <f t="shared" si="93"/>
        <v>0</v>
      </c>
      <c r="X814" s="48">
        <f t="shared" si="94"/>
        <v>0</v>
      </c>
      <c r="Y814" s="48">
        <f t="shared" si="95"/>
        <v>0</v>
      </c>
      <c r="Z814" s="48">
        <f t="shared" si="96"/>
        <v>0</v>
      </c>
      <c r="AA814" s="48"/>
      <c r="AB814" s="48"/>
      <c r="AC814" s="49">
        <f t="shared" si="97"/>
        <v>0</v>
      </c>
      <c r="AD814" s="50">
        <v>0</v>
      </c>
      <c r="AE814" s="47">
        <v>40087</v>
      </c>
      <c r="AF814" s="51" t="s">
        <v>1016</v>
      </c>
      <c r="AG814" s="52" t="s">
        <v>565</v>
      </c>
      <c r="AH814" s="53" t="s">
        <v>1281</v>
      </c>
      <c r="AI814" s="79"/>
      <c r="AJ814" s="80"/>
      <c r="AK814" s="81"/>
      <c r="AL814" s="80"/>
      <c r="AM814" s="80"/>
      <c r="AN814" s="80"/>
      <c r="AO814" s="80"/>
      <c r="AP814" s="80"/>
      <c r="AQ814" s="80"/>
      <c r="AR814" s="80"/>
      <c r="AS814" s="80"/>
      <c r="AT814" s="80"/>
      <c r="AU814" s="80"/>
      <c r="AV814" s="80"/>
      <c r="AW814" s="80"/>
      <c r="AX814" s="80"/>
      <c r="AY814" s="80"/>
      <c r="AZ814" s="80"/>
      <c r="BA814" s="80"/>
      <c r="BB814" s="80"/>
      <c r="BC814" s="80"/>
      <c r="BD814" s="80"/>
      <c r="BE814" s="80"/>
      <c r="BF814" s="80"/>
      <c r="BG814" s="80"/>
      <c r="BH814" s="80"/>
      <c r="BI814" s="80"/>
      <c r="BJ814" s="80"/>
      <c r="BK814" s="80"/>
      <c r="BL814" s="80"/>
      <c r="BM814" s="80"/>
      <c r="BN814" s="80"/>
      <c r="BO814" s="80"/>
      <c r="BP814" s="80"/>
      <c r="BQ814" s="80"/>
      <c r="BR814" s="80"/>
      <c r="BS814" s="80"/>
      <c r="BT814" s="80"/>
      <c r="BU814" s="80"/>
      <c r="BV814" s="80"/>
      <c r="BW814" s="80"/>
      <c r="BX814" s="80"/>
      <c r="BY814" s="80"/>
      <c r="BZ814" s="80"/>
      <c r="CA814" s="80"/>
      <c r="CB814" s="80"/>
      <c r="CC814" s="80"/>
      <c r="CD814" s="80"/>
      <c r="CE814" s="80"/>
      <c r="CF814" s="80"/>
      <c r="CG814" s="80"/>
      <c r="CH814" s="80"/>
      <c r="CI814" s="80"/>
      <c r="CJ814" s="80"/>
      <c r="CK814" s="82"/>
      <c r="CL814" s="12"/>
      <c r="CM814" s="82"/>
      <c r="CN814" s="12"/>
      <c r="CO814" s="82"/>
      <c r="CP814" s="12"/>
      <c r="CQ814" s="83">
        <f t="shared" si="98"/>
        <v>0</v>
      </c>
      <c r="CR814" s="84"/>
      <c r="CS814" s="13"/>
      <c r="CT814" s="85"/>
      <c r="CU814" s="86"/>
      <c r="CV814" s="11"/>
      <c r="CW814" s="86"/>
      <c r="CX814" s="84"/>
      <c r="CY814" s="86"/>
    </row>
    <row r="815" spans="1:103" ht="12.75" x14ac:dyDescent="0.2">
      <c r="A815" s="43">
        <v>40057</v>
      </c>
      <c r="B815" s="44" t="s">
        <v>413</v>
      </c>
      <c r="C815" s="44" t="s">
        <v>1247</v>
      </c>
      <c r="D815" s="45" t="s">
        <v>1118</v>
      </c>
      <c r="E815" s="11"/>
      <c r="F815" s="12"/>
      <c r="G815" s="12"/>
      <c r="H815" s="12">
        <v>500</v>
      </c>
      <c r="I815" s="12">
        <v>100</v>
      </c>
      <c r="J815" s="12"/>
      <c r="K815" s="12"/>
      <c r="L815" s="12"/>
      <c r="M815" s="12"/>
      <c r="N815" s="12"/>
      <c r="O815" s="12"/>
      <c r="P815" s="12"/>
      <c r="Q815" s="12"/>
      <c r="R815" s="12"/>
      <c r="S815" s="12"/>
      <c r="T815" s="13"/>
      <c r="U815" s="46"/>
      <c r="V815" s="47"/>
      <c r="W815" s="48">
        <f t="shared" si="93"/>
        <v>0</v>
      </c>
      <c r="X815" s="48">
        <f t="shared" si="94"/>
        <v>0</v>
      </c>
      <c r="Y815" s="48">
        <f t="shared" si="95"/>
        <v>0</v>
      </c>
      <c r="Z815" s="48">
        <f t="shared" si="96"/>
        <v>0</v>
      </c>
      <c r="AA815" s="48"/>
      <c r="AB815" s="48"/>
      <c r="AC815" s="49">
        <f t="shared" si="97"/>
        <v>0</v>
      </c>
      <c r="AD815" s="50">
        <v>0</v>
      </c>
      <c r="AE815" s="47">
        <v>40087</v>
      </c>
      <c r="AF815" s="51" t="s">
        <v>1016</v>
      </c>
      <c r="AG815" s="52" t="s">
        <v>565</v>
      </c>
      <c r="AH815" s="53" t="s">
        <v>1281</v>
      </c>
      <c r="AI815" s="79"/>
      <c r="AJ815" s="80"/>
      <c r="AK815" s="81"/>
      <c r="AL815" s="80"/>
      <c r="AM815" s="80"/>
      <c r="AN815" s="80"/>
      <c r="AO815" s="80"/>
      <c r="AP815" s="80"/>
      <c r="AQ815" s="80"/>
      <c r="AR815" s="80"/>
      <c r="AS815" s="80"/>
      <c r="AT815" s="80"/>
      <c r="AU815" s="80"/>
      <c r="AV815" s="80"/>
      <c r="AW815" s="80"/>
      <c r="AX815" s="80"/>
      <c r="AY815" s="80"/>
      <c r="AZ815" s="80"/>
      <c r="BA815" s="80"/>
      <c r="BB815" s="80"/>
      <c r="BC815" s="80"/>
      <c r="BD815" s="80"/>
      <c r="BE815" s="80"/>
      <c r="BF815" s="80"/>
      <c r="BG815" s="80"/>
      <c r="BH815" s="80"/>
      <c r="BI815" s="80"/>
      <c r="BJ815" s="80"/>
      <c r="BK815" s="80"/>
      <c r="BL815" s="80"/>
      <c r="BM815" s="80"/>
      <c r="BN815" s="80"/>
      <c r="BO815" s="80"/>
      <c r="BP815" s="80"/>
      <c r="BQ815" s="80"/>
      <c r="BR815" s="80"/>
      <c r="BS815" s="80"/>
      <c r="BT815" s="80"/>
      <c r="BU815" s="80"/>
      <c r="BV815" s="80"/>
      <c r="BW815" s="80"/>
      <c r="BX815" s="80"/>
      <c r="BY815" s="80"/>
      <c r="BZ815" s="80"/>
      <c r="CA815" s="80"/>
      <c r="CB815" s="80"/>
      <c r="CC815" s="80"/>
      <c r="CD815" s="80"/>
      <c r="CE815" s="80"/>
      <c r="CF815" s="80"/>
      <c r="CG815" s="80"/>
      <c r="CH815" s="80"/>
      <c r="CI815" s="80"/>
      <c r="CJ815" s="80"/>
      <c r="CK815" s="82"/>
      <c r="CL815" s="12"/>
      <c r="CM815" s="82"/>
      <c r="CN815" s="12"/>
      <c r="CO815" s="82"/>
      <c r="CP815" s="12"/>
      <c r="CQ815" s="83">
        <f t="shared" si="98"/>
        <v>0</v>
      </c>
      <c r="CR815" s="84"/>
      <c r="CS815" s="13"/>
      <c r="CT815" s="85"/>
      <c r="CU815" s="86"/>
      <c r="CV815" s="11"/>
      <c r="CW815" s="86"/>
      <c r="CX815" s="84"/>
      <c r="CY815" s="86"/>
    </row>
    <row r="816" spans="1:103" ht="12.75" x14ac:dyDescent="0.2">
      <c r="A816" s="43">
        <v>40057</v>
      </c>
      <c r="B816" s="44" t="s">
        <v>413</v>
      </c>
      <c r="C816" s="44" t="s">
        <v>855</v>
      </c>
      <c r="D816" s="45" t="s">
        <v>1118</v>
      </c>
      <c r="E816" s="11"/>
      <c r="F816" s="12"/>
      <c r="G816" s="12"/>
      <c r="H816" s="12">
        <v>450</v>
      </c>
      <c r="I816" s="12">
        <v>90</v>
      </c>
      <c r="J816" s="12"/>
      <c r="K816" s="12"/>
      <c r="L816" s="12"/>
      <c r="M816" s="12"/>
      <c r="N816" s="12"/>
      <c r="O816" s="12"/>
      <c r="P816" s="12"/>
      <c r="Q816" s="12"/>
      <c r="R816" s="12"/>
      <c r="S816" s="12"/>
      <c r="T816" s="13"/>
      <c r="U816" s="46"/>
      <c r="V816" s="47"/>
      <c r="W816" s="48">
        <f t="shared" si="93"/>
        <v>0</v>
      </c>
      <c r="X816" s="48">
        <f t="shared" si="94"/>
        <v>0</v>
      </c>
      <c r="Y816" s="48">
        <f t="shared" si="95"/>
        <v>0</v>
      </c>
      <c r="Z816" s="48">
        <f t="shared" si="96"/>
        <v>0</v>
      </c>
      <c r="AA816" s="48"/>
      <c r="AB816" s="48"/>
      <c r="AC816" s="49">
        <f t="shared" si="97"/>
        <v>0</v>
      </c>
      <c r="AD816" s="50">
        <v>0</v>
      </c>
      <c r="AE816" s="47">
        <v>40087</v>
      </c>
      <c r="AF816" s="51" t="s">
        <v>1016</v>
      </c>
      <c r="AG816" s="52" t="s">
        <v>565</v>
      </c>
      <c r="AH816" s="53" t="s">
        <v>1281</v>
      </c>
      <c r="AI816" s="79"/>
      <c r="AJ816" s="80"/>
      <c r="AK816" s="81"/>
      <c r="AL816" s="80"/>
      <c r="AM816" s="80"/>
      <c r="AN816" s="80"/>
      <c r="AO816" s="80"/>
      <c r="AP816" s="80"/>
      <c r="AQ816" s="80"/>
      <c r="AR816" s="80"/>
      <c r="AS816" s="80"/>
      <c r="AT816" s="80"/>
      <c r="AU816" s="80"/>
      <c r="AV816" s="80"/>
      <c r="AW816" s="80"/>
      <c r="AX816" s="80"/>
      <c r="AY816" s="80"/>
      <c r="AZ816" s="80"/>
      <c r="BA816" s="80"/>
      <c r="BB816" s="80"/>
      <c r="BC816" s="80"/>
      <c r="BD816" s="80"/>
      <c r="BE816" s="80"/>
      <c r="BF816" s="80"/>
      <c r="BG816" s="80"/>
      <c r="BH816" s="80"/>
      <c r="BI816" s="80"/>
      <c r="BJ816" s="80"/>
      <c r="BK816" s="80"/>
      <c r="BL816" s="80"/>
      <c r="BM816" s="80"/>
      <c r="BN816" s="80"/>
      <c r="BO816" s="80"/>
      <c r="BP816" s="80"/>
      <c r="BQ816" s="80"/>
      <c r="BR816" s="80"/>
      <c r="BS816" s="80"/>
      <c r="BT816" s="80"/>
      <c r="BU816" s="80"/>
      <c r="BV816" s="80"/>
      <c r="BW816" s="80"/>
      <c r="BX816" s="80"/>
      <c r="BY816" s="80"/>
      <c r="BZ816" s="80"/>
      <c r="CA816" s="80"/>
      <c r="CB816" s="80"/>
      <c r="CC816" s="80"/>
      <c r="CD816" s="80"/>
      <c r="CE816" s="80"/>
      <c r="CF816" s="80"/>
      <c r="CG816" s="80"/>
      <c r="CH816" s="80"/>
      <c r="CI816" s="80"/>
      <c r="CJ816" s="80"/>
      <c r="CK816" s="82"/>
      <c r="CL816" s="12"/>
      <c r="CM816" s="82"/>
      <c r="CN816" s="12"/>
      <c r="CO816" s="82"/>
      <c r="CP816" s="12"/>
      <c r="CQ816" s="83">
        <f t="shared" si="98"/>
        <v>0</v>
      </c>
      <c r="CR816" s="84"/>
      <c r="CS816" s="13"/>
      <c r="CT816" s="85"/>
      <c r="CU816" s="86"/>
      <c r="CV816" s="11"/>
      <c r="CW816" s="86"/>
      <c r="CX816" s="84"/>
      <c r="CY816" s="86"/>
    </row>
    <row r="817" spans="1:104" ht="12.75" x14ac:dyDescent="0.2">
      <c r="A817" s="43">
        <v>40057</v>
      </c>
      <c r="B817" s="44" t="s">
        <v>413</v>
      </c>
      <c r="C817" s="44" t="s">
        <v>856</v>
      </c>
      <c r="D817" s="45" t="s">
        <v>1118</v>
      </c>
      <c r="E817" s="11"/>
      <c r="F817" s="12"/>
      <c r="G817" s="12"/>
      <c r="H817" s="12">
        <v>250</v>
      </c>
      <c r="I817" s="12">
        <v>50</v>
      </c>
      <c r="J817" s="12"/>
      <c r="K817" s="12"/>
      <c r="L817" s="12"/>
      <c r="M817" s="12"/>
      <c r="N817" s="12"/>
      <c r="O817" s="12"/>
      <c r="P817" s="12"/>
      <c r="Q817" s="12"/>
      <c r="R817" s="12"/>
      <c r="S817" s="12"/>
      <c r="T817" s="13"/>
      <c r="U817" s="46"/>
      <c r="V817" s="47"/>
      <c r="W817" s="48">
        <f t="shared" si="93"/>
        <v>0</v>
      </c>
      <c r="X817" s="48">
        <f t="shared" si="94"/>
        <v>0</v>
      </c>
      <c r="Y817" s="48">
        <f t="shared" si="95"/>
        <v>0</v>
      </c>
      <c r="Z817" s="48">
        <f t="shared" si="96"/>
        <v>0</v>
      </c>
      <c r="AA817" s="48"/>
      <c r="AB817" s="48"/>
      <c r="AC817" s="49">
        <f t="shared" si="97"/>
        <v>0</v>
      </c>
      <c r="AD817" s="50">
        <v>0</v>
      </c>
      <c r="AE817" s="47">
        <v>40087</v>
      </c>
      <c r="AF817" s="51" t="s">
        <v>1016</v>
      </c>
      <c r="AG817" s="52" t="s">
        <v>565</v>
      </c>
      <c r="AH817" s="53" t="s">
        <v>1281</v>
      </c>
      <c r="AI817" s="79"/>
      <c r="AJ817" s="80"/>
      <c r="AK817" s="81"/>
      <c r="AL817" s="80"/>
      <c r="AM817" s="80"/>
      <c r="AN817" s="80"/>
      <c r="AO817" s="80"/>
      <c r="AP817" s="80"/>
      <c r="AQ817" s="80"/>
      <c r="AR817" s="80"/>
      <c r="AS817" s="80"/>
      <c r="AT817" s="80"/>
      <c r="AU817" s="80"/>
      <c r="AV817" s="80"/>
      <c r="AW817" s="80"/>
      <c r="AX817" s="80"/>
      <c r="AY817" s="80"/>
      <c r="AZ817" s="80"/>
      <c r="BA817" s="80"/>
      <c r="BB817" s="80"/>
      <c r="BC817" s="80"/>
      <c r="BD817" s="80"/>
      <c r="BE817" s="80"/>
      <c r="BF817" s="80"/>
      <c r="BG817" s="80"/>
      <c r="BH817" s="80"/>
      <c r="BI817" s="80"/>
      <c r="BJ817" s="80"/>
      <c r="BK817" s="80"/>
      <c r="BL817" s="80"/>
      <c r="BM817" s="80"/>
      <c r="BN817" s="80"/>
      <c r="BO817" s="80"/>
      <c r="BP817" s="80"/>
      <c r="BQ817" s="80"/>
      <c r="BR817" s="80"/>
      <c r="BS817" s="80"/>
      <c r="BT817" s="80"/>
      <c r="BU817" s="80"/>
      <c r="BV817" s="80"/>
      <c r="BW817" s="80"/>
      <c r="BX817" s="80"/>
      <c r="BY817" s="80"/>
      <c r="BZ817" s="80"/>
      <c r="CA817" s="80"/>
      <c r="CB817" s="80"/>
      <c r="CC817" s="80"/>
      <c r="CD817" s="80"/>
      <c r="CE817" s="80"/>
      <c r="CF817" s="80"/>
      <c r="CG817" s="80"/>
      <c r="CH817" s="80"/>
      <c r="CI817" s="80"/>
      <c r="CJ817" s="80"/>
      <c r="CK817" s="82"/>
      <c r="CL817" s="12"/>
      <c r="CM817" s="82"/>
      <c r="CN817" s="12"/>
      <c r="CO817" s="82"/>
      <c r="CP817" s="12"/>
      <c r="CQ817" s="83">
        <f t="shared" si="98"/>
        <v>0</v>
      </c>
      <c r="CR817" s="84"/>
      <c r="CS817" s="13"/>
      <c r="CT817" s="85"/>
      <c r="CU817" s="86"/>
      <c r="CV817" s="11"/>
      <c r="CW817" s="86"/>
      <c r="CX817" s="84"/>
      <c r="CY817" s="86"/>
    </row>
    <row r="818" spans="1:104" ht="12.75" x14ac:dyDescent="0.2">
      <c r="A818" s="43">
        <v>40057</v>
      </c>
      <c r="B818" s="44" t="s">
        <v>413</v>
      </c>
      <c r="C818" s="44" t="s">
        <v>857</v>
      </c>
      <c r="D818" s="45" t="s">
        <v>1118</v>
      </c>
      <c r="E818" s="11"/>
      <c r="F818" s="12"/>
      <c r="G818" s="12"/>
      <c r="H818" s="12">
        <v>100</v>
      </c>
      <c r="I818" s="12">
        <v>50</v>
      </c>
      <c r="J818" s="12"/>
      <c r="K818" s="12"/>
      <c r="L818" s="12"/>
      <c r="M818" s="12"/>
      <c r="N818" s="12"/>
      <c r="O818" s="12"/>
      <c r="P818" s="12"/>
      <c r="Q818" s="12"/>
      <c r="R818" s="12"/>
      <c r="S818" s="12"/>
      <c r="T818" s="13"/>
      <c r="U818" s="46"/>
      <c r="V818" s="47"/>
      <c r="W818" s="48">
        <f t="shared" si="93"/>
        <v>0</v>
      </c>
      <c r="X818" s="48">
        <f t="shared" si="94"/>
        <v>0</v>
      </c>
      <c r="Y818" s="48">
        <f t="shared" si="95"/>
        <v>0</v>
      </c>
      <c r="Z818" s="48">
        <f t="shared" si="96"/>
        <v>0</v>
      </c>
      <c r="AA818" s="48"/>
      <c r="AB818" s="48"/>
      <c r="AC818" s="49">
        <f t="shared" si="97"/>
        <v>0</v>
      </c>
      <c r="AD818" s="50">
        <v>0</v>
      </c>
      <c r="AE818" s="47">
        <v>40087</v>
      </c>
      <c r="AF818" s="51" t="s">
        <v>1016</v>
      </c>
      <c r="AG818" s="52" t="s">
        <v>565</v>
      </c>
      <c r="AH818" s="53" t="s">
        <v>1281</v>
      </c>
      <c r="AI818" s="79"/>
      <c r="AJ818" s="80"/>
      <c r="AK818" s="81"/>
      <c r="AL818" s="80"/>
      <c r="AM818" s="80"/>
      <c r="AN818" s="80"/>
      <c r="AO818" s="80"/>
      <c r="AP818" s="80"/>
      <c r="AQ818" s="80"/>
      <c r="AR818" s="80"/>
      <c r="AS818" s="80"/>
      <c r="AT818" s="80"/>
      <c r="AU818" s="80"/>
      <c r="AV818" s="80"/>
      <c r="AW818" s="80"/>
      <c r="AX818" s="80"/>
      <c r="AY818" s="80"/>
      <c r="AZ818" s="80"/>
      <c r="BA818" s="80"/>
      <c r="BB818" s="80"/>
      <c r="BC818" s="80"/>
      <c r="BD818" s="80"/>
      <c r="BE818" s="80"/>
      <c r="BF818" s="80"/>
      <c r="BG818" s="80"/>
      <c r="BH818" s="80"/>
      <c r="BI818" s="80"/>
      <c r="BJ818" s="80"/>
      <c r="BK818" s="80"/>
      <c r="BL818" s="80"/>
      <c r="BM818" s="80"/>
      <c r="BN818" s="80"/>
      <c r="BO818" s="80"/>
      <c r="BP818" s="80"/>
      <c r="BQ818" s="80"/>
      <c r="BR818" s="80"/>
      <c r="BS818" s="80"/>
      <c r="BT818" s="80"/>
      <c r="BU818" s="80"/>
      <c r="BV818" s="80"/>
      <c r="BW818" s="80"/>
      <c r="BX818" s="80"/>
      <c r="BY818" s="80"/>
      <c r="BZ818" s="80"/>
      <c r="CA818" s="80"/>
      <c r="CB818" s="80"/>
      <c r="CC818" s="80"/>
      <c r="CD818" s="80"/>
      <c r="CE818" s="80"/>
      <c r="CF818" s="80"/>
      <c r="CG818" s="80"/>
      <c r="CH818" s="80"/>
      <c r="CI818" s="80"/>
      <c r="CJ818" s="80"/>
      <c r="CK818" s="82"/>
      <c r="CL818" s="12"/>
      <c r="CM818" s="82"/>
      <c r="CN818" s="12"/>
      <c r="CO818" s="82"/>
      <c r="CP818" s="12"/>
      <c r="CQ818" s="83">
        <f t="shared" si="98"/>
        <v>0</v>
      </c>
      <c r="CR818" s="84"/>
      <c r="CS818" s="13"/>
      <c r="CT818" s="85"/>
      <c r="CU818" s="86"/>
      <c r="CV818" s="11"/>
      <c r="CW818" s="86"/>
      <c r="CX818" s="84"/>
      <c r="CY818" s="86"/>
    </row>
    <row r="819" spans="1:104" ht="38.25" x14ac:dyDescent="0.2">
      <c r="A819" s="43">
        <v>40057</v>
      </c>
      <c r="B819" s="44" t="s">
        <v>413</v>
      </c>
      <c r="C819" s="44" t="s">
        <v>858</v>
      </c>
      <c r="D819" s="45" t="s">
        <v>1118</v>
      </c>
      <c r="E819" s="11"/>
      <c r="F819" s="12"/>
      <c r="G819" s="12"/>
      <c r="H819" s="12">
        <v>100</v>
      </c>
      <c r="I819" s="12">
        <v>50</v>
      </c>
      <c r="J819" s="12"/>
      <c r="K819" s="12"/>
      <c r="L819" s="12"/>
      <c r="M819" s="12"/>
      <c r="N819" s="12"/>
      <c r="O819" s="12"/>
      <c r="P819" s="12"/>
      <c r="Q819" s="12"/>
      <c r="R819" s="12"/>
      <c r="S819" s="12"/>
      <c r="T819" s="13"/>
      <c r="U819" s="46"/>
      <c r="V819" s="47"/>
      <c r="W819" s="48">
        <f t="shared" si="93"/>
        <v>0</v>
      </c>
      <c r="X819" s="48">
        <f t="shared" si="94"/>
        <v>0</v>
      </c>
      <c r="Y819" s="48">
        <f t="shared" si="95"/>
        <v>0</v>
      </c>
      <c r="Z819" s="48">
        <f t="shared" si="96"/>
        <v>0</v>
      </c>
      <c r="AA819" s="48"/>
      <c r="AB819" s="48"/>
      <c r="AC819" s="49">
        <f t="shared" si="97"/>
        <v>0</v>
      </c>
      <c r="AD819" s="50">
        <v>0</v>
      </c>
      <c r="AE819" s="47">
        <v>40087</v>
      </c>
      <c r="AF819" s="51" t="s">
        <v>1016</v>
      </c>
      <c r="AG819" s="52" t="s">
        <v>565</v>
      </c>
      <c r="AH819" s="53" t="s">
        <v>1281</v>
      </c>
      <c r="AI819" s="79"/>
      <c r="AJ819" s="80"/>
      <c r="AK819" s="81"/>
      <c r="AL819" s="80"/>
      <c r="AM819" s="80"/>
      <c r="AN819" s="80"/>
      <c r="AO819" s="80"/>
      <c r="AP819" s="80"/>
      <c r="AQ819" s="80"/>
      <c r="AR819" s="80"/>
      <c r="AS819" s="80"/>
      <c r="AT819" s="80"/>
      <c r="AU819" s="80"/>
      <c r="AV819" s="80"/>
      <c r="AW819" s="80"/>
      <c r="AX819" s="80"/>
      <c r="AY819" s="80"/>
      <c r="AZ819" s="80"/>
      <c r="BA819" s="80"/>
      <c r="BB819" s="80"/>
      <c r="BC819" s="80"/>
      <c r="BD819" s="80"/>
      <c r="BE819" s="80"/>
      <c r="BF819" s="80"/>
      <c r="BG819" s="80"/>
      <c r="BH819" s="80"/>
      <c r="BI819" s="80"/>
      <c r="BJ819" s="80"/>
      <c r="BK819" s="80"/>
      <c r="BL819" s="80"/>
      <c r="BM819" s="80"/>
      <c r="BN819" s="80"/>
      <c r="BO819" s="80"/>
      <c r="BP819" s="80"/>
      <c r="BQ819" s="80"/>
      <c r="BR819" s="80"/>
      <c r="BS819" s="80"/>
      <c r="BT819" s="80"/>
      <c r="BU819" s="80"/>
      <c r="BV819" s="80"/>
      <c r="BW819" s="80"/>
      <c r="BX819" s="80"/>
      <c r="BY819" s="80"/>
      <c r="BZ819" s="80"/>
      <c r="CA819" s="80"/>
      <c r="CB819" s="80"/>
      <c r="CC819" s="80"/>
      <c r="CD819" s="80"/>
      <c r="CE819" s="80"/>
      <c r="CF819" s="80"/>
      <c r="CG819" s="80"/>
      <c r="CH819" s="80"/>
      <c r="CI819" s="80"/>
      <c r="CJ819" s="80"/>
      <c r="CK819" s="82"/>
      <c r="CL819" s="12"/>
      <c r="CM819" s="82"/>
      <c r="CN819" s="12"/>
      <c r="CO819" s="82"/>
      <c r="CP819" s="12"/>
      <c r="CQ819" s="83">
        <f t="shared" si="98"/>
        <v>0</v>
      </c>
      <c r="CR819" s="84"/>
      <c r="CS819" s="13"/>
      <c r="CT819" s="85"/>
      <c r="CU819" s="86"/>
      <c r="CV819" s="11"/>
      <c r="CW819" s="86"/>
      <c r="CX819" s="84"/>
      <c r="CY819" s="86"/>
    </row>
    <row r="820" spans="1:104" ht="25.5" x14ac:dyDescent="0.2">
      <c r="A820" s="43">
        <v>40059</v>
      </c>
      <c r="B820" s="44" t="s">
        <v>625</v>
      </c>
      <c r="C820" s="44" t="s">
        <v>521</v>
      </c>
      <c r="D820" s="45" t="s">
        <v>1118</v>
      </c>
      <c r="E820" s="11"/>
      <c r="F820" s="12"/>
      <c r="G820" s="12"/>
      <c r="H820" s="12">
        <v>30</v>
      </c>
      <c r="I820" s="12">
        <v>6</v>
      </c>
      <c r="J820" s="12"/>
      <c r="K820" s="12">
        <v>6</v>
      </c>
      <c r="L820" s="12"/>
      <c r="M820" s="12"/>
      <c r="N820" s="12"/>
      <c r="O820" s="12"/>
      <c r="P820" s="12"/>
      <c r="Q820" s="12"/>
      <c r="R820" s="12"/>
      <c r="S820" s="12"/>
      <c r="T820" s="13"/>
      <c r="U820" s="46"/>
      <c r="V820" s="47"/>
      <c r="W820" s="48">
        <f t="shared" si="93"/>
        <v>0</v>
      </c>
      <c r="X820" s="48">
        <f t="shared" si="94"/>
        <v>0</v>
      </c>
      <c r="Y820" s="48">
        <f t="shared" si="95"/>
        <v>0</v>
      </c>
      <c r="Z820" s="48">
        <f t="shared" si="96"/>
        <v>0</v>
      </c>
      <c r="AA820" s="48"/>
      <c r="AB820" s="48"/>
      <c r="AC820" s="49">
        <f t="shared" si="97"/>
        <v>0</v>
      </c>
      <c r="AD820" s="50">
        <v>0</v>
      </c>
      <c r="AE820" s="47">
        <v>40061</v>
      </c>
      <c r="AF820" s="51" t="s">
        <v>516</v>
      </c>
      <c r="AG820" s="52" t="s">
        <v>517</v>
      </c>
      <c r="AH820" s="53" t="s">
        <v>1240</v>
      </c>
      <c r="AI820" s="79"/>
      <c r="AJ820" s="80"/>
      <c r="AK820" s="81"/>
      <c r="AL820" s="80"/>
      <c r="AM820" s="80"/>
      <c r="AN820" s="80"/>
      <c r="AO820" s="80"/>
      <c r="AP820" s="80"/>
      <c r="AQ820" s="80"/>
      <c r="AR820" s="80"/>
      <c r="AS820" s="80"/>
      <c r="AT820" s="80"/>
      <c r="AU820" s="80"/>
      <c r="AV820" s="80"/>
      <c r="AW820" s="80"/>
      <c r="AX820" s="80"/>
      <c r="AY820" s="80"/>
      <c r="AZ820" s="80"/>
      <c r="BA820" s="80"/>
      <c r="BB820" s="80"/>
      <c r="BC820" s="80"/>
      <c r="BD820" s="80"/>
      <c r="BE820" s="80"/>
      <c r="BF820" s="80"/>
      <c r="BG820" s="80"/>
      <c r="BH820" s="80"/>
      <c r="BI820" s="80"/>
      <c r="BJ820" s="80"/>
      <c r="BK820" s="80"/>
      <c r="BL820" s="80"/>
      <c r="BM820" s="80"/>
      <c r="BN820" s="80"/>
      <c r="BO820" s="80"/>
      <c r="BP820" s="80"/>
      <c r="BQ820" s="80"/>
      <c r="BR820" s="80"/>
      <c r="BS820" s="80"/>
      <c r="BT820" s="80"/>
      <c r="BU820" s="80"/>
      <c r="BV820" s="80"/>
      <c r="BW820" s="80"/>
      <c r="BX820" s="80"/>
      <c r="BY820" s="80"/>
      <c r="BZ820" s="80"/>
      <c r="CA820" s="80"/>
      <c r="CB820" s="80"/>
      <c r="CC820" s="80"/>
      <c r="CD820" s="80"/>
      <c r="CE820" s="80"/>
      <c r="CF820" s="80"/>
      <c r="CG820" s="80"/>
      <c r="CH820" s="80"/>
      <c r="CI820" s="80"/>
      <c r="CJ820" s="80"/>
      <c r="CK820" s="82"/>
      <c r="CL820" s="12"/>
      <c r="CM820" s="82"/>
      <c r="CN820" s="12"/>
      <c r="CO820" s="82"/>
      <c r="CP820" s="12"/>
      <c r="CQ820" s="83">
        <f t="shared" si="98"/>
        <v>0</v>
      </c>
      <c r="CR820" s="84"/>
      <c r="CS820" s="13"/>
      <c r="CT820" s="85"/>
      <c r="CU820" s="86"/>
      <c r="CV820" s="11"/>
      <c r="CW820" s="86"/>
      <c r="CX820" s="84"/>
      <c r="CY820" s="86"/>
    </row>
    <row r="821" spans="1:104" ht="25.5" x14ac:dyDescent="0.2">
      <c r="A821" s="43">
        <v>40059</v>
      </c>
      <c r="B821" s="44" t="s">
        <v>625</v>
      </c>
      <c r="C821" s="44" t="s">
        <v>110</v>
      </c>
      <c r="D821" s="45" t="s">
        <v>1117</v>
      </c>
      <c r="E821" s="11"/>
      <c r="F821" s="12"/>
      <c r="G821" s="12"/>
      <c r="H821" s="12"/>
      <c r="I821" s="12"/>
      <c r="J821" s="12"/>
      <c r="K821" s="12"/>
      <c r="L821" s="12"/>
      <c r="M821" s="12"/>
      <c r="N821" s="12"/>
      <c r="O821" s="12"/>
      <c r="P821" s="12"/>
      <c r="Q821" s="12"/>
      <c r="R821" s="12"/>
      <c r="S821" s="12"/>
      <c r="T821" s="13"/>
      <c r="U821" s="46"/>
      <c r="V821" s="47"/>
      <c r="W821" s="48">
        <f t="shared" si="93"/>
        <v>0</v>
      </c>
      <c r="X821" s="48">
        <f t="shared" si="94"/>
        <v>0</v>
      </c>
      <c r="Y821" s="48">
        <f t="shared" si="95"/>
        <v>0</v>
      </c>
      <c r="Z821" s="48">
        <f t="shared" si="96"/>
        <v>0</v>
      </c>
      <c r="AA821" s="48"/>
      <c r="AB821" s="48"/>
      <c r="AC821" s="49">
        <f t="shared" si="97"/>
        <v>0</v>
      </c>
      <c r="AD821" s="50">
        <v>0</v>
      </c>
      <c r="AE821" s="47">
        <v>40059</v>
      </c>
      <c r="AF821" s="51" t="s">
        <v>516</v>
      </c>
      <c r="AG821" s="52" t="s">
        <v>517</v>
      </c>
      <c r="AH821" s="53" t="s">
        <v>111</v>
      </c>
      <c r="AI821" s="79"/>
      <c r="AJ821" s="80"/>
      <c r="AK821" s="81"/>
      <c r="AL821" s="80"/>
      <c r="AM821" s="80"/>
      <c r="AN821" s="80"/>
      <c r="AO821" s="80"/>
      <c r="AP821" s="80"/>
      <c r="AQ821" s="80"/>
      <c r="AR821" s="80"/>
      <c r="AS821" s="80"/>
      <c r="AT821" s="80"/>
      <c r="AU821" s="80"/>
      <c r="AV821" s="80"/>
      <c r="AW821" s="80"/>
      <c r="AX821" s="80"/>
      <c r="AY821" s="80"/>
      <c r="AZ821" s="80"/>
      <c r="BA821" s="80"/>
      <c r="BB821" s="80"/>
      <c r="BC821" s="80"/>
      <c r="BD821" s="80"/>
      <c r="BE821" s="80"/>
      <c r="BF821" s="80"/>
      <c r="BG821" s="80"/>
      <c r="BH821" s="80"/>
      <c r="BI821" s="80"/>
      <c r="BJ821" s="80"/>
      <c r="BK821" s="80"/>
      <c r="BL821" s="80"/>
      <c r="BM821" s="80"/>
      <c r="BN821" s="80"/>
      <c r="BO821" s="80"/>
      <c r="BP821" s="80"/>
      <c r="BQ821" s="80"/>
      <c r="BR821" s="80"/>
      <c r="BS821" s="80"/>
      <c r="BT821" s="80"/>
      <c r="BU821" s="80"/>
      <c r="BV821" s="80"/>
      <c r="BW821" s="80"/>
      <c r="BX821" s="80"/>
      <c r="BY821" s="80"/>
      <c r="BZ821" s="80"/>
      <c r="CA821" s="80"/>
      <c r="CB821" s="80"/>
      <c r="CC821" s="80"/>
      <c r="CD821" s="80"/>
      <c r="CE821" s="80"/>
      <c r="CF821" s="80"/>
      <c r="CG821" s="80"/>
      <c r="CH821" s="80"/>
      <c r="CI821" s="80"/>
      <c r="CJ821" s="80"/>
      <c r="CK821" s="82"/>
      <c r="CL821" s="12"/>
      <c r="CM821" s="82"/>
      <c r="CN821" s="12"/>
      <c r="CO821" s="82"/>
      <c r="CP821" s="12"/>
      <c r="CQ821" s="83">
        <f t="shared" si="98"/>
        <v>0</v>
      </c>
      <c r="CR821" s="84"/>
      <c r="CS821" s="13"/>
      <c r="CT821" s="85"/>
      <c r="CU821" s="86"/>
      <c r="CV821" s="11"/>
      <c r="CW821" s="86"/>
      <c r="CX821" s="84"/>
      <c r="CY821" s="86"/>
    </row>
    <row r="822" spans="1:104" ht="25.5" x14ac:dyDescent="0.2">
      <c r="A822" s="43">
        <v>40059</v>
      </c>
      <c r="B822" s="44" t="s">
        <v>1453</v>
      </c>
      <c r="C822" s="44" t="s">
        <v>1154</v>
      </c>
      <c r="D822" s="45" t="s">
        <v>1117</v>
      </c>
      <c r="E822" s="11"/>
      <c r="F822" s="12">
        <v>7</v>
      </c>
      <c r="G822" s="12"/>
      <c r="H822" s="12">
        <f>460*5</f>
        <v>2300</v>
      </c>
      <c r="I822" s="12">
        <v>460</v>
      </c>
      <c r="J822" s="12"/>
      <c r="K822" s="12">
        <v>460</v>
      </c>
      <c r="L822" s="12"/>
      <c r="M822" s="12"/>
      <c r="N822" s="12"/>
      <c r="O822" s="12"/>
      <c r="P822" s="12"/>
      <c r="Q822" s="12"/>
      <c r="R822" s="12"/>
      <c r="S822" s="12"/>
      <c r="T822" s="13"/>
      <c r="U822" s="46"/>
      <c r="V822" s="47"/>
      <c r="W822" s="48">
        <f t="shared" si="93"/>
        <v>0</v>
      </c>
      <c r="X822" s="48">
        <f t="shared" si="94"/>
        <v>0</v>
      </c>
      <c r="Y822" s="48">
        <f t="shared" si="95"/>
        <v>88134000</v>
      </c>
      <c r="Z822" s="48">
        <f t="shared" si="96"/>
        <v>0</v>
      </c>
      <c r="AA822" s="48"/>
      <c r="AB822" s="48"/>
      <c r="AC822" s="49">
        <f t="shared" si="97"/>
        <v>88134000</v>
      </c>
      <c r="AD822" s="50">
        <v>0</v>
      </c>
      <c r="AE822" s="47">
        <v>40061</v>
      </c>
      <c r="AF822" s="51" t="s">
        <v>1016</v>
      </c>
      <c r="AG822" s="52" t="s">
        <v>565</v>
      </c>
      <c r="AH822" s="53" t="s">
        <v>1480</v>
      </c>
      <c r="AI822" s="79"/>
      <c r="AJ822" s="80"/>
      <c r="AK822" s="81"/>
      <c r="AL822" s="80"/>
      <c r="AM822" s="80"/>
      <c r="AN822" s="80"/>
      <c r="AO822" s="80"/>
      <c r="AP822" s="80"/>
      <c r="AQ822" s="80"/>
      <c r="AR822" s="80"/>
      <c r="AS822" s="80"/>
      <c r="AT822" s="80"/>
      <c r="AU822" s="80"/>
      <c r="AV822" s="80"/>
      <c r="AW822" s="80"/>
      <c r="AX822" s="80"/>
      <c r="AY822" s="80"/>
      <c r="AZ822" s="80"/>
      <c r="BA822" s="80"/>
      <c r="BB822" s="80"/>
      <c r="BC822" s="80"/>
      <c r="BD822" s="80"/>
      <c r="BE822" s="80"/>
      <c r="BF822" s="80"/>
      <c r="BG822" s="80"/>
      <c r="BH822" s="80"/>
      <c r="BI822" s="80"/>
      <c r="BJ822" s="80"/>
      <c r="BK822" s="80"/>
      <c r="BL822" s="80"/>
      <c r="BM822" s="80"/>
      <c r="BN822" s="80"/>
      <c r="BO822" s="80"/>
      <c r="BP822" s="80"/>
      <c r="BQ822" s="80"/>
      <c r="BR822" s="80"/>
      <c r="BS822" s="80"/>
      <c r="BT822" s="80"/>
      <c r="BU822" s="80"/>
      <c r="BV822" s="80"/>
      <c r="BW822" s="80"/>
      <c r="BX822" s="80"/>
      <c r="BY822" s="80"/>
      <c r="BZ822" s="80"/>
      <c r="CA822" s="80"/>
      <c r="CB822" s="80"/>
      <c r="CC822" s="80"/>
      <c r="CD822" s="80"/>
      <c r="CE822" s="80"/>
      <c r="CF822" s="80"/>
      <c r="CG822" s="80"/>
      <c r="CH822" s="80"/>
      <c r="CI822" s="80"/>
      <c r="CJ822" s="80"/>
      <c r="CK822" s="82"/>
      <c r="CL822" s="12"/>
      <c r="CM822" s="82"/>
      <c r="CN822" s="12"/>
      <c r="CO822" s="82"/>
      <c r="CP822" s="12"/>
      <c r="CQ822" s="83">
        <f t="shared" si="98"/>
        <v>0</v>
      </c>
      <c r="CR822" s="84"/>
      <c r="CS822" s="13"/>
      <c r="CT822" s="85"/>
      <c r="CU822" s="86"/>
      <c r="CV822" s="11"/>
      <c r="CW822" s="86"/>
      <c r="CX822" s="84">
        <v>3700</v>
      </c>
      <c r="CY822" s="86">
        <f>3700*22500+22200*220</f>
        <v>88134000</v>
      </c>
    </row>
    <row r="823" spans="1:104" ht="12.75" x14ac:dyDescent="0.2">
      <c r="A823" s="43">
        <v>40059</v>
      </c>
      <c r="B823" s="44" t="s">
        <v>1453</v>
      </c>
      <c r="C823" s="44" t="s">
        <v>708</v>
      </c>
      <c r="D823" s="45" t="s">
        <v>1117</v>
      </c>
      <c r="E823" s="11"/>
      <c r="F823" s="12"/>
      <c r="G823" s="12"/>
      <c r="H823" s="12">
        <f>98*5</f>
        <v>490</v>
      </c>
      <c r="I823" s="12">
        <v>98</v>
      </c>
      <c r="J823" s="12"/>
      <c r="K823" s="12">
        <v>98</v>
      </c>
      <c r="L823" s="12"/>
      <c r="M823" s="12"/>
      <c r="N823" s="12"/>
      <c r="O823" s="12"/>
      <c r="P823" s="12"/>
      <c r="Q823" s="12"/>
      <c r="R823" s="12"/>
      <c r="S823" s="12"/>
      <c r="T823" s="13"/>
      <c r="U823" s="46"/>
      <c r="V823" s="47">
        <v>40106</v>
      </c>
      <c r="W823" s="48">
        <f t="shared" si="93"/>
        <v>0</v>
      </c>
      <c r="X823" s="48">
        <f t="shared" si="94"/>
        <v>0</v>
      </c>
      <c r="Y823" s="48">
        <f t="shared" si="95"/>
        <v>28500000</v>
      </c>
      <c r="Z823" s="48">
        <f t="shared" si="96"/>
        <v>0</v>
      </c>
      <c r="AA823" s="48"/>
      <c r="AB823" s="48"/>
      <c r="AC823" s="49">
        <f t="shared" si="97"/>
        <v>28500000</v>
      </c>
      <c r="AD823" s="50">
        <v>0</v>
      </c>
      <c r="AE823" s="47">
        <v>40064</v>
      </c>
      <c r="AF823" s="51" t="s">
        <v>1016</v>
      </c>
      <c r="AG823" s="52" t="s">
        <v>565</v>
      </c>
      <c r="AH823" s="53"/>
      <c r="AI823" s="79"/>
      <c r="AJ823" s="80"/>
      <c r="AK823" s="81"/>
      <c r="AL823" s="80"/>
      <c r="AM823" s="80"/>
      <c r="AN823" s="80"/>
      <c r="AO823" s="80"/>
      <c r="AP823" s="80"/>
      <c r="AQ823" s="80"/>
      <c r="AR823" s="80"/>
      <c r="AS823" s="80"/>
      <c r="AT823" s="80"/>
      <c r="AU823" s="80"/>
      <c r="AV823" s="80"/>
      <c r="AW823" s="80"/>
      <c r="AX823" s="80"/>
      <c r="AY823" s="80"/>
      <c r="AZ823" s="80"/>
      <c r="BA823" s="80"/>
      <c r="BB823" s="80"/>
      <c r="BC823" s="80"/>
      <c r="BD823" s="80"/>
      <c r="BE823" s="80"/>
      <c r="BF823" s="80"/>
      <c r="BG823" s="80"/>
      <c r="BH823" s="80"/>
      <c r="BI823" s="80"/>
      <c r="BJ823" s="80"/>
      <c r="BK823" s="80"/>
      <c r="BL823" s="80"/>
      <c r="BM823" s="80"/>
      <c r="BN823" s="80"/>
      <c r="BO823" s="80"/>
      <c r="BP823" s="80"/>
      <c r="BQ823" s="80"/>
      <c r="BR823" s="80"/>
      <c r="BS823" s="80"/>
      <c r="BT823" s="80"/>
      <c r="BU823" s="80"/>
      <c r="BV823" s="80"/>
      <c r="BW823" s="80"/>
      <c r="BX823" s="80"/>
      <c r="BY823" s="80"/>
      <c r="BZ823" s="80"/>
      <c r="CA823" s="80"/>
      <c r="CB823" s="80"/>
      <c r="CC823" s="80"/>
      <c r="CD823" s="80"/>
      <c r="CE823" s="80"/>
      <c r="CF823" s="80"/>
      <c r="CG823" s="80"/>
      <c r="CH823" s="80"/>
      <c r="CI823" s="80"/>
      <c r="CJ823" s="80"/>
      <c r="CK823" s="82"/>
      <c r="CL823" s="12"/>
      <c r="CM823" s="82"/>
      <c r="CN823" s="12"/>
      <c r="CO823" s="82"/>
      <c r="CP823" s="12"/>
      <c r="CQ823" s="83">
        <f t="shared" si="98"/>
        <v>0</v>
      </c>
      <c r="CR823" s="84"/>
      <c r="CS823" s="13"/>
      <c r="CT823" s="85"/>
      <c r="CU823" s="86"/>
      <c r="CV823" s="11">
        <v>300</v>
      </c>
      <c r="CW823" s="86">
        <f>300*25000</f>
        <v>7500000</v>
      </c>
      <c r="CX823" s="84">
        <v>1000</v>
      </c>
      <c r="CY823" s="86">
        <f>1000*21000</f>
        <v>21000000</v>
      </c>
    </row>
    <row r="824" spans="1:104" ht="25.5" x14ac:dyDescent="0.2">
      <c r="A824" s="43">
        <v>40060</v>
      </c>
      <c r="B824" s="44" t="s">
        <v>1114</v>
      </c>
      <c r="C824" s="44" t="s">
        <v>560</v>
      </c>
      <c r="D824" s="45" t="s">
        <v>1117</v>
      </c>
      <c r="E824" s="11"/>
      <c r="F824" s="12"/>
      <c r="G824" s="12"/>
      <c r="H824" s="12">
        <v>85</v>
      </c>
      <c r="I824" s="12">
        <v>17</v>
      </c>
      <c r="J824" s="12"/>
      <c r="K824" s="12">
        <v>17</v>
      </c>
      <c r="L824" s="12"/>
      <c r="M824" s="12"/>
      <c r="N824" s="12"/>
      <c r="O824" s="12"/>
      <c r="P824" s="12"/>
      <c r="Q824" s="12"/>
      <c r="R824" s="12"/>
      <c r="S824" s="12"/>
      <c r="T824" s="13"/>
      <c r="U824" s="46"/>
      <c r="V824" s="47"/>
      <c r="W824" s="48">
        <f t="shared" si="93"/>
        <v>0</v>
      </c>
      <c r="X824" s="48">
        <f t="shared" si="94"/>
        <v>0</v>
      </c>
      <c r="Y824" s="48">
        <f t="shared" si="95"/>
        <v>0</v>
      </c>
      <c r="Z824" s="48">
        <f t="shared" si="96"/>
        <v>0</v>
      </c>
      <c r="AA824" s="48"/>
      <c r="AB824" s="48"/>
      <c r="AC824" s="49">
        <f t="shared" si="97"/>
        <v>0</v>
      </c>
      <c r="AD824" s="50">
        <v>0</v>
      </c>
      <c r="AE824" s="47">
        <v>40061</v>
      </c>
      <c r="AF824" s="51" t="s">
        <v>516</v>
      </c>
      <c r="AG824" s="52" t="s">
        <v>517</v>
      </c>
      <c r="AH824" s="53" t="s">
        <v>313</v>
      </c>
      <c r="AI824" s="79"/>
      <c r="AJ824" s="80"/>
      <c r="AK824" s="81"/>
      <c r="AL824" s="80"/>
      <c r="AM824" s="80"/>
      <c r="AN824" s="80"/>
      <c r="AO824" s="80"/>
      <c r="AP824" s="80"/>
      <c r="AQ824" s="80"/>
      <c r="AR824" s="80"/>
      <c r="AS824" s="80"/>
      <c r="AT824" s="80"/>
      <c r="AU824" s="80"/>
      <c r="AV824" s="80"/>
      <c r="AW824" s="80"/>
      <c r="AX824" s="80"/>
      <c r="AY824" s="80"/>
      <c r="AZ824" s="80"/>
      <c r="BA824" s="80"/>
      <c r="BB824" s="80"/>
      <c r="BC824" s="80"/>
      <c r="BD824" s="80"/>
      <c r="BE824" s="80"/>
      <c r="BF824" s="80"/>
      <c r="BG824" s="80"/>
      <c r="BH824" s="80"/>
      <c r="BI824" s="80"/>
      <c r="BJ824" s="80"/>
      <c r="BK824" s="80"/>
      <c r="BL824" s="80"/>
      <c r="BM824" s="80"/>
      <c r="BN824" s="80"/>
      <c r="BO824" s="80"/>
      <c r="BP824" s="80"/>
      <c r="BQ824" s="80"/>
      <c r="BR824" s="80"/>
      <c r="BS824" s="80"/>
      <c r="BT824" s="80"/>
      <c r="BU824" s="80"/>
      <c r="BV824" s="80"/>
      <c r="BW824" s="80"/>
      <c r="BX824" s="80"/>
      <c r="BY824" s="80"/>
      <c r="BZ824" s="80"/>
      <c r="CA824" s="80"/>
      <c r="CB824" s="80"/>
      <c r="CC824" s="80"/>
      <c r="CD824" s="80"/>
      <c r="CE824" s="80"/>
      <c r="CF824" s="80"/>
      <c r="CG824" s="80"/>
      <c r="CH824" s="80"/>
      <c r="CI824" s="80"/>
      <c r="CJ824" s="80"/>
      <c r="CK824" s="82"/>
      <c r="CL824" s="12"/>
      <c r="CM824" s="82"/>
      <c r="CN824" s="12"/>
      <c r="CO824" s="82"/>
      <c r="CP824" s="12"/>
      <c r="CQ824" s="83">
        <f t="shared" si="98"/>
        <v>0</v>
      </c>
      <c r="CR824" s="84"/>
      <c r="CS824" s="13"/>
      <c r="CT824" s="85"/>
      <c r="CU824" s="86"/>
      <c r="CV824" s="11"/>
      <c r="CW824" s="86"/>
      <c r="CX824" s="84"/>
      <c r="CY824" s="86"/>
    </row>
    <row r="825" spans="1:104" ht="25.5" x14ac:dyDescent="0.2">
      <c r="A825" s="43">
        <v>40061</v>
      </c>
      <c r="B825" s="44" t="s">
        <v>1224</v>
      </c>
      <c r="C825" s="44" t="s">
        <v>925</v>
      </c>
      <c r="D825" s="45" t="s">
        <v>1117</v>
      </c>
      <c r="E825" s="11"/>
      <c r="F825" s="12"/>
      <c r="G825" s="12"/>
      <c r="H825" s="12">
        <f>41*5</f>
        <v>205</v>
      </c>
      <c r="I825" s="12">
        <f>3+23+3+12</f>
        <v>41</v>
      </c>
      <c r="J825" s="12"/>
      <c r="K825" s="12">
        <v>41</v>
      </c>
      <c r="L825" s="12"/>
      <c r="M825" s="12"/>
      <c r="N825" s="12"/>
      <c r="O825" s="12"/>
      <c r="P825" s="12"/>
      <c r="Q825" s="12"/>
      <c r="R825" s="12"/>
      <c r="S825" s="12"/>
      <c r="T825" s="13"/>
      <c r="U825" s="46"/>
      <c r="V825" s="47"/>
      <c r="W825" s="48">
        <f t="shared" si="93"/>
        <v>0</v>
      </c>
      <c r="X825" s="48">
        <f t="shared" si="94"/>
        <v>0</v>
      </c>
      <c r="Y825" s="48">
        <f t="shared" si="95"/>
        <v>0</v>
      </c>
      <c r="Z825" s="48">
        <f t="shared" si="96"/>
        <v>0</v>
      </c>
      <c r="AA825" s="48"/>
      <c r="AB825" s="48"/>
      <c r="AC825" s="49">
        <f t="shared" si="97"/>
        <v>0</v>
      </c>
      <c r="AD825" s="50">
        <v>0</v>
      </c>
      <c r="AE825" s="47">
        <v>40063</v>
      </c>
      <c r="AF825" s="51" t="s">
        <v>1016</v>
      </c>
      <c r="AG825" s="52" t="s">
        <v>565</v>
      </c>
      <c r="AH825" s="53" t="s">
        <v>652</v>
      </c>
      <c r="AI825" s="79"/>
      <c r="AJ825" s="80"/>
      <c r="AK825" s="81"/>
      <c r="AL825" s="80"/>
      <c r="AM825" s="80"/>
      <c r="AN825" s="80"/>
      <c r="AO825" s="80"/>
      <c r="AP825" s="80"/>
      <c r="AQ825" s="80"/>
      <c r="AR825" s="80"/>
      <c r="AS825" s="80"/>
      <c r="AT825" s="80"/>
      <c r="AU825" s="80"/>
      <c r="AV825" s="80"/>
      <c r="AW825" s="80"/>
      <c r="AX825" s="80"/>
      <c r="AY825" s="80"/>
      <c r="AZ825" s="80"/>
      <c r="BA825" s="80"/>
      <c r="BB825" s="80"/>
      <c r="BC825" s="80"/>
      <c r="BD825" s="80"/>
      <c r="BE825" s="80"/>
      <c r="BF825" s="80"/>
      <c r="BG825" s="80"/>
      <c r="BH825" s="80"/>
      <c r="BI825" s="80"/>
      <c r="BJ825" s="80"/>
      <c r="BK825" s="80"/>
      <c r="BL825" s="80"/>
      <c r="BM825" s="80"/>
      <c r="BN825" s="80"/>
      <c r="BO825" s="80"/>
      <c r="BP825" s="80"/>
      <c r="BQ825" s="80"/>
      <c r="BR825" s="80"/>
      <c r="BS825" s="80"/>
      <c r="BT825" s="80"/>
      <c r="BU825" s="80"/>
      <c r="BV825" s="80"/>
      <c r="BW825" s="80"/>
      <c r="BX825" s="80"/>
      <c r="BY825" s="80"/>
      <c r="BZ825" s="80"/>
      <c r="CA825" s="80"/>
      <c r="CB825" s="80"/>
      <c r="CC825" s="80"/>
      <c r="CD825" s="80"/>
      <c r="CE825" s="80"/>
      <c r="CF825" s="80"/>
      <c r="CG825" s="80"/>
      <c r="CH825" s="80"/>
      <c r="CI825" s="80"/>
      <c r="CJ825" s="80"/>
      <c r="CK825" s="82"/>
      <c r="CL825" s="12"/>
      <c r="CM825" s="82"/>
      <c r="CN825" s="12"/>
      <c r="CO825" s="82"/>
      <c r="CP825" s="12"/>
      <c r="CQ825" s="83">
        <f t="shared" si="98"/>
        <v>0</v>
      </c>
      <c r="CR825" s="84"/>
      <c r="CS825" s="13"/>
      <c r="CT825" s="85"/>
      <c r="CU825" s="86"/>
      <c r="CV825" s="11"/>
      <c r="CW825" s="86"/>
      <c r="CX825" s="84"/>
      <c r="CY825" s="86"/>
    </row>
    <row r="826" spans="1:104" ht="38.25" x14ac:dyDescent="0.2">
      <c r="A826" s="43">
        <v>40061</v>
      </c>
      <c r="B826" s="44" t="s">
        <v>1224</v>
      </c>
      <c r="C826" s="44" t="s">
        <v>925</v>
      </c>
      <c r="D826" s="45" t="s">
        <v>1068</v>
      </c>
      <c r="E826" s="11">
        <v>1</v>
      </c>
      <c r="F826" s="12"/>
      <c r="G826" s="12"/>
      <c r="H826" s="12">
        <f>80*5</f>
        <v>400</v>
      </c>
      <c r="I826" s="12">
        <v>80</v>
      </c>
      <c r="J826" s="12"/>
      <c r="K826" s="12">
        <f>58+11+4+6+1</f>
        <v>80</v>
      </c>
      <c r="L826" s="12"/>
      <c r="M826" s="12"/>
      <c r="N826" s="12"/>
      <c r="O826" s="12"/>
      <c r="P826" s="12"/>
      <c r="Q826" s="12"/>
      <c r="R826" s="12"/>
      <c r="S826" s="12"/>
      <c r="T826" s="13"/>
      <c r="U826" s="46"/>
      <c r="V826" s="47"/>
      <c r="W826" s="48">
        <f t="shared" si="93"/>
        <v>0</v>
      </c>
      <c r="X826" s="48">
        <f t="shared" si="94"/>
        <v>0</v>
      </c>
      <c r="Y826" s="48">
        <f t="shared" si="95"/>
        <v>0</v>
      </c>
      <c r="Z826" s="48">
        <f t="shared" si="96"/>
        <v>0</v>
      </c>
      <c r="AA826" s="48"/>
      <c r="AB826" s="48"/>
      <c r="AC826" s="49">
        <f t="shared" si="97"/>
        <v>0</v>
      </c>
      <c r="AD826" s="50">
        <v>0</v>
      </c>
      <c r="AE826" s="47">
        <v>40063</v>
      </c>
      <c r="AF826" s="51" t="s">
        <v>1016</v>
      </c>
      <c r="AG826" s="52" t="s">
        <v>565</v>
      </c>
      <c r="AH826" s="53" t="s">
        <v>653</v>
      </c>
      <c r="AI826" s="79"/>
      <c r="AJ826" s="80"/>
      <c r="AK826" s="81"/>
      <c r="AL826" s="80"/>
      <c r="AM826" s="80"/>
      <c r="AN826" s="80"/>
      <c r="AO826" s="80"/>
      <c r="AP826" s="80"/>
      <c r="AQ826" s="80"/>
      <c r="AR826" s="80"/>
      <c r="AS826" s="80"/>
      <c r="AT826" s="80"/>
      <c r="AU826" s="80"/>
      <c r="AV826" s="80"/>
      <c r="AW826" s="80"/>
      <c r="AX826" s="80"/>
      <c r="AY826" s="80"/>
      <c r="AZ826" s="80"/>
      <c r="BA826" s="80"/>
      <c r="BB826" s="80"/>
      <c r="BC826" s="80"/>
      <c r="BD826" s="80"/>
      <c r="BE826" s="80"/>
      <c r="BF826" s="80"/>
      <c r="BG826" s="80"/>
      <c r="BH826" s="80"/>
      <c r="BI826" s="80"/>
      <c r="BJ826" s="80"/>
      <c r="BK826" s="80"/>
      <c r="BL826" s="80"/>
      <c r="BM826" s="80"/>
      <c r="BN826" s="80"/>
      <c r="BO826" s="80"/>
      <c r="BP826" s="80"/>
      <c r="BQ826" s="80"/>
      <c r="BR826" s="80"/>
      <c r="BS826" s="80"/>
      <c r="BT826" s="80"/>
      <c r="BU826" s="80"/>
      <c r="BV826" s="80"/>
      <c r="BW826" s="80"/>
      <c r="BX826" s="80"/>
      <c r="BY826" s="80"/>
      <c r="BZ826" s="80"/>
      <c r="CA826" s="80"/>
      <c r="CB826" s="80"/>
      <c r="CC826" s="80"/>
      <c r="CD826" s="80"/>
      <c r="CE826" s="80"/>
      <c r="CF826" s="80"/>
      <c r="CG826" s="80"/>
      <c r="CH826" s="80"/>
      <c r="CI826" s="80"/>
      <c r="CJ826" s="80"/>
      <c r="CK826" s="82"/>
      <c r="CL826" s="12"/>
      <c r="CM826" s="82"/>
      <c r="CN826" s="12"/>
      <c r="CO826" s="82"/>
      <c r="CP826" s="12"/>
      <c r="CQ826" s="83">
        <f t="shared" si="98"/>
        <v>0</v>
      </c>
      <c r="CR826" s="84"/>
      <c r="CS826" s="13"/>
      <c r="CT826" s="85"/>
      <c r="CU826" s="86"/>
      <c r="CV826" s="11"/>
      <c r="CW826" s="86"/>
      <c r="CX826" s="84"/>
      <c r="CY826" s="86"/>
    </row>
    <row r="827" spans="1:104" ht="76.5" x14ac:dyDescent="0.2">
      <c r="A827" s="43">
        <v>40061</v>
      </c>
      <c r="B827" s="44" t="s">
        <v>1224</v>
      </c>
      <c r="C827" s="44" t="s">
        <v>925</v>
      </c>
      <c r="D827" s="45" t="s">
        <v>1231</v>
      </c>
      <c r="E827" s="11"/>
      <c r="F827" s="12"/>
      <c r="G827" s="12"/>
      <c r="H827" s="12"/>
      <c r="I827" s="12"/>
      <c r="J827" s="12"/>
      <c r="K827" s="12"/>
      <c r="L827" s="12"/>
      <c r="M827" s="12"/>
      <c r="N827" s="12"/>
      <c r="O827" s="12"/>
      <c r="P827" s="12"/>
      <c r="Q827" s="12"/>
      <c r="R827" s="12"/>
      <c r="S827" s="12"/>
      <c r="T827" s="13"/>
      <c r="U827" s="46"/>
      <c r="V827" s="47">
        <v>40094</v>
      </c>
      <c r="W827" s="48">
        <f t="shared" si="93"/>
        <v>13230000</v>
      </c>
      <c r="X827" s="48">
        <f t="shared" si="94"/>
        <v>11900000</v>
      </c>
      <c r="Y827" s="48">
        <f t="shared" si="95"/>
        <v>51570480</v>
      </c>
      <c r="Z827" s="48">
        <f t="shared" si="96"/>
        <v>0</v>
      </c>
      <c r="AA827" s="48">
        <f>116760+74970+71900+65550+89900+443700+98136+339880+4546968+2266524+1960400+1763200+2302600+8752200+1206400+853760</f>
        <v>24952848</v>
      </c>
      <c r="AB827" s="48"/>
      <c r="AC827" s="49">
        <f t="shared" si="97"/>
        <v>101653328</v>
      </c>
      <c r="AD827" s="50">
        <v>0</v>
      </c>
      <c r="AE827" s="47">
        <v>40063</v>
      </c>
      <c r="AF827" s="51" t="s">
        <v>1016</v>
      </c>
      <c r="AG827" s="52" t="s">
        <v>565</v>
      </c>
      <c r="AH827" s="53" t="s">
        <v>29</v>
      </c>
      <c r="AI827" s="79"/>
      <c r="AJ827" s="80"/>
      <c r="AK827" s="81"/>
      <c r="AL827" s="80"/>
      <c r="AM827" s="80"/>
      <c r="AN827" s="80"/>
      <c r="AO827" s="80"/>
      <c r="AP827" s="80"/>
      <c r="AQ827" s="80"/>
      <c r="AR827" s="80"/>
      <c r="AS827" s="80"/>
      <c r="AT827" s="80"/>
      <c r="AU827" s="80">
        <v>140</v>
      </c>
      <c r="AV827" s="80">
        <f>140*56000</f>
        <v>7840000</v>
      </c>
      <c r="AW827" s="80"/>
      <c r="AX827" s="80"/>
      <c r="AY827" s="80"/>
      <c r="AZ827" s="80"/>
      <c r="BA827" s="80"/>
      <c r="BB827" s="80"/>
      <c r="BC827" s="80"/>
      <c r="BD827" s="80"/>
      <c r="BE827" s="80"/>
      <c r="BF827" s="80"/>
      <c r="BG827" s="80"/>
      <c r="BH827" s="80"/>
      <c r="BI827" s="80"/>
      <c r="BJ827" s="80"/>
      <c r="BK827" s="80"/>
      <c r="BL827" s="80"/>
      <c r="BM827" s="80"/>
      <c r="BN827" s="80"/>
      <c r="BO827" s="80"/>
      <c r="BP827" s="80"/>
      <c r="BQ827" s="80"/>
      <c r="BR827" s="80"/>
      <c r="BS827" s="80"/>
      <c r="BT827" s="80"/>
      <c r="BU827" s="80"/>
      <c r="BV827" s="80"/>
      <c r="BW827" s="80"/>
      <c r="BX827" s="80"/>
      <c r="BY827" s="80"/>
      <c r="BZ827" s="80"/>
      <c r="CA827" s="80"/>
      <c r="CB827" s="80"/>
      <c r="CC827" s="80"/>
      <c r="CD827" s="80"/>
      <c r="CE827" s="80"/>
      <c r="CF827" s="80"/>
      <c r="CG827" s="80"/>
      <c r="CH827" s="80"/>
      <c r="CI827" s="80"/>
      <c r="CJ827" s="80"/>
      <c r="CK827" s="82">
        <v>140</v>
      </c>
      <c r="CL827" s="12">
        <f>140*38500</f>
        <v>5390000</v>
      </c>
      <c r="CM827" s="82"/>
      <c r="CN827" s="12"/>
      <c r="CO827" s="82"/>
      <c r="CP827" s="12"/>
      <c r="CQ827" s="83">
        <f t="shared" si="98"/>
        <v>13230000</v>
      </c>
      <c r="CR827" s="84"/>
      <c r="CS827" s="13"/>
      <c r="CT827" s="85">
        <v>140</v>
      </c>
      <c r="CU827" s="86">
        <f>140*85000</f>
        <v>11900000</v>
      </c>
      <c r="CV827" s="11"/>
      <c r="CW827" s="86"/>
      <c r="CX827" s="84">
        <v>1860</v>
      </c>
      <c r="CY827" s="86">
        <f>1860*22504+16300*180+180*30160+360*464+40*29580</f>
        <v>51570480</v>
      </c>
      <c r="CZ827" s="9" t="s">
        <v>712</v>
      </c>
    </row>
    <row r="828" spans="1:104" ht="51" x14ac:dyDescent="0.2">
      <c r="A828" s="43">
        <v>40061</v>
      </c>
      <c r="B828" s="44" t="s">
        <v>1224</v>
      </c>
      <c r="C828" s="44" t="s">
        <v>902</v>
      </c>
      <c r="D828" s="45" t="s">
        <v>1117</v>
      </c>
      <c r="E828" s="11"/>
      <c r="F828" s="12"/>
      <c r="G828" s="12"/>
      <c r="H828" s="12">
        <f>98*5</f>
        <v>490</v>
      </c>
      <c r="I828" s="12">
        <v>98</v>
      </c>
      <c r="J828" s="12"/>
      <c r="K828" s="12">
        <v>98</v>
      </c>
      <c r="L828" s="12"/>
      <c r="M828" s="12"/>
      <c r="N828" s="12"/>
      <c r="O828" s="12"/>
      <c r="P828" s="12"/>
      <c r="Q828" s="12"/>
      <c r="R828" s="12"/>
      <c r="S828" s="12"/>
      <c r="T828" s="13"/>
      <c r="U828" s="46"/>
      <c r="V828" s="47">
        <v>40094</v>
      </c>
      <c r="W828" s="48">
        <f t="shared" si="93"/>
        <v>0</v>
      </c>
      <c r="X828" s="48">
        <f t="shared" si="94"/>
        <v>0</v>
      </c>
      <c r="Y828" s="48">
        <f t="shared" si="95"/>
        <v>26655000</v>
      </c>
      <c r="Z828" s="48">
        <f t="shared" si="96"/>
        <v>0</v>
      </c>
      <c r="AA828" s="48"/>
      <c r="AB828" s="48"/>
      <c r="AC828" s="49">
        <f t="shared" si="97"/>
        <v>26655000</v>
      </c>
      <c r="AD828" s="50">
        <v>0</v>
      </c>
      <c r="AE828" s="47">
        <v>40078</v>
      </c>
      <c r="AF828" s="51" t="s">
        <v>1016</v>
      </c>
      <c r="AG828" s="52" t="s">
        <v>565</v>
      </c>
      <c r="AH828" s="53" t="s">
        <v>852</v>
      </c>
      <c r="AI828" s="79"/>
      <c r="AJ828" s="80"/>
      <c r="AK828" s="81"/>
      <c r="AL828" s="80"/>
      <c r="AM828" s="80"/>
      <c r="AN828" s="80"/>
      <c r="AO828" s="80"/>
      <c r="AP828" s="80"/>
      <c r="AQ828" s="80"/>
      <c r="AR828" s="80"/>
      <c r="AS828" s="80"/>
      <c r="AT828" s="80"/>
      <c r="AU828" s="80"/>
      <c r="AV828" s="80"/>
      <c r="AW828" s="80"/>
      <c r="AX828" s="80"/>
      <c r="AY828" s="80"/>
      <c r="AZ828" s="80"/>
      <c r="BA828" s="80"/>
      <c r="BB828" s="80"/>
      <c r="BC828" s="80"/>
      <c r="BD828" s="80"/>
      <c r="BE828" s="80"/>
      <c r="BF828" s="80"/>
      <c r="BG828" s="80"/>
      <c r="BH828" s="80"/>
      <c r="BI828" s="80"/>
      <c r="BJ828" s="80"/>
      <c r="BK828" s="80"/>
      <c r="BL828" s="80"/>
      <c r="BM828" s="80"/>
      <c r="BN828" s="80"/>
      <c r="BO828" s="80"/>
      <c r="BP828" s="80"/>
      <c r="BQ828" s="80"/>
      <c r="BR828" s="80"/>
      <c r="BS828" s="80"/>
      <c r="BT828" s="80"/>
      <c r="BU828" s="80"/>
      <c r="BV828" s="80"/>
      <c r="BW828" s="80"/>
      <c r="BX828" s="80"/>
      <c r="BY828" s="80"/>
      <c r="BZ828" s="80"/>
      <c r="CA828" s="80"/>
      <c r="CB828" s="80"/>
      <c r="CC828" s="80"/>
      <c r="CD828" s="80"/>
      <c r="CE828" s="80"/>
      <c r="CF828" s="80"/>
      <c r="CG828" s="80"/>
      <c r="CH828" s="80"/>
      <c r="CI828" s="80"/>
      <c r="CJ828" s="80"/>
      <c r="CK828" s="82"/>
      <c r="CL828" s="12"/>
      <c r="CM828" s="82"/>
      <c r="CN828" s="12"/>
      <c r="CO828" s="82"/>
      <c r="CP828" s="12"/>
      <c r="CQ828" s="83">
        <f t="shared" si="98"/>
        <v>0</v>
      </c>
      <c r="CR828" s="84"/>
      <c r="CS828" s="13"/>
      <c r="CT828" s="85"/>
      <c r="CU828" s="86"/>
      <c r="CV828" s="11"/>
      <c r="CW828" s="86"/>
      <c r="CX828" s="84">
        <f>600+150+250</f>
        <v>1000</v>
      </c>
      <c r="CY828" s="86">
        <f>600*28000+150*26000+250*22500+1500*220</f>
        <v>26655000</v>
      </c>
      <c r="CZ828" s="9" t="s">
        <v>853</v>
      </c>
    </row>
    <row r="829" spans="1:104" ht="63.75" x14ac:dyDescent="0.2">
      <c r="A829" s="43">
        <v>40063</v>
      </c>
      <c r="B829" s="44" t="s">
        <v>1226</v>
      </c>
      <c r="C829" s="44" t="s">
        <v>219</v>
      </c>
      <c r="D829" s="45" t="s">
        <v>1118</v>
      </c>
      <c r="E829" s="11"/>
      <c r="F829" s="12"/>
      <c r="G829" s="12"/>
      <c r="H829" s="12"/>
      <c r="I829" s="12"/>
      <c r="J829" s="12"/>
      <c r="K829" s="12"/>
      <c r="L829" s="12"/>
      <c r="M829" s="12"/>
      <c r="N829" s="12"/>
      <c r="O829" s="12"/>
      <c r="P829" s="12"/>
      <c r="Q829" s="12"/>
      <c r="R829" s="12"/>
      <c r="S829" s="12"/>
      <c r="T829" s="13"/>
      <c r="U829" s="46"/>
      <c r="V829" s="47">
        <v>40120</v>
      </c>
      <c r="W829" s="48">
        <f t="shared" si="93"/>
        <v>0</v>
      </c>
      <c r="X829" s="48">
        <f t="shared" si="94"/>
        <v>0</v>
      </c>
      <c r="Y829" s="48">
        <f t="shared" si="95"/>
        <v>0</v>
      </c>
      <c r="Z829" s="48">
        <f t="shared" si="96"/>
        <v>0</v>
      </c>
      <c r="AA829" s="48"/>
      <c r="AB829" s="48">
        <v>42148833</v>
      </c>
      <c r="AC829" s="49">
        <f t="shared" si="97"/>
        <v>42148833</v>
      </c>
      <c r="AD829" s="50">
        <v>0</v>
      </c>
      <c r="AE829" s="47">
        <v>40078</v>
      </c>
      <c r="AF829" s="51" t="s">
        <v>1016</v>
      </c>
      <c r="AG829" s="52" t="s">
        <v>565</v>
      </c>
      <c r="AH829" s="54" t="s">
        <v>220</v>
      </c>
      <c r="AI829" s="79"/>
      <c r="AJ829" s="80"/>
      <c r="AK829" s="81"/>
      <c r="AL829" s="80"/>
      <c r="AM829" s="80"/>
      <c r="AN829" s="80"/>
      <c r="AO829" s="80"/>
      <c r="AP829" s="80"/>
      <c r="AQ829" s="80"/>
      <c r="AR829" s="80"/>
      <c r="AS829" s="80"/>
      <c r="AT829" s="80"/>
      <c r="AU829" s="80"/>
      <c r="AV829" s="80"/>
      <c r="AW829" s="80"/>
      <c r="AX829" s="80"/>
      <c r="AY829" s="80"/>
      <c r="AZ829" s="80"/>
      <c r="BA829" s="80"/>
      <c r="BB829" s="80"/>
      <c r="BC829" s="80"/>
      <c r="BD829" s="80"/>
      <c r="BE829" s="80"/>
      <c r="BF829" s="80"/>
      <c r="BG829" s="80"/>
      <c r="BH829" s="80"/>
      <c r="BI829" s="80"/>
      <c r="BJ829" s="80"/>
      <c r="BK829" s="80"/>
      <c r="BL829" s="80"/>
      <c r="BM829" s="80"/>
      <c r="BN829" s="80"/>
      <c r="BO829" s="80"/>
      <c r="BP829" s="80"/>
      <c r="BQ829" s="80"/>
      <c r="BR829" s="80"/>
      <c r="BS829" s="80"/>
      <c r="BT829" s="80"/>
      <c r="BU829" s="80"/>
      <c r="BV829" s="80"/>
      <c r="BW829" s="80"/>
      <c r="BX829" s="80"/>
      <c r="BY829" s="80"/>
      <c r="BZ829" s="80"/>
      <c r="CA829" s="80"/>
      <c r="CB829" s="80"/>
      <c r="CC829" s="80"/>
      <c r="CD829" s="80"/>
      <c r="CE829" s="80"/>
      <c r="CF829" s="80"/>
      <c r="CG829" s="80"/>
      <c r="CH829" s="80"/>
      <c r="CI829" s="80"/>
      <c r="CJ829" s="80"/>
      <c r="CK829" s="82"/>
      <c r="CL829" s="12"/>
      <c r="CM829" s="82"/>
      <c r="CN829" s="12"/>
      <c r="CO829" s="82"/>
      <c r="CP829" s="12"/>
      <c r="CQ829" s="83">
        <f t="shared" si="98"/>
        <v>0</v>
      </c>
      <c r="CR829" s="84"/>
      <c r="CS829" s="13"/>
      <c r="CT829" s="85"/>
      <c r="CU829" s="86"/>
      <c r="CV829" s="11"/>
      <c r="CW829" s="86"/>
      <c r="CX829" s="84"/>
      <c r="CY829" s="86"/>
    </row>
    <row r="830" spans="1:104" ht="63.75" x14ac:dyDescent="0.2">
      <c r="A830" s="43">
        <v>40068</v>
      </c>
      <c r="B830" s="44" t="s">
        <v>1224</v>
      </c>
      <c r="C830" s="44" t="s">
        <v>902</v>
      </c>
      <c r="D830" s="45" t="s">
        <v>1116</v>
      </c>
      <c r="E830" s="11"/>
      <c r="F830" s="12"/>
      <c r="G830" s="12"/>
      <c r="H830" s="12">
        <v>35</v>
      </c>
      <c r="I830" s="12">
        <v>7</v>
      </c>
      <c r="J830" s="12"/>
      <c r="K830" s="12">
        <v>7</v>
      </c>
      <c r="L830" s="12"/>
      <c r="M830" s="12"/>
      <c r="N830" s="12"/>
      <c r="O830" s="12"/>
      <c r="P830" s="12"/>
      <c r="Q830" s="12"/>
      <c r="R830" s="12"/>
      <c r="S830" s="12"/>
      <c r="T830" s="13"/>
      <c r="U830" s="46"/>
      <c r="V830" s="47"/>
      <c r="W830" s="48">
        <f t="shared" si="93"/>
        <v>0</v>
      </c>
      <c r="X830" s="48">
        <f t="shared" si="94"/>
        <v>0</v>
      </c>
      <c r="Y830" s="48">
        <f t="shared" si="95"/>
        <v>0</v>
      </c>
      <c r="Z830" s="48">
        <f t="shared" si="96"/>
        <v>0</v>
      </c>
      <c r="AA830" s="48"/>
      <c r="AB830" s="48"/>
      <c r="AC830" s="49">
        <f t="shared" si="97"/>
        <v>0</v>
      </c>
      <c r="AD830" s="50">
        <v>0</v>
      </c>
      <c r="AE830" s="47">
        <v>40120</v>
      </c>
      <c r="AF830" s="51" t="s">
        <v>1016</v>
      </c>
      <c r="AG830" s="52" t="s">
        <v>517</v>
      </c>
      <c r="AH830" s="53" t="s">
        <v>30</v>
      </c>
      <c r="AI830" s="79"/>
      <c r="AJ830" s="80"/>
      <c r="AK830" s="81"/>
      <c r="AL830" s="80"/>
      <c r="AM830" s="80"/>
      <c r="AN830" s="80"/>
      <c r="AO830" s="80"/>
      <c r="AP830" s="80"/>
      <c r="AQ830" s="80"/>
      <c r="AR830" s="80"/>
      <c r="AS830" s="80"/>
      <c r="AT830" s="80"/>
      <c r="AU830" s="80"/>
      <c r="AV830" s="80"/>
      <c r="AW830" s="80"/>
      <c r="AX830" s="80"/>
      <c r="AY830" s="80"/>
      <c r="AZ830" s="80"/>
      <c r="BA830" s="80"/>
      <c r="BB830" s="80"/>
      <c r="BC830" s="80"/>
      <c r="BD830" s="80"/>
      <c r="BE830" s="80"/>
      <c r="BF830" s="80"/>
      <c r="BG830" s="80"/>
      <c r="BH830" s="80"/>
      <c r="BI830" s="80"/>
      <c r="BJ830" s="80"/>
      <c r="BK830" s="80"/>
      <c r="BL830" s="80"/>
      <c r="BM830" s="80"/>
      <c r="BN830" s="80"/>
      <c r="BO830" s="80"/>
      <c r="BP830" s="80"/>
      <c r="BQ830" s="80"/>
      <c r="BR830" s="80"/>
      <c r="BS830" s="80"/>
      <c r="BT830" s="80"/>
      <c r="BU830" s="80"/>
      <c r="BV830" s="80"/>
      <c r="BW830" s="80"/>
      <c r="BX830" s="80"/>
      <c r="BY830" s="80"/>
      <c r="BZ830" s="80"/>
      <c r="CA830" s="80"/>
      <c r="CB830" s="80"/>
      <c r="CC830" s="80"/>
      <c r="CD830" s="80"/>
      <c r="CE830" s="80"/>
      <c r="CF830" s="80"/>
      <c r="CG830" s="80"/>
      <c r="CH830" s="80"/>
      <c r="CI830" s="80"/>
      <c r="CJ830" s="80"/>
      <c r="CK830" s="82"/>
      <c r="CL830" s="12"/>
      <c r="CM830" s="82"/>
      <c r="CN830" s="12"/>
      <c r="CO830" s="82"/>
      <c r="CP830" s="12"/>
      <c r="CQ830" s="83">
        <f t="shared" si="98"/>
        <v>0</v>
      </c>
      <c r="CR830" s="84"/>
      <c r="CS830" s="13"/>
      <c r="CT830" s="85"/>
      <c r="CU830" s="86"/>
      <c r="CV830" s="11"/>
      <c r="CW830" s="86"/>
      <c r="CX830" s="84"/>
      <c r="CY830" s="86"/>
    </row>
    <row r="831" spans="1:104" ht="25.5" x14ac:dyDescent="0.2">
      <c r="A831" s="43">
        <v>40069</v>
      </c>
      <c r="B831" s="44" t="s">
        <v>1094</v>
      </c>
      <c r="C831" s="44" t="s">
        <v>681</v>
      </c>
      <c r="D831" s="45" t="s">
        <v>1118</v>
      </c>
      <c r="E831" s="11"/>
      <c r="F831" s="12"/>
      <c r="G831" s="12"/>
      <c r="H831" s="12">
        <v>150</v>
      </c>
      <c r="I831" s="12">
        <v>30</v>
      </c>
      <c r="J831" s="12"/>
      <c r="K831" s="12">
        <v>30</v>
      </c>
      <c r="L831" s="12"/>
      <c r="M831" s="12"/>
      <c r="N831" s="12"/>
      <c r="O831" s="12"/>
      <c r="P831" s="12"/>
      <c r="Q831" s="12"/>
      <c r="R831" s="12"/>
      <c r="S831" s="12"/>
      <c r="T831" s="13"/>
      <c r="U831" s="46"/>
      <c r="V831" s="47"/>
      <c r="W831" s="48">
        <f t="shared" si="93"/>
        <v>0</v>
      </c>
      <c r="X831" s="48">
        <f t="shared" si="94"/>
        <v>0</v>
      </c>
      <c r="Y831" s="48">
        <f t="shared" si="95"/>
        <v>0</v>
      </c>
      <c r="Z831" s="48">
        <f t="shared" si="96"/>
        <v>0</v>
      </c>
      <c r="AA831" s="48"/>
      <c r="AB831" s="48"/>
      <c r="AC831" s="49">
        <f t="shared" si="97"/>
        <v>0</v>
      </c>
      <c r="AD831" s="50">
        <v>0</v>
      </c>
      <c r="AE831" s="47">
        <v>40078</v>
      </c>
      <c r="AF831" s="51" t="s">
        <v>516</v>
      </c>
      <c r="AG831" s="52" t="s">
        <v>517</v>
      </c>
      <c r="AH831" s="53" t="s">
        <v>1197</v>
      </c>
      <c r="AI831" s="79"/>
      <c r="AJ831" s="80"/>
      <c r="AK831" s="81"/>
      <c r="AL831" s="80"/>
      <c r="AM831" s="80"/>
      <c r="AN831" s="80"/>
      <c r="AO831" s="80"/>
      <c r="AP831" s="80"/>
      <c r="AQ831" s="80"/>
      <c r="AR831" s="80"/>
      <c r="AS831" s="80"/>
      <c r="AT831" s="80"/>
      <c r="AU831" s="80"/>
      <c r="AV831" s="80"/>
      <c r="AW831" s="80"/>
      <c r="AX831" s="80"/>
      <c r="AY831" s="80"/>
      <c r="AZ831" s="80"/>
      <c r="BA831" s="80"/>
      <c r="BB831" s="80"/>
      <c r="BC831" s="80"/>
      <c r="BD831" s="80"/>
      <c r="BE831" s="80"/>
      <c r="BF831" s="80"/>
      <c r="BG831" s="80"/>
      <c r="BH831" s="80"/>
      <c r="BI831" s="80"/>
      <c r="BJ831" s="80"/>
      <c r="BK831" s="80"/>
      <c r="BL831" s="80"/>
      <c r="BM831" s="80"/>
      <c r="BN831" s="80"/>
      <c r="BO831" s="80"/>
      <c r="BP831" s="80"/>
      <c r="BQ831" s="80"/>
      <c r="BR831" s="80"/>
      <c r="BS831" s="80"/>
      <c r="BT831" s="80"/>
      <c r="BU831" s="80"/>
      <c r="BV831" s="80"/>
      <c r="BW831" s="80"/>
      <c r="BX831" s="80"/>
      <c r="BY831" s="80"/>
      <c r="BZ831" s="80"/>
      <c r="CA831" s="80"/>
      <c r="CB831" s="80"/>
      <c r="CC831" s="80"/>
      <c r="CD831" s="80"/>
      <c r="CE831" s="80"/>
      <c r="CF831" s="80"/>
      <c r="CG831" s="80"/>
      <c r="CH831" s="80"/>
      <c r="CI831" s="80"/>
      <c r="CJ831" s="80"/>
      <c r="CK831" s="82"/>
      <c r="CL831" s="12"/>
      <c r="CM831" s="82"/>
      <c r="CN831" s="12"/>
      <c r="CO831" s="82"/>
      <c r="CP831" s="12"/>
      <c r="CQ831" s="83">
        <f t="shared" si="98"/>
        <v>0</v>
      </c>
      <c r="CR831" s="84"/>
      <c r="CS831" s="13"/>
      <c r="CT831" s="85"/>
      <c r="CU831" s="86"/>
      <c r="CV831" s="11"/>
      <c r="CW831" s="86"/>
      <c r="CX831" s="84"/>
      <c r="CY831" s="86"/>
    </row>
    <row r="832" spans="1:104" ht="38.25" x14ac:dyDescent="0.2">
      <c r="A832" s="43">
        <v>40069</v>
      </c>
      <c r="B832" s="44" t="s">
        <v>1094</v>
      </c>
      <c r="C832" s="44" t="s">
        <v>381</v>
      </c>
      <c r="D832" s="45" t="s">
        <v>1117</v>
      </c>
      <c r="E832" s="11"/>
      <c r="F832" s="12"/>
      <c r="G832" s="12"/>
      <c r="H832" s="12">
        <v>190</v>
      </c>
      <c r="I832" s="12">
        <v>37</v>
      </c>
      <c r="J832" s="12"/>
      <c r="K832" s="12">
        <v>37</v>
      </c>
      <c r="L832" s="12"/>
      <c r="M832" s="12"/>
      <c r="N832" s="12"/>
      <c r="O832" s="12"/>
      <c r="P832" s="12"/>
      <c r="Q832" s="12"/>
      <c r="R832" s="12"/>
      <c r="S832" s="12"/>
      <c r="T832" s="13"/>
      <c r="U832" s="46"/>
      <c r="V832" s="47"/>
      <c r="W832" s="48">
        <f t="shared" si="93"/>
        <v>0</v>
      </c>
      <c r="X832" s="48">
        <f t="shared" si="94"/>
        <v>0</v>
      </c>
      <c r="Y832" s="48">
        <f t="shared" si="95"/>
        <v>0</v>
      </c>
      <c r="Z832" s="48">
        <f t="shared" si="96"/>
        <v>0</v>
      </c>
      <c r="AA832" s="48"/>
      <c r="AB832" s="48"/>
      <c r="AC832" s="49">
        <f t="shared" si="97"/>
        <v>0</v>
      </c>
      <c r="AD832" s="50">
        <v>0</v>
      </c>
      <c r="AE832" s="47">
        <v>40078</v>
      </c>
      <c r="AF832" s="51" t="s">
        <v>516</v>
      </c>
      <c r="AG832" s="52" t="s">
        <v>517</v>
      </c>
      <c r="AH832" s="53" t="s">
        <v>1281</v>
      </c>
      <c r="AI832" s="79"/>
      <c r="AJ832" s="80"/>
      <c r="AK832" s="81"/>
      <c r="AL832" s="80"/>
      <c r="AM832" s="80"/>
      <c r="AN832" s="80"/>
      <c r="AO832" s="80"/>
      <c r="AP832" s="80"/>
      <c r="AQ832" s="80"/>
      <c r="AR832" s="80"/>
      <c r="AS832" s="80"/>
      <c r="AT832" s="80"/>
      <c r="AU832" s="80"/>
      <c r="AV832" s="80"/>
      <c r="AW832" s="80"/>
      <c r="AX832" s="80"/>
      <c r="AY832" s="80"/>
      <c r="AZ832" s="80"/>
      <c r="BA832" s="80"/>
      <c r="BB832" s="80"/>
      <c r="BC832" s="80"/>
      <c r="BD832" s="80"/>
      <c r="BE832" s="80"/>
      <c r="BF832" s="80"/>
      <c r="BG832" s="80"/>
      <c r="BH832" s="80"/>
      <c r="BI832" s="80"/>
      <c r="BJ832" s="80"/>
      <c r="BK832" s="80"/>
      <c r="BL832" s="80"/>
      <c r="BM832" s="80"/>
      <c r="BN832" s="80"/>
      <c r="BO832" s="80"/>
      <c r="BP832" s="80"/>
      <c r="BQ832" s="80"/>
      <c r="BR832" s="80"/>
      <c r="BS832" s="80"/>
      <c r="BT832" s="80"/>
      <c r="BU832" s="80"/>
      <c r="BV832" s="80"/>
      <c r="BW832" s="80"/>
      <c r="BX832" s="80"/>
      <c r="BY832" s="80"/>
      <c r="BZ832" s="80"/>
      <c r="CA832" s="80"/>
      <c r="CB832" s="80"/>
      <c r="CC832" s="80"/>
      <c r="CD832" s="80"/>
      <c r="CE832" s="80"/>
      <c r="CF832" s="80"/>
      <c r="CG832" s="80"/>
      <c r="CH832" s="80"/>
      <c r="CI832" s="80"/>
      <c r="CJ832" s="80"/>
      <c r="CK832" s="82"/>
      <c r="CL832" s="12"/>
      <c r="CM832" s="82"/>
      <c r="CN832" s="12"/>
      <c r="CO832" s="82"/>
      <c r="CP832" s="12"/>
      <c r="CQ832" s="83">
        <f t="shared" si="98"/>
        <v>0</v>
      </c>
      <c r="CR832" s="84"/>
      <c r="CS832" s="13"/>
      <c r="CT832" s="85"/>
      <c r="CU832" s="86"/>
      <c r="CV832" s="11"/>
      <c r="CW832" s="86"/>
      <c r="CX832" s="84"/>
      <c r="CY832" s="86"/>
    </row>
    <row r="833" spans="1:103" ht="25.5" x14ac:dyDescent="0.2">
      <c r="A833" s="43">
        <v>40069</v>
      </c>
      <c r="B833" s="44" t="s">
        <v>1136</v>
      </c>
      <c r="C833" s="44" t="s">
        <v>307</v>
      </c>
      <c r="D833" s="45" t="s">
        <v>1092</v>
      </c>
      <c r="E833" s="11"/>
      <c r="F833" s="12"/>
      <c r="G833" s="12"/>
      <c r="H833" s="12">
        <v>25</v>
      </c>
      <c r="I833" s="12">
        <v>5</v>
      </c>
      <c r="J833" s="12">
        <v>2</v>
      </c>
      <c r="K833" s="12">
        <v>3</v>
      </c>
      <c r="L833" s="12"/>
      <c r="M833" s="12"/>
      <c r="N833" s="12"/>
      <c r="O833" s="12"/>
      <c r="P833" s="12"/>
      <c r="Q833" s="12"/>
      <c r="R833" s="12"/>
      <c r="S833" s="12"/>
      <c r="T833" s="13"/>
      <c r="U833" s="46"/>
      <c r="V833" s="47"/>
      <c r="W833" s="48">
        <f t="shared" si="93"/>
        <v>0</v>
      </c>
      <c r="X833" s="48">
        <f t="shared" si="94"/>
        <v>0</v>
      </c>
      <c r="Y833" s="48">
        <f t="shared" si="95"/>
        <v>0</v>
      </c>
      <c r="Z833" s="48">
        <f t="shared" si="96"/>
        <v>0</v>
      </c>
      <c r="AA833" s="48"/>
      <c r="AB833" s="48"/>
      <c r="AC833" s="49">
        <f t="shared" si="97"/>
        <v>0</v>
      </c>
      <c r="AD833" s="50">
        <v>0</v>
      </c>
      <c r="AE833" s="47">
        <v>40072</v>
      </c>
      <c r="AF833" s="51" t="s">
        <v>516</v>
      </c>
      <c r="AG833" s="52" t="s">
        <v>517</v>
      </c>
      <c r="AH833" s="53" t="s">
        <v>69</v>
      </c>
      <c r="AI833" s="79"/>
      <c r="AJ833" s="80"/>
      <c r="AK833" s="81"/>
      <c r="AL833" s="80"/>
      <c r="AM833" s="80"/>
      <c r="AN833" s="80"/>
      <c r="AO833" s="80"/>
      <c r="AP833" s="80"/>
      <c r="AQ833" s="80"/>
      <c r="AR833" s="80"/>
      <c r="AS833" s="80"/>
      <c r="AT833" s="80"/>
      <c r="AU833" s="80"/>
      <c r="AV833" s="80"/>
      <c r="AW833" s="80"/>
      <c r="AX833" s="80"/>
      <c r="AY833" s="80"/>
      <c r="AZ833" s="80"/>
      <c r="BA833" s="80"/>
      <c r="BB833" s="80"/>
      <c r="BC833" s="80"/>
      <c r="BD833" s="80"/>
      <c r="BE833" s="80"/>
      <c r="BF833" s="80"/>
      <c r="BG833" s="80"/>
      <c r="BH833" s="80"/>
      <c r="BI833" s="80"/>
      <c r="BJ833" s="80"/>
      <c r="BK833" s="80"/>
      <c r="BL833" s="80"/>
      <c r="BM833" s="80"/>
      <c r="BN833" s="80"/>
      <c r="BO833" s="80"/>
      <c r="BP833" s="80"/>
      <c r="BQ833" s="80"/>
      <c r="BR833" s="80"/>
      <c r="BS833" s="80"/>
      <c r="BT833" s="80"/>
      <c r="BU833" s="80"/>
      <c r="BV833" s="80"/>
      <c r="BW833" s="80"/>
      <c r="BX833" s="80"/>
      <c r="BY833" s="80"/>
      <c r="BZ833" s="80"/>
      <c r="CA833" s="80"/>
      <c r="CB833" s="80"/>
      <c r="CC833" s="80"/>
      <c r="CD833" s="80"/>
      <c r="CE833" s="80"/>
      <c r="CF833" s="80"/>
      <c r="CG833" s="80"/>
      <c r="CH833" s="80"/>
      <c r="CI833" s="80"/>
      <c r="CJ833" s="80"/>
      <c r="CK833" s="82"/>
      <c r="CL833" s="12"/>
      <c r="CM833" s="82"/>
      <c r="CN833" s="12"/>
      <c r="CO833" s="82"/>
      <c r="CP833" s="12"/>
      <c r="CQ833" s="83">
        <f t="shared" si="98"/>
        <v>0</v>
      </c>
      <c r="CR833" s="84"/>
      <c r="CS833" s="13"/>
      <c r="CT833" s="85"/>
      <c r="CU833" s="86"/>
      <c r="CV833" s="11"/>
      <c r="CW833" s="86"/>
      <c r="CX833" s="84"/>
      <c r="CY833" s="86"/>
    </row>
    <row r="834" spans="1:103" ht="63.75" x14ac:dyDescent="0.2">
      <c r="A834" s="43">
        <v>40070</v>
      </c>
      <c r="B834" s="44" t="s">
        <v>481</v>
      </c>
      <c r="C834" s="44" t="s">
        <v>1417</v>
      </c>
      <c r="D834" s="45" t="s">
        <v>1117</v>
      </c>
      <c r="E834" s="11"/>
      <c r="F834" s="12"/>
      <c r="G834" s="12"/>
      <c r="H834" s="12">
        <v>160</v>
      </c>
      <c r="I834" s="12">
        <v>32</v>
      </c>
      <c r="J834" s="12"/>
      <c r="K834" s="12">
        <v>32</v>
      </c>
      <c r="L834" s="12"/>
      <c r="M834" s="12"/>
      <c r="N834" s="12"/>
      <c r="O834" s="12"/>
      <c r="P834" s="12"/>
      <c r="Q834" s="12"/>
      <c r="R834" s="12">
        <v>2</v>
      </c>
      <c r="S834" s="12">
        <v>1</v>
      </c>
      <c r="T834" s="13"/>
      <c r="U834" s="46"/>
      <c r="V834" s="47">
        <v>40094</v>
      </c>
      <c r="W834" s="48">
        <f t="shared" si="93"/>
        <v>0</v>
      </c>
      <c r="X834" s="48">
        <f t="shared" si="94"/>
        <v>0</v>
      </c>
      <c r="Y834" s="48">
        <f t="shared" si="95"/>
        <v>4379232</v>
      </c>
      <c r="Z834" s="48">
        <f t="shared" si="96"/>
        <v>0</v>
      </c>
      <c r="AA834" s="48"/>
      <c r="AB834" s="48"/>
      <c r="AC834" s="49">
        <f t="shared" si="97"/>
        <v>4379232</v>
      </c>
      <c r="AD834" s="50">
        <v>0</v>
      </c>
      <c r="AE834" s="47">
        <v>40072</v>
      </c>
      <c r="AF834" s="51" t="s">
        <v>1016</v>
      </c>
      <c r="AG834" s="52" t="s">
        <v>565</v>
      </c>
      <c r="AH834" s="53" t="s">
        <v>246</v>
      </c>
      <c r="AI834" s="79"/>
      <c r="AJ834" s="80"/>
      <c r="AK834" s="81"/>
      <c r="AL834" s="80"/>
      <c r="AM834" s="80"/>
      <c r="AN834" s="80"/>
      <c r="AO834" s="80"/>
      <c r="AP834" s="80"/>
      <c r="AQ834" s="80"/>
      <c r="AR834" s="80"/>
      <c r="AS834" s="80"/>
      <c r="AT834" s="80"/>
      <c r="AU834" s="80"/>
      <c r="AV834" s="80"/>
      <c r="AW834" s="80"/>
      <c r="AX834" s="80"/>
      <c r="AY834" s="80"/>
      <c r="AZ834" s="80"/>
      <c r="BA834" s="80"/>
      <c r="BB834" s="80"/>
      <c r="BC834" s="80"/>
      <c r="BD834" s="80"/>
      <c r="BE834" s="80"/>
      <c r="BF834" s="80"/>
      <c r="BG834" s="80"/>
      <c r="BH834" s="80"/>
      <c r="BI834" s="80"/>
      <c r="BJ834" s="80"/>
      <c r="BK834" s="80"/>
      <c r="BL834" s="80"/>
      <c r="BM834" s="80"/>
      <c r="BN834" s="80"/>
      <c r="BO834" s="80"/>
      <c r="BP834" s="80"/>
      <c r="BQ834" s="80"/>
      <c r="BR834" s="80"/>
      <c r="BS834" s="80"/>
      <c r="BT834" s="80"/>
      <c r="BU834" s="80"/>
      <c r="BV834" s="80"/>
      <c r="BW834" s="80"/>
      <c r="BX834" s="80"/>
      <c r="BY834" s="80"/>
      <c r="BZ834" s="80"/>
      <c r="CA834" s="80"/>
      <c r="CB834" s="80"/>
      <c r="CC834" s="80"/>
      <c r="CD834" s="80"/>
      <c r="CE834" s="80"/>
      <c r="CF834" s="80"/>
      <c r="CG834" s="80"/>
      <c r="CH834" s="80"/>
      <c r="CI834" s="80"/>
      <c r="CJ834" s="80"/>
      <c r="CK834" s="82"/>
      <c r="CL834" s="12"/>
      <c r="CM834" s="82"/>
      <c r="CN834" s="12"/>
      <c r="CO834" s="82"/>
      <c r="CP834" s="12"/>
      <c r="CQ834" s="83">
        <f t="shared" si="98"/>
        <v>0</v>
      </c>
      <c r="CR834" s="84"/>
      <c r="CS834" s="13"/>
      <c r="CT834" s="85"/>
      <c r="CU834" s="86"/>
      <c r="CV834" s="11"/>
      <c r="CW834" s="86"/>
      <c r="CX834" s="84">
        <f>87+78</f>
        <v>165</v>
      </c>
      <c r="CY834" s="86">
        <f>87*30160+78*22504</f>
        <v>4379232</v>
      </c>
    </row>
    <row r="835" spans="1:103" ht="38.25" x14ac:dyDescent="0.2">
      <c r="A835" s="43">
        <v>40070</v>
      </c>
      <c r="B835" s="44" t="s">
        <v>481</v>
      </c>
      <c r="C835" s="44" t="s">
        <v>482</v>
      </c>
      <c r="D835" s="45" t="s">
        <v>1117</v>
      </c>
      <c r="E835" s="11"/>
      <c r="F835" s="12"/>
      <c r="G835" s="12"/>
      <c r="H835" s="12">
        <v>25</v>
      </c>
      <c r="I835" s="12">
        <v>5</v>
      </c>
      <c r="J835" s="12"/>
      <c r="K835" s="12">
        <v>5</v>
      </c>
      <c r="L835" s="12"/>
      <c r="M835" s="12"/>
      <c r="N835" s="12"/>
      <c r="O835" s="12"/>
      <c r="P835" s="12"/>
      <c r="Q835" s="12"/>
      <c r="R835" s="12"/>
      <c r="S835" s="12"/>
      <c r="T835" s="13"/>
      <c r="U835" s="46"/>
      <c r="V835" s="47">
        <v>40094</v>
      </c>
      <c r="W835" s="48">
        <f t="shared" si="93"/>
        <v>0</v>
      </c>
      <c r="X835" s="48">
        <f t="shared" si="94"/>
        <v>0</v>
      </c>
      <c r="Y835" s="48">
        <f t="shared" si="95"/>
        <v>1366480</v>
      </c>
      <c r="Z835" s="48">
        <f t="shared" si="96"/>
        <v>0</v>
      </c>
      <c r="AA835" s="48"/>
      <c r="AB835" s="48"/>
      <c r="AC835" s="49">
        <f t="shared" si="97"/>
        <v>1366480</v>
      </c>
      <c r="AD835" s="50">
        <v>0</v>
      </c>
      <c r="AE835" s="47">
        <v>40072</v>
      </c>
      <c r="AF835" s="51" t="s">
        <v>1016</v>
      </c>
      <c r="AG835" s="52" t="s">
        <v>565</v>
      </c>
      <c r="AH835" s="53" t="s">
        <v>992</v>
      </c>
      <c r="AI835" s="79"/>
      <c r="AJ835" s="80"/>
      <c r="AK835" s="81"/>
      <c r="AL835" s="80"/>
      <c r="AM835" s="80"/>
      <c r="AN835" s="80"/>
      <c r="AO835" s="80"/>
      <c r="AP835" s="80"/>
      <c r="AQ835" s="80"/>
      <c r="AR835" s="80"/>
      <c r="AS835" s="80"/>
      <c r="AT835" s="80"/>
      <c r="AU835" s="80"/>
      <c r="AV835" s="80"/>
      <c r="AW835" s="80"/>
      <c r="AX835" s="80"/>
      <c r="AY835" s="80"/>
      <c r="AZ835" s="80"/>
      <c r="BA835" s="80"/>
      <c r="BB835" s="80"/>
      <c r="BC835" s="80"/>
      <c r="BD835" s="80"/>
      <c r="BE835" s="80"/>
      <c r="BF835" s="80"/>
      <c r="BG835" s="80"/>
      <c r="BH835" s="80"/>
      <c r="BI835" s="80"/>
      <c r="BJ835" s="80"/>
      <c r="BK835" s="80"/>
      <c r="BL835" s="80"/>
      <c r="BM835" s="80"/>
      <c r="BN835" s="80"/>
      <c r="BO835" s="80"/>
      <c r="BP835" s="80"/>
      <c r="BQ835" s="80"/>
      <c r="BR835" s="80"/>
      <c r="BS835" s="80"/>
      <c r="BT835" s="80"/>
      <c r="BU835" s="80"/>
      <c r="BV835" s="80"/>
      <c r="BW835" s="80"/>
      <c r="BX835" s="80"/>
      <c r="BY835" s="80"/>
      <c r="BZ835" s="80"/>
      <c r="CA835" s="80"/>
      <c r="CB835" s="80"/>
      <c r="CC835" s="80"/>
      <c r="CD835" s="80"/>
      <c r="CE835" s="80"/>
      <c r="CF835" s="80"/>
      <c r="CG835" s="80"/>
      <c r="CH835" s="80"/>
      <c r="CI835" s="80"/>
      <c r="CJ835" s="80"/>
      <c r="CK835" s="82"/>
      <c r="CL835" s="12"/>
      <c r="CM835" s="82"/>
      <c r="CN835" s="12"/>
      <c r="CO835" s="82"/>
      <c r="CP835" s="12"/>
      <c r="CQ835" s="83">
        <f t="shared" si="98"/>
        <v>0</v>
      </c>
      <c r="CR835" s="84"/>
      <c r="CS835" s="13"/>
      <c r="CT835" s="85"/>
      <c r="CU835" s="86"/>
      <c r="CV835" s="11"/>
      <c r="CW835" s="86"/>
      <c r="CX835" s="84">
        <f>8+50</f>
        <v>58</v>
      </c>
      <c r="CY835" s="86">
        <f>8*30160+50*22504</f>
        <v>1366480</v>
      </c>
    </row>
    <row r="836" spans="1:103" ht="51" x14ac:dyDescent="0.2">
      <c r="A836" s="43">
        <v>40070</v>
      </c>
      <c r="B836" s="44" t="s">
        <v>481</v>
      </c>
      <c r="C836" s="44" t="s">
        <v>243</v>
      </c>
      <c r="D836" s="45" t="s">
        <v>1117</v>
      </c>
      <c r="E836" s="11"/>
      <c r="F836" s="12"/>
      <c r="G836" s="12"/>
      <c r="H836" s="12">
        <v>50</v>
      </c>
      <c r="I836" s="12">
        <v>10</v>
      </c>
      <c r="J836" s="12"/>
      <c r="K836" s="12">
        <v>10</v>
      </c>
      <c r="L836" s="12"/>
      <c r="M836" s="12"/>
      <c r="N836" s="12"/>
      <c r="O836" s="12"/>
      <c r="P836" s="12"/>
      <c r="Q836" s="12"/>
      <c r="R836" s="12"/>
      <c r="S836" s="12"/>
      <c r="T836" s="13"/>
      <c r="U836" s="46"/>
      <c r="V836" s="47">
        <v>40094</v>
      </c>
      <c r="W836" s="48">
        <f t="shared" si="93"/>
        <v>0</v>
      </c>
      <c r="X836" s="48">
        <f t="shared" si="94"/>
        <v>0</v>
      </c>
      <c r="Y836" s="48">
        <f t="shared" si="95"/>
        <v>1786168</v>
      </c>
      <c r="Z836" s="48">
        <f t="shared" si="96"/>
        <v>0</v>
      </c>
      <c r="AA836" s="48"/>
      <c r="AB836" s="48"/>
      <c r="AC836" s="49">
        <f t="shared" si="97"/>
        <v>1786168</v>
      </c>
      <c r="AD836" s="50">
        <v>0</v>
      </c>
      <c r="AE836" s="47">
        <v>40072</v>
      </c>
      <c r="AF836" s="51" t="s">
        <v>1016</v>
      </c>
      <c r="AG836" s="52" t="s">
        <v>565</v>
      </c>
      <c r="AH836" s="53" t="s">
        <v>970</v>
      </c>
      <c r="AI836" s="79"/>
      <c r="AJ836" s="80"/>
      <c r="AK836" s="81"/>
      <c r="AL836" s="80"/>
      <c r="AM836" s="80"/>
      <c r="AN836" s="80"/>
      <c r="AO836" s="80"/>
      <c r="AP836" s="80"/>
      <c r="AQ836" s="80"/>
      <c r="AR836" s="80"/>
      <c r="AS836" s="80"/>
      <c r="AT836" s="80"/>
      <c r="AU836" s="80"/>
      <c r="AV836" s="80"/>
      <c r="AW836" s="80"/>
      <c r="AX836" s="80"/>
      <c r="AY836" s="80"/>
      <c r="AZ836" s="80"/>
      <c r="BA836" s="80"/>
      <c r="BB836" s="80"/>
      <c r="BC836" s="80"/>
      <c r="BD836" s="80"/>
      <c r="BE836" s="80"/>
      <c r="BF836" s="80"/>
      <c r="BG836" s="80"/>
      <c r="BH836" s="80"/>
      <c r="BI836" s="80"/>
      <c r="BJ836" s="80"/>
      <c r="BK836" s="80"/>
      <c r="BL836" s="80"/>
      <c r="BM836" s="80"/>
      <c r="BN836" s="80"/>
      <c r="BO836" s="80"/>
      <c r="BP836" s="80"/>
      <c r="BQ836" s="80"/>
      <c r="BR836" s="80"/>
      <c r="BS836" s="80"/>
      <c r="BT836" s="80"/>
      <c r="BU836" s="80"/>
      <c r="BV836" s="80"/>
      <c r="BW836" s="80"/>
      <c r="BX836" s="80"/>
      <c r="BY836" s="80"/>
      <c r="BZ836" s="80"/>
      <c r="CA836" s="80"/>
      <c r="CB836" s="80"/>
      <c r="CC836" s="80"/>
      <c r="CD836" s="80"/>
      <c r="CE836" s="80"/>
      <c r="CF836" s="80"/>
      <c r="CG836" s="80"/>
      <c r="CH836" s="80"/>
      <c r="CI836" s="80"/>
      <c r="CJ836" s="80"/>
      <c r="CK836" s="82"/>
      <c r="CL836" s="12"/>
      <c r="CM836" s="82"/>
      <c r="CN836" s="12"/>
      <c r="CO836" s="82"/>
      <c r="CP836" s="12"/>
      <c r="CQ836" s="83">
        <f t="shared" si="98"/>
        <v>0</v>
      </c>
      <c r="CR836" s="84"/>
      <c r="CS836" s="13"/>
      <c r="CT836" s="85"/>
      <c r="CU836" s="86"/>
      <c r="CV836" s="11"/>
      <c r="CW836" s="86"/>
      <c r="CX836" s="84">
        <f>54+7</f>
        <v>61</v>
      </c>
      <c r="CY836" s="86">
        <f>54*30160+7*22504</f>
        <v>1786168</v>
      </c>
    </row>
    <row r="837" spans="1:103" ht="51" x14ac:dyDescent="0.2">
      <c r="A837" s="43">
        <v>40070</v>
      </c>
      <c r="B837" s="44" t="s">
        <v>481</v>
      </c>
      <c r="C837" s="44" t="s">
        <v>1416</v>
      </c>
      <c r="D837" s="45" t="s">
        <v>1117</v>
      </c>
      <c r="E837" s="11"/>
      <c r="F837" s="12"/>
      <c r="G837" s="12"/>
      <c r="H837" s="12">
        <f>45*5</f>
        <v>225</v>
      </c>
      <c r="I837" s="12">
        <v>45</v>
      </c>
      <c r="J837" s="12"/>
      <c r="K837" s="12">
        <v>45</v>
      </c>
      <c r="L837" s="12"/>
      <c r="M837" s="12"/>
      <c r="N837" s="12"/>
      <c r="O837" s="12"/>
      <c r="P837" s="12"/>
      <c r="Q837" s="12"/>
      <c r="R837" s="12">
        <v>2</v>
      </c>
      <c r="S837" s="12"/>
      <c r="T837" s="13"/>
      <c r="U837" s="46"/>
      <c r="V837" s="47">
        <v>40094</v>
      </c>
      <c r="W837" s="48">
        <f t="shared" si="93"/>
        <v>0</v>
      </c>
      <c r="X837" s="48">
        <f t="shared" si="94"/>
        <v>0</v>
      </c>
      <c r="Y837" s="48">
        <f t="shared" si="95"/>
        <v>8840592</v>
      </c>
      <c r="Z837" s="48">
        <f t="shared" si="96"/>
        <v>0</v>
      </c>
      <c r="AA837" s="48"/>
      <c r="AB837" s="48"/>
      <c r="AC837" s="49">
        <f t="shared" si="97"/>
        <v>8840592</v>
      </c>
      <c r="AD837" s="50">
        <v>0</v>
      </c>
      <c r="AE837" s="47">
        <v>40072</v>
      </c>
      <c r="AF837" s="51" t="s">
        <v>1016</v>
      </c>
      <c r="AG837" s="52" t="s">
        <v>565</v>
      </c>
      <c r="AH837" s="53" t="s">
        <v>247</v>
      </c>
      <c r="AI837" s="79"/>
      <c r="AJ837" s="80"/>
      <c r="AK837" s="81"/>
      <c r="AL837" s="80"/>
      <c r="AM837" s="80"/>
      <c r="AN837" s="80"/>
      <c r="AO837" s="80"/>
      <c r="AP837" s="80"/>
      <c r="AQ837" s="80"/>
      <c r="AR837" s="80"/>
      <c r="AS837" s="80"/>
      <c r="AT837" s="80"/>
      <c r="AU837" s="80"/>
      <c r="AV837" s="80"/>
      <c r="AW837" s="80"/>
      <c r="AX837" s="80"/>
      <c r="AY837" s="80"/>
      <c r="AZ837" s="80"/>
      <c r="BA837" s="80"/>
      <c r="BB837" s="80"/>
      <c r="BC837" s="80"/>
      <c r="BD837" s="80"/>
      <c r="BE837" s="80"/>
      <c r="BF837" s="80"/>
      <c r="BG837" s="80"/>
      <c r="BH837" s="80"/>
      <c r="BI837" s="80"/>
      <c r="BJ837" s="80"/>
      <c r="BK837" s="80"/>
      <c r="BL837" s="80"/>
      <c r="BM837" s="80"/>
      <c r="BN837" s="80"/>
      <c r="BO837" s="80"/>
      <c r="BP837" s="80"/>
      <c r="BQ837" s="80"/>
      <c r="BR837" s="80"/>
      <c r="BS837" s="80"/>
      <c r="BT837" s="80"/>
      <c r="BU837" s="80"/>
      <c r="BV837" s="80"/>
      <c r="BW837" s="80"/>
      <c r="BX837" s="80"/>
      <c r="BY837" s="80"/>
      <c r="BZ837" s="80"/>
      <c r="CA837" s="80"/>
      <c r="CB837" s="80"/>
      <c r="CC837" s="80"/>
      <c r="CD837" s="80"/>
      <c r="CE837" s="80"/>
      <c r="CF837" s="80"/>
      <c r="CG837" s="80"/>
      <c r="CH837" s="80"/>
      <c r="CI837" s="80"/>
      <c r="CJ837" s="80"/>
      <c r="CK837" s="82"/>
      <c r="CL837" s="12"/>
      <c r="CM837" s="82"/>
      <c r="CN837" s="12"/>
      <c r="CO837" s="82"/>
      <c r="CP837" s="12"/>
      <c r="CQ837" s="83">
        <f t="shared" si="98"/>
        <v>0</v>
      </c>
      <c r="CR837" s="84"/>
      <c r="CS837" s="13"/>
      <c r="CT837" s="85"/>
      <c r="CU837" s="86"/>
      <c r="CV837" s="11"/>
      <c r="CW837" s="86"/>
      <c r="CX837" s="84">
        <f>220+98</f>
        <v>318</v>
      </c>
      <c r="CY837" s="86">
        <f>220*30160+98*22504</f>
        <v>8840592</v>
      </c>
    </row>
    <row r="838" spans="1:103" ht="25.5" x14ac:dyDescent="0.2">
      <c r="A838" s="43">
        <v>40071</v>
      </c>
      <c r="B838" s="44" t="s">
        <v>1350</v>
      </c>
      <c r="C838" s="44" t="s">
        <v>1419</v>
      </c>
      <c r="D838" s="45" t="s">
        <v>1117</v>
      </c>
      <c r="E838" s="11"/>
      <c r="F838" s="12"/>
      <c r="G838" s="12"/>
      <c r="H838" s="12"/>
      <c r="I838" s="12"/>
      <c r="J838" s="12"/>
      <c r="K838" s="12"/>
      <c r="L838" s="12"/>
      <c r="M838" s="12"/>
      <c r="N838" s="12"/>
      <c r="O838" s="12"/>
      <c r="P838" s="12"/>
      <c r="Q838" s="12"/>
      <c r="R838" s="12"/>
      <c r="S838" s="12"/>
      <c r="T838" s="13"/>
      <c r="U838" s="46"/>
      <c r="V838" s="47"/>
      <c r="W838" s="48">
        <f t="shared" si="93"/>
        <v>0</v>
      </c>
      <c r="X838" s="48">
        <f t="shared" si="94"/>
        <v>0</v>
      </c>
      <c r="Y838" s="48">
        <f t="shared" si="95"/>
        <v>0</v>
      </c>
      <c r="Z838" s="48">
        <f t="shared" si="96"/>
        <v>0</v>
      </c>
      <c r="AA838" s="48"/>
      <c r="AB838" s="48"/>
      <c r="AC838" s="49">
        <f t="shared" si="97"/>
        <v>0</v>
      </c>
      <c r="AD838" s="50">
        <v>0</v>
      </c>
      <c r="AE838" s="47">
        <v>40072</v>
      </c>
      <c r="AF838" s="51" t="s">
        <v>516</v>
      </c>
      <c r="AG838" s="52" t="s">
        <v>517</v>
      </c>
      <c r="AH838" s="53" t="s">
        <v>1213</v>
      </c>
      <c r="AI838" s="79"/>
      <c r="AJ838" s="80"/>
      <c r="AK838" s="81"/>
      <c r="AL838" s="80"/>
      <c r="AM838" s="80"/>
      <c r="AN838" s="80"/>
      <c r="AO838" s="80"/>
      <c r="AP838" s="80"/>
      <c r="AQ838" s="80"/>
      <c r="AR838" s="80"/>
      <c r="AS838" s="80"/>
      <c r="AT838" s="80"/>
      <c r="AU838" s="80"/>
      <c r="AV838" s="80"/>
      <c r="AW838" s="80"/>
      <c r="AX838" s="80"/>
      <c r="AY838" s="80"/>
      <c r="AZ838" s="80"/>
      <c r="BA838" s="80"/>
      <c r="BB838" s="80"/>
      <c r="BC838" s="80"/>
      <c r="BD838" s="80"/>
      <c r="BE838" s="80"/>
      <c r="BF838" s="80"/>
      <c r="BG838" s="80"/>
      <c r="BH838" s="80"/>
      <c r="BI838" s="80"/>
      <c r="BJ838" s="80"/>
      <c r="BK838" s="80"/>
      <c r="BL838" s="80"/>
      <c r="BM838" s="80"/>
      <c r="BN838" s="80"/>
      <c r="BO838" s="80"/>
      <c r="BP838" s="80"/>
      <c r="BQ838" s="80"/>
      <c r="BR838" s="80"/>
      <c r="BS838" s="80"/>
      <c r="BT838" s="80"/>
      <c r="BU838" s="80"/>
      <c r="BV838" s="80"/>
      <c r="BW838" s="80"/>
      <c r="BX838" s="80"/>
      <c r="BY838" s="80"/>
      <c r="BZ838" s="80"/>
      <c r="CA838" s="80"/>
      <c r="CB838" s="80"/>
      <c r="CC838" s="80"/>
      <c r="CD838" s="80"/>
      <c r="CE838" s="80"/>
      <c r="CF838" s="80"/>
      <c r="CG838" s="80"/>
      <c r="CH838" s="80"/>
      <c r="CI838" s="80"/>
      <c r="CJ838" s="80"/>
      <c r="CK838" s="82"/>
      <c r="CL838" s="12"/>
      <c r="CM838" s="82"/>
      <c r="CN838" s="12"/>
      <c r="CO838" s="82"/>
      <c r="CP838" s="12"/>
      <c r="CQ838" s="83">
        <f t="shared" si="98"/>
        <v>0</v>
      </c>
      <c r="CR838" s="84"/>
      <c r="CS838" s="13"/>
      <c r="CT838" s="85"/>
      <c r="CU838" s="86"/>
      <c r="CV838" s="11"/>
      <c r="CW838" s="86"/>
      <c r="CX838" s="84"/>
      <c r="CY838" s="86"/>
    </row>
    <row r="839" spans="1:103" ht="25.5" x14ac:dyDescent="0.2">
      <c r="A839" s="43">
        <v>40072</v>
      </c>
      <c r="B839" s="44" t="s">
        <v>1094</v>
      </c>
      <c r="C839" s="44" t="s">
        <v>1074</v>
      </c>
      <c r="D839" s="45" t="s">
        <v>1118</v>
      </c>
      <c r="E839" s="11"/>
      <c r="F839" s="12"/>
      <c r="G839" s="12"/>
      <c r="H839" s="12">
        <v>2100</v>
      </c>
      <c r="I839" s="12">
        <v>420</v>
      </c>
      <c r="J839" s="12"/>
      <c r="K839" s="12">
        <v>420</v>
      </c>
      <c r="L839" s="12"/>
      <c r="M839" s="12"/>
      <c r="N839" s="12"/>
      <c r="O839" s="12"/>
      <c r="P839" s="12"/>
      <c r="Q839" s="12"/>
      <c r="R839" s="12"/>
      <c r="S839" s="12"/>
      <c r="T839" s="13"/>
      <c r="U839" s="46"/>
      <c r="V839" s="47"/>
      <c r="W839" s="48">
        <f t="shared" si="93"/>
        <v>0</v>
      </c>
      <c r="X839" s="48">
        <f t="shared" si="94"/>
        <v>0</v>
      </c>
      <c r="Y839" s="48">
        <f t="shared" si="95"/>
        <v>0</v>
      </c>
      <c r="Z839" s="48">
        <f t="shared" si="96"/>
        <v>0</v>
      </c>
      <c r="AA839" s="48"/>
      <c r="AB839" s="48"/>
      <c r="AC839" s="49">
        <f t="shared" si="97"/>
        <v>0</v>
      </c>
      <c r="AD839" s="50">
        <v>0</v>
      </c>
      <c r="AE839" s="47">
        <v>40074</v>
      </c>
      <c r="AF839" s="51" t="s">
        <v>516</v>
      </c>
      <c r="AG839" s="52" t="s">
        <v>517</v>
      </c>
      <c r="AH839" s="53" t="s">
        <v>684</v>
      </c>
      <c r="AI839" s="79"/>
      <c r="AJ839" s="80"/>
      <c r="AK839" s="81"/>
      <c r="AL839" s="80"/>
      <c r="AM839" s="80"/>
      <c r="AN839" s="80"/>
      <c r="AO839" s="80"/>
      <c r="AP839" s="80"/>
      <c r="AQ839" s="80"/>
      <c r="AR839" s="80"/>
      <c r="AS839" s="80"/>
      <c r="AT839" s="80"/>
      <c r="AU839" s="80"/>
      <c r="AV839" s="80"/>
      <c r="AW839" s="80"/>
      <c r="AX839" s="80"/>
      <c r="AY839" s="80"/>
      <c r="AZ839" s="80"/>
      <c r="BA839" s="80"/>
      <c r="BB839" s="80"/>
      <c r="BC839" s="80"/>
      <c r="BD839" s="80"/>
      <c r="BE839" s="80"/>
      <c r="BF839" s="80"/>
      <c r="BG839" s="80"/>
      <c r="BH839" s="80"/>
      <c r="BI839" s="80"/>
      <c r="BJ839" s="80"/>
      <c r="BK839" s="80"/>
      <c r="BL839" s="80"/>
      <c r="BM839" s="80"/>
      <c r="BN839" s="80"/>
      <c r="BO839" s="80"/>
      <c r="BP839" s="80"/>
      <c r="BQ839" s="80"/>
      <c r="BR839" s="80"/>
      <c r="BS839" s="80"/>
      <c r="BT839" s="80"/>
      <c r="BU839" s="80"/>
      <c r="BV839" s="80"/>
      <c r="BW839" s="80"/>
      <c r="BX839" s="80"/>
      <c r="BY839" s="80"/>
      <c r="BZ839" s="80"/>
      <c r="CA839" s="80"/>
      <c r="CB839" s="80"/>
      <c r="CC839" s="80"/>
      <c r="CD839" s="80"/>
      <c r="CE839" s="80"/>
      <c r="CF839" s="80"/>
      <c r="CG839" s="80"/>
      <c r="CH839" s="80"/>
      <c r="CI839" s="80"/>
      <c r="CJ839" s="80"/>
      <c r="CK839" s="82"/>
      <c r="CL839" s="12"/>
      <c r="CM839" s="82"/>
      <c r="CN839" s="12"/>
      <c r="CO839" s="82"/>
      <c r="CP839" s="12"/>
      <c r="CQ839" s="83">
        <f t="shared" si="98"/>
        <v>0</v>
      </c>
      <c r="CR839" s="84"/>
      <c r="CS839" s="13"/>
      <c r="CT839" s="85"/>
      <c r="CU839" s="86"/>
      <c r="CV839" s="11"/>
      <c r="CW839" s="86"/>
      <c r="CX839" s="84"/>
      <c r="CY839" s="86"/>
    </row>
    <row r="840" spans="1:103" ht="25.5" x14ac:dyDescent="0.2">
      <c r="A840" s="43">
        <v>40072</v>
      </c>
      <c r="B840" s="44" t="s">
        <v>1094</v>
      </c>
      <c r="C840" s="44" t="s">
        <v>681</v>
      </c>
      <c r="D840" s="45" t="s">
        <v>1118</v>
      </c>
      <c r="E840" s="11"/>
      <c r="F840" s="12"/>
      <c r="G840" s="12"/>
      <c r="H840" s="12">
        <v>200</v>
      </c>
      <c r="I840" s="12">
        <v>50</v>
      </c>
      <c r="J840" s="12"/>
      <c r="K840" s="12">
        <v>50</v>
      </c>
      <c r="L840" s="12"/>
      <c r="M840" s="12"/>
      <c r="N840" s="12"/>
      <c r="O840" s="12"/>
      <c r="P840" s="12"/>
      <c r="Q840" s="12"/>
      <c r="R840" s="12"/>
      <c r="S840" s="12"/>
      <c r="T840" s="13"/>
      <c r="U840" s="46"/>
      <c r="V840" s="47"/>
      <c r="W840" s="48">
        <f t="shared" si="93"/>
        <v>0</v>
      </c>
      <c r="X840" s="48">
        <f t="shared" si="94"/>
        <v>0</v>
      </c>
      <c r="Y840" s="48">
        <f t="shared" si="95"/>
        <v>0</v>
      </c>
      <c r="Z840" s="48">
        <f t="shared" si="96"/>
        <v>0</v>
      </c>
      <c r="AA840" s="48"/>
      <c r="AB840" s="48"/>
      <c r="AC840" s="49">
        <f t="shared" si="97"/>
        <v>0</v>
      </c>
      <c r="AD840" s="50">
        <v>0</v>
      </c>
      <c r="AE840" s="47">
        <v>40074</v>
      </c>
      <c r="AF840" s="51" t="s">
        <v>516</v>
      </c>
      <c r="AG840" s="52" t="s">
        <v>517</v>
      </c>
      <c r="AH840" s="53" t="s">
        <v>683</v>
      </c>
      <c r="AI840" s="79"/>
      <c r="AJ840" s="80"/>
      <c r="AK840" s="81"/>
      <c r="AL840" s="80"/>
      <c r="AM840" s="80"/>
      <c r="AN840" s="80"/>
      <c r="AO840" s="80"/>
      <c r="AP840" s="80"/>
      <c r="AQ840" s="80"/>
      <c r="AR840" s="80"/>
      <c r="AS840" s="80"/>
      <c r="AT840" s="80"/>
      <c r="AU840" s="80"/>
      <c r="AV840" s="80"/>
      <c r="AW840" s="80"/>
      <c r="AX840" s="80"/>
      <c r="AY840" s="80"/>
      <c r="AZ840" s="80"/>
      <c r="BA840" s="80"/>
      <c r="BB840" s="80"/>
      <c r="BC840" s="80"/>
      <c r="BD840" s="80"/>
      <c r="BE840" s="80"/>
      <c r="BF840" s="80"/>
      <c r="BG840" s="80"/>
      <c r="BH840" s="80"/>
      <c r="BI840" s="80"/>
      <c r="BJ840" s="80"/>
      <c r="BK840" s="80"/>
      <c r="BL840" s="80"/>
      <c r="BM840" s="80"/>
      <c r="BN840" s="80"/>
      <c r="BO840" s="80"/>
      <c r="BP840" s="80"/>
      <c r="BQ840" s="80"/>
      <c r="BR840" s="80"/>
      <c r="BS840" s="80"/>
      <c r="BT840" s="80"/>
      <c r="BU840" s="80"/>
      <c r="BV840" s="80"/>
      <c r="BW840" s="80"/>
      <c r="BX840" s="80"/>
      <c r="BY840" s="80"/>
      <c r="BZ840" s="80"/>
      <c r="CA840" s="80"/>
      <c r="CB840" s="80"/>
      <c r="CC840" s="80"/>
      <c r="CD840" s="80"/>
      <c r="CE840" s="80"/>
      <c r="CF840" s="80"/>
      <c r="CG840" s="80"/>
      <c r="CH840" s="80"/>
      <c r="CI840" s="80"/>
      <c r="CJ840" s="80"/>
      <c r="CK840" s="82"/>
      <c r="CL840" s="12"/>
      <c r="CM840" s="82"/>
      <c r="CN840" s="12"/>
      <c r="CO840" s="82"/>
      <c r="CP840" s="12"/>
      <c r="CQ840" s="83">
        <f t="shared" si="98"/>
        <v>0</v>
      </c>
      <c r="CR840" s="84"/>
      <c r="CS840" s="13"/>
      <c r="CT840" s="85"/>
      <c r="CU840" s="86"/>
      <c r="CV840" s="11"/>
      <c r="CW840" s="86"/>
      <c r="CX840" s="84"/>
      <c r="CY840" s="86"/>
    </row>
    <row r="841" spans="1:103" ht="25.5" x14ac:dyDescent="0.2">
      <c r="A841" s="43">
        <v>40072</v>
      </c>
      <c r="B841" s="44" t="s">
        <v>1094</v>
      </c>
      <c r="C841" s="44" t="s">
        <v>1477</v>
      </c>
      <c r="D841" s="45" t="s">
        <v>1118</v>
      </c>
      <c r="E841" s="11"/>
      <c r="F841" s="12"/>
      <c r="G841" s="12"/>
      <c r="H841" s="12">
        <v>310</v>
      </c>
      <c r="I841" s="12">
        <v>61</v>
      </c>
      <c r="J841" s="12"/>
      <c r="K841" s="12">
        <v>61</v>
      </c>
      <c r="L841" s="12"/>
      <c r="M841" s="12"/>
      <c r="N841" s="12"/>
      <c r="O841" s="12"/>
      <c r="P841" s="12"/>
      <c r="Q841" s="12"/>
      <c r="R841" s="12"/>
      <c r="S841" s="12"/>
      <c r="T841" s="13"/>
      <c r="U841" s="46"/>
      <c r="V841" s="47"/>
      <c r="W841" s="48">
        <f t="shared" si="93"/>
        <v>0</v>
      </c>
      <c r="X841" s="48">
        <f t="shared" si="94"/>
        <v>0</v>
      </c>
      <c r="Y841" s="48">
        <f t="shared" si="95"/>
        <v>0</v>
      </c>
      <c r="Z841" s="48">
        <f t="shared" si="96"/>
        <v>0</v>
      </c>
      <c r="AA841" s="48"/>
      <c r="AB841" s="48"/>
      <c r="AC841" s="49">
        <f t="shared" si="97"/>
        <v>0</v>
      </c>
      <c r="AD841" s="50">
        <v>0</v>
      </c>
      <c r="AE841" s="47">
        <v>40074</v>
      </c>
      <c r="AF841" s="51" t="s">
        <v>516</v>
      </c>
      <c r="AG841" s="52" t="s">
        <v>517</v>
      </c>
      <c r="AH841" s="53" t="s">
        <v>682</v>
      </c>
      <c r="AI841" s="79"/>
      <c r="AJ841" s="80"/>
      <c r="AK841" s="81"/>
      <c r="AL841" s="80"/>
      <c r="AM841" s="80"/>
      <c r="AN841" s="80"/>
      <c r="AO841" s="80"/>
      <c r="AP841" s="80"/>
      <c r="AQ841" s="80"/>
      <c r="AR841" s="80"/>
      <c r="AS841" s="80"/>
      <c r="AT841" s="80"/>
      <c r="AU841" s="80"/>
      <c r="AV841" s="80"/>
      <c r="AW841" s="80"/>
      <c r="AX841" s="80"/>
      <c r="AY841" s="80"/>
      <c r="AZ841" s="80"/>
      <c r="BA841" s="80"/>
      <c r="BB841" s="80"/>
      <c r="BC841" s="80"/>
      <c r="BD841" s="80"/>
      <c r="BE841" s="80"/>
      <c r="BF841" s="80"/>
      <c r="BG841" s="80"/>
      <c r="BH841" s="80"/>
      <c r="BI841" s="80"/>
      <c r="BJ841" s="80"/>
      <c r="BK841" s="80"/>
      <c r="BL841" s="80"/>
      <c r="BM841" s="80"/>
      <c r="BN841" s="80"/>
      <c r="BO841" s="80"/>
      <c r="BP841" s="80"/>
      <c r="BQ841" s="80"/>
      <c r="BR841" s="80"/>
      <c r="BS841" s="80"/>
      <c r="BT841" s="80"/>
      <c r="BU841" s="80"/>
      <c r="BV841" s="80"/>
      <c r="BW841" s="80"/>
      <c r="BX841" s="80"/>
      <c r="BY841" s="80"/>
      <c r="BZ841" s="80"/>
      <c r="CA841" s="80"/>
      <c r="CB841" s="80"/>
      <c r="CC841" s="80"/>
      <c r="CD841" s="80"/>
      <c r="CE841" s="80"/>
      <c r="CF841" s="80"/>
      <c r="CG841" s="80"/>
      <c r="CH841" s="80"/>
      <c r="CI841" s="80"/>
      <c r="CJ841" s="80"/>
      <c r="CK841" s="82"/>
      <c r="CL841" s="12"/>
      <c r="CM841" s="82"/>
      <c r="CN841" s="12"/>
      <c r="CO841" s="82"/>
      <c r="CP841" s="12"/>
      <c r="CQ841" s="83">
        <f t="shared" si="98"/>
        <v>0</v>
      </c>
      <c r="CR841" s="84"/>
      <c r="CS841" s="13"/>
      <c r="CT841" s="85"/>
      <c r="CU841" s="86"/>
      <c r="CV841" s="11"/>
      <c r="CW841" s="86"/>
      <c r="CX841" s="84"/>
      <c r="CY841" s="86"/>
    </row>
    <row r="842" spans="1:103" ht="25.5" x14ac:dyDescent="0.2">
      <c r="A842" s="43">
        <v>40072</v>
      </c>
      <c r="B842" s="44" t="s">
        <v>1094</v>
      </c>
      <c r="C842" s="44" t="s">
        <v>618</v>
      </c>
      <c r="D842" s="45" t="s">
        <v>1118</v>
      </c>
      <c r="E842" s="11"/>
      <c r="F842" s="12"/>
      <c r="G842" s="12"/>
      <c r="H842" s="12">
        <f>400*5</f>
        <v>2000</v>
      </c>
      <c r="I842" s="12">
        <v>400</v>
      </c>
      <c r="J842" s="12"/>
      <c r="K842" s="12">
        <v>400</v>
      </c>
      <c r="L842" s="12"/>
      <c r="M842" s="12"/>
      <c r="N842" s="12"/>
      <c r="O842" s="12"/>
      <c r="P842" s="12"/>
      <c r="Q842" s="12"/>
      <c r="R842" s="12"/>
      <c r="S842" s="12"/>
      <c r="T842" s="13"/>
      <c r="U842" s="46"/>
      <c r="V842" s="47"/>
      <c r="W842" s="48">
        <f t="shared" si="93"/>
        <v>0</v>
      </c>
      <c r="X842" s="48">
        <f t="shared" si="94"/>
        <v>0</v>
      </c>
      <c r="Y842" s="48">
        <f t="shared" si="95"/>
        <v>0</v>
      </c>
      <c r="Z842" s="48">
        <f t="shared" si="96"/>
        <v>0</v>
      </c>
      <c r="AA842" s="48"/>
      <c r="AB842" s="48"/>
      <c r="AC842" s="49">
        <f t="shared" si="97"/>
        <v>0</v>
      </c>
      <c r="AD842" s="50">
        <v>0</v>
      </c>
      <c r="AE842" s="47">
        <v>40074</v>
      </c>
      <c r="AF842" s="51" t="s">
        <v>516</v>
      </c>
      <c r="AG842" s="52" t="s">
        <v>517</v>
      </c>
      <c r="AH842" s="53"/>
      <c r="AI842" s="79"/>
      <c r="AJ842" s="80"/>
      <c r="AK842" s="81"/>
      <c r="AL842" s="80"/>
      <c r="AM842" s="80"/>
      <c r="AN842" s="80"/>
      <c r="AO842" s="80"/>
      <c r="AP842" s="80"/>
      <c r="AQ842" s="80"/>
      <c r="AR842" s="80"/>
      <c r="AS842" s="80"/>
      <c r="AT842" s="80"/>
      <c r="AU842" s="80"/>
      <c r="AV842" s="80"/>
      <c r="AW842" s="80"/>
      <c r="AX842" s="80"/>
      <c r="AY842" s="80"/>
      <c r="AZ842" s="80"/>
      <c r="BA842" s="80"/>
      <c r="BB842" s="80"/>
      <c r="BC842" s="80"/>
      <c r="BD842" s="80"/>
      <c r="BE842" s="80"/>
      <c r="BF842" s="80"/>
      <c r="BG842" s="80"/>
      <c r="BH842" s="80"/>
      <c r="BI842" s="80"/>
      <c r="BJ842" s="80"/>
      <c r="BK842" s="80"/>
      <c r="BL842" s="80"/>
      <c r="BM842" s="80"/>
      <c r="BN842" s="80"/>
      <c r="BO842" s="80"/>
      <c r="BP842" s="80"/>
      <c r="BQ842" s="80"/>
      <c r="BR842" s="80"/>
      <c r="BS842" s="80"/>
      <c r="BT842" s="80"/>
      <c r="BU842" s="80"/>
      <c r="BV842" s="80"/>
      <c r="BW842" s="80"/>
      <c r="BX842" s="80"/>
      <c r="BY842" s="80"/>
      <c r="BZ842" s="80"/>
      <c r="CA842" s="80"/>
      <c r="CB842" s="80"/>
      <c r="CC842" s="80"/>
      <c r="CD842" s="80"/>
      <c r="CE842" s="80"/>
      <c r="CF842" s="80"/>
      <c r="CG842" s="80"/>
      <c r="CH842" s="80"/>
      <c r="CI842" s="80"/>
      <c r="CJ842" s="80"/>
      <c r="CK842" s="82"/>
      <c r="CL842" s="12"/>
      <c r="CM842" s="82"/>
      <c r="CN842" s="12"/>
      <c r="CO842" s="82"/>
      <c r="CP842" s="12"/>
      <c r="CQ842" s="83">
        <f t="shared" si="98"/>
        <v>0</v>
      </c>
      <c r="CR842" s="84"/>
      <c r="CS842" s="13"/>
      <c r="CT842" s="85"/>
      <c r="CU842" s="86"/>
      <c r="CV842" s="11"/>
      <c r="CW842" s="86"/>
      <c r="CX842" s="84"/>
      <c r="CY842" s="86"/>
    </row>
    <row r="843" spans="1:103" ht="51" x14ac:dyDescent="0.2">
      <c r="A843" s="43">
        <v>40072</v>
      </c>
      <c r="B843" s="44" t="s">
        <v>632</v>
      </c>
      <c r="C843" s="44" t="s">
        <v>82</v>
      </c>
      <c r="D843" s="45" t="s">
        <v>1118</v>
      </c>
      <c r="E843" s="11"/>
      <c r="F843" s="12"/>
      <c r="G843" s="12"/>
      <c r="H843" s="12">
        <v>5000</v>
      </c>
      <c r="I843" s="12">
        <v>1000</v>
      </c>
      <c r="J843" s="12"/>
      <c r="K843" s="12">
        <v>1000</v>
      </c>
      <c r="L843" s="12"/>
      <c r="M843" s="12"/>
      <c r="N843" s="12"/>
      <c r="O843" s="12"/>
      <c r="P843" s="12"/>
      <c r="Q843" s="12"/>
      <c r="R843" s="12"/>
      <c r="S843" s="12"/>
      <c r="T843" s="13"/>
      <c r="U843" s="46"/>
      <c r="V843" s="47"/>
      <c r="W843" s="48">
        <f t="shared" si="93"/>
        <v>0</v>
      </c>
      <c r="X843" s="48">
        <f t="shared" si="94"/>
        <v>0</v>
      </c>
      <c r="Y843" s="48">
        <f t="shared" si="95"/>
        <v>0</v>
      </c>
      <c r="Z843" s="48">
        <f t="shared" si="96"/>
        <v>0</v>
      </c>
      <c r="AA843" s="48"/>
      <c r="AB843" s="48"/>
      <c r="AC843" s="49">
        <f t="shared" si="97"/>
        <v>0</v>
      </c>
      <c r="AD843" s="50">
        <v>0</v>
      </c>
      <c r="AE843" s="47">
        <v>40074</v>
      </c>
      <c r="AF843" s="51" t="s">
        <v>516</v>
      </c>
      <c r="AG843" s="52" t="s">
        <v>517</v>
      </c>
      <c r="AH843" s="53" t="s">
        <v>685</v>
      </c>
      <c r="AI843" s="79"/>
      <c r="AJ843" s="80"/>
      <c r="AK843" s="81"/>
      <c r="AL843" s="80"/>
      <c r="AM843" s="80"/>
      <c r="AN843" s="80"/>
      <c r="AO843" s="80"/>
      <c r="AP843" s="80"/>
      <c r="AQ843" s="80"/>
      <c r="AR843" s="80"/>
      <c r="AS843" s="80"/>
      <c r="AT843" s="80"/>
      <c r="AU843" s="80"/>
      <c r="AV843" s="80"/>
      <c r="AW843" s="80"/>
      <c r="AX843" s="80"/>
      <c r="AY843" s="80"/>
      <c r="AZ843" s="80"/>
      <c r="BA843" s="80"/>
      <c r="BB843" s="80"/>
      <c r="BC843" s="80"/>
      <c r="BD843" s="80"/>
      <c r="BE843" s="80"/>
      <c r="BF843" s="80"/>
      <c r="BG843" s="80"/>
      <c r="BH843" s="80"/>
      <c r="BI843" s="80"/>
      <c r="BJ843" s="80"/>
      <c r="BK843" s="80"/>
      <c r="BL843" s="80"/>
      <c r="BM843" s="80"/>
      <c r="BN843" s="80"/>
      <c r="BO843" s="80"/>
      <c r="BP843" s="80"/>
      <c r="BQ843" s="80"/>
      <c r="BR843" s="80"/>
      <c r="BS843" s="80"/>
      <c r="BT843" s="80"/>
      <c r="BU843" s="80"/>
      <c r="BV843" s="80"/>
      <c r="BW843" s="80"/>
      <c r="BX843" s="80"/>
      <c r="BY843" s="80"/>
      <c r="BZ843" s="80"/>
      <c r="CA843" s="80"/>
      <c r="CB843" s="80"/>
      <c r="CC843" s="80"/>
      <c r="CD843" s="80"/>
      <c r="CE843" s="80"/>
      <c r="CF843" s="80"/>
      <c r="CG843" s="80"/>
      <c r="CH843" s="80"/>
      <c r="CI843" s="80"/>
      <c r="CJ843" s="80"/>
      <c r="CK843" s="82"/>
      <c r="CL843" s="12"/>
      <c r="CM843" s="82"/>
      <c r="CN843" s="12"/>
      <c r="CO843" s="82"/>
      <c r="CP843" s="12"/>
      <c r="CQ843" s="83">
        <f t="shared" si="98"/>
        <v>0</v>
      </c>
      <c r="CR843" s="84"/>
      <c r="CS843" s="13"/>
      <c r="CT843" s="85"/>
      <c r="CU843" s="86"/>
      <c r="CV843" s="11"/>
      <c r="CW843" s="86"/>
      <c r="CX843" s="84"/>
      <c r="CY843" s="86"/>
    </row>
    <row r="844" spans="1:103" ht="38.25" x14ac:dyDescent="0.2">
      <c r="A844" s="43">
        <v>40072</v>
      </c>
      <c r="B844" s="44" t="s">
        <v>1350</v>
      </c>
      <c r="C844" s="44" t="s">
        <v>1351</v>
      </c>
      <c r="D844" s="45" t="s">
        <v>1116</v>
      </c>
      <c r="E844" s="11"/>
      <c r="F844" s="12"/>
      <c r="G844" s="12"/>
      <c r="H844" s="12"/>
      <c r="I844" s="12"/>
      <c r="J844" s="12"/>
      <c r="K844" s="12"/>
      <c r="L844" s="12"/>
      <c r="M844" s="12"/>
      <c r="N844" s="12"/>
      <c r="O844" s="12"/>
      <c r="P844" s="12"/>
      <c r="Q844" s="12"/>
      <c r="R844" s="12"/>
      <c r="S844" s="12"/>
      <c r="T844" s="13"/>
      <c r="U844" s="46" t="s">
        <v>70</v>
      </c>
      <c r="V844" s="47"/>
      <c r="W844" s="48">
        <f t="shared" ref="W844:W863" si="99">CQ844</f>
        <v>0</v>
      </c>
      <c r="X844" s="48">
        <f t="shared" ref="X844:X863" si="100">CU844</f>
        <v>0</v>
      </c>
      <c r="Y844" s="48">
        <f t="shared" ref="Y844:Y863" si="101">CW844+CY844</f>
        <v>0</v>
      </c>
      <c r="Z844" s="48">
        <f t="shared" ref="Z844:Z863" si="102">CS844</f>
        <v>0</v>
      </c>
      <c r="AA844" s="48"/>
      <c r="AB844" s="48"/>
      <c r="AC844" s="49">
        <f t="shared" ref="AC844:AC863" si="103">W844+X844+Y844+Z844+AA844+AB844</f>
        <v>0</v>
      </c>
      <c r="AD844" s="50">
        <v>0</v>
      </c>
      <c r="AE844" s="47">
        <v>40072</v>
      </c>
      <c r="AF844" s="51" t="s">
        <v>516</v>
      </c>
      <c r="AG844" s="52" t="s">
        <v>517</v>
      </c>
      <c r="AH844" s="53" t="s">
        <v>317</v>
      </c>
      <c r="AI844" s="79"/>
      <c r="AJ844" s="80"/>
      <c r="AK844" s="81"/>
      <c r="AL844" s="80"/>
      <c r="AM844" s="80"/>
      <c r="AN844" s="80"/>
      <c r="AO844" s="80"/>
      <c r="AP844" s="80"/>
      <c r="AQ844" s="80"/>
      <c r="AR844" s="80"/>
      <c r="AS844" s="80"/>
      <c r="AT844" s="80"/>
      <c r="AU844" s="80"/>
      <c r="AV844" s="80"/>
      <c r="AW844" s="80"/>
      <c r="AX844" s="80"/>
      <c r="AY844" s="80"/>
      <c r="AZ844" s="80"/>
      <c r="BA844" s="80"/>
      <c r="BB844" s="80"/>
      <c r="BC844" s="80"/>
      <c r="BD844" s="80"/>
      <c r="BE844" s="80"/>
      <c r="BF844" s="80"/>
      <c r="BG844" s="80"/>
      <c r="BH844" s="80"/>
      <c r="BI844" s="80"/>
      <c r="BJ844" s="80"/>
      <c r="BK844" s="80"/>
      <c r="BL844" s="80"/>
      <c r="BM844" s="80"/>
      <c r="BN844" s="80"/>
      <c r="BO844" s="80"/>
      <c r="BP844" s="80"/>
      <c r="BQ844" s="80"/>
      <c r="BR844" s="80"/>
      <c r="BS844" s="80"/>
      <c r="BT844" s="80"/>
      <c r="BU844" s="80"/>
      <c r="BV844" s="80"/>
      <c r="BW844" s="80"/>
      <c r="BX844" s="80"/>
      <c r="BY844" s="80"/>
      <c r="BZ844" s="80"/>
      <c r="CA844" s="80"/>
      <c r="CB844" s="80"/>
      <c r="CC844" s="80"/>
      <c r="CD844" s="80"/>
      <c r="CE844" s="80"/>
      <c r="CF844" s="80"/>
      <c r="CG844" s="80"/>
      <c r="CH844" s="80"/>
      <c r="CI844" s="80"/>
      <c r="CJ844" s="80"/>
      <c r="CK844" s="82"/>
      <c r="CL844" s="12"/>
      <c r="CM844" s="82"/>
      <c r="CN844" s="12"/>
      <c r="CO844" s="82"/>
      <c r="CP844" s="12"/>
      <c r="CQ844" s="83">
        <f t="shared" ref="CQ844:CQ863" si="104">AJ844+AL844+AN844+AP844+AR844+AT844+AV844+AX844+AZ844+BB844+BD844+BF844+BH844+BJ844+BL844+BN844+BP844+BR844+BT844+BV844+BX844+BZ844+CB844+CD844+CF844+CH844+CJ844+CL844+CN844+CP844</f>
        <v>0</v>
      </c>
      <c r="CR844" s="84"/>
      <c r="CS844" s="13"/>
      <c r="CT844" s="85"/>
      <c r="CU844" s="86"/>
      <c r="CV844" s="11"/>
      <c r="CW844" s="86"/>
      <c r="CX844" s="84"/>
      <c r="CY844" s="86"/>
    </row>
    <row r="845" spans="1:103" ht="51" x14ac:dyDescent="0.2">
      <c r="A845" s="43">
        <v>40073</v>
      </c>
      <c r="B845" s="44" t="s">
        <v>481</v>
      </c>
      <c r="C845" s="44" t="s">
        <v>887</v>
      </c>
      <c r="D845" s="45" t="s">
        <v>1118</v>
      </c>
      <c r="E845" s="11"/>
      <c r="F845" s="12"/>
      <c r="G845" s="12"/>
      <c r="H845" s="12">
        <v>55</v>
      </c>
      <c r="I845" s="12">
        <v>11</v>
      </c>
      <c r="J845" s="12"/>
      <c r="K845" s="12">
        <v>11</v>
      </c>
      <c r="L845" s="12"/>
      <c r="M845" s="12"/>
      <c r="N845" s="12"/>
      <c r="O845" s="12"/>
      <c r="P845" s="12"/>
      <c r="Q845" s="12"/>
      <c r="R845" s="12"/>
      <c r="S845" s="12"/>
      <c r="T845" s="13"/>
      <c r="U845" s="46"/>
      <c r="V845" s="47">
        <v>40094</v>
      </c>
      <c r="W845" s="48">
        <f t="shared" si="99"/>
        <v>0</v>
      </c>
      <c r="X845" s="48">
        <f t="shared" si="100"/>
        <v>0</v>
      </c>
      <c r="Y845" s="48">
        <f t="shared" si="101"/>
        <v>2413496</v>
      </c>
      <c r="Z845" s="48">
        <f t="shared" si="102"/>
        <v>0</v>
      </c>
      <c r="AA845" s="48"/>
      <c r="AB845" s="48"/>
      <c r="AC845" s="49">
        <f t="shared" si="103"/>
        <v>2413496</v>
      </c>
      <c r="AD845" s="50">
        <v>0</v>
      </c>
      <c r="AE845" s="47">
        <v>40074</v>
      </c>
      <c r="AF845" s="51" t="s">
        <v>1016</v>
      </c>
      <c r="AG845" s="52" t="s">
        <v>565</v>
      </c>
      <c r="AH845" s="53" t="s">
        <v>991</v>
      </c>
      <c r="AI845" s="79"/>
      <c r="AJ845" s="80"/>
      <c r="AK845" s="81"/>
      <c r="AL845" s="80"/>
      <c r="AM845" s="80"/>
      <c r="AN845" s="80"/>
      <c r="AO845" s="80"/>
      <c r="AP845" s="80"/>
      <c r="AQ845" s="80"/>
      <c r="AR845" s="80"/>
      <c r="AS845" s="80"/>
      <c r="AT845" s="80"/>
      <c r="AU845" s="80"/>
      <c r="AV845" s="80"/>
      <c r="AW845" s="80"/>
      <c r="AX845" s="80"/>
      <c r="AY845" s="80"/>
      <c r="AZ845" s="80"/>
      <c r="BA845" s="80"/>
      <c r="BB845" s="80"/>
      <c r="BC845" s="80"/>
      <c r="BD845" s="80"/>
      <c r="BE845" s="80"/>
      <c r="BF845" s="80"/>
      <c r="BG845" s="80"/>
      <c r="BH845" s="80"/>
      <c r="BI845" s="80"/>
      <c r="BJ845" s="80"/>
      <c r="BK845" s="80"/>
      <c r="BL845" s="80"/>
      <c r="BM845" s="80"/>
      <c r="BN845" s="80"/>
      <c r="BO845" s="80"/>
      <c r="BP845" s="80"/>
      <c r="BQ845" s="80"/>
      <c r="BR845" s="80"/>
      <c r="BS845" s="80"/>
      <c r="BT845" s="80"/>
      <c r="BU845" s="80"/>
      <c r="BV845" s="80"/>
      <c r="BW845" s="80"/>
      <c r="BX845" s="80"/>
      <c r="BY845" s="80"/>
      <c r="BZ845" s="80"/>
      <c r="CA845" s="80"/>
      <c r="CB845" s="80"/>
      <c r="CC845" s="80"/>
      <c r="CD845" s="80"/>
      <c r="CE845" s="80"/>
      <c r="CF845" s="80"/>
      <c r="CG845" s="80"/>
      <c r="CH845" s="80"/>
      <c r="CI845" s="80"/>
      <c r="CJ845" s="80"/>
      <c r="CK845" s="82"/>
      <c r="CL845" s="12"/>
      <c r="CM845" s="82"/>
      <c r="CN845" s="12"/>
      <c r="CO845" s="82"/>
      <c r="CP845" s="12"/>
      <c r="CQ845" s="83">
        <f t="shared" si="104"/>
        <v>0</v>
      </c>
      <c r="CR845" s="84"/>
      <c r="CS845" s="13"/>
      <c r="CT845" s="85"/>
      <c r="CU845" s="86"/>
      <c r="CV845" s="11"/>
      <c r="CW845" s="86"/>
      <c r="CX845" s="84">
        <f>36+59</f>
        <v>95</v>
      </c>
      <c r="CY845" s="86">
        <f>36*30160+59*22504</f>
        <v>2413496</v>
      </c>
    </row>
    <row r="846" spans="1:103" ht="51" x14ac:dyDescent="0.2">
      <c r="A846" s="43">
        <v>40073</v>
      </c>
      <c r="B846" s="44" t="s">
        <v>481</v>
      </c>
      <c r="C846" s="44" t="s">
        <v>1415</v>
      </c>
      <c r="D846" s="45" t="s">
        <v>1118</v>
      </c>
      <c r="E846" s="11"/>
      <c r="F846" s="12"/>
      <c r="G846" s="12"/>
      <c r="H846" s="12">
        <v>55</v>
      </c>
      <c r="I846" s="12">
        <v>11</v>
      </c>
      <c r="J846" s="12"/>
      <c r="K846" s="12">
        <v>11</v>
      </c>
      <c r="L846" s="12"/>
      <c r="M846" s="12"/>
      <c r="N846" s="12"/>
      <c r="O846" s="12"/>
      <c r="P846" s="12"/>
      <c r="Q846" s="12"/>
      <c r="R846" s="12"/>
      <c r="S846" s="12"/>
      <c r="T846" s="13"/>
      <c r="U846" s="46"/>
      <c r="V846" s="47">
        <v>40094</v>
      </c>
      <c r="W846" s="48">
        <f t="shared" si="99"/>
        <v>0</v>
      </c>
      <c r="X846" s="48">
        <f t="shared" si="100"/>
        <v>0</v>
      </c>
      <c r="Y846" s="48">
        <f t="shared" si="101"/>
        <v>3781368</v>
      </c>
      <c r="Z846" s="48">
        <f t="shared" si="102"/>
        <v>0</v>
      </c>
      <c r="AA846" s="48"/>
      <c r="AB846" s="48"/>
      <c r="AC846" s="49">
        <f t="shared" si="103"/>
        <v>3781368</v>
      </c>
      <c r="AD846" s="50">
        <v>0</v>
      </c>
      <c r="AE846" s="47">
        <v>40074</v>
      </c>
      <c r="AF846" s="51" t="s">
        <v>1016</v>
      </c>
      <c r="AG846" s="52" t="s">
        <v>565</v>
      </c>
      <c r="AH846" s="53" t="s">
        <v>993</v>
      </c>
      <c r="AI846" s="79"/>
      <c r="AJ846" s="80"/>
      <c r="AK846" s="81"/>
      <c r="AL846" s="80"/>
      <c r="AM846" s="80"/>
      <c r="AN846" s="80"/>
      <c r="AO846" s="80"/>
      <c r="AP846" s="80"/>
      <c r="AQ846" s="80"/>
      <c r="AR846" s="80"/>
      <c r="AS846" s="80"/>
      <c r="AT846" s="80"/>
      <c r="AU846" s="80"/>
      <c r="AV846" s="80"/>
      <c r="AW846" s="80"/>
      <c r="AX846" s="80"/>
      <c r="AY846" s="80"/>
      <c r="AZ846" s="80"/>
      <c r="BA846" s="80"/>
      <c r="BB846" s="80"/>
      <c r="BC846" s="80"/>
      <c r="BD846" s="80"/>
      <c r="BE846" s="80"/>
      <c r="BF846" s="80"/>
      <c r="BG846" s="80"/>
      <c r="BH846" s="80"/>
      <c r="BI846" s="80"/>
      <c r="BJ846" s="80"/>
      <c r="BK846" s="80"/>
      <c r="BL846" s="80"/>
      <c r="BM846" s="80"/>
      <c r="BN846" s="80"/>
      <c r="BO846" s="80"/>
      <c r="BP846" s="80"/>
      <c r="BQ846" s="80"/>
      <c r="BR846" s="80"/>
      <c r="BS846" s="80"/>
      <c r="BT846" s="80"/>
      <c r="BU846" s="80"/>
      <c r="BV846" s="80"/>
      <c r="BW846" s="80"/>
      <c r="BX846" s="80"/>
      <c r="BY846" s="80"/>
      <c r="BZ846" s="80"/>
      <c r="CA846" s="80"/>
      <c r="CB846" s="80"/>
      <c r="CC846" s="80"/>
      <c r="CD846" s="80"/>
      <c r="CE846" s="80"/>
      <c r="CF846" s="80"/>
      <c r="CG846" s="80"/>
      <c r="CH846" s="80"/>
      <c r="CI846" s="80"/>
      <c r="CJ846" s="80"/>
      <c r="CK846" s="82"/>
      <c r="CL846" s="12"/>
      <c r="CM846" s="82"/>
      <c r="CN846" s="12"/>
      <c r="CO846" s="82"/>
      <c r="CP846" s="12"/>
      <c r="CQ846" s="83">
        <f t="shared" si="104"/>
        <v>0</v>
      </c>
      <c r="CR846" s="84"/>
      <c r="CS846" s="13"/>
      <c r="CT846" s="85"/>
      <c r="CU846" s="86"/>
      <c r="CV846" s="11"/>
      <c r="CW846" s="86"/>
      <c r="CX846" s="84">
        <f>53+97</f>
        <v>150</v>
      </c>
      <c r="CY846" s="86">
        <f>53*30160+97*22504</f>
        <v>3781368</v>
      </c>
    </row>
    <row r="847" spans="1:103" ht="38.25" x14ac:dyDescent="0.2">
      <c r="A847" s="43">
        <v>40073</v>
      </c>
      <c r="B847" s="44" t="s">
        <v>1136</v>
      </c>
      <c r="C847" s="44" t="s">
        <v>581</v>
      </c>
      <c r="D847" s="45" t="s">
        <v>1126</v>
      </c>
      <c r="E847" s="11"/>
      <c r="F847" s="12"/>
      <c r="G847" s="12"/>
      <c r="H847" s="12">
        <f>14*5</f>
        <v>70</v>
      </c>
      <c r="I847" s="12">
        <v>14</v>
      </c>
      <c r="J847" s="12">
        <v>14</v>
      </c>
      <c r="K847" s="12"/>
      <c r="L847" s="12"/>
      <c r="M847" s="12"/>
      <c r="N847" s="12"/>
      <c r="O847" s="12"/>
      <c r="P847" s="12"/>
      <c r="Q847" s="12"/>
      <c r="R847" s="12"/>
      <c r="S847" s="12"/>
      <c r="T847" s="13"/>
      <c r="U847" s="46"/>
      <c r="V847" s="47"/>
      <c r="W847" s="48">
        <f t="shared" si="99"/>
        <v>0</v>
      </c>
      <c r="X847" s="48">
        <f t="shared" si="100"/>
        <v>0</v>
      </c>
      <c r="Y847" s="48">
        <f t="shared" si="101"/>
        <v>0</v>
      </c>
      <c r="Z847" s="48">
        <f t="shared" si="102"/>
        <v>0</v>
      </c>
      <c r="AA847" s="48"/>
      <c r="AB847" s="48"/>
      <c r="AC847" s="49">
        <f t="shared" si="103"/>
        <v>0</v>
      </c>
      <c r="AD847" s="50">
        <v>0</v>
      </c>
      <c r="AE847" s="47">
        <v>40116</v>
      </c>
      <c r="AF847" s="51" t="s">
        <v>516</v>
      </c>
      <c r="AG847" s="52" t="s">
        <v>517</v>
      </c>
      <c r="AH847" s="53" t="s">
        <v>198</v>
      </c>
      <c r="AI847" s="79"/>
      <c r="AJ847" s="80"/>
      <c r="AK847" s="81"/>
      <c r="AL847" s="80"/>
      <c r="AM847" s="80"/>
      <c r="AN847" s="80"/>
      <c r="AO847" s="80"/>
      <c r="AP847" s="80"/>
      <c r="AQ847" s="80"/>
      <c r="AR847" s="80"/>
      <c r="AS847" s="80"/>
      <c r="AT847" s="80"/>
      <c r="AU847" s="80"/>
      <c r="AV847" s="80"/>
      <c r="AW847" s="80"/>
      <c r="AX847" s="80"/>
      <c r="AY847" s="80"/>
      <c r="AZ847" s="80"/>
      <c r="BA847" s="80"/>
      <c r="BB847" s="80"/>
      <c r="BC847" s="80"/>
      <c r="BD847" s="80"/>
      <c r="BE847" s="80"/>
      <c r="BF847" s="80"/>
      <c r="BG847" s="80"/>
      <c r="BH847" s="80"/>
      <c r="BI847" s="80"/>
      <c r="BJ847" s="80"/>
      <c r="BK847" s="80"/>
      <c r="BL847" s="80"/>
      <c r="BM847" s="80"/>
      <c r="BN847" s="80"/>
      <c r="BO847" s="80"/>
      <c r="BP847" s="80"/>
      <c r="BQ847" s="80"/>
      <c r="BR847" s="80"/>
      <c r="BS847" s="80"/>
      <c r="BT847" s="80"/>
      <c r="BU847" s="80"/>
      <c r="BV847" s="80"/>
      <c r="BW847" s="80"/>
      <c r="BX847" s="80"/>
      <c r="BY847" s="80"/>
      <c r="BZ847" s="80"/>
      <c r="CA847" s="80"/>
      <c r="CB847" s="80"/>
      <c r="CC847" s="80"/>
      <c r="CD847" s="80"/>
      <c r="CE847" s="80"/>
      <c r="CF847" s="80"/>
      <c r="CG847" s="80"/>
      <c r="CH847" s="80"/>
      <c r="CI847" s="80"/>
      <c r="CJ847" s="80"/>
      <c r="CK847" s="82"/>
      <c r="CL847" s="12"/>
      <c r="CM847" s="82"/>
      <c r="CN847" s="12"/>
      <c r="CO847" s="82"/>
      <c r="CP847" s="12"/>
      <c r="CQ847" s="83">
        <f t="shared" si="104"/>
        <v>0</v>
      </c>
      <c r="CR847" s="84"/>
      <c r="CS847" s="13"/>
      <c r="CT847" s="85"/>
      <c r="CU847" s="86"/>
      <c r="CV847" s="11"/>
      <c r="CW847" s="86"/>
      <c r="CX847" s="84"/>
      <c r="CY847" s="86"/>
    </row>
    <row r="848" spans="1:103" ht="76.5" x14ac:dyDescent="0.2">
      <c r="A848" s="43">
        <v>40074</v>
      </c>
      <c r="B848" s="44" t="s">
        <v>688</v>
      </c>
      <c r="C848" s="44" t="s">
        <v>671</v>
      </c>
      <c r="D848" s="45" t="s">
        <v>1117</v>
      </c>
      <c r="E848" s="11"/>
      <c r="F848" s="12"/>
      <c r="G848" s="12"/>
      <c r="H848" s="12">
        <f>180*5</f>
        <v>900</v>
      </c>
      <c r="I848" s="12">
        <v>180</v>
      </c>
      <c r="J848" s="12"/>
      <c r="K848" s="12">
        <v>180</v>
      </c>
      <c r="L848" s="12"/>
      <c r="M848" s="12"/>
      <c r="N848" s="12"/>
      <c r="O848" s="12"/>
      <c r="P848" s="12"/>
      <c r="Q848" s="12"/>
      <c r="R848" s="12"/>
      <c r="S848" s="12"/>
      <c r="T848" s="13"/>
      <c r="U848" s="46"/>
      <c r="V848" s="47">
        <v>40163</v>
      </c>
      <c r="W848" s="48">
        <f t="shared" si="99"/>
        <v>13131360</v>
      </c>
      <c r="X848" s="48">
        <f t="shared" si="100"/>
        <v>15300000</v>
      </c>
      <c r="Y848" s="48">
        <f t="shared" si="101"/>
        <v>24088000</v>
      </c>
      <c r="Z848" s="48">
        <f t="shared" si="102"/>
        <v>0</v>
      </c>
      <c r="AA848" s="48"/>
      <c r="AB848" s="48"/>
      <c r="AC848" s="49">
        <f t="shared" si="103"/>
        <v>52519360</v>
      </c>
      <c r="AD848" s="50">
        <v>0</v>
      </c>
      <c r="AE848" s="47">
        <v>40092</v>
      </c>
      <c r="AF848" s="51" t="s">
        <v>1016</v>
      </c>
      <c r="AG848" s="52" t="s">
        <v>565</v>
      </c>
      <c r="AH848" s="53" t="s">
        <v>911</v>
      </c>
      <c r="AI848" s="79"/>
      <c r="AJ848" s="80"/>
      <c r="AK848" s="81"/>
      <c r="AL848" s="80"/>
      <c r="AM848" s="80"/>
      <c r="AN848" s="80"/>
      <c r="AO848" s="80"/>
      <c r="AP848" s="80"/>
      <c r="AQ848" s="80"/>
      <c r="AR848" s="80"/>
      <c r="AS848" s="80"/>
      <c r="AT848" s="80"/>
      <c r="AU848" s="80"/>
      <c r="AV848" s="80"/>
      <c r="AW848" s="80"/>
      <c r="AX848" s="80"/>
      <c r="AY848" s="80"/>
      <c r="AZ848" s="80"/>
      <c r="BA848" s="80"/>
      <c r="BB848" s="80"/>
      <c r="BC848" s="80"/>
      <c r="BD848" s="80"/>
      <c r="BE848" s="80"/>
      <c r="BF848" s="80"/>
      <c r="BG848" s="80"/>
      <c r="BH848" s="80"/>
      <c r="BI848" s="80"/>
      <c r="BJ848" s="80"/>
      <c r="BK848" s="80"/>
      <c r="BL848" s="80"/>
      <c r="BM848" s="80"/>
      <c r="BN848" s="80"/>
      <c r="BO848" s="80"/>
      <c r="BP848" s="80"/>
      <c r="BQ848" s="80"/>
      <c r="BR848" s="80"/>
      <c r="BS848" s="80"/>
      <c r="BT848" s="80"/>
      <c r="BU848" s="80"/>
      <c r="BV848" s="80"/>
      <c r="BW848" s="80"/>
      <c r="BX848" s="80"/>
      <c r="BY848" s="80"/>
      <c r="BZ848" s="80"/>
      <c r="CA848" s="80"/>
      <c r="CB848" s="80"/>
      <c r="CC848" s="80"/>
      <c r="CD848" s="80"/>
      <c r="CE848" s="80"/>
      <c r="CF848" s="80"/>
      <c r="CG848" s="80"/>
      <c r="CH848" s="80"/>
      <c r="CI848" s="80"/>
      <c r="CJ848" s="80"/>
      <c r="CK848" s="82">
        <v>180</v>
      </c>
      <c r="CL848" s="12">
        <f>180*36952</f>
        <v>6651360</v>
      </c>
      <c r="CM848" s="82">
        <v>180</v>
      </c>
      <c r="CN848" s="12">
        <f>180*36000</f>
        <v>6480000</v>
      </c>
      <c r="CO848" s="82"/>
      <c r="CP848" s="12"/>
      <c r="CQ848" s="83">
        <f t="shared" si="104"/>
        <v>13131360</v>
      </c>
      <c r="CR848" s="84"/>
      <c r="CS848" s="13"/>
      <c r="CT848" s="85">
        <v>180</v>
      </c>
      <c r="CU848" s="86">
        <f>180*85000</f>
        <v>15300000</v>
      </c>
      <c r="CV848" s="11"/>
      <c r="CW848" s="86"/>
      <c r="CX848" s="84">
        <v>1000</v>
      </c>
      <c r="CY848" s="86">
        <f>1000*22000+6000*348</f>
        <v>24088000</v>
      </c>
    </row>
    <row r="849" spans="1:104" ht="38.25" x14ac:dyDescent="0.2">
      <c r="A849" s="43">
        <v>40074</v>
      </c>
      <c r="B849" s="44" t="s">
        <v>1091</v>
      </c>
      <c r="C849" s="44" t="s">
        <v>288</v>
      </c>
      <c r="D849" s="45" t="s">
        <v>1117</v>
      </c>
      <c r="E849" s="11"/>
      <c r="F849" s="12"/>
      <c r="G849" s="12"/>
      <c r="H849" s="12">
        <v>35</v>
      </c>
      <c r="I849" s="12">
        <v>7</v>
      </c>
      <c r="J849" s="12"/>
      <c r="K849" s="12">
        <v>7</v>
      </c>
      <c r="L849" s="12"/>
      <c r="M849" s="12"/>
      <c r="N849" s="12"/>
      <c r="O849" s="12"/>
      <c r="P849" s="12"/>
      <c r="Q849" s="12"/>
      <c r="R849" s="12"/>
      <c r="S849" s="12"/>
      <c r="T849" s="13"/>
      <c r="U849" s="46" t="s">
        <v>350</v>
      </c>
      <c r="V849" s="47"/>
      <c r="W849" s="48">
        <f t="shared" si="99"/>
        <v>0</v>
      </c>
      <c r="X849" s="48">
        <f t="shared" si="100"/>
        <v>0</v>
      </c>
      <c r="Y849" s="48">
        <f t="shared" si="101"/>
        <v>0</v>
      </c>
      <c r="Z849" s="48">
        <f t="shared" si="102"/>
        <v>0</v>
      </c>
      <c r="AA849" s="48"/>
      <c r="AB849" s="48"/>
      <c r="AC849" s="49">
        <f t="shared" si="103"/>
        <v>0</v>
      </c>
      <c r="AD849" s="50">
        <v>0</v>
      </c>
      <c r="AE849" s="47">
        <v>40077</v>
      </c>
      <c r="AF849" s="51" t="s">
        <v>516</v>
      </c>
      <c r="AG849" s="52" t="s">
        <v>517</v>
      </c>
      <c r="AH849" s="53" t="s">
        <v>351</v>
      </c>
      <c r="AI849" s="79"/>
      <c r="AJ849" s="80"/>
      <c r="AK849" s="81"/>
      <c r="AL849" s="80"/>
      <c r="AM849" s="80"/>
      <c r="AN849" s="80"/>
      <c r="AO849" s="80"/>
      <c r="AP849" s="80"/>
      <c r="AQ849" s="80"/>
      <c r="AR849" s="80"/>
      <c r="AS849" s="80"/>
      <c r="AT849" s="80"/>
      <c r="AU849" s="80"/>
      <c r="AV849" s="80"/>
      <c r="AW849" s="80"/>
      <c r="AX849" s="80"/>
      <c r="AY849" s="80"/>
      <c r="AZ849" s="80"/>
      <c r="BA849" s="80"/>
      <c r="BB849" s="80"/>
      <c r="BC849" s="80"/>
      <c r="BD849" s="80"/>
      <c r="BE849" s="80"/>
      <c r="BF849" s="80"/>
      <c r="BG849" s="80"/>
      <c r="BH849" s="80"/>
      <c r="BI849" s="80"/>
      <c r="BJ849" s="80"/>
      <c r="BK849" s="80"/>
      <c r="BL849" s="80"/>
      <c r="BM849" s="80"/>
      <c r="BN849" s="80"/>
      <c r="BO849" s="80"/>
      <c r="BP849" s="80"/>
      <c r="BQ849" s="80"/>
      <c r="BR849" s="80"/>
      <c r="BS849" s="80"/>
      <c r="BT849" s="80"/>
      <c r="BU849" s="80"/>
      <c r="BV849" s="80"/>
      <c r="BW849" s="80"/>
      <c r="BX849" s="80"/>
      <c r="BY849" s="80"/>
      <c r="BZ849" s="80"/>
      <c r="CA849" s="80"/>
      <c r="CB849" s="80"/>
      <c r="CC849" s="80"/>
      <c r="CD849" s="80"/>
      <c r="CE849" s="80"/>
      <c r="CF849" s="80"/>
      <c r="CG849" s="80"/>
      <c r="CH849" s="80"/>
      <c r="CI849" s="80"/>
      <c r="CJ849" s="80"/>
      <c r="CK849" s="82"/>
      <c r="CL849" s="12"/>
      <c r="CM849" s="82"/>
      <c r="CN849" s="12"/>
      <c r="CO849" s="82"/>
      <c r="CP849" s="12"/>
      <c r="CQ849" s="83">
        <f t="shared" si="104"/>
        <v>0</v>
      </c>
      <c r="CR849" s="84"/>
      <c r="CS849" s="13"/>
      <c r="CT849" s="85"/>
      <c r="CU849" s="86"/>
      <c r="CV849" s="11"/>
      <c r="CW849" s="86"/>
      <c r="CX849" s="84"/>
      <c r="CY849" s="86"/>
    </row>
    <row r="850" spans="1:104" ht="25.5" x14ac:dyDescent="0.2">
      <c r="A850" s="43">
        <v>40075</v>
      </c>
      <c r="B850" s="44" t="s">
        <v>625</v>
      </c>
      <c r="C850" s="44" t="s">
        <v>1282</v>
      </c>
      <c r="D850" s="45" t="s">
        <v>1117</v>
      </c>
      <c r="E850" s="11"/>
      <c r="F850" s="12"/>
      <c r="G850" s="12"/>
      <c r="H850" s="12">
        <v>125</v>
      </c>
      <c r="I850" s="12">
        <v>25</v>
      </c>
      <c r="J850" s="12"/>
      <c r="K850" s="12">
        <v>25</v>
      </c>
      <c r="L850" s="12"/>
      <c r="M850" s="12"/>
      <c r="N850" s="12"/>
      <c r="O850" s="12"/>
      <c r="P850" s="12"/>
      <c r="Q850" s="12"/>
      <c r="R850" s="12"/>
      <c r="S850" s="12"/>
      <c r="T850" s="13"/>
      <c r="U850" s="46"/>
      <c r="V850" s="47"/>
      <c r="W850" s="48">
        <f t="shared" si="99"/>
        <v>0</v>
      </c>
      <c r="X850" s="48">
        <f t="shared" si="100"/>
        <v>0</v>
      </c>
      <c r="Y850" s="48">
        <f t="shared" si="101"/>
        <v>0</v>
      </c>
      <c r="Z850" s="48">
        <f t="shared" si="102"/>
        <v>0</v>
      </c>
      <c r="AA850" s="48"/>
      <c r="AB850" s="48"/>
      <c r="AC850" s="49">
        <f t="shared" si="103"/>
        <v>0</v>
      </c>
      <c r="AD850" s="50">
        <v>0</v>
      </c>
      <c r="AE850" s="47">
        <v>40078</v>
      </c>
      <c r="AF850" s="51" t="s">
        <v>516</v>
      </c>
      <c r="AG850" s="52" t="s">
        <v>517</v>
      </c>
      <c r="AH850" s="53" t="s">
        <v>1281</v>
      </c>
      <c r="AI850" s="79"/>
      <c r="AJ850" s="80"/>
      <c r="AK850" s="81"/>
      <c r="AL850" s="80"/>
      <c r="AM850" s="80"/>
      <c r="AN850" s="80"/>
      <c r="AO850" s="80"/>
      <c r="AP850" s="80"/>
      <c r="AQ850" s="80"/>
      <c r="AR850" s="80"/>
      <c r="AS850" s="80"/>
      <c r="AT850" s="80"/>
      <c r="AU850" s="80"/>
      <c r="AV850" s="80"/>
      <c r="AW850" s="80"/>
      <c r="AX850" s="80"/>
      <c r="AY850" s="80"/>
      <c r="AZ850" s="80"/>
      <c r="BA850" s="80"/>
      <c r="BB850" s="80"/>
      <c r="BC850" s="80"/>
      <c r="BD850" s="80"/>
      <c r="BE850" s="80"/>
      <c r="BF850" s="80"/>
      <c r="BG850" s="80"/>
      <c r="BH850" s="80"/>
      <c r="BI850" s="80"/>
      <c r="BJ850" s="80"/>
      <c r="BK850" s="80"/>
      <c r="BL850" s="80"/>
      <c r="BM850" s="80"/>
      <c r="BN850" s="80"/>
      <c r="BO850" s="80"/>
      <c r="BP850" s="80"/>
      <c r="BQ850" s="80"/>
      <c r="BR850" s="80"/>
      <c r="BS850" s="80"/>
      <c r="BT850" s="80"/>
      <c r="BU850" s="80"/>
      <c r="BV850" s="80"/>
      <c r="BW850" s="80"/>
      <c r="BX850" s="80"/>
      <c r="BY850" s="80"/>
      <c r="BZ850" s="80"/>
      <c r="CA850" s="80"/>
      <c r="CB850" s="80"/>
      <c r="CC850" s="80"/>
      <c r="CD850" s="80"/>
      <c r="CE850" s="80"/>
      <c r="CF850" s="80"/>
      <c r="CG850" s="80"/>
      <c r="CH850" s="80"/>
      <c r="CI850" s="80"/>
      <c r="CJ850" s="80"/>
      <c r="CK850" s="82"/>
      <c r="CL850" s="12"/>
      <c r="CM850" s="82"/>
      <c r="CN850" s="12"/>
      <c r="CO850" s="82"/>
      <c r="CP850" s="12"/>
      <c r="CQ850" s="83">
        <f t="shared" si="104"/>
        <v>0</v>
      </c>
      <c r="CR850" s="84"/>
      <c r="CS850" s="13"/>
      <c r="CT850" s="85"/>
      <c r="CU850" s="86"/>
      <c r="CV850" s="11"/>
      <c r="CW850" s="86"/>
      <c r="CX850" s="84"/>
      <c r="CY850" s="86"/>
    </row>
    <row r="851" spans="1:104" ht="25.5" x14ac:dyDescent="0.2">
      <c r="A851" s="43">
        <v>40075</v>
      </c>
      <c r="B851" s="44" t="s">
        <v>315</v>
      </c>
      <c r="C851" s="44" t="s">
        <v>1079</v>
      </c>
      <c r="D851" s="45" t="s">
        <v>1117</v>
      </c>
      <c r="E851" s="11"/>
      <c r="F851" s="12"/>
      <c r="G851" s="12"/>
      <c r="H851" s="12">
        <v>270</v>
      </c>
      <c r="I851" s="12">
        <v>54</v>
      </c>
      <c r="J851" s="12"/>
      <c r="K851" s="12">
        <v>54</v>
      </c>
      <c r="L851" s="12"/>
      <c r="M851" s="12"/>
      <c r="N851" s="12"/>
      <c r="O851" s="12"/>
      <c r="P851" s="12"/>
      <c r="Q851" s="12"/>
      <c r="R851" s="12"/>
      <c r="S851" s="12"/>
      <c r="T851" s="13"/>
      <c r="U851" s="46"/>
      <c r="V851" s="47"/>
      <c r="W851" s="48">
        <f t="shared" si="99"/>
        <v>0</v>
      </c>
      <c r="X851" s="48">
        <f t="shared" si="100"/>
        <v>0</v>
      </c>
      <c r="Y851" s="48">
        <f t="shared" si="101"/>
        <v>0</v>
      </c>
      <c r="Z851" s="48">
        <f t="shared" si="102"/>
        <v>0</v>
      </c>
      <c r="AA851" s="48"/>
      <c r="AB851" s="48"/>
      <c r="AC851" s="49">
        <f t="shared" si="103"/>
        <v>0</v>
      </c>
      <c r="AD851" s="50">
        <v>0</v>
      </c>
      <c r="AE851" s="47">
        <v>40077</v>
      </c>
      <c r="AF851" s="51" t="s">
        <v>516</v>
      </c>
      <c r="AG851" s="52" t="s">
        <v>517</v>
      </c>
      <c r="AH851" s="53" t="s">
        <v>313</v>
      </c>
      <c r="AI851" s="79"/>
      <c r="AJ851" s="80"/>
      <c r="AK851" s="81"/>
      <c r="AL851" s="80"/>
      <c r="AM851" s="80"/>
      <c r="AN851" s="80"/>
      <c r="AO851" s="80"/>
      <c r="AP851" s="80"/>
      <c r="AQ851" s="80"/>
      <c r="AR851" s="80"/>
      <c r="AS851" s="80"/>
      <c r="AT851" s="80"/>
      <c r="AU851" s="80"/>
      <c r="AV851" s="80"/>
      <c r="AW851" s="80"/>
      <c r="AX851" s="80"/>
      <c r="AY851" s="80"/>
      <c r="AZ851" s="80"/>
      <c r="BA851" s="80"/>
      <c r="BB851" s="80"/>
      <c r="BC851" s="80"/>
      <c r="BD851" s="80"/>
      <c r="BE851" s="80"/>
      <c r="BF851" s="80"/>
      <c r="BG851" s="80"/>
      <c r="BH851" s="80"/>
      <c r="BI851" s="80"/>
      <c r="BJ851" s="80"/>
      <c r="BK851" s="80"/>
      <c r="BL851" s="80"/>
      <c r="BM851" s="80"/>
      <c r="BN851" s="80"/>
      <c r="BO851" s="80"/>
      <c r="BP851" s="80"/>
      <c r="BQ851" s="80"/>
      <c r="BR851" s="80"/>
      <c r="BS851" s="80"/>
      <c r="BT851" s="80"/>
      <c r="BU851" s="80"/>
      <c r="BV851" s="80"/>
      <c r="BW851" s="80"/>
      <c r="BX851" s="80"/>
      <c r="BY851" s="80"/>
      <c r="BZ851" s="80"/>
      <c r="CA851" s="80"/>
      <c r="CB851" s="80"/>
      <c r="CC851" s="80"/>
      <c r="CD851" s="80"/>
      <c r="CE851" s="80"/>
      <c r="CF851" s="80"/>
      <c r="CG851" s="80"/>
      <c r="CH851" s="80"/>
      <c r="CI851" s="80"/>
      <c r="CJ851" s="80"/>
      <c r="CK851" s="82"/>
      <c r="CL851" s="12"/>
      <c r="CM851" s="82"/>
      <c r="CN851" s="12"/>
      <c r="CO851" s="82"/>
      <c r="CP851" s="12"/>
      <c r="CQ851" s="83">
        <f t="shared" si="104"/>
        <v>0</v>
      </c>
      <c r="CR851" s="84"/>
      <c r="CS851" s="13"/>
      <c r="CT851" s="85"/>
      <c r="CU851" s="86"/>
      <c r="CV851" s="11"/>
      <c r="CW851" s="86"/>
      <c r="CX851" s="84"/>
      <c r="CY851" s="86"/>
    </row>
    <row r="852" spans="1:104" ht="25.5" x14ac:dyDescent="0.2">
      <c r="A852" s="43">
        <v>40075</v>
      </c>
      <c r="B852" s="44" t="s">
        <v>1127</v>
      </c>
      <c r="C852" s="44" t="s">
        <v>352</v>
      </c>
      <c r="D852" s="45" t="s">
        <v>1211</v>
      </c>
      <c r="E852" s="11">
        <v>3</v>
      </c>
      <c r="F852" s="12"/>
      <c r="G852" s="12"/>
      <c r="H852" s="12"/>
      <c r="I852" s="12"/>
      <c r="J852" s="12"/>
      <c r="K852" s="12"/>
      <c r="L852" s="12"/>
      <c r="M852" s="12"/>
      <c r="N852" s="12"/>
      <c r="O852" s="12"/>
      <c r="P852" s="12"/>
      <c r="Q852" s="12"/>
      <c r="R852" s="12"/>
      <c r="S852" s="12"/>
      <c r="T852" s="13"/>
      <c r="U852" s="46"/>
      <c r="V852" s="47"/>
      <c r="W852" s="48">
        <f t="shared" si="99"/>
        <v>0</v>
      </c>
      <c r="X852" s="48">
        <f t="shared" si="100"/>
        <v>0</v>
      </c>
      <c r="Y852" s="48">
        <f t="shared" si="101"/>
        <v>0</v>
      </c>
      <c r="Z852" s="48">
        <f t="shared" si="102"/>
        <v>0</v>
      </c>
      <c r="AA852" s="48"/>
      <c r="AB852" s="48"/>
      <c r="AC852" s="49">
        <f t="shared" si="103"/>
        <v>0</v>
      </c>
      <c r="AD852" s="50">
        <v>0</v>
      </c>
      <c r="AE852" s="47">
        <v>40077</v>
      </c>
      <c r="AF852" s="51" t="s">
        <v>516</v>
      </c>
      <c r="AG852" s="52" t="s">
        <v>517</v>
      </c>
      <c r="AH852" s="53" t="s">
        <v>197</v>
      </c>
      <c r="AI852" s="79"/>
      <c r="AJ852" s="80"/>
      <c r="AK852" s="81"/>
      <c r="AL852" s="80"/>
      <c r="AM852" s="80"/>
      <c r="AN852" s="80"/>
      <c r="AO852" s="80"/>
      <c r="AP852" s="80"/>
      <c r="AQ852" s="80"/>
      <c r="AR852" s="80"/>
      <c r="AS852" s="80"/>
      <c r="AT852" s="80"/>
      <c r="AU852" s="80"/>
      <c r="AV852" s="80"/>
      <c r="AW852" s="80"/>
      <c r="AX852" s="80"/>
      <c r="AY852" s="80"/>
      <c r="AZ852" s="80"/>
      <c r="BA852" s="80"/>
      <c r="BB852" s="80"/>
      <c r="BC852" s="80"/>
      <c r="BD852" s="80"/>
      <c r="BE852" s="80"/>
      <c r="BF852" s="80"/>
      <c r="BG852" s="80"/>
      <c r="BH852" s="80"/>
      <c r="BI852" s="80"/>
      <c r="BJ852" s="80"/>
      <c r="BK852" s="80"/>
      <c r="BL852" s="80"/>
      <c r="BM852" s="80"/>
      <c r="BN852" s="80"/>
      <c r="BO852" s="80"/>
      <c r="BP852" s="80"/>
      <c r="BQ852" s="80"/>
      <c r="BR852" s="80"/>
      <c r="BS852" s="80"/>
      <c r="BT852" s="80"/>
      <c r="BU852" s="80"/>
      <c r="BV852" s="80"/>
      <c r="BW852" s="80"/>
      <c r="BX852" s="80"/>
      <c r="BY852" s="80"/>
      <c r="BZ852" s="80"/>
      <c r="CA852" s="80"/>
      <c r="CB852" s="80"/>
      <c r="CC852" s="80"/>
      <c r="CD852" s="80"/>
      <c r="CE852" s="80"/>
      <c r="CF852" s="80"/>
      <c r="CG852" s="80"/>
      <c r="CH852" s="80"/>
      <c r="CI852" s="80"/>
      <c r="CJ852" s="80"/>
      <c r="CK852" s="82"/>
      <c r="CL852" s="12"/>
      <c r="CM852" s="82"/>
      <c r="CN852" s="12"/>
      <c r="CO852" s="82"/>
      <c r="CP852" s="12"/>
      <c r="CQ852" s="83">
        <f t="shared" si="104"/>
        <v>0</v>
      </c>
      <c r="CR852" s="84"/>
      <c r="CS852" s="13"/>
      <c r="CT852" s="85"/>
      <c r="CU852" s="86"/>
      <c r="CV852" s="11"/>
      <c r="CW852" s="86"/>
      <c r="CX852" s="84"/>
      <c r="CY852" s="86"/>
    </row>
    <row r="853" spans="1:104" ht="25.5" x14ac:dyDescent="0.2">
      <c r="A853" s="43">
        <v>40076</v>
      </c>
      <c r="B853" s="44" t="s">
        <v>625</v>
      </c>
      <c r="C853" s="44" t="s">
        <v>1370</v>
      </c>
      <c r="D853" s="45" t="s">
        <v>1117</v>
      </c>
      <c r="E853" s="11"/>
      <c r="F853" s="12"/>
      <c r="G853" s="12"/>
      <c r="H853" s="12">
        <v>125</v>
      </c>
      <c r="I853" s="12">
        <v>25</v>
      </c>
      <c r="J853" s="12"/>
      <c r="K853" s="12">
        <v>25</v>
      </c>
      <c r="L853" s="12"/>
      <c r="M853" s="12"/>
      <c r="N853" s="12"/>
      <c r="O853" s="12"/>
      <c r="P853" s="12"/>
      <c r="Q853" s="12"/>
      <c r="R853" s="12"/>
      <c r="S853" s="12"/>
      <c r="T853" s="13"/>
      <c r="U853" s="46"/>
      <c r="V853" s="47"/>
      <c r="W853" s="48">
        <f t="shared" si="99"/>
        <v>0</v>
      </c>
      <c r="X853" s="48">
        <f t="shared" si="100"/>
        <v>0</v>
      </c>
      <c r="Y853" s="48">
        <f t="shared" si="101"/>
        <v>0</v>
      </c>
      <c r="Z853" s="48">
        <f t="shared" si="102"/>
        <v>0</v>
      </c>
      <c r="AA853" s="48"/>
      <c r="AB853" s="48"/>
      <c r="AC853" s="49">
        <f t="shared" si="103"/>
        <v>0</v>
      </c>
      <c r="AD853" s="50">
        <v>0</v>
      </c>
      <c r="AE853" s="47">
        <v>40078</v>
      </c>
      <c r="AF853" s="51" t="s">
        <v>516</v>
      </c>
      <c r="AG853" s="52" t="s">
        <v>517</v>
      </c>
      <c r="AH853" s="53" t="s">
        <v>1281</v>
      </c>
      <c r="AI853" s="79"/>
      <c r="AJ853" s="80"/>
      <c r="AK853" s="81"/>
      <c r="AL853" s="80"/>
      <c r="AM853" s="80"/>
      <c r="AN853" s="80"/>
      <c r="AO853" s="80"/>
      <c r="AP853" s="80"/>
      <c r="AQ853" s="80"/>
      <c r="AR853" s="80"/>
      <c r="AS853" s="80"/>
      <c r="AT853" s="80"/>
      <c r="AU853" s="80"/>
      <c r="AV853" s="80"/>
      <c r="AW853" s="80"/>
      <c r="AX853" s="80"/>
      <c r="AY853" s="80"/>
      <c r="AZ853" s="80"/>
      <c r="BA853" s="80"/>
      <c r="BB853" s="80"/>
      <c r="BC853" s="80"/>
      <c r="BD853" s="80"/>
      <c r="BE853" s="80"/>
      <c r="BF853" s="80"/>
      <c r="BG853" s="80"/>
      <c r="BH853" s="80"/>
      <c r="BI853" s="80"/>
      <c r="BJ853" s="80"/>
      <c r="BK853" s="80"/>
      <c r="BL853" s="80"/>
      <c r="BM853" s="80"/>
      <c r="BN853" s="80"/>
      <c r="BO853" s="80"/>
      <c r="BP853" s="80"/>
      <c r="BQ853" s="80"/>
      <c r="BR853" s="80"/>
      <c r="BS853" s="80"/>
      <c r="BT853" s="80"/>
      <c r="BU853" s="80"/>
      <c r="BV853" s="80"/>
      <c r="BW853" s="80"/>
      <c r="BX853" s="80"/>
      <c r="BY853" s="80"/>
      <c r="BZ853" s="80"/>
      <c r="CA853" s="80"/>
      <c r="CB853" s="80"/>
      <c r="CC853" s="80"/>
      <c r="CD853" s="80"/>
      <c r="CE853" s="80"/>
      <c r="CF853" s="80"/>
      <c r="CG853" s="80"/>
      <c r="CH853" s="80"/>
      <c r="CI853" s="80"/>
      <c r="CJ853" s="80"/>
      <c r="CK853" s="82"/>
      <c r="CL853" s="12"/>
      <c r="CM853" s="82"/>
      <c r="CN853" s="12"/>
      <c r="CO853" s="82"/>
      <c r="CP853" s="12"/>
      <c r="CQ853" s="83">
        <f t="shared" si="104"/>
        <v>0</v>
      </c>
      <c r="CR853" s="84"/>
      <c r="CS853" s="13"/>
      <c r="CT853" s="85"/>
      <c r="CU853" s="86"/>
      <c r="CV853" s="11"/>
      <c r="CW853" s="86"/>
      <c r="CX853" s="84"/>
      <c r="CY853" s="86"/>
    </row>
    <row r="854" spans="1:104" ht="38.25" x14ac:dyDescent="0.2">
      <c r="A854" s="43">
        <v>40076</v>
      </c>
      <c r="B854" s="44" t="s">
        <v>625</v>
      </c>
      <c r="C854" s="44" t="s">
        <v>738</v>
      </c>
      <c r="D854" s="45" t="s">
        <v>1117</v>
      </c>
      <c r="E854" s="11"/>
      <c r="F854" s="12"/>
      <c r="G854" s="12"/>
      <c r="H854" s="12">
        <f>45*5</f>
        <v>225</v>
      </c>
      <c r="I854" s="12">
        <v>45</v>
      </c>
      <c r="J854" s="12"/>
      <c r="K854" s="12">
        <v>45</v>
      </c>
      <c r="L854" s="12"/>
      <c r="M854" s="12"/>
      <c r="N854" s="12"/>
      <c r="O854" s="12"/>
      <c r="P854" s="12"/>
      <c r="Q854" s="12"/>
      <c r="R854" s="12"/>
      <c r="S854" s="12"/>
      <c r="T854" s="13"/>
      <c r="U854" s="46"/>
      <c r="V854" s="47">
        <v>40193</v>
      </c>
      <c r="W854" s="48">
        <f t="shared" si="99"/>
        <v>3725000</v>
      </c>
      <c r="X854" s="48">
        <f t="shared" si="100"/>
        <v>4250000</v>
      </c>
      <c r="Y854" s="48">
        <f t="shared" si="101"/>
        <v>12400000</v>
      </c>
      <c r="Z854" s="48">
        <f t="shared" si="102"/>
        <v>0</v>
      </c>
      <c r="AA854" s="48"/>
      <c r="AB854" s="48"/>
      <c r="AC854" s="49">
        <f t="shared" si="103"/>
        <v>20375000</v>
      </c>
      <c r="AD854" s="50">
        <v>0</v>
      </c>
      <c r="AE854" s="47">
        <v>40078</v>
      </c>
      <c r="AF854" s="51" t="s">
        <v>1016</v>
      </c>
      <c r="AG854" s="52" t="s">
        <v>565</v>
      </c>
      <c r="AH854" s="53" t="s">
        <v>1281</v>
      </c>
      <c r="AI854" s="79"/>
      <c r="AJ854" s="80"/>
      <c r="AK854" s="81"/>
      <c r="AL854" s="80"/>
      <c r="AM854" s="80"/>
      <c r="AN854" s="80"/>
      <c r="AO854" s="80"/>
      <c r="AP854" s="80"/>
      <c r="AQ854" s="80"/>
      <c r="AR854" s="80"/>
      <c r="AS854" s="80"/>
      <c r="AT854" s="80"/>
      <c r="AU854" s="80"/>
      <c r="AV854" s="80"/>
      <c r="AW854" s="80"/>
      <c r="AX854" s="80"/>
      <c r="AY854" s="80"/>
      <c r="AZ854" s="80"/>
      <c r="BA854" s="80"/>
      <c r="BB854" s="80"/>
      <c r="BC854" s="80"/>
      <c r="BD854" s="80"/>
      <c r="BE854" s="80"/>
      <c r="BF854" s="80"/>
      <c r="BG854" s="80"/>
      <c r="BH854" s="80"/>
      <c r="BI854" s="80"/>
      <c r="BJ854" s="80"/>
      <c r="BK854" s="80"/>
      <c r="BL854" s="80"/>
      <c r="BM854" s="80"/>
      <c r="BN854" s="80"/>
      <c r="BO854" s="80"/>
      <c r="BP854" s="80"/>
      <c r="BQ854" s="80"/>
      <c r="BR854" s="80"/>
      <c r="BS854" s="80"/>
      <c r="BT854" s="80"/>
      <c r="BU854" s="80"/>
      <c r="BV854" s="80"/>
      <c r="BW854" s="80"/>
      <c r="BX854" s="80"/>
      <c r="BY854" s="80"/>
      <c r="BZ854" s="80"/>
      <c r="CA854" s="80"/>
      <c r="CB854" s="80"/>
      <c r="CC854" s="80"/>
      <c r="CD854" s="80"/>
      <c r="CE854" s="80"/>
      <c r="CF854" s="80"/>
      <c r="CG854" s="80"/>
      <c r="CH854" s="80"/>
      <c r="CI854" s="80"/>
      <c r="CJ854" s="80"/>
      <c r="CK854" s="82">
        <v>50</v>
      </c>
      <c r="CL854" s="12">
        <f>50*38500</f>
        <v>1925000</v>
      </c>
      <c r="CM854" s="82">
        <v>50</v>
      </c>
      <c r="CN854" s="12">
        <f>50*36000</f>
        <v>1800000</v>
      </c>
      <c r="CO854" s="82"/>
      <c r="CP854" s="12"/>
      <c r="CQ854" s="83">
        <f t="shared" si="104"/>
        <v>3725000</v>
      </c>
      <c r="CR854" s="84"/>
      <c r="CS854" s="13"/>
      <c r="CT854" s="85">
        <v>50</v>
      </c>
      <c r="CU854" s="86">
        <f>50*85000</f>
        <v>4250000</v>
      </c>
      <c r="CV854" s="11"/>
      <c r="CW854" s="86"/>
      <c r="CX854" s="84">
        <f>100+100+3000</f>
        <v>3200</v>
      </c>
      <c r="CY854" s="86">
        <f>100*22000+100*27000+3000*2500</f>
        <v>12400000</v>
      </c>
      <c r="CZ854" s="9" t="s">
        <v>135</v>
      </c>
    </row>
    <row r="855" spans="1:104" ht="51" x14ac:dyDescent="0.2">
      <c r="A855" s="65">
        <v>40076</v>
      </c>
      <c r="B855" s="61" t="s">
        <v>1226</v>
      </c>
      <c r="C855" s="61" t="s">
        <v>418</v>
      </c>
      <c r="D855" s="45" t="s">
        <v>1068</v>
      </c>
      <c r="E855" s="11"/>
      <c r="F855" s="12"/>
      <c r="G855" s="12"/>
      <c r="H855" s="12"/>
      <c r="I855" s="12"/>
      <c r="J855" s="12"/>
      <c r="K855" s="12"/>
      <c r="L855" s="12"/>
      <c r="M855" s="12"/>
      <c r="N855" s="12"/>
      <c r="O855" s="12"/>
      <c r="P855" s="12"/>
      <c r="Q855" s="12"/>
      <c r="R855" s="12"/>
      <c r="S855" s="12"/>
      <c r="T855" s="13"/>
      <c r="U855" s="46"/>
      <c r="V855" s="47">
        <v>40094</v>
      </c>
      <c r="W855" s="48">
        <f t="shared" si="99"/>
        <v>0</v>
      </c>
      <c r="X855" s="48">
        <f t="shared" si="100"/>
        <v>0</v>
      </c>
      <c r="Y855" s="48">
        <f t="shared" si="101"/>
        <v>0</v>
      </c>
      <c r="Z855" s="48">
        <f t="shared" si="102"/>
        <v>0</v>
      </c>
      <c r="AA855" s="48">
        <f>700*21999+2016*1500+498800+1305000+800400</f>
        <v>21027500</v>
      </c>
      <c r="AB855" s="48"/>
      <c r="AC855" s="49">
        <f t="shared" si="103"/>
        <v>21027500</v>
      </c>
      <c r="AD855" s="50">
        <v>0</v>
      </c>
      <c r="AE855" s="47">
        <v>40076</v>
      </c>
      <c r="AF855" s="51" t="s">
        <v>1016</v>
      </c>
      <c r="AG855" s="52" t="s">
        <v>565</v>
      </c>
      <c r="AH855" s="54" t="s">
        <v>368</v>
      </c>
      <c r="AI855" s="79"/>
      <c r="AJ855" s="80"/>
      <c r="AK855" s="81"/>
      <c r="AL855" s="80"/>
      <c r="AM855" s="80"/>
      <c r="AN855" s="80"/>
      <c r="AO855" s="80"/>
      <c r="AP855" s="80"/>
      <c r="AQ855" s="80"/>
      <c r="AR855" s="80"/>
      <c r="AS855" s="80"/>
      <c r="AT855" s="80"/>
      <c r="AU855" s="80"/>
      <c r="AV855" s="80"/>
      <c r="AW855" s="80"/>
      <c r="AX855" s="80"/>
      <c r="AY855" s="80"/>
      <c r="AZ855" s="80"/>
      <c r="BA855" s="80"/>
      <c r="BB855" s="80"/>
      <c r="BC855" s="80"/>
      <c r="BD855" s="80"/>
      <c r="BE855" s="80"/>
      <c r="BF855" s="80"/>
      <c r="BG855" s="80"/>
      <c r="BH855" s="80"/>
      <c r="BI855" s="80"/>
      <c r="BJ855" s="80"/>
      <c r="BK855" s="80"/>
      <c r="BL855" s="80"/>
      <c r="BM855" s="80"/>
      <c r="BN855" s="80"/>
      <c r="BO855" s="80"/>
      <c r="BP855" s="80"/>
      <c r="BQ855" s="80"/>
      <c r="BR855" s="80"/>
      <c r="BS855" s="80"/>
      <c r="BT855" s="80"/>
      <c r="BU855" s="80"/>
      <c r="BV855" s="80"/>
      <c r="BW855" s="80"/>
      <c r="BX855" s="80"/>
      <c r="BY855" s="80"/>
      <c r="BZ855" s="80"/>
      <c r="CA855" s="80"/>
      <c r="CB855" s="80"/>
      <c r="CC855" s="80"/>
      <c r="CD855" s="80"/>
      <c r="CE855" s="80"/>
      <c r="CF855" s="80"/>
      <c r="CG855" s="80"/>
      <c r="CH855" s="80"/>
      <c r="CI855" s="80"/>
      <c r="CJ855" s="80"/>
      <c r="CK855" s="82"/>
      <c r="CL855" s="12"/>
      <c r="CM855" s="82"/>
      <c r="CN855" s="12"/>
      <c r="CO855" s="82"/>
      <c r="CP855" s="12"/>
      <c r="CQ855" s="83">
        <f t="shared" si="104"/>
        <v>0</v>
      </c>
      <c r="CR855" s="84"/>
      <c r="CS855" s="13"/>
      <c r="CT855" s="85"/>
      <c r="CU855" s="86"/>
      <c r="CV855" s="11"/>
      <c r="CW855" s="86"/>
      <c r="CX855" s="84"/>
      <c r="CY855" s="86"/>
    </row>
    <row r="856" spans="1:104" ht="38.25" x14ac:dyDescent="0.2">
      <c r="A856" s="43">
        <v>40077</v>
      </c>
      <c r="B856" s="44" t="s">
        <v>1114</v>
      </c>
      <c r="C856" s="44" t="s">
        <v>913</v>
      </c>
      <c r="D856" s="45" t="s">
        <v>1116</v>
      </c>
      <c r="E856" s="11"/>
      <c r="F856" s="12"/>
      <c r="G856" s="12"/>
      <c r="H856" s="12">
        <v>6</v>
      </c>
      <c r="I856" s="12">
        <v>1</v>
      </c>
      <c r="J856" s="12">
        <v>1</v>
      </c>
      <c r="K856" s="12"/>
      <c r="L856" s="12"/>
      <c r="M856" s="12"/>
      <c r="N856" s="12"/>
      <c r="O856" s="12"/>
      <c r="P856" s="12"/>
      <c r="Q856" s="12"/>
      <c r="R856" s="12"/>
      <c r="S856" s="12"/>
      <c r="T856" s="13"/>
      <c r="U856" s="46"/>
      <c r="V856" s="47"/>
      <c r="W856" s="48">
        <f t="shared" si="99"/>
        <v>0</v>
      </c>
      <c r="X856" s="48">
        <f t="shared" si="100"/>
        <v>0</v>
      </c>
      <c r="Y856" s="48">
        <f t="shared" si="101"/>
        <v>0</v>
      </c>
      <c r="Z856" s="48">
        <f t="shared" si="102"/>
        <v>0</v>
      </c>
      <c r="AA856" s="48"/>
      <c r="AB856" s="48"/>
      <c r="AC856" s="49">
        <f t="shared" si="103"/>
        <v>0</v>
      </c>
      <c r="AD856" s="50">
        <v>0</v>
      </c>
      <c r="AE856" s="47">
        <v>40078</v>
      </c>
      <c r="AF856" s="51" t="s">
        <v>516</v>
      </c>
      <c r="AG856" s="52" t="s">
        <v>517</v>
      </c>
      <c r="AH856" s="53" t="s">
        <v>1196</v>
      </c>
      <c r="AI856" s="79"/>
      <c r="AJ856" s="80"/>
      <c r="AK856" s="81"/>
      <c r="AL856" s="80"/>
      <c r="AM856" s="80"/>
      <c r="AN856" s="80"/>
      <c r="AO856" s="80"/>
      <c r="AP856" s="80"/>
      <c r="AQ856" s="80"/>
      <c r="AR856" s="80"/>
      <c r="AS856" s="80"/>
      <c r="AT856" s="80"/>
      <c r="AU856" s="80"/>
      <c r="AV856" s="80"/>
      <c r="AW856" s="80"/>
      <c r="AX856" s="80"/>
      <c r="AY856" s="80"/>
      <c r="AZ856" s="80"/>
      <c r="BA856" s="80"/>
      <c r="BB856" s="80"/>
      <c r="BC856" s="80"/>
      <c r="BD856" s="80"/>
      <c r="BE856" s="80"/>
      <c r="BF856" s="80"/>
      <c r="BG856" s="80"/>
      <c r="BH856" s="80"/>
      <c r="BI856" s="80"/>
      <c r="BJ856" s="80"/>
      <c r="BK856" s="80"/>
      <c r="BL856" s="80"/>
      <c r="BM856" s="80"/>
      <c r="BN856" s="80"/>
      <c r="BO856" s="80"/>
      <c r="BP856" s="80"/>
      <c r="BQ856" s="80"/>
      <c r="BR856" s="80"/>
      <c r="BS856" s="80"/>
      <c r="BT856" s="80"/>
      <c r="BU856" s="80"/>
      <c r="BV856" s="80"/>
      <c r="BW856" s="80"/>
      <c r="BX856" s="80"/>
      <c r="BY856" s="80"/>
      <c r="BZ856" s="80"/>
      <c r="CA856" s="80"/>
      <c r="CB856" s="80"/>
      <c r="CC856" s="80"/>
      <c r="CD856" s="80"/>
      <c r="CE856" s="80"/>
      <c r="CF856" s="80"/>
      <c r="CG856" s="80"/>
      <c r="CH856" s="80"/>
      <c r="CI856" s="80"/>
      <c r="CJ856" s="80"/>
      <c r="CK856" s="82"/>
      <c r="CL856" s="12"/>
      <c r="CM856" s="82"/>
      <c r="CN856" s="12"/>
      <c r="CO856" s="82"/>
      <c r="CP856" s="12"/>
      <c r="CQ856" s="83">
        <f t="shared" si="104"/>
        <v>0</v>
      </c>
      <c r="CR856" s="84"/>
      <c r="CS856" s="13"/>
      <c r="CT856" s="85"/>
      <c r="CU856" s="86"/>
      <c r="CV856" s="11"/>
      <c r="CW856" s="86"/>
      <c r="CX856" s="84"/>
      <c r="CY856" s="86"/>
    </row>
    <row r="857" spans="1:104" ht="38.25" x14ac:dyDescent="0.2">
      <c r="A857" s="43">
        <v>40077</v>
      </c>
      <c r="B857" s="44" t="s">
        <v>1350</v>
      </c>
      <c r="C857" s="44" t="s">
        <v>1351</v>
      </c>
      <c r="D857" s="45" t="s">
        <v>1117</v>
      </c>
      <c r="E857" s="11"/>
      <c r="F857" s="12"/>
      <c r="G857" s="12"/>
      <c r="H857" s="12">
        <v>225</v>
      </c>
      <c r="I857" s="12">
        <v>45</v>
      </c>
      <c r="J857" s="12"/>
      <c r="K857" s="12">
        <v>45</v>
      </c>
      <c r="L857" s="12"/>
      <c r="M857" s="12"/>
      <c r="N857" s="12"/>
      <c r="O857" s="12"/>
      <c r="P857" s="12"/>
      <c r="Q857" s="12"/>
      <c r="R857" s="12"/>
      <c r="S857" s="12"/>
      <c r="T857" s="13"/>
      <c r="U857" s="46"/>
      <c r="V857" s="47"/>
      <c r="W857" s="48">
        <f t="shared" si="99"/>
        <v>0</v>
      </c>
      <c r="X857" s="48">
        <f t="shared" si="100"/>
        <v>0</v>
      </c>
      <c r="Y857" s="48">
        <f t="shared" si="101"/>
        <v>0</v>
      </c>
      <c r="Z857" s="48">
        <f t="shared" si="102"/>
        <v>0</v>
      </c>
      <c r="AA857" s="48"/>
      <c r="AB857" s="48"/>
      <c r="AC857" s="49">
        <f t="shared" si="103"/>
        <v>0</v>
      </c>
      <c r="AD857" s="50">
        <v>0</v>
      </c>
      <c r="AE857" s="47">
        <v>40078</v>
      </c>
      <c r="AF857" s="51" t="s">
        <v>516</v>
      </c>
      <c r="AG857" s="52" t="s">
        <v>517</v>
      </c>
      <c r="AH857" s="53" t="s">
        <v>1194</v>
      </c>
      <c r="AI857" s="79"/>
      <c r="AJ857" s="80"/>
      <c r="AK857" s="81"/>
      <c r="AL857" s="80"/>
      <c r="AM857" s="80"/>
      <c r="AN857" s="80"/>
      <c r="AO857" s="80"/>
      <c r="AP857" s="80"/>
      <c r="AQ857" s="80"/>
      <c r="AR857" s="80"/>
      <c r="AS857" s="80"/>
      <c r="AT857" s="80"/>
      <c r="AU857" s="80"/>
      <c r="AV857" s="80"/>
      <c r="AW857" s="80"/>
      <c r="AX857" s="80"/>
      <c r="AY857" s="80"/>
      <c r="AZ857" s="80"/>
      <c r="BA857" s="80"/>
      <c r="BB857" s="80"/>
      <c r="BC857" s="80"/>
      <c r="BD857" s="80"/>
      <c r="BE857" s="80"/>
      <c r="BF857" s="80"/>
      <c r="BG857" s="80"/>
      <c r="BH857" s="80"/>
      <c r="BI857" s="80"/>
      <c r="BJ857" s="80"/>
      <c r="BK857" s="80"/>
      <c r="BL857" s="80"/>
      <c r="BM857" s="80"/>
      <c r="BN857" s="80"/>
      <c r="BO857" s="80"/>
      <c r="BP857" s="80"/>
      <c r="BQ857" s="80"/>
      <c r="BR857" s="80"/>
      <c r="BS857" s="80"/>
      <c r="BT857" s="80"/>
      <c r="BU857" s="80"/>
      <c r="BV857" s="80"/>
      <c r="BW857" s="80"/>
      <c r="BX857" s="80"/>
      <c r="BY857" s="80"/>
      <c r="BZ857" s="80"/>
      <c r="CA857" s="80"/>
      <c r="CB857" s="80"/>
      <c r="CC857" s="80"/>
      <c r="CD857" s="80"/>
      <c r="CE857" s="80"/>
      <c r="CF857" s="80"/>
      <c r="CG857" s="80"/>
      <c r="CH857" s="80"/>
      <c r="CI857" s="80"/>
      <c r="CJ857" s="80"/>
      <c r="CK857" s="82"/>
      <c r="CL857" s="12"/>
      <c r="CM857" s="82"/>
      <c r="CN857" s="12"/>
      <c r="CO857" s="82"/>
      <c r="CP857" s="12"/>
      <c r="CQ857" s="83">
        <f t="shared" si="104"/>
        <v>0</v>
      </c>
      <c r="CR857" s="84"/>
      <c r="CS857" s="13"/>
      <c r="CT857" s="85"/>
      <c r="CU857" s="86"/>
      <c r="CV857" s="11"/>
      <c r="CW857" s="86"/>
      <c r="CX857" s="84"/>
      <c r="CY857" s="86"/>
    </row>
    <row r="858" spans="1:104" ht="25.5" x14ac:dyDescent="0.2">
      <c r="A858" s="66">
        <v>40077</v>
      </c>
      <c r="B858" s="64" t="s">
        <v>315</v>
      </c>
      <c r="C858" s="64" t="s">
        <v>316</v>
      </c>
      <c r="D858" s="45" t="s">
        <v>1117</v>
      </c>
      <c r="E858" s="11"/>
      <c r="F858" s="12"/>
      <c r="G858" s="12"/>
      <c r="H858" s="12">
        <f>20*5</f>
        <v>100</v>
      </c>
      <c r="I858" s="12">
        <v>20</v>
      </c>
      <c r="J858" s="12"/>
      <c r="K858" s="12">
        <v>20</v>
      </c>
      <c r="L858" s="12"/>
      <c r="M858" s="12"/>
      <c r="N858" s="12"/>
      <c r="O858" s="12"/>
      <c r="P858" s="12"/>
      <c r="Q858" s="12"/>
      <c r="R858" s="12"/>
      <c r="S858" s="12"/>
      <c r="T858" s="13"/>
      <c r="U858" s="46"/>
      <c r="V858" s="47">
        <v>40163</v>
      </c>
      <c r="W858" s="48">
        <f t="shared" si="99"/>
        <v>0</v>
      </c>
      <c r="X858" s="48">
        <f t="shared" si="100"/>
        <v>0</v>
      </c>
      <c r="Y858" s="48">
        <f t="shared" si="101"/>
        <v>7896000</v>
      </c>
      <c r="Z858" s="48">
        <f t="shared" si="102"/>
        <v>0</v>
      </c>
      <c r="AA858" s="48"/>
      <c r="AB858" s="48"/>
      <c r="AC858" s="49">
        <f t="shared" si="103"/>
        <v>7896000</v>
      </c>
      <c r="AD858" s="50">
        <v>0</v>
      </c>
      <c r="AE858" s="47">
        <v>40137</v>
      </c>
      <c r="AF858" s="51" t="s">
        <v>1016</v>
      </c>
      <c r="AG858" s="52" t="s">
        <v>565</v>
      </c>
      <c r="AH858" s="53"/>
      <c r="AI858" s="79"/>
      <c r="AJ858" s="80"/>
      <c r="AK858" s="81"/>
      <c r="AL858" s="80"/>
      <c r="AM858" s="80"/>
      <c r="AN858" s="80"/>
      <c r="AO858" s="80"/>
      <c r="AP858" s="80"/>
      <c r="AQ858" s="80"/>
      <c r="AR858" s="80"/>
      <c r="AS858" s="80"/>
      <c r="AT858" s="80"/>
      <c r="AU858" s="80"/>
      <c r="AV858" s="80"/>
      <c r="AW858" s="80"/>
      <c r="AX858" s="80"/>
      <c r="AY858" s="80"/>
      <c r="AZ858" s="80"/>
      <c r="BA858" s="80"/>
      <c r="BB858" s="80"/>
      <c r="BC858" s="80"/>
      <c r="BD858" s="80"/>
      <c r="BE858" s="80"/>
      <c r="BF858" s="80"/>
      <c r="BG858" s="80"/>
      <c r="BH858" s="80"/>
      <c r="BI858" s="80"/>
      <c r="BJ858" s="80"/>
      <c r="BK858" s="80"/>
      <c r="BL858" s="80"/>
      <c r="BM858" s="80"/>
      <c r="BN858" s="80"/>
      <c r="BO858" s="80"/>
      <c r="BP858" s="80"/>
      <c r="BQ858" s="80"/>
      <c r="BR858" s="80"/>
      <c r="BS858" s="80"/>
      <c r="BT858" s="80"/>
      <c r="BU858" s="80"/>
      <c r="BV858" s="80"/>
      <c r="BW858" s="80"/>
      <c r="BX858" s="80"/>
      <c r="BY858" s="80"/>
      <c r="BZ858" s="80"/>
      <c r="CA858" s="80"/>
      <c r="CB858" s="80"/>
      <c r="CC858" s="80"/>
      <c r="CD858" s="80"/>
      <c r="CE858" s="80"/>
      <c r="CF858" s="80"/>
      <c r="CG858" s="80"/>
      <c r="CH858" s="80"/>
      <c r="CI858" s="80"/>
      <c r="CJ858" s="80"/>
      <c r="CK858" s="82"/>
      <c r="CL858" s="12"/>
      <c r="CM858" s="82"/>
      <c r="CN858" s="12"/>
      <c r="CO858" s="82"/>
      <c r="CP858" s="12"/>
      <c r="CQ858" s="83">
        <f t="shared" si="104"/>
        <v>0</v>
      </c>
      <c r="CR858" s="84"/>
      <c r="CS858" s="13"/>
      <c r="CT858" s="85"/>
      <c r="CU858" s="86"/>
      <c r="CV858" s="11">
        <v>30</v>
      </c>
      <c r="CW858" s="86">
        <f>30*25000</f>
        <v>750000</v>
      </c>
      <c r="CX858" s="84">
        <v>300</v>
      </c>
      <c r="CY858" s="86">
        <f>300*22500+1800*220</f>
        <v>7146000</v>
      </c>
      <c r="CZ858" s="9" t="s">
        <v>1312</v>
      </c>
    </row>
    <row r="859" spans="1:104" ht="25.5" x14ac:dyDescent="0.2">
      <c r="A859" s="43">
        <v>40078</v>
      </c>
      <c r="B859" s="44" t="s">
        <v>625</v>
      </c>
      <c r="C859" s="44" t="s">
        <v>1371</v>
      </c>
      <c r="D859" s="45" t="s">
        <v>1117</v>
      </c>
      <c r="E859" s="11"/>
      <c r="F859" s="12"/>
      <c r="G859" s="12"/>
      <c r="H859" s="12">
        <v>150</v>
      </c>
      <c r="I859" s="12">
        <v>30</v>
      </c>
      <c r="J859" s="12"/>
      <c r="K859" s="12">
        <v>30</v>
      </c>
      <c r="L859" s="12"/>
      <c r="M859" s="12"/>
      <c r="N859" s="12"/>
      <c r="O859" s="12"/>
      <c r="P859" s="12"/>
      <c r="Q859" s="12"/>
      <c r="R859" s="12"/>
      <c r="S859" s="12"/>
      <c r="T859" s="13"/>
      <c r="U859" s="46"/>
      <c r="V859" s="47"/>
      <c r="W859" s="48">
        <f t="shared" si="99"/>
        <v>0</v>
      </c>
      <c r="X859" s="48">
        <f t="shared" si="100"/>
        <v>0</v>
      </c>
      <c r="Y859" s="48">
        <f t="shared" si="101"/>
        <v>0</v>
      </c>
      <c r="Z859" s="48">
        <f t="shared" si="102"/>
        <v>0</v>
      </c>
      <c r="AA859" s="48"/>
      <c r="AB859" s="48"/>
      <c r="AC859" s="49">
        <f t="shared" si="103"/>
        <v>0</v>
      </c>
      <c r="AD859" s="50">
        <v>0</v>
      </c>
      <c r="AE859" s="47">
        <v>40078</v>
      </c>
      <c r="AF859" s="51" t="s">
        <v>516</v>
      </c>
      <c r="AG859" s="52" t="s">
        <v>517</v>
      </c>
      <c r="AH859" s="53" t="s">
        <v>1281</v>
      </c>
      <c r="AI859" s="79"/>
      <c r="AJ859" s="80"/>
      <c r="AK859" s="81"/>
      <c r="AL859" s="80"/>
      <c r="AM859" s="80"/>
      <c r="AN859" s="80"/>
      <c r="AO859" s="80"/>
      <c r="AP859" s="80"/>
      <c r="AQ859" s="80"/>
      <c r="AR859" s="80"/>
      <c r="AS859" s="80"/>
      <c r="AT859" s="80"/>
      <c r="AU859" s="80"/>
      <c r="AV859" s="80"/>
      <c r="AW859" s="80"/>
      <c r="AX859" s="80"/>
      <c r="AY859" s="80"/>
      <c r="AZ859" s="80"/>
      <c r="BA859" s="80"/>
      <c r="BB859" s="80"/>
      <c r="BC859" s="80"/>
      <c r="BD859" s="80"/>
      <c r="BE859" s="80"/>
      <c r="BF859" s="80"/>
      <c r="BG859" s="80"/>
      <c r="BH859" s="80"/>
      <c r="BI859" s="80"/>
      <c r="BJ859" s="80"/>
      <c r="BK859" s="80"/>
      <c r="BL859" s="80"/>
      <c r="BM859" s="80"/>
      <c r="BN859" s="80"/>
      <c r="BO859" s="80"/>
      <c r="BP859" s="80"/>
      <c r="BQ859" s="80"/>
      <c r="BR859" s="80"/>
      <c r="BS859" s="80"/>
      <c r="BT859" s="80"/>
      <c r="BU859" s="80"/>
      <c r="BV859" s="80"/>
      <c r="BW859" s="80"/>
      <c r="BX859" s="80"/>
      <c r="BY859" s="80"/>
      <c r="BZ859" s="80"/>
      <c r="CA859" s="80"/>
      <c r="CB859" s="80"/>
      <c r="CC859" s="80"/>
      <c r="CD859" s="80"/>
      <c r="CE859" s="80"/>
      <c r="CF859" s="80"/>
      <c r="CG859" s="80"/>
      <c r="CH859" s="80"/>
      <c r="CI859" s="80"/>
      <c r="CJ859" s="80"/>
      <c r="CK859" s="82"/>
      <c r="CL859" s="12"/>
      <c r="CM859" s="82"/>
      <c r="CN859" s="12"/>
      <c r="CO859" s="82"/>
      <c r="CP859" s="12"/>
      <c r="CQ859" s="83">
        <f t="shared" si="104"/>
        <v>0</v>
      </c>
      <c r="CR859" s="84"/>
      <c r="CS859" s="13"/>
      <c r="CT859" s="85"/>
      <c r="CU859" s="86"/>
      <c r="CV859" s="11"/>
      <c r="CW859" s="86"/>
      <c r="CX859" s="84"/>
      <c r="CY859" s="86"/>
    </row>
    <row r="860" spans="1:104" ht="25.5" x14ac:dyDescent="0.2">
      <c r="A860" s="43">
        <v>40078</v>
      </c>
      <c r="B860" s="44" t="s">
        <v>1094</v>
      </c>
      <c r="C860" s="44" t="s">
        <v>1010</v>
      </c>
      <c r="D860" s="45" t="s">
        <v>1117</v>
      </c>
      <c r="E860" s="11"/>
      <c r="F860" s="12"/>
      <c r="G860" s="12"/>
      <c r="H860" s="12">
        <v>75</v>
      </c>
      <c r="I860" s="12">
        <v>15</v>
      </c>
      <c r="J860" s="12"/>
      <c r="K860" s="12">
        <v>15</v>
      </c>
      <c r="L860" s="12"/>
      <c r="M860" s="12"/>
      <c r="N860" s="12"/>
      <c r="O860" s="12"/>
      <c r="P860" s="12"/>
      <c r="Q860" s="12"/>
      <c r="R860" s="12"/>
      <c r="S860" s="12"/>
      <c r="T860" s="13"/>
      <c r="U860" s="46"/>
      <c r="V860" s="47"/>
      <c r="W860" s="48">
        <f t="shared" si="99"/>
        <v>0</v>
      </c>
      <c r="X860" s="48">
        <f t="shared" si="100"/>
        <v>0</v>
      </c>
      <c r="Y860" s="48">
        <f t="shared" si="101"/>
        <v>0</v>
      </c>
      <c r="Z860" s="48">
        <f t="shared" si="102"/>
        <v>0</v>
      </c>
      <c r="AA860" s="48"/>
      <c r="AB860" s="48"/>
      <c r="AC860" s="49">
        <f t="shared" si="103"/>
        <v>0</v>
      </c>
      <c r="AD860" s="50">
        <v>0</v>
      </c>
      <c r="AE860" s="47">
        <v>40078</v>
      </c>
      <c r="AF860" s="51" t="s">
        <v>516</v>
      </c>
      <c r="AG860" s="52" t="s">
        <v>517</v>
      </c>
      <c r="AH860" s="53" t="s">
        <v>313</v>
      </c>
      <c r="AI860" s="79"/>
      <c r="AJ860" s="80"/>
      <c r="AK860" s="81"/>
      <c r="AL860" s="80"/>
      <c r="AM860" s="80"/>
      <c r="AN860" s="80"/>
      <c r="AO860" s="80"/>
      <c r="AP860" s="80"/>
      <c r="AQ860" s="80"/>
      <c r="AR860" s="80"/>
      <c r="AS860" s="80"/>
      <c r="AT860" s="80"/>
      <c r="AU860" s="80"/>
      <c r="AV860" s="80"/>
      <c r="AW860" s="80"/>
      <c r="AX860" s="80"/>
      <c r="AY860" s="80"/>
      <c r="AZ860" s="80"/>
      <c r="BA860" s="80"/>
      <c r="BB860" s="80"/>
      <c r="BC860" s="80"/>
      <c r="BD860" s="80"/>
      <c r="BE860" s="80"/>
      <c r="BF860" s="80"/>
      <c r="BG860" s="80"/>
      <c r="BH860" s="80"/>
      <c r="BI860" s="80"/>
      <c r="BJ860" s="80"/>
      <c r="BK860" s="80"/>
      <c r="BL860" s="80"/>
      <c r="BM860" s="80"/>
      <c r="BN860" s="80"/>
      <c r="BO860" s="80"/>
      <c r="BP860" s="80"/>
      <c r="BQ860" s="80"/>
      <c r="BR860" s="80"/>
      <c r="BS860" s="80"/>
      <c r="BT860" s="80"/>
      <c r="BU860" s="80"/>
      <c r="BV860" s="80"/>
      <c r="BW860" s="80"/>
      <c r="BX860" s="80"/>
      <c r="BY860" s="80"/>
      <c r="BZ860" s="80"/>
      <c r="CA860" s="80"/>
      <c r="CB860" s="80"/>
      <c r="CC860" s="80"/>
      <c r="CD860" s="80"/>
      <c r="CE860" s="80"/>
      <c r="CF860" s="80"/>
      <c r="CG860" s="80"/>
      <c r="CH860" s="80"/>
      <c r="CI860" s="80"/>
      <c r="CJ860" s="80"/>
      <c r="CK860" s="82"/>
      <c r="CL860" s="12"/>
      <c r="CM860" s="82"/>
      <c r="CN860" s="12"/>
      <c r="CO860" s="82"/>
      <c r="CP860" s="12"/>
      <c r="CQ860" s="83">
        <f t="shared" si="104"/>
        <v>0</v>
      </c>
      <c r="CR860" s="84"/>
      <c r="CS860" s="13"/>
      <c r="CT860" s="85"/>
      <c r="CU860" s="86"/>
      <c r="CV860" s="11"/>
      <c r="CW860" s="86"/>
      <c r="CX860" s="84"/>
      <c r="CY860" s="86"/>
    </row>
    <row r="861" spans="1:104" ht="25.5" x14ac:dyDescent="0.2">
      <c r="A861" s="43">
        <v>40078</v>
      </c>
      <c r="B861" s="44" t="s">
        <v>1094</v>
      </c>
      <c r="C861" s="44" t="s">
        <v>1477</v>
      </c>
      <c r="D861" s="45" t="s">
        <v>1117</v>
      </c>
      <c r="E861" s="11"/>
      <c r="F861" s="12"/>
      <c r="G861" s="12"/>
      <c r="H861" s="12">
        <v>32</v>
      </c>
      <c r="I861" s="12">
        <v>6</v>
      </c>
      <c r="J861" s="12"/>
      <c r="K861" s="12">
        <v>6</v>
      </c>
      <c r="L861" s="12"/>
      <c r="M861" s="12"/>
      <c r="N861" s="12"/>
      <c r="O861" s="12"/>
      <c r="P861" s="12"/>
      <c r="Q861" s="12"/>
      <c r="R861" s="12"/>
      <c r="S861" s="12"/>
      <c r="T861" s="13"/>
      <c r="U861" s="46"/>
      <c r="V861" s="47"/>
      <c r="W861" s="48">
        <f t="shared" si="99"/>
        <v>0</v>
      </c>
      <c r="X861" s="48">
        <f t="shared" si="100"/>
        <v>0</v>
      </c>
      <c r="Y861" s="48">
        <f t="shared" si="101"/>
        <v>0</v>
      </c>
      <c r="Z861" s="48">
        <f t="shared" si="102"/>
        <v>0</v>
      </c>
      <c r="AA861" s="48"/>
      <c r="AB861" s="48"/>
      <c r="AC861" s="49">
        <f t="shared" si="103"/>
        <v>0</v>
      </c>
      <c r="AD861" s="50">
        <v>0</v>
      </c>
      <c r="AE861" s="47">
        <v>40079</v>
      </c>
      <c r="AF861" s="51" t="s">
        <v>516</v>
      </c>
      <c r="AG861" s="52" t="s">
        <v>517</v>
      </c>
      <c r="AH861" s="53" t="s">
        <v>1281</v>
      </c>
      <c r="AI861" s="79"/>
      <c r="AJ861" s="80"/>
      <c r="AK861" s="81"/>
      <c r="AL861" s="80"/>
      <c r="AM861" s="80"/>
      <c r="AN861" s="80"/>
      <c r="AO861" s="80"/>
      <c r="AP861" s="80"/>
      <c r="AQ861" s="80"/>
      <c r="AR861" s="80"/>
      <c r="AS861" s="80"/>
      <c r="AT861" s="80"/>
      <c r="AU861" s="80"/>
      <c r="AV861" s="80"/>
      <c r="AW861" s="80"/>
      <c r="AX861" s="80"/>
      <c r="AY861" s="80"/>
      <c r="AZ861" s="80"/>
      <c r="BA861" s="80"/>
      <c r="BB861" s="80"/>
      <c r="BC861" s="80"/>
      <c r="BD861" s="80"/>
      <c r="BE861" s="80"/>
      <c r="BF861" s="80"/>
      <c r="BG861" s="80"/>
      <c r="BH861" s="80"/>
      <c r="BI861" s="80"/>
      <c r="BJ861" s="80"/>
      <c r="BK861" s="80"/>
      <c r="BL861" s="80"/>
      <c r="BM861" s="80"/>
      <c r="BN861" s="80"/>
      <c r="BO861" s="80"/>
      <c r="BP861" s="80"/>
      <c r="BQ861" s="80"/>
      <c r="BR861" s="80"/>
      <c r="BS861" s="80"/>
      <c r="BT861" s="80"/>
      <c r="BU861" s="80"/>
      <c r="BV861" s="80"/>
      <c r="BW861" s="80"/>
      <c r="BX861" s="80"/>
      <c r="BY861" s="80"/>
      <c r="BZ861" s="80"/>
      <c r="CA861" s="80"/>
      <c r="CB861" s="80"/>
      <c r="CC861" s="80"/>
      <c r="CD861" s="80"/>
      <c r="CE861" s="80"/>
      <c r="CF861" s="80"/>
      <c r="CG861" s="80"/>
      <c r="CH861" s="80"/>
      <c r="CI861" s="80"/>
      <c r="CJ861" s="80"/>
      <c r="CK861" s="82"/>
      <c r="CL861" s="12"/>
      <c r="CM861" s="82"/>
      <c r="CN861" s="12"/>
      <c r="CO861" s="82"/>
      <c r="CP861" s="12"/>
      <c r="CQ861" s="83">
        <f t="shared" si="104"/>
        <v>0</v>
      </c>
      <c r="CR861" s="84"/>
      <c r="CS861" s="13"/>
      <c r="CT861" s="85"/>
      <c r="CU861" s="86"/>
      <c r="CV861" s="11"/>
      <c r="CW861" s="86"/>
      <c r="CX861" s="84"/>
      <c r="CY861" s="86"/>
    </row>
    <row r="862" spans="1:104" ht="38.25" x14ac:dyDescent="0.2">
      <c r="A862" s="43">
        <v>40078</v>
      </c>
      <c r="B862" s="44" t="s">
        <v>632</v>
      </c>
      <c r="C862" s="44" t="s">
        <v>82</v>
      </c>
      <c r="D862" s="45" t="s">
        <v>1117</v>
      </c>
      <c r="E862" s="11"/>
      <c r="F862" s="12"/>
      <c r="G862" s="12"/>
      <c r="H862" s="12">
        <v>620</v>
      </c>
      <c r="I862" s="12">
        <v>124</v>
      </c>
      <c r="J862" s="12"/>
      <c r="K862" s="12">
        <v>124</v>
      </c>
      <c r="L862" s="12"/>
      <c r="M862" s="12"/>
      <c r="N862" s="12"/>
      <c r="O862" s="12"/>
      <c r="P862" s="12"/>
      <c r="Q862" s="12"/>
      <c r="R862" s="12"/>
      <c r="S862" s="12"/>
      <c r="T862" s="13"/>
      <c r="U862" s="46"/>
      <c r="V862" s="47"/>
      <c r="W862" s="48">
        <f t="shared" si="99"/>
        <v>0</v>
      </c>
      <c r="X862" s="48">
        <f t="shared" si="100"/>
        <v>0</v>
      </c>
      <c r="Y862" s="48">
        <f t="shared" si="101"/>
        <v>0</v>
      </c>
      <c r="Z862" s="48">
        <f t="shared" si="102"/>
        <v>0</v>
      </c>
      <c r="AA862" s="48"/>
      <c r="AB862" s="48"/>
      <c r="AC862" s="49">
        <f t="shared" si="103"/>
        <v>0</v>
      </c>
      <c r="AD862" s="50">
        <v>0</v>
      </c>
      <c r="AE862" s="47">
        <v>40078</v>
      </c>
      <c r="AF862" s="51" t="s">
        <v>516</v>
      </c>
      <c r="AG862" s="52" t="s">
        <v>517</v>
      </c>
      <c r="AH862" s="53" t="s">
        <v>1195</v>
      </c>
      <c r="AI862" s="79"/>
      <c r="AJ862" s="80"/>
      <c r="AK862" s="81"/>
      <c r="AL862" s="80"/>
      <c r="AM862" s="80"/>
      <c r="AN862" s="80"/>
      <c r="AO862" s="80"/>
      <c r="AP862" s="80"/>
      <c r="AQ862" s="80"/>
      <c r="AR862" s="80"/>
      <c r="AS862" s="80"/>
      <c r="AT862" s="80"/>
      <c r="AU862" s="80"/>
      <c r="AV862" s="80"/>
      <c r="AW862" s="80"/>
      <c r="AX862" s="80"/>
      <c r="AY862" s="80"/>
      <c r="AZ862" s="80"/>
      <c r="BA862" s="80"/>
      <c r="BB862" s="80"/>
      <c r="BC862" s="80"/>
      <c r="BD862" s="80"/>
      <c r="BE862" s="80"/>
      <c r="BF862" s="80"/>
      <c r="BG862" s="80"/>
      <c r="BH862" s="80"/>
      <c r="BI862" s="80"/>
      <c r="BJ862" s="80"/>
      <c r="BK862" s="80"/>
      <c r="BL862" s="80"/>
      <c r="BM862" s="80"/>
      <c r="BN862" s="80"/>
      <c r="BO862" s="80"/>
      <c r="BP862" s="80"/>
      <c r="BQ862" s="80"/>
      <c r="BR862" s="80"/>
      <c r="BS862" s="80"/>
      <c r="BT862" s="80"/>
      <c r="BU862" s="80"/>
      <c r="BV862" s="80"/>
      <c r="BW862" s="80"/>
      <c r="BX862" s="80"/>
      <c r="BY862" s="80"/>
      <c r="BZ862" s="80"/>
      <c r="CA862" s="80"/>
      <c r="CB862" s="80"/>
      <c r="CC862" s="80"/>
      <c r="CD862" s="80"/>
      <c r="CE862" s="80"/>
      <c r="CF862" s="80"/>
      <c r="CG862" s="80"/>
      <c r="CH862" s="80"/>
      <c r="CI862" s="80"/>
      <c r="CJ862" s="80"/>
      <c r="CK862" s="82"/>
      <c r="CL862" s="12"/>
      <c r="CM862" s="82"/>
      <c r="CN862" s="12"/>
      <c r="CO862" s="82"/>
      <c r="CP862" s="12"/>
      <c r="CQ862" s="83">
        <f t="shared" si="104"/>
        <v>0</v>
      </c>
      <c r="CR862" s="84"/>
      <c r="CS862" s="13"/>
      <c r="CT862" s="85"/>
      <c r="CU862" s="86"/>
      <c r="CV862" s="11"/>
      <c r="CW862" s="86"/>
      <c r="CX862" s="84"/>
      <c r="CY862" s="86"/>
    </row>
    <row r="863" spans="1:104" ht="38.25" x14ac:dyDescent="0.2">
      <c r="A863" s="43">
        <v>40079</v>
      </c>
      <c r="B863" s="44" t="s">
        <v>1094</v>
      </c>
      <c r="C863" s="44" t="s">
        <v>681</v>
      </c>
      <c r="D863" s="45" t="s">
        <v>1116</v>
      </c>
      <c r="E863" s="11">
        <v>1</v>
      </c>
      <c r="F863" s="12"/>
      <c r="G863" s="12"/>
      <c r="H863" s="12">
        <v>5</v>
      </c>
      <c r="I863" s="12">
        <v>1</v>
      </c>
      <c r="J863" s="12">
        <v>1</v>
      </c>
      <c r="K863" s="12"/>
      <c r="L863" s="12"/>
      <c r="M863" s="12"/>
      <c r="N863" s="12"/>
      <c r="O863" s="12"/>
      <c r="P863" s="12"/>
      <c r="Q863" s="12"/>
      <c r="R863" s="12"/>
      <c r="S863" s="12"/>
      <c r="T863" s="13"/>
      <c r="U863" s="46"/>
      <c r="V863" s="47"/>
      <c r="W863" s="48">
        <f t="shared" si="99"/>
        <v>0</v>
      </c>
      <c r="X863" s="48">
        <f t="shared" si="100"/>
        <v>0</v>
      </c>
      <c r="Y863" s="48">
        <f t="shared" si="101"/>
        <v>0</v>
      </c>
      <c r="Z863" s="48">
        <f t="shared" si="102"/>
        <v>0</v>
      </c>
      <c r="AA863" s="48"/>
      <c r="AB863" s="48"/>
      <c r="AC863" s="49">
        <f t="shared" si="103"/>
        <v>0</v>
      </c>
      <c r="AD863" s="50">
        <v>0</v>
      </c>
      <c r="AE863" s="47">
        <v>40079</v>
      </c>
      <c r="AF863" s="51" t="s">
        <v>516</v>
      </c>
      <c r="AG863" s="52" t="s">
        <v>517</v>
      </c>
      <c r="AH863" s="53" t="s">
        <v>1281</v>
      </c>
      <c r="AI863" s="79"/>
      <c r="AJ863" s="80"/>
      <c r="AK863" s="81"/>
      <c r="AL863" s="80"/>
      <c r="AM863" s="80"/>
      <c r="AN863" s="80"/>
      <c r="AO863" s="80"/>
      <c r="AP863" s="80"/>
      <c r="AQ863" s="80"/>
      <c r="AR863" s="80"/>
      <c r="AS863" s="80"/>
      <c r="AT863" s="80"/>
      <c r="AU863" s="80"/>
      <c r="AV863" s="80"/>
      <c r="AW863" s="80"/>
      <c r="AX863" s="80"/>
      <c r="AY863" s="80"/>
      <c r="AZ863" s="80"/>
      <c r="BA863" s="80"/>
      <c r="BB863" s="80"/>
      <c r="BC863" s="80"/>
      <c r="BD863" s="80"/>
      <c r="BE863" s="80"/>
      <c r="BF863" s="80"/>
      <c r="BG863" s="80"/>
      <c r="BH863" s="80"/>
      <c r="BI863" s="80"/>
      <c r="BJ863" s="80"/>
      <c r="BK863" s="80"/>
      <c r="BL863" s="80"/>
      <c r="BM863" s="80"/>
      <c r="BN863" s="80"/>
      <c r="BO863" s="80"/>
      <c r="BP863" s="80"/>
      <c r="BQ863" s="80"/>
      <c r="BR863" s="80"/>
      <c r="BS863" s="80"/>
      <c r="BT863" s="80"/>
      <c r="BU863" s="80"/>
      <c r="BV863" s="80"/>
      <c r="BW863" s="80"/>
      <c r="BX863" s="80"/>
      <c r="BY863" s="80"/>
      <c r="BZ863" s="80"/>
      <c r="CA863" s="80"/>
      <c r="CB863" s="80"/>
      <c r="CC863" s="80"/>
      <c r="CD863" s="80"/>
      <c r="CE863" s="80"/>
      <c r="CF863" s="80"/>
      <c r="CG863" s="80"/>
      <c r="CH863" s="80"/>
      <c r="CI863" s="80"/>
      <c r="CJ863" s="80"/>
      <c r="CK863" s="82"/>
      <c r="CL863" s="12"/>
      <c r="CM863" s="82"/>
      <c r="CN863" s="12"/>
      <c r="CO863" s="82"/>
      <c r="CP863" s="12"/>
      <c r="CQ863" s="83">
        <f t="shared" si="104"/>
        <v>0</v>
      </c>
      <c r="CR863" s="84"/>
      <c r="CS863" s="13"/>
      <c r="CT863" s="85"/>
      <c r="CU863" s="86"/>
      <c r="CV863" s="11"/>
      <c r="CW863" s="86"/>
      <c r="CX863" s="84"/>
      <c r="CY863" s="86"/>
    </row>
    <row r="864" spans="1:104" ht="25.5" x14ac:dyDescent="0.2">
      <c r="A864" s="43">
        <v>40079</v>
      </c>
      <c r="B864" s="44" t="s">
        <v>1094</v>
      </c>
      <c r="C864" s="44" t="s">
        <v>714</v>
      </c>
      <c r="D864" s="45" t="s">
        <v>1117</v>
      </c>
      <c r="E864" s="11"/>
      <c r="F864" s="12"/>
      <c r="G864" s="12"/>
      <c r="H864" s="12">
        <v>195</v>
      </c>
      <c r="I864" s="12">
        <v>38</v>
      </c>
      <c r="J864" s="12"/>
      <c r="K864" s="12">
        <v>38</v>
      </c>
      <c r="L864" s="12"/>
      <c r="M864" s="12"/>
      <c r="N864" s="12"/>
      <c r="O864" s="12"/>
      <c r="P864" s="12"/>
      <c r="Q864" s="12"/>
      <c r="R864" s="12"/>
      <c r="S864" s="12"/>
      <c r="T864" s="13"/>
      <c r="U864" s="46"/>
      <c r="V864" s="47"/>
      <c r="W864" s="48">
        <f t="shared" ref="W864:W870" si="105">CQ864</f>
        <v>0</v>
      </c>
      <c r="X864" s="48">
        <f t="shared" ref="X864:X870" si="106">CU864</f>
        <v>0</v>
      </c>
      <c r="Y864" s="48">
        <f t="shared" ref="Y864:Y870" si="107">CW864+CY864</f>
        <v>0</v>
      </c>
      <c r="Z864" s="48">
        <f t="shared" ref="Z864:Z870" si="108">CS864</f>
        <v>0</v>
      </c>
      <c r="AA864" s="48"/>
      <c r="AB864" s="48"/>
      <c r="AC864" s="49">
        <f t="shared" ref="AC864:AC870" si="109">W864+X864+Y864+Z864+AA864+AB864</f>
        <v>0</v>
      </c>
      <c r="AD864" s="50">
        <v>0</v>
      </c>
      <c r="AE864" s="47">
        <v>40079</v>
      </c>
      <c r="AF864" s="51" t="s">
        <v>516</v>
      </c>
      <c r="AG864" s="52" t="s">
        <v>517</v>
      </c>
      <c r="AH864" s="53" t="s">
        <v>1281</v>
      </c>
      <c r="AI864" s="79"/>
      <c r="AJ864" s="80"/>
      <c r="AK864" s="81"/>
      <c r="AL864" s="80"/>
      <c r="AM864" s="80"/>
      <c r="AN864" s="80"/>
      <c r="AO864" s="80"/>
      <c r="AP864" s="80"/>
      <c r="AQ864" s="80"/>
      <c r="AR864" s="80"/>
      <c r="AS864" s="80"/>
      <c r="AT864" s="80"/>
      <c r="AU864" s="80"/>
      <c r="AV864" s="80"/>
      <c r="AW864" s="80"/>
      <c r="AX864" s="80"/>
      <c r="AY864" s="80"/>
      <c r="AZ864" s="80"/>
      <c r="BA864" s="80"/>
      <c r="BB864" s="80"/>
      <c r="BC864" s="80"/>
      <c r="BD864" s="80"/>
      <c r="BE864" s="80"/>
      <c r="BF864" s="80"/>
      <c r="BG864" s="80"/>
      <c r="BH864" s="80"/>
      <c r="BI864" s="80"/>
      <c r="BJ864" s="80"/>
      <c r="BK864" s="80"/>
      <c r="BL864" s="80"/>
      <c r="BM864" s="80"/>
      <c r="BN864" s="80"/>
      <c r="BO864" s="80"/>
      <c r="BP864" s="80"/>
      <c r="BQ864" s="80"/>
      <c r="BR864" s="80"/>
      <c r="BS864" s="80"/>
      <c r="BT864" s="80"/>
      <c r="BU864" s="80"/>
      <c r="BV864" s="80"/>
      <c r="BW864" s="80"/>
      <c r="BX864" s="80"/>
      <c r="BY864" s="80"/>
      <c r="BZ864" s="80"/>
      <c r="CA864" s="80"/>
      <c r="CB864" s="80"/>
      <c r="CC864" s="80"/>
      <c r="CD864" s="80"/>
      <c r="CE864" s="80"/>
      <c r="CF864" s="80"/>
      <c r="CG864" s="80"/>
      <c r="CH864" s="80"/>
      <c r="CI864" s="80"/>
      <c r="CJ864" s="80"/>
      <c r="CK864" s="82"/>
      <c r="CL864" s="12"/>
      <c r="CM864" s="82"/>
      <c r="CN864" s="12"/>
      <c r="CO864" s="82"/>
      <c r="CP864" s="12"/>
      <c r="CQ864" s="83">
        <f t="shared" ref="CQ864:CQ870" si="110">AJ864+AL864+AN864+AP864+AR864+AT864+AV864+AX864+AZ864+BB864+BD864+BF864+BH864+BJ864+BL864+BN864+BP864+BR864+BT864+BV864+BX864+BZ864+CB864+CD864+CF864+CH864+CJ864+CL864+CN864+CP864</f>
        <v>0</v>
      </c>
      <c r="CR864" s="84"/>
      <c r="CS864" s="13"/>
      <c r="CT864" s="85"/>
      <c r="CU864" s="86"/>
      <c r="CV864" s="11"/>
      <c r="CW864" s="86"/>
      <c r="CX864" s="84"/>
      <c r="CY864" s="86"/>
    </row>
    <row r="865" spans="1:104" ht="25.5" x14ac:dyDescent="0.2">
      <c r="A865" s="43">
        <v>40082</v>
      </c>
      <c r="B865" s="44" t="s">
        <v>632</v>
      </c>
      <c r="C865" s="44" t="s">
        <v>1243</v>
      </c>
      <c r="D865" s="45" t="s">
        <v>1117</v>
      </c>
      <c r="E865" s="11"/>
      <c r="F865" s="12"/>
      <c r="G865" s="12"/>
      <c r="H865" s="12">
        <v>15</v>
      </c>
      <c r="I865" s="12">
        <v>3</v>
      </c>
      <c r="J865" s="12">
        <v>3</v>
      </c>
      <c r="K865" s="12"/>
      <c r="L865" s="12"/>
      <c r="M865" s="12"/>
      <c r="N865" s="12"/>
      <c r="O865" s="12"/>
      <c r="P865" s="12"/>
      <c r="Q865" s="12"/>
      <c r="R865" s="12">
        <v>1</v>
      </c>
      <c r="S865" s="12"/>
      <c r="T865" s="13"/>
      <c r="U865" s="46"/>
      <c r="V865" s="47"/>
      <c r="W865" s="48">
        <f t="shared" si="105"/>
        <v>0</v>
      </c>
      <c r="X865" s="48">
        <f t="shared" si="106"/>
        <v>0</v>
      </c>
      <c r="Y865" s="48">
        <f t="shared" si="107"/>
        <v>0</v>
      </c>
      <c r="Z865" s="48">
        <f t="shared" si="108"/>
        <v>0</v>
      </c>
      <c r="AA865" s="48"/>
      <c r="AB865" s="48"/>
      <c r="AC865" s="49">
        <f t="shared" si="109"/>
        <v>0</v>
      </c>
      <c r="AD865" s="50">
        <v>0</v>
      </c>
      <c r="AE865" s="47">
        <v>40106</v>
      </c>
      <c r="AF865" s="51" t="s">
        <v>516</v>
      </c>
      <c r="AG865" s="52" t="s">
        <v>517</v>
      </c>
      <c r="AH865" s="53" t="s">
        <v>159</v>
      </c>
      <c r="AI865" s="79"/>
      <c r="AJ865" s="80"/>
      <c r="AK865" s="81"/>
      <c r="AL865" s="80"/>
      <c r="AM865" s="80"/>
      <c r="AN865" s="80"/>
      <c r="AO865" s="80"/>
      <c r="AP865" s="80"/>
      <c r="AQ865" s="80"/>
      <c r="AR865" s="80"/>
      <c r="AS865" s="80"/>
      <c r="AT865" s="80"/>
      <c r="AU865" s="80"/>
      <c r="AV865" s="80"/>
      <c r="AW865" s="80"/>
      <c r="AX865" s="80"/>
      <c r="AY865" s="80"/>
      <c r="AZ865" s="80"/>
      <c r="BA865" s="80"/>
      <c r="BB865" s="80"/>
      <c r="BC865" s="80"/>
      <c r="BD865" s="80"/>
      <c r="BE865" s="80"/>
      <c r="BF865" s="80"/>
      <c r="BG865" s="80"/>
      <c r="BH865" s="80"/>
      <c r="BI865" s="80"/>
      <c r="BJ865" s="80"/>
      <c r="BK865" s="80"/>
      <c r="BL865" s="80"/>
      <c r="BM865" s="80"/>
      <c r="BN865" s="80"/>
      <c r="BO865" s="80"/>
      <c r="BP865" s="80"/>
      <c r="BQ865" s="80"/>
      <c r="BR865" s="80"/>
      <c r="BS865" s="80"/>
      <c r="BT865" s="80"/>
      <c r="BU865" s="80"/>
      <c r="BV865" s="80"/>
      <c r="BW865" s="80"/>
      <c r="BX865" s="80"/>
      <c r="BY865" s="80"/>
      <c r="BZ865" s="80"/>
      <c r="CA865" s="80"/>
      <c r="CB865" s="80"/>
      <c r="CC865" s="80"/>
      <c r="CD865" s="80"/>
      <c r="CE865" s="80"/>
      <c r="CF865" s="80"/>
      <c r="CG865" s="80"/>
      <c r="CH865" s="80"/>
      <c r="CI865" s="80"/>
      <c r="CJ865" s="80"/>
      <c r="CK865" s="82"/>
      <c r="CL865" s="12"/>
      <c r="CM865" s="82"/>
      <c r="CN865" s="12"/>
      <c r="CO865" s="82"/>
      <c r="CP865" s="12"/>
      <c r="CQ865" s="83">
        <f t="shared" si="110"/>
        <v>0</v>
      </c>
      <c r="CR865" s="84"/>
      <c r="CS865" s="13"/>
      <c r="CT865" s="85"/>
      <c r="CU865" s="86"/>
      <c r="CV865" s="11"/>
      <c r="CW865" s="86"/>
      <c r="CX865" s="84"/>
      <c r="CY865" s="86"/>
    </row>
    <row r="866" spans="1:104" ht="25.5" x14ac:dyDescent="0.2">
      <c r="A866" s="43">
        <v>40083</v>
      </c>
      <c r="B866" s="44" t="s">
        <v>1067</v>
      </c>
      <c r="C866" s="44" t="s">
        <v>1391</v>
      </c>
      <c r="D866" s="45" t="s">
        <v>1117</v>
      </c>
      <c r="E866" s="11"/>
      <c r="F866" s="12"/>
      <c r="G866" s="12"/>
      <c r="H866" s="12">
        <f>136*5</f>
        <v>680</v>
      </c>
      <c r="I866" s="12">
        <f>12+124</f>
        <v>136</v>
      </c>
      <c r="J866" s="12"/>
      <c r="K866" s="12">
        <v>136</v>
      </c>
      <c r="L866" s="12"/>
      <c r="M866" s="12"/>
      <c r="N866" s="12"/>
      <c r="O866" s="12"/>
      <c r="P866" s="12"/>
      <c r="Q866" s="12"/>
      <c r="R866" s="12"/>
      <c r="S866" s="12"/>
      <c r="T866" s="13"/>
      <c r="U866" s="46"/>
      <c r="V866" s="47">
        <v>40156</v>
      </c>
      <c r="W866" s="48">
        <f t="shared" si="105"/>
        <v>0</v>
      </c>
      <c r="X866" s="48">
        <f t="shared" si="106"/>
        <v>0</v>
      </c>
      <c r="Y866" s="48">
        <f t="shared" si="107"/>
        <v>17304000</v>
      </c>
      <c r="Z866" s="48">
        <f t="shared" si="108"/>
        <v>0</v>
      </c>
      <c r="AA866" s="48"/>
      <c r="AB866" s="48"/>
      <c r="AC866" s="49">
        <f t="shared" si="109"/>
        <v>17304000</v>
      </c>
      <c r="AD866" s="50">
        <v>0</v>
      </c>
      <c r="AE866" s="47">
        <v>40083</v>
      </c>
      <c r="AF866" s="51" t="s">
        <v>1016</v>
      </c>
      <c r="AG866" s="52" t="s">
        <v>565</v>
      </c>
      <c r="AH866" s="53" t="s">
        <v>317</v>
      </c>
      <c r="AI866" s="79"/>
      <c r="AJ866" s="80"/>
      <c r="AK866" s="81"/>
      <c r="AL866" s="80"/>
      <c r="AM866" s="80"/>
      <c r="AN866" s="80"/>
      <c r="AO866" s="80"/>
      <c r="AP866" s="80"/>
      <c r="AQ866" s="80"/>
      <c r="AR866" s="80"/>
      <c r="AS866" s="80"/>
      <c r="AT866" s="80"/>
      <c r="AU866" s="80"/>
      <c r="AV866" s="80"/>
      <c r="AW866" s="80"/>
      <c r="AX866" s="80"/>
      <c r="AY866" s="80"/>
      <c r="AZ866" s="80"/>
      <c r="BA866" s="80"/>
      <c r="BB866" s="80"/>
      <c r="BC866" s="80"/>
      <c r="BD866" s="80"/>
      <c r="BE866" s="80"/>
      <c r="BF866" s="80"/>
      <c r="BG866" s="80"/>
      <c r="BH866" s="80"/>
      <c r="BI866" s="80"/>
      <c r="BJ866" s="80"/>
      <c r="BK866" s="80"/>
      <c r="BL866" s="80"/>
      <c r="BM866" s="80"/>
      <c r="BN866" s="80"/>
      <c r="BO866" s="80"/>
      <c r="BP866" s="80"/>
      <c r="BQ866" s="80"/>
      <c r="BR866" s="80"/>
      <c r="BS866" s="80"/>
      <c r="BT866" s="80"/>
      <c r="BU866" s="80"/>
      <c r="BV866" s="80"/>
      <c r="BW866" s="80"/>
      <c r="BX866" s="80"/>
      <c r="BY866" s="80"/>
      <c r="BZ866" s="80"/>
      <c r="CA866" s="80"/>
      <c r="CB866" s="80"/>
      <c r="CC866" s="80"/>
      <c r="CD866" s="80"/>
      <c r="CE866" s="80"/>
      <c r="CF866" s="80"/>
      <c r="CG866" s="80"/>
      <c r="CH866" s="80"/>
      <c r="CI866" s="80"/>
      <c r="CJ866" s="80"/>
      <c r="CK866" s="82"/>
      <c r="CL866" s="12"/>
      <c r="CM866" s="82"/>
      <c r="CN866" s="12"/>
      <c r="CO866" s="82"/>
      <c r="CP866" s="12"/>
      <c r="CQ866" s="83">
        <f t="shared" si="110"/>
        <v>0</v>
      </c>
      <c r="CR866" s="84"/>
      <c r="CS866" s="13"/>
      <c r="CT866" s="85"/>
      <c r="CU866" s="86"/>
      <c r="CV866" s="11"/>
      <c r="CW866" s="86"/>
      <c r="CX866" s="84">
        <f>280+400</f>
        <v>680</v>
      </c>
      <c r="CY866" s="86">
        <f>280*21000+1120*200+400*28000</f>
        <v>17304000</v>
      </c>
      <c r="CZ866" s="9" t="s">
        <v>1483</v>
      </c>
    </row>
    <row r="867" spans="1:104" ht="25.5" x14ac:dyDescent="0.2">
      <c r="A867" s="43">
        <v>40083</v>
      </c>
      <c r="B867" s="44" t="s">
        <v>1136</v>
      </c>
      <c r="C867" s="44" t="s">
        <v>1185</v>
      </c>
      <c r="D867" s="45" t="s">
        <v>1117</v>
      </c>
      <c r="E867" s="11"/>
      <c r="F867" s="12"/>
      <c r="G867" s="12"/>
      <c r="H867" s="12">
        <f>20*5</f>
        <v>100</v>
      </c>
      <c r="I867" s="12">
        <v>20</v>
      </c>
      <c r="J867" s="12"/>
      <c r="K867" s="12">
        <v>20</v>
      </c>
      <c r="L867" s="12"/>
      <c r="M867" s="12"/>
      <c r="N867" s="12"/>
      <c r="O867" s="12"/>
      <c r="P867" s="12"/>
      <c r="Q867" s="12"/>
      <c r="R867" s="12"/>
      <c r="S867" s="12"/>
      <c r="T867" s="13"/>
      <c r="U867" s="46"/>
      <c r="V867" s="47">
        <v>40163</v>
      </c>
      <c r="W867" s="48">
        <f t="shared" si="105"/>
        <v>0</v>
      </c>
      <c r="X867" s="48">
        <f t="shared" si="106"/>
        <v>0</v>
      </c>
      <c r="Y867" s="48">
        <f t="shared" si="107"/>
        <v>3400000</v>
      </c>
      <c r="Z867" s="48">
        <f t="shared" si="108"/>
        <v>0</v>
      </c>
      <c r="AA867" s="48"/>
      <c r="AB867" s="48"/>
      <c r="AC867" s="49">
        <f t="shared" si="109"/>
        <v>3400000</v>
      </c>
      <c r="AD867" s="50">
        <v>0</v>
      </c>
      <c r="AE867" s="47">
        <v>40084</v>
      </c>
      <c r="AF867" s="51" t="s">
        <v>1016</v>
      </c>
      <c r="AG867" s="52" t="s">
        <v>565</v>
      </c>
      <c r="AH867" s="53" t="s">
        <v>317</v>
      </c>
      <c r="AI867" s="79"/>
      <c r="AJ867" s="80"/>
      <c r="AK867" s="81"/>
      <c r="AL867" s="80"/>
      <c r="AM867" s="80"/>
      <c r="AN867" s="80"/>
      <c r="AO867" s="80"/>
      <c r="AP867" s="80"/>
      <c r="AQ867" s="80"/>
      <c r="AR867" s="80"/>
      <c r="AS867" s="80"/>
      <c r="AT867" s="80"/>
      <c r="AU867" s="80"/>
      <c r="AV867" s="80"/>
      <c r="AW867" s="80"/>
      <c r="AX867" s="80"/>
      <c r="AY867" s="80"/>
      <c r="AZ867" s="80"/>
      <c r="BA867" s="80"/>
      <c r="BB867" s="80"/>
      <c r="BC867" s="80"/>
      <c r="BD867" s="80"/>
      <c r="BE867" s="80"/>
      <c r="BF867" s="80"/>
      <c r="BG867" s="80"/>
      <c r="BH867" s="80"/>
      <c r="BI867" s="80"/>
      <c r="BJ867" s="80"/>
      <c r="BK867" s="80"/>
      <c r="BL867" s="80"/>
      <c r="BM867" s="80"/>
      <c r="BN867" s="80"/>
      <c r="BO867" s="80"/>
      <c r="BP867" s="80"/>
      <c r="BQ867" s="80"/>
      <c r="BR867" s="80"/>
      <c r="BS867" s="80"/>
      <c r="BT867" s="80"/>
      <c r="BU867" s="80"/>
      <c r="BV867" s="80"/>
      <c r="BW867" s="80"/>
      <c r="BX867" s="80"/>
      <c r="BY867" s="80"/>
      <c r="BZ867" s="80"/>
      <c r="CA867" s="80"/>
      <c r="CB867" s="80"/>
      <c r="CC867" s="80"/>
      <c r="CD867" s="80"/>
      <c r="CE867" s="80"/>
      <c r="CF867" s="80"/>
      <c r="CG867" s="80"/>
      <c r="CH867" s="80"/>
      <c r="CI867" s="80"/>
      <c r="CJ867" s="80"/>
      <c r="CK867" s="82"/>
      <c r="CL867" s="12"/>
      <c r="CM867" s="82"/>
      <c r="CN867" s="12"/>
      <c r="CO867" s="82"/>
      <c r="CP867" s="12"/>
      <c r="CQ867" s="83">
        <f t="shared" si="110"/>
        <v>0</v>
      </c>
      <c r="CR867" s="84"/>
      <c r="CS867" s="13"/>
      <c r="CT867" s="85"/>
      <c r="CU867" s="86"/>
      <c r="CV867" s="11"/>
      <c r="CW867" s="86"/>
      <c r="CX867" s="84">
        <v>100</v>
      </c>
      <c r="CY867" s="86">
        <f>100*34000</f>
        <v>3400000</v>
      </c>
    </row>
    <row r="868" spans="1:104" ht="63.75" x14ac:dyDescent="0.2">
      <c r="A868" s="43">
        <v>40083</v>
      </c>
      <c r="B868" s="44" t="s">
        <v>1136</v>
      </c>
      <c r="C868" s="44" t="s">
        <v>1186</v>
      </c>
      <c r="D868" s="45" t="s">
        <v>1068</v>
      </c>
      <c r="E868" s="11"/>
      <c r="F868" s="12"/>
      <c r="G868" s="12"/>
      <c r="H868" s="12"/>
      <c r="I868" s="12"/>
      <c r="J868" s="12"/>
      <c r="K868" s="12"/>
      <c r="L868" s="12"/>
      <c r="M868" s="12"/>
      <c r="N868" s="12"/>
      <c r="O868" s="12"/>
      <c r="P868" s="12"/>
      <c r="Q868" s="12"/>
      <c r="R868" s="12"/>
      <c r="S868" s="12"/>
      <c r="T868" s="13">
        <v>41</v>
      </c>
      <c r="U868" s="46"/>
      <c r="V868" s="47">
        <v>40163</v>
      </c>
      <c r="W868" s="48">
        <f t="shared" si="105"/>
        <v>0</v>
      </c>
      <c r="X868" s="48">
        <f t="shared" si="106"/>
        <v>0</v>
      </c>
      <c r="Y868" s="48">
        <f t="shared" si="107"/>
        <v>0</v>
      </c>
      <c r="Z868" s="48">
        <f t="shared" si="108"/>
        <v>0</v>
      </c>
      <c r="AA868" s="48">
        <f>840000+375840</f>
        <v>1215840</v>
      </c>
      <c r="AB868" s="48"/>
      <c r="AC868" s="49">
        <f t="shared" si="109"/>
        <v>1215840</v>
      </c>
      <c r="AD868" s="50">
        <v>0</v>
      </c>
      <c r="AE868" s="47">
        <v>40084</v>
      </c>
      <c r="AF868" s="51" t="s">
        <v>1016</v>
      </c>
      <c r="AG868" s="52" t="s">
        <v>565</v>
      </c>
      <c r="AH868" s="53" t="s">
        <v>31</v>
      </c>
      <c r="AI868" s="79"/>
      <c r="AJ868" s="80"/>
      <c r="AK868" s="81"/>
      <c r="AL868" s="80"/>
      <c r="AM868" s="80"/>
      <c r="AN868" s="80"/>
      <c r="AO868" s="80"/>
      <c r="AP868" s="80"/>
      <c r="AQ868" s="80"/>
      <c r="AR868" s="80"/>
      <c r="AS868" s="80"/>
      <c r="AT868" s="80"/>
      <c r="AU868" s="80"/>
      <c r="AV868" s="80"/>
      <c r="AW868" s="80"/>
      <c r="AX868" s="80"/>
      <c r="AY868" s="80"/>
      <c r="AZ868" s="80"/>
      <c r="BA868" s="80"/>
      <c r="BB868" s="80"/>
      <c r="BC868" s="80"/>
      <c r="BD868" s="80"/>
      <c r="BE868" s="80"/>
      <c r="BF868" s="80"/>
      <c r="BG868" s="80"/>
      <c r="BH868" s="80"/>
      <c r="BI868" s="80"/>
      <c r="BJ868" s="80"/>
      <c r="BK868" s="80"/>
      <c r="BL868" s="80"/>
      <c r="BM868" s="80"/>
      <c r="BN868" s="80"/>
      <c r="BO868" s="80"/>
      <c r="BP868" s="80"/>
      <c r="BQ868" s="80"/>
      <c r="BR868" s="80"/>
      <c r="BS868" s="80"/>
      <c r="BT868" s="80"/>
      <c r="BU868" s="80"/>
      <c r="BV868" s="80"/>
      <c r="BW868" s="80"/>
      <c r="BX868" s="80"/>
      <c r="BY868" s="80"/>
      <c r="BZ868" s="80"/>
      <c r="CA868" s="80"/>
      <c r="CB868" s="80"/>
      <c r="CC868" s="80"/>
      <c r="CD868" s="80"/>
      <c r="CE868" s="80"/>
      <c r="CF868" s="80"/>
      <c r="CG868" s="80"/>
      <c r="CH868" s="80"/>
      <c r="CI868" s="80"/>
      <c r="CJ868" s="80"/>
      <c r="CK868" s="82"/>
      <c r="CL868" s="12"/>
      <c r="CM868" s="82"/>
      <c r="CN868" s="12"/>
      <c r="CO868" s="82"/>
      <c r="CP868" s="12"/>
      <c r="CQ868" s="83">
        <f t="shared" si="110"/>
        <v>0</v>
      </c>
      <c r="CR868" s="84"/>
      <c r="CS868" s="13"/>
      <c r="CT868" s="85"/>
      <c r="CU868" s="86"/>
      <c r="CV868" s="11"/>
      <c r="CW868" s="86"/>
      <c r="CX868" s="84"/>
      <c r="CY868" s="86"/>
    </row>
    <row r="869" spans="1:104" ht="25.5" x14ac:dyDescent="0.2">
      <c r="A869" s="43">
        <v>40084</v>
      </c>
      <c r="B869" s="44" t="s">
        <v>1136</v>
      </c>
      <c r="C869" s="44" t="s">
        <v>1184</v>
      </c>
      <c r="D869" s="45" t="s">
        <v>1117</v>
      </c>
      <c r="E869" s="11"/>
      <c r="F869" s="12"/>
      <c r="G869" s="12"/>
      <c r="H869" s="12">
        <f>18*5</f>
        <v>90</v>
      </c>
      <c r="I869" s="12">
        <v>18</v>
      </c>
      <c r="J869" s="12"/>
      <c r="K869" s="12">
        <v>18</v>
      </c>
      <c r="L869" s="12"/>
      <c r="M869" s="12"/>
      <c r="N869" s="12"/>
      <c r="O869" s="12"/>
      <c r="P869" s="12"/>
      <c r="Q869" s="12"/>
      <c r="R869" s="12"/>
      <c r="S869" s="12"/>
      <c r="T869" s="13"/>
      <c r="U869" s="46"/>
      <c r="V869" s="47">
        <v>40163</v>
      </c>
      <c r="W869" s="48">
        <f t="shared" si="105"/>
        <v>0</v>
      </c>
      <c r="X869" s="48">
        <f t="shared" si="106"/>
        <v>0</v>
      </c>
      <c r="Y869" s="48">
        <f t="shared" si="107"/>
        <v>9738640</v>
      </c>
      <c r="Z869" s="48">
        <f t="shared" si="108"/>
        <v>0</v>
      </c>
      <c r="AA869" s="48"/>
      <c r="AB869" s="48"/>
      <c r="AC869" s="49">
        <f t="shared" si="109"/>
        <v>9738640</v>
      </c>
      <c r="AD869" s="50">
        <v>0</v>
      </c>
      <c r="AE869" s="47">
        <v>40084</v>
      </c>
      <c r="AF869" s="51" t="s">
        <v>1016</v>
      </c>
      <c r="AG869" s="52" t="s">
        <v>565</v>
      </c>
      <c r="AH869" s="53" t="s">
        <v>317</v>
      </c>
      <c r="AI869" s="79"/>
      <c r="AJ869" s="80"/>
      <c r="AK869" s="81"/>
      <c r="AL869" s="80"/>
      <c r="AM869" s="80"/>
      <c r="AN869" s="80"/>
      <c r="AO869" s="80"/>
      <c r="AP869" s="80"/>
      <c r="AQ869" s="80"/>
      <c r="AR869" s="80"/>
      <c r="AS869" s="80"/>
      <c r="AT869" s="80"/>
      <c r="AU869" s="80"/>
      <c r="AV869" s="80"/>
      <c r="AW869" s="80"/>
      <c r="AX869" s="80"/>
      <c r="AY869" s="80"/>
      <c r="AZ869" s="80"/>
      <c r="BA869" s="80"/>
      <c r="BB869" s="80"/>
      <c r="BC869" s="80"/>
      <c r="BD869" s="80"/>
      <c r="BE869" s="80"/>
      <c r="BF869" s="80"/>
      <c r="BG869" s="80"/>
      <c r="BH869" s="80"/>
      <c r="BI869" s="80"/>
      <c r="BJ869" s="80"/>
      <c r="BK869" s="80"/>
      <c r="BL869" s="80"/>
      <c r="BM869" s="80"/>
      <c r="BN869" s="80"/>
      <c r="BO869" s="80"/>
      <c r="BP869" s="80"/>
      <c r="BQ869" s="80"/>
      <c r="BR869" s="80"/>
      <c r="BS869" s="80"/>
      <c r="BT869" s="80"/>
      <c r="BU869" s="80"/>
      <c r="BV869" s="80"/>
      <c r="BW869" s="80"/>
      <c r="BX869" s="80"/>
      <c r="BY869" s="80"/>
      <c r="BZ869" s="80"/>
      <c r="CA869" s="80"/>
      <c r="CB869" s="80"/>
      <c r="CC869" s="80"/>
      <c r="CD869" s="80"/>
      <c r="CE869" s="80"/>
      <c r="CF869" s="80"/>
      <c r="CG869" s="80"/>
      <c r="CH869" s="80"/>
      <c r="CI869" s="80"/>
      <c r="CJ869" s="80"/>
      <c r="CK869" s="82"/>
      <c r="CL869" s="12"/>
      <c r="CM869" s="82"/>
      <c r="CN869" s="12"/>
      <c r="CO869" s="82"/>
      <c r="CP869" s="12"/>
      <c r="CQ869" s="83">
        <f t="shared" si="110"/>
        <v>0</v>
      </c>
      <c r="CR869" s="84"/>
      <c r="CS869" s="13"/>
      <c r="CT869" s="85"/>
      <c r="CU869" s="86"/>
      <c r="CV869" s="11"/>
      <c r="CW869" s="86"/>
      <c r="CX869" s="84">
        <f>300+70</f>
        <v>370</v>
      </c>
      <c r="CY869" s="86">
        <f>300*22000+70*34000+2180*348</f>
        <v>9738640</v>
      </c>
    </row>
    <row r="870" spans="1:104" ht="76.5" x14ac:dyDescent="0.2">
      <c r="A870" s="43">
        <v>40085</v>
      </c>
      <c r="B870" s="44" t="s">
        <v>1224</v>
      </c>
      <c r="C870" s="44" t="s">
        <v>282</v>
      </c>
      <c r="D870" s="45" t="s">
        <v>736</v>
      </c>
      <c r="E870" s="11"/>
      <c r="F870" s="12"/>
      <c r="G870" s="12"/>
      <c r="H870" s="12">
        <f>300*5</f>
        <v>1500</v>
      </c>
      <c r="I870" s="12">
        <v>300</v>
      </c>
      <c r="J870" s="12"/>
      <c r="K870" s="12"/>
      <c r="L870" s="12"/>
      <c r="M870" s="12"/>
      <c r="N870" s="12"/>
      <c r="O870" s="12">
        <v>1</v>
      </c>
      <c r="P870" s="12"/>
      <c r="Q870" s="12"/>
      <c r="R870" s="12"/>
      <c r="S870" s="12"/>
      <c r="T870" s="13"/>
      <c r="U870" s="46"/>
      <c r="V870" s="47">
        <v>40193</v>
      </c>
      <c r="W870" s="48">
        <f t="shared" si="105"/>
        <v>0</v>
      </c>
      <c r="X870" s="48">
        <f t="shared" si="106"/>
        <v>0</v>
      </c>
      <c r="Y870" s="48">
        <f t="shared" si="107"/>
        <v>0</v>
      </c>
      <c r="Z870" s="48">
        <f t="shared" si="108"/>
        <v>0</v>
      </c>
      <c r="AA870" s="48">
        <f>60*225000</f>
        <v>13500000</v>
      </c>
      <c r="AB870" s="48"/>
      <c r="AC870" s="49">
        <f t="shared" si="109"/>
        <v>13500000</v>
      </c>
      <c r="AD870" s="50">
        <v>0</v>
      </c>
      <c r="AE870" s="47">
        <v>40085</v>
      </c>
      <c r="AF870" s="51" t="s">
        <v>1016</v>
      </c>
      <c r="AG870" s="52" t="s">
        <v>565</v>
      </c>
      <c r="AH870" s="53" t="s">
        <v>32</v>
      </c>
      <c r="AI870" s="79"/>
      <c r="AJ870" s="80"/>
      <c r="AK870" s="81"/>
      <c r="AL870" s="80"/>
      <c r="AM870" s="80"/>
      <c r="AN870" s="80"/>
      <c r="AO870" s="80"/>
      <c r="AP870" s="80"/>
      <c r="AQ870" s="80"/>
      <c r="AR870" s="80"/>
      <c r="AS870" s="80"/>
      <c r="AT870" s="80"/>
      <c r="AU870" s="80"/>
      <c r="AV870" s="80"/>
      <c r="AW870" s="80"/>
      <c r="AX870" s="80"/>
      <c r="AY870" s="80"/>
      <c r="AZ870" s="80"/>
      <c r="BA870" s="80"/>
      <c r="BB870" s="80"/>
      <c r="BC870" s="80"/>
      <c r="BD870" s="80"/>
      <c r="BE870" s="80"/>
      <c r="BF870" s="80"/>
      <c r="BG870" s="80"/>
      <c r="BH870" s="80"/>
      <c r="BI870" s="80"/>
      <c r="BJ870" s="80"/>
      <c r="BK870" s="80"/>
      <c r="BL870" s="80"/>
      <c r="BM870" s="80"/>
      <c r="BN870" s="80"/>
      <c r="BO870" s="80"/>
      <c r="BP870" s="80"/>
      <c r="BQ870" s="80"/>
      <c r="BR870" s="80"/>
      <c r="BS870" s="80"/>
      <c r="BT870" s="80"/>
      <c r="BU870" s="80"/>
      <c r="BV870" s="80"/>
      <c r="BW870" s="80"/>
      <c r="BX870" s="80"/>
      <c r="BY870" s="80"/>
      <c r="BZ870" s="80"/>
      <c r="CA870" s="80"/>
      <c r="CB870" s="80"/>
      <c r="CC870" s="80"/>
      <c r="CD870" s="80"/>
      <c r="CE870" s="80"/>
      <c r="CF870" s="80"/>
      <c r="CG870" s="80"/>
      <c r="CH870" s="80"/>
      <c r="CI870" s="80"/>
      <c r="CJ870" s="80"/>
      <c r="CK870" s="82"/>
      <c r="CL870" s="12"/>
      <c r="CM870" s="82"/>
      <c r="CN870" s="12"/>
      <c r="CO870" s="82"/>
      <c r="CP870" s="12"/>
      <c r="CQ870" s="83">
        <f t="shared" si="110"/>
        <v>0</v>
      </c>
      <c r="CR870" s="84"/>
      <c r="CS870" s="13"/>
      <c r="CT870" s="85"/>
      <c r="CU870" s="86"/>
      <c r="CV870" s="11"/>
      <c r="CW870" s="86"/>
      <c r="CX870" s="84"/>
      <c r="CY870" s="86"/>
    </row>
    <row r="871" spans="1:104" ht="25.5" x14ac:dyDescent="0.2">
      <c r="A871" s="43">
        <v>40085</v>
      </c>
      <c r="B871" s="44" t="s">
        <v>600</v>
      </c>
      <c r="C871" s="44" t="s">
        <v>166</v>
      </c>
      <c r="D871" s="45" t="s">
        <v>1118</v>
      </c>
      <c r="E871" s="11"/>
      <c r="F871" s="12"/>
      <c r="G871" s="12"/>
      <c r="H871" s="12">
        <v>78</v>
      </c>
      <c r="I871" s="12">
        <v>17</v>
      </c>
      <c r="J871" s="12"/>
      <c r="K871" s="12">
        <v>17</v>
      </c>
      <c r="L871" s="12"/>
      <c r="M871" s="12"/>
      <c r="N871" s="12"/>
      <c r="O871" s="12"/>
      <c r="P871" s="12"/>
      <c r="Q871" s="12"/>
      <c r="R871" s="12"/>
      <c r="S871" s="12"/>
      <c r="T871" s="13"/>
      <c r="U871" s="46"/>
      <c r="V871" s="47"/>
      <c r="W871" s="48">
        <f t="shared" ref="W871:W876" si="111">CQ871</f>
        <v>0</v>
      </c>
      <c r="X871" s="48">
        <f t="shared" ref="X871:X876" si="112">CU871</f>
        <v>0</v>
      </c>
      <c r="Y871" s="48">
        <f t="shared" ref="Y871:Y876" si="113">CW871+CY871</f>
        <v>0</v>
      </c>
      <c r="Z871" s="48">
        <f t="shared" ref="Z871:Z876" si="114">CS871</f>
        <v>0</v>
      </c>
      <c r="AA871" s="48"/>
      <c r="AB871" s="48"/>
      <c r="AC871" s="49">
        <f t="shared" ref="AC871:AC876" si="115">W871+X871+Y871+Z871+AA871+AB871</f>
        <v>0</v>
      </c>
      <c r="AD871" s="50">
        <v>0</v>
      </c>
      <c r="AE871" s="47">
        <v>40093</v>
      </c>
      <c r="AF871" s="51" t="s">
        <v>516</v>
      </c>
      <c r="AG871" s="52" t="s">
        <v>517</v>
      </c>
      <c r="AH871" s="53" t="s">
        <v>1281</v>
      </c>
      <c r="AI871" s="79"/>
      <c r="AJ871" s="80"/>
      <c r="AK871" s="81"/>
      <c r="AL871" s="80"/>
      <c r="AM871" s="80"/>
      <c r="AN871" s="80"/>
      <c r="AO871" s="80"/>
      <c r="AP871" s="80"/>
      <c r="AQ871" s="80"/>
      <c r="AR871" s="80"/>
      <c r="AS871" s="80"/>
      <c r="AT871" s="80"/>
      <c r="AU871" s="80"/>
      <c r="AV871" s="80"/>
      <c r="AW871" s="80"/>
      <c r="AX871" s="80"/>
      <c r="AY871" s="80"/>
      <c r="AZ871" s="80"/>
      <c r="BA871" s="80"/>
      <c r="BB871" s="80"/>
      <c r="BC871" s="80"/>
      <c r="BD871" s="80"/>
      <c r="BE871" s="80"/>
      <c r="BF871" s="80"/>
      <c r="BG871" s="80"/>
      <c r="BH871" s="80"/>
      <c r="BI871" s="80"/>
      <c r="BJ871" s="80"/>
      <c r="BK871" s="80"/>
      <c r="BL871" s="80"/>
      <c r="BM871" s="80"/>
      <c r="BN871" s="80"/>
      <c r="BO871" s="80"/>
      <c r="BP871" s="80"/>
      <c r="BQ871" s="80"/>
      <c r="BR871" s="80"/>
      <c r="BS871" s="80"/>
      <c r="BT871" s="80"/>
      <c r="BU871" s="80"/>
      <c r="BV871" s="80"/>
      <c r="BW871" s="80"/>
      <c r="BX871" s="80"/>
      <c r="BY871" s="80"/>
      <c r="BZ871" s="80"/>
      <c r="CA871" s="80"/>
      <c r="CB871" s="80"/>
      <c r="CC871" s="80"/>
      <c r="CD871" s="80"/>
      <c r="CE871" s="80"/>
      <c r="CF871" s="80"/>
      <c r="CG871" s="80"/>
      <c r="CH871" s="80"/>
      <c r="CI871" s="80"/>
      <c r="CJ871" s="80"/>
      <c r="CK871" s="82"/>
      <c r="CL871" s="12"/>
      <c r="CM871" s="82"/>
      <c r="CN871" s="12"/>
      <c r="CO871" s="82"/>
      <c r="CP871" s="12"/>
      <c r="CQ871" s="83">
        <f t="shared" ref="CQ871:CQ882" si="116">AJ871+AL871+AN871+AP871+AR871+AT871+AV871+AX871+AZ871+BB871+BD871+BF871+BH871+BJ871+BL871+BN871+BP871+BR871+BT871+BV871+BX871+BZ871+CB871+CD871+CF871+CH871+CJ871+CL871+CN871+CP871</f>
        <v>0</v>
      </c>
      <c r="CR871" s="84"/>
      <c r="CS871" s="13"/>
      <c r="CT871" s="85"/>
      <c r="CU871" s="86"/>
      <c r="CV871" s="11"/>
      <c r="CW871" s="86"/>
      <c r="CX871" s="84"/>
      <c r="CY871" s="86"/>
    </row>
    <row r="872" spans="1:104" ht="76.5" x14ac:dyDescent="0.2">
      <c r="A872" s="43">
        <v>40085</v>
      </c>
      <c r="B872" s="44" t="s">
        <v>437</v>
      </c>
      <c r="C872" s="44" t="s">
        <v>451</v>
      </c>
      <c r="D872" s="45" t="s">
        <v>1117</v>
      </c>
      <c r="E872" s="11"/>
      <c r="F872" s="12"/>
      <c r="G872" s="12"/>
      <c r="H872" s="12"/>
      <c r="I872" s="12"/>
      <c r="J872" s="12"/>
      <c r="K872" s="12">
        <v>39</v>
      </c>
      <c r="L872" s="12"/>
      <c r="M872" s="12"/>
      <c r="N872" s="12"/>
      <c r="O872" s="12"/>
      <c r="P872" s="12"/>
      <c r="Q872" s="12"/>
      <c r="R872" s="12">
        <v>3</v>
      </c>
      <c r="S872" s="12"/>
      <c r="T872" s="13"/>
      <c r="U872" s="46"/>
      <c r="V872" s="47"/>
      <c r="W872" s="48">
        <f t="shared" si="111"/>
        <v>0</v>
      </c>
      <c r="X872" s="48">
        <f t="shared" si="112"/>
        <v>0</v>
      </c>
      <c r="Y872" s="48">
        <f t="shared" si="113"/>
        <v>0</v>
      </c>
      <c r="Z872" s="48">
        <f t="shared" si="114"/>
        <v>0</v>
      </c>
      <c r="AA872" s="48"/>
      <c r="AB872" s="48"/>
      <c r="AC872" s="49">
        <f t="shared" si="115"/>
        <v>0</v>
      </c>
      <c r="AD872" s="50">
        <v>0</v>
      </c>
      <c r="AE872" s="47">
        <v>40105</v>
      </c>
      <c r="AF872" s="51" t="s">
        <v>1016</v>
      </c>
      <c r="AG872" s="52" t="s">
        <v>565</v>
      </c>
      <c r="AH872" s="53" t="s">
        <v>452</v>
      </c>
      <c r="AI872" s="79"/>
      <c r="AJ872" s="80"/>
      <c r="AK872" s="81"/>
      <c r="AL872" s="80"/>
      <c r="AM872" s="80"/>
      <c r="AN872" s="80"/>
      <c r="AO872" s="80"/>
      <c r="AP872" s="80"/>
      <c r="AQ872" s="80"/>
      <c r="AR872" s="80"/>
      <c r="AS872" s="80"/>
      <c r="AT872" s="80"/>
      <c r="AU872" s="80"/>
      <c r="AV872" s="80"/>
      <c r="AW872" s="80"/>
      <c r="AX872" s="80"/>
      <c r="AY872" s="80"/>
      <c r="AZ872" s="80"/>
      <c r="BA872" s="80"/>
      <c r="BB872" s="80"/>
      <c r="BC872" s="80"/>
      <c r="BD872" s="80"/>
      <c r="BE872" s="80"/>
      <c r="BF872" s="80"/>
      <c r="BG872" s="80"/>
      <c r="BH872" s="80"/>
      <c r="BI872" s="80"/>
      <c r="BJ872" s="80"/>
      <c r="BK872" s="80"/>
      <c r="BL872" s="80"/>
      <c r="BM872" s="80"/>
      <c r="BN872" s="80"/>
      <c r="BO872" s="80"/>
      <c r="BP872" s="80"/>
      <c r="BQ872" s="80"/>
      <c r="BR872" s="80"/>
      <c r="BS872" s="80"/>
      <c r="BT872" s="80"/>
      <c r="BU872" s="80"/>
      <c r="BV872" s="80"/>
      <c r="BW872" s="80"/>
      <c r="BX872" s="80"/>
      <c r="BY872" s="80"/>
      <c r="BZ872" s="80"/>
      <c r="CA872" s="80"/>
      <c r="CB872" s="80"/>
      <c r="CC872" s="80"/>
      <c r="CD872" s="80"/>
      <c r="CE872" s="80"/>
      <c r="CF872" s="80"/>
      <c r="CG872" s="80"/>
      <c r="CH872" s="80"/>
      <c r="CI872" s="80"/>
      <c r="CJ872" s="80"/>
      <c r="CK872" s="82"/>
      <c r="CL872" s="12"/>
      <c r="CM872" s="82"/>
      <c r="CN872" s="12"/>
      <c r="CO872" s="82"/>
      <c r="CP872" s="12"/>
      <c r="CQ872" s="83">
        <f t="shared" si="116"/>
        <v>0</v>
      </c>
      <c r="CR872" s="84"/>
      <c r="CS872" s="13"/>
      <c r="CT872" s="85"/>
      <c r="CU872" s="86"/>
      <c r="CV872" s="11"/>
      <c r="CW872" s="86"/>
      <c r="CX872" s="84"/>
      <c r="CY872" s="86"/>
    </row>
    <row r="873" spans="1:104" ht="38.25" x14ac:dyDescent="0.2">
      <c r="A873" s="43">
        <v>40085</v>
      </c>
      <c r="B873" s="44" t="s">
        <v>437</v>
      </c>
      <c r="C873" s="44" t="s">
        <v>1454</v>
      </c>
      <c r="D873" s="45" t="s">
        <v>1118</v>
      </c>
      <c r="E873" s="11"/>
      <c r="F873" s="12"/>
      <c r="G873" s="12"/>
      <c r="H873" s="12"/>
      <c r="I873" s="12"/>
      <c r="J873" s="12"/>
      <c r="K873" s="12"/>
      <c r="L873" s="12"/>
      <c r="M873" s="12"/>
      <c r="N873" s="12"/>
      <c r="O873" s="12"/>
      <c r="P873" s="12"/>
      <c r="Q873" s="12"/>
      <c r="R873" s="12"/>
      <c r="S873" s="12"/>
      <c r="T873" s="13"/>
      <c r="U873" s="46"/>
      <c r="V873" s="47">
        <v>40156</v>
      </c>
      <c r="W873" s="48">
        <f t="shared" si="111"/>
        <v>80999900</v>
      </c>
      <c r="X873" s="48">
        <f t="shared" si="112"/>
        <v>127500000</v>
      </c>
      <c r="Y873" s="48">
        <f t="shared" si="113"/>
        <v>35500000</v>
      </c>
      <c r="Z873" s="48">
        <f t="shared" si="114"/>
        <v>90016000</v>
      </c>
      <c r="AA873" s="48"/>
      <c r="AB873" s="48"/>
      <c r="AC873" s="49">
        <f t="shared" si="115"/>
        <v>334015900</v>
      </c>
      <c r="AD873" s="50">
        <v>0</v>
      </c>
      <c r="AE873" s="47">
        <v>40105</v>
      </c>
      <c r="AF873" s="51" t="s">
        <v>1016</v>
      </c>
      <c r="AG873" s="52" t="s">
        <v>565</v>
      </c>
      <c r="AH873" s="53" t="s">
        <v>1183</v>
      </c>
      <c r="AI873" s="79"/>
      <c r="AJ873" s="80"/>
      <c r="AK873" s="81"/>
      <c r="AL873" s="80"/>
      <c r="AM873" s="80"/>
      <c r="AN873" s="80"/>
      <c r="AO873" s="80"/>
      <c r="AP873" s="80"/>
      <c r="AQ873" s="80"/>
      <c r="AR873" s="80"/>
      <c r="AS873" s="80"/>
      <c r="AT873" s="80"/>
      <c r="AU873" s="80"/>
      <c r="AV873" s="80"/>
      <c r="AW873" s="80"/>
      <c r="AX873" s="80"/>
      <c r="AY873" s="80"/>
      <c r="AZ873" s="80"/>
      <c r="BA873" s="80"/>
      <c r="BB873" s="80"/>
      <c r="BC873" s="80"/>
      <c r="BD873" s="80"/>
      <c r="BE873" s="80"/>
      <c r="BF873" s="80"/>
      <c r="BG873" s="80">
        <v>1000</v>
      </c>
      <c r="BH873" s="80">
        <f>1000*25499.99</f>
        <v>25499990</v>
      </c>
      <c r="BI873" s="80"/>
      <c r="BJ873" s="80"/>
      <c r="BK873" s="80"/>
      <c r="BL873" s="80"/>
      <c r="BM873" s="80"/>
      <c r="BN873" s="80"/>
      <c r="BO873" s="80"/>
      <c r="BP873" s="80"/>
      <c r="BQ873" s="80"/>
      <c r="BR873" s="80"/>
      <c r="BS873" s="80"/>
      <c r="BT873" s="80"/>
      <c r="BU873" s="80"/>
      <c r="BV873" s="80"/>
      <c r="BW873" s="80"/>
      <c r="BX873" s="80"/>
      <c r="BY873" s="80"/>
      <c r="BZ873" s="80"/>
      <c r="CA873" s="80"/>
      <c r="CB873" s="80"/>
      <c r="CC873" s="80"/>
      <c r="CD873" s="80"/>
      <c r="CE873" s="80"/>
      <c r="CF873" s="80"/>
      <c r="CG873" s="80"/>
      <c r="CH873" s="80"/>
      <c r="CI873" s="80"/>
      <c r="CJ873" s="80"/>
      <c r="CK873" s="82">
        <v>1500</v>
      </c>
      <c r="CL873" s="12">
        <f>1500*36999.94</f>
        <v>55499910</v>
      </c>
      <c r="CM873" s="82"/>
      <c r="CN873" s="12"/>
      <c r="CO873" s="82"/>
      <c r="CP873" s="12"/>
      <c r="CQ873" s="83">
        <f>AJ873+AL873+AN873+AP873+AR873+AT873+AV873+AX873+AZ873+BB873+BD873+BF873+BH873+BJ873+BL873+BN873+BP873+BR873+BT873+BV873+BX873+BZ873+CB873+CD873+CF873+CH873+CJ873+CL873+CN873+CP873</f>
        <v>80999900</v>
      </c>
      <c r="CR873" s="84">
        <v>100000</v>
      </c>
      <c r="CS873" s="13">
        <f>100000*900.16</f>
        <v>90016000</v>
      </c>
      <c r="CT873" s="85">
        <v>1500</v>
      </c>
      <c r="CU873" s="86">
        <f>1500*85000</f>
        <v>127500000</v>
      </c>
      <c r="CV873" s="11"/>
      <c r="CW873" s="86"/>
      <c r="CX873" s="84">
        <f>1000+500</f>
        <v>1500</v>
      </c>
      <c r="CY873" s="86">
        <f>1000*22000+500*27000</f>
        <v>35500000</v>
      </c>
    </row>
    <row r="874" spans="1:104" ht="25.5" x14ac:dyDescent="0.2">
      <c r="A874" s="43">
        <v>40086</v>
      </c>
      <c r="B874" s="44" t="s">
        <v>904</v>
      </c>
      <c r="C874" s="44" t="s">
        <v>84</v>
      </c>
      <c r="D874" s="45" t="s">
        <v>1117</v>
      </c>
      <c r="E874" s="11"/>
      <c r="F874" s="12"/>
      <c r="G874" s="12"/>
      <c r="H874" s="12">
        <f>80*5</f>
        <v>400</v>
      </c>
      <c r="I874" s="12">
        <v>80</v>
      </c>
      <c r="J874" s="12"/>
      <c r="K874" s="12"/>
      <c r="L874" s="12"/>
      <c r="M874" s="12"/>
      <c r="N874" s="12"/>
      <c r="O874" s="12"/>
      <c r="P874" s="12"/>
      <c r="Q874" s="12"/>
      <c r="R874" s="12"/>
      <c r="S874" s="12"/>
      <c r="T874" s="13"/>
      <c r="U874" s="46"/>
      <c r="V874" s="47"/>
      <c r="W874" s="48">
        <f t="shared" si="111"/>
        <v>0</v>
      </c>
      <c r="X874" s="48">
        <f t="shared" si="112"/>
        <v>0</v>
      </c>
      <c r="Y874" s="48">
        <f t="shared" si="113"/>
        <v>0</v>
      </c>
      <c r="Z874" s="48">
        <f t="shared" si="114"/>
        <v>0</v>
      </c>
      <c r="AA874" s="48"/>
      <c r="AB874" s="48"/>
      <c r="AC874" s="49">
        <f t="shared" si="115"/>
        <v>0</v>
      </c>
      <c r="AD874" s="50">
        <v>0</v>
      </c>
      <c r="AE874" s="47">
        <v>40086</v>
      </c>
      <c r="AF874" s="51" t="s">
        <v>516</v>
      </c>
      <c r="AG874" s="52" t="s">
        <v>517</v>
      </c>
      <c r="AH874" s="53" t="s">
        <v>317</v>
      </c>
      <c r="AI874" s="79"/>
      <c r="AJ874" s="80"/>
      <c r="AK874" s="81"/>
      <c r="AL874" s="80"/>
      <c r="AM874" s="80"/>
      <c r="AN874" s="80"/>
      <c r="AO874" s="80"/>
      <c r="AP874" s="80"/>
      <c r="AQ874" s="80"/>
      <c r="AR874" s="80"/>
      <c r="AS874" s="80"/>
      <c r="AT874" s="80"/>
      <c r="AU874" s="80"/>
      <c r="AV874" s="80"/>
      <c r="AW874" s="80"/>
      <c r="AX874" s="80"/>
      <c r="AY874" s="80"/>
      <c r="AZ874" s="80"/>
      <c r="BA874" s="80"/>
      <c r="BB874" s="80"/>
      <c r="BC874" s="80"/>
      <c r="BD874" s="80"/>
      <c r="BE874" s="80"/>
      <c r="BF874" s="80"/>
      <c r="BG874" s="80"/>
      <c r="BH874" s="80"/>
      <c r="BI874" s="80"/>
      <c r="BJ874" s="80"/>
      <c r="BK874" s="80"/>
      <c r="BL874" s="80"/>
      <c r="BM874" s="80"/>
      <c r="BN874" s="80"/>
      <c r="BO874" s="80"/>
      <c r="BP874" s="80"/>
      <c r="BQ874" s="80"/>
      <c r="BR874" s="80"/>
      <c r="BS874" s="80"/>
      <c r="BT874" s="80"/>
      <c r="BU874" s="80"/>
      <c r="BV874" s="80"/>
      <c r="BW874" s="80"/>
      <c r="BX874" s="80"/>
      <c r="BY874" s="80"/>
      <c r="BZ874" s="80"/>
      <c r="CA874" s="80"/>
      <c r="CB874" s="80"/>
      <c r="CC874" s="80"/>
      <c r="CD874" s="80"/>
      <c r="CE874" s="80"/>
      <c r="CF874" s="80"/>
      <c r="CG874" s="80"/>
      <c r="CH874" s="80"/>
      <c r="CI874" s="80"/>
      <c r="CJ874" s="80"/>
      <c r="CK874" s="82"/>
      <c r="CL874" s="12"/>
      <c r="CM874" s="82"/>
      <c r="CN874" s="12"/>
      <c r="CO874" s="82"/>
      <c r="CP874" s="12"/>
      <c r="CQ874" s="83">
        <f>AJ874+AL874+AN874+AP874+AR874+AT874+AV874+AX874+AZ874+BB874+BD874+BF874+BH874+BJ874+BL874+BN874+BP874+BR874+BT874+BV874+BX874+BZ874+CB874+CD874+CF874+CH874+CJ874+CL874+CN874+CP874</f>
        <v>0</v>
      </c>
      <c r="CR874" s="84"/>
      <c r="CS874" s="13"/>
      <c r="CT874" s="85"/>
      <c r="CU874" s="86"/>
      <c r="CV874" s="11"/>
      <c r="CW874" s="86"/>
      <c r="CX874" s="84"/>
      <c r="CY874" s="86"/>
    </row>
    <row r="875" spans="1:104" ht="38.25" x14ac:dyDescent="0.2">
      <c r="A875" s="43">
        <v>40086</v>
      </c>
      <c r="B875" s="44" t="s">
        <v>688</v>
      </c>
      <c r="C875" s="44" t="s">
        <v>674</v>
      </c>
      <c r="D875" s="45" t="s">
        <v>1117</v>
      </c>
      <c r="E875" s="11"/>
      <c r="F875" s="12"/>
      <c r="G875" s="12"/>
      <c r="H875" s="12">
        <f>56*5</f>
        <v>280</v>
      </c>
      <c r="I875" s="12">
        <v>56</v>
      </c>
      <c r="J875" s="12"/>
      <c r="K875" s="12">
        <v>56</v>
      </c>
      <c r="L875" s="12"/>
      <c r="M875" s="12"/>
      <c r="N875" s="12"/>
      <c r="O875" s="12"/>
      <c r="P875" s="12"/>
      <c r="Q875" s="12"/>
      <c r="R875" s="12"/>
      <c r="S875" s="12"/>
      <c r="T875" s="13"/>
      <c r="U875" s="46"/>
      <c r="V875" s="47"/>
      <c r="W875" s="48">
        <f t="shared" si="111"/>
        <v>0</v>
      </c>
      <c r="X875" s="48">
        <f t="shared" si="112"/>
        <v>0</v>
      </c>
      <c r="Y875" s="48">
        <f t="shared" si="113"/>
        <v>0</v>
      </c>
      <c r="Z875" s="48">
        <f t="shared" si="114"/>
        <v>0</v>
      </c>
      <c r="AA875" s="48"/>
      <c r="AB875" s="48"/>
      <c r="AC875" s="49">
        <f t="shared" si="115"/>
        <v>0</v>
      </c>
      <c r="AD875" s="50">
        <v>0</v>
      </c>
      <c r="AE875" s="47">
        <v>40109</v>
      </c>
      <c r="AF875" s="51" t="s">
        <v>516</v>
      </c>
      <c r="AG875" s="52" t="s">
        <v>517</v>
      </c>
      <c r="AH875" s="53" t="s">
        <v>794</v>
      </c>
      <c r="AI875" s="79"/>
      <c r="AJ875" s="80"/>
      <c r="AK875" s="81"/>
      <c r="AL875" s="80"/>
      <c r="AM875" s="80"/>
      <c r="AN875" s="80"/>
      <c r="AO875" s="80"/>
      <c r="AP875" s="80"/>
      <c r="AQ875" s="80"/>
      <c r="AR875" s="80"/>
      <c r="AS875" s="80"/>
      <c r="AT875" s="80"/>
      <c r="AU875" s="80"/>
      <c r="AV875" s="80"/>
      <c r="AW875" s="80"/>
      <c r="AX875" s="80"/>
      <c r="AY875" s="80"/>
      <c r="AZ875" s="80"/>
      <c r="BA875" s="80"/>
      <c r="BB875" s="80"/>
      <c r="BC875" s="80"/>
      <c r="BD875" s="80"/>
      <c r="BE875" s="80"/>
      <c r="BF875" s="80"/>
      <c r="BG875" s="80"/>
      <c r="BH875" s="80"/>
      <c r="BI875" s="80"/>
      <c r="BJ875" s="80"/>
      <c r="BK875" s="80"/>
      <c r="BL875" s="80"/>
      <c r="BM875" s="80"/>
      <c r="BN875" s="80"/>
      <c r="BO875" s="80"/>
      <c r="BP875" s="80"/>
      <c r="BQ875" s="80"/>
      <c r="BR875" s="80"/>
      <c r="BS875" s="80"/>
      <c r="BT875" s="80"/>
      <c r="BU875" s="80"/>
      <c r="BV875" s="80"/>
      <c r="BW875" s="80"/>
      <c r="BX875" s="80"/>
      <c r="BY875" s="80"/>
      <c r="BZ875" s="80"/>
      <c r="CA875" s="80"/>
      <c r="CB875" s="80"/>
      <c r="CC875" s="80"/>
      <c r="CD875" s="80"/>
      <c r="CE875" s="80"/>
      <c r="CF875" s="80"/>
      <c r="CG875" s="80"/>
      <c r="CH875" s="80"/>
      <c r="CI875" s="80"/>
      <c r="CJ875" s="80"/>
      <c r="CK875" s="82"/>
      <c r="CL875" s="12"/>
      <c r="CM875" s="82"/>
      <c r="CN875" s="12"/>
      <c r="CO875" s="82"/>
      <c r="CP875" s="12"/>
      <c r="CQ875" s="83">
        <f t="shared" si="116"/>
        <v>0</v>
      </c>
      <c r="CR875" s="84"/>
      <c r="CS875" s="13"/>
      <c r="CT875" s="85"/>
      <c r="CU875" s="86"/>
      <c r="CV875" s="11"/>
      <c r="CW875" s="86"/>
      <c r="CX875" s="84"/>
      <c r="CY875" s="86"/>
    </row>
    <row r="876" spans="1:104" ht="63.75" x14ac:dyDescent="0.2">
      <c r="A876" s="43">
        <v>40087</v>
      </c>
      <c r="B876" s="44" t="s">
        <v>413</v>
      </c>
      <c r="C876" s="44" t="s">
        <v>1442</v>
      </c>
      <c r="D876" s="45" t="s">
        <v>1118</v>
      </c>
      <c r="E876" s="11"/>
      <c r="F876" s="12"/>
      <c r="G876" s="12"/>
      <c r="H876" s="12"/>
      <c r="I876" s="12"/>
      <c r="J876" s="12"/>
      <c r="K876" s="12"/>
      <c r="L876" s="12">
        <v>20</v>
      </c>
      <c r="M876" s="12"/>
      <c r="N876" s="12"/>
      <c r="O876" s="12"/>
      <c r="P876" s="12"/>
      <c r="Q876" s="12"/>
      <c r="R876" s="12"/>
      <c r="S876" s="12"/>
      <c r="T876" s="13"/>
      <c r="U876" s="46"/>
      <c r="V876" s="47">
        <v>40162</v>
      </c>
      <c r="W876" s="48">
        <f t="shared" si="111"/>
        <v>0</v>
      </c>
      <c r="X876" s="48">
        <f t="shared" si="112"/>
        <v>0</v>
      </c>
      <c r="Y876" s="48">
        <f t="shared" si="113"/>
        <v>0</v>
      </c>
      <c r="Z876" s="48">
        <f t="shared" si="114"/>
        <v>0</v>
      </c>
      <c r="AA876" s="48"/>
      <c r="AB876" s="48">
        <v>50000000</v>
      </c>
      <c r="AC876" s="49">
        <f t="shared" si="115"/>
        <v>50000000</v>
      </c>
      <c r="AD876" s="50">
        <v>0</v>
      </c>
      <c r="AE876" s="47">
        <v>40137</v>
      </c>
      <c r="AF876" s="51" t="s">
        <v>1016</v>
      </c>
      <c r="AG876" s="52" t="s">
        <v>565</v>
      </c>
      <c r="AH876" s="53" t="s">
        <v>33</v>
      </c>
      <c r="AI876" s="79"/>
      <c r="AJ876" s="80"/>
      <c r="AK876" s="81"/>
      <c r="AL876" s="80"/>
      <c r="AM876" s="80"/>
      <c r="AN876" s="80"/>
      <c r="AO876" s="80"/>
      <c r="AP876" s="80"/>
      <c r="AQ876" s="80"/>
      <c r="AR876" s="80"/>
      <c r="AS876" s="80"/>
      <c r="AT876" s="80"/>
      <c r="AU876" s="80"/>
      <c r="AV876" s="80"/>
      <c r="AW876" s="80"/>
      <c r="AX876" s="80"/>
      <c r="AY876" s="80"/>
      <c r="AZ876" s="80"/>
      <c r="BA876" s="80"/>
      <c r="BB876" s="80"/>
      <c r="BC876" s="80"/>
      <c r="BD876" s="80"/>
      <c r="BE876" s="80"/>
      <c r="BF876" s="80"/>
      <c r="BG876" s="80"/>
      <c r="BH876" s="80"/>
      <c r="BI876" s="80"/>
      <c r="BJ876" s="80"/>
      <c r="BK876" s="80"/>
      <c r="BL876" s="80"/>
      <c r="BM876" s="80"/>
      <c r="BN876" s="80"/>
      <c r="BO876" s="80"/>
      <c r="BP876" s="80"/>
      <c r="BQ876" s="80"/>
      <c r="BR876" s="80"/>
      <c r="BS876" s="80"/>
      <c r="BT876" s="80"/>
      <c r="BU876" s="80"/>
      <c r="BV876" s="80"/>
      <c r="BW876" s="80"/>
      <c r="BX876" s="80"/>
      <c r="BY876" s="80"/>
      <c r="BZ876" s="80"/>
      <c r="CA876" s="80"/>
      <c r="CB876" s="80"/>
      <c r="CC876" s="80"/>
      <c r="CD876" s="80"/>
      <c r="CE876" s="80"/>
      <c r="CF876" s="80"/>
      <c r="CG876" s="80"/>
      <c r="CH876" s="80"/>
      <c r="CI876" s="80"/>
      <c r="CJ876" s="80"/>
      <c r="CK876" s="82"/>
      <c r="CL876" s="12"/>
      <c r="CM876" s="82"/>
      <c r="CN876" s="12"/>
      <c r="CO876" s="82"/>
      <c r="CP876" s="12"/>
      <c r="CQ876" s="83">
        <f t="shared" si="116"/>
        <v>0</v>
      </c>
      <c r="CR876" s="84"/>
      <c r="CS876" s="13"/>
      <c r="CT876" s="85"/>
      <c r="CU876" s="86"/>
      <c r="CV876" s="11"/>
      <c r="CW876" s="86"/>
      <c r="CX876" s="84"/>
      <c r="CY876" s="86"/>
    </row>
    <row r="877" spans="1:104" ht="25.5" x14ac:dyDescent="0.2">
      <c r="A877" s="43">
        <v>40088</v>
      </c>
      <c r="B877" s="44" t="s">
        <v>1127</v>
      </c>
      <c r="C877" s="44" t="s">
        <v>779</v>
      </c>
      <c r="D877" s="45" t="s">
        <v>1117</v>
      </c>
      <c r="E877" s="11"/>
      <c r="F877" s="12"/>
      <c r="G877" s="12"/>
      <c r="H877" s="12">
        <f>38*5</f>
        <v>190</v>
      </c>
      <c r="I877" s="12">
        <v>38</v>
      </c>
      <c r="J877" s="12"/>
      <c r="K877" s="12">
        <v>38</v>
      </c>
      <c r="L877" s="12"/>
      <c r="M877" s="12"/>
      <c r="N877" s="12"/>
      <c r="O877" s="12"/>
      <c r="P877" s="12"/>
      <c r="Q877" s="12"/>
      <c r="R877" s="12"/>
      <c r="S877" s="12"/>
      <c r="T877" s="13"/>
      <c r="U877" s="46"/>
      <c r="V877" s="47">
        <v>40156</v>
      </c>
      <c r="W877" s="48">
        <f t="shared" ref="W877:W885" si="117">CQ877</f>
        <v>0</v>
      </c>
      <c r="X877" s="48">
        <f t="shared" ref="X877:X885" si="118">CU877</f>
        <v>0</v>
      </c>
      <c r="Y877" s="48">
        <f t="shared" ref="Y877:Y885" si="119">CW877+CY877</f>
        <v>4360000</v>
      </c>
      <c r="Z877" s="48">
        <f t="shared" ref="Z877:Z885" si="120">CS877</f>
        <v>0</v>
      </c>
      <c r="AA877" s="48"/>
      <c r="AB877" s="48"/>
      <c r="AC877" s="49">
        <f t="shared" ref="AC877:AC885" si="121">W877+X877+Y877+Z877+AA877+AB877</f>
        <v>4360000</v>
      </c>
      <c r="AD877" s="50">
        <v>0</v>
      </c>
      <c r="AE877" s="47">
        <v>40099</v>
      </c>
      <c r="AF877" s="51" t="s">
        <v>1016</v>
      </c>
      <c r="AG877" s="52" t="s">
        <v>565</v>
      </c>
      <c r="AH877" s="53" t="s">
        <v>1281</v>
      </c>
      <c r="AI877" s="79"/>
      <c r="AJ877" s="80"/>
      <c r="AK877" s="81"/>
      <c r="AL877" s="80"/>
      <c r="AM877" s="80"/>
      <c r="AN877" s="80"/>
      <c r="AO877" s="80"/>
      <c r="AP877" s="80"/>
      <c r="AQ877" s="80"/>
      <c r="AR877" s="80"/>
      <c r="AS877" s="80"/>
      <c r="AT877" s="80"/>
      <c r="AU877" s="80"/>
      <c r="AV877" s="80"/>
      <c r="AW877" s="80"/>
      <c r="AX877" s="80"/>
      <c r="AY877" s="80"/>
      <c r="AZ877" s="80"/>
      <c r="BA877" s="80"/>
      <c r="BB877" s="80"/>
      <c r="BC877" s="80"/>
      <c r="BD877" s="80"/>
      <c r="BE877" s="80"/>
      <c r="BF877" s="80"/>
      <c r="BG877" s="80"/>
      <c r="BH877" s="80"/>
      <c r="BI877" s="80"/>
      <c r="BJ877" s="80"/>
      <c r="BK877" s="80"/>
      <c r="BL877" s="80"/>
      <c r="BM877" s="80"/>
      <c r="BN877" s="80"/>
      <c r="BO877" s="80"/>
      <c r="BP877" s="80"/>
      <c r="BQ877" s="80"/>
      <c r="BR877" s="80"/>
      <c r="BS877" s="80"/>
      <c r="BT877" s="80"/>
      <c r="BU877" s="80"/>
      <c r="BV877" s="80"/>
      <c r="BW877" s="80"/>
      <c r="BX877" s="80"/>
      <c r="BY877" s="80"/>
      <c r="BZ877" s="80"/>
      <c r="CA877" s="80"/>
      <c r="CB877" s="80"/>
      <c r="CC877" s="80"/>
      <c r="CD877" s="80"/>
      <c r="CE877" s="80"/>
      <c r="CF877" s="80"/>
      <c r="CG877" s="80"/>
      <c r="CH877" s="80"/>
      <c r="CI877" s="80"/>
      <c r="CJ877" s="80"/>
      <c r="CK877" s="82"/>
      <c r="CL877" s="12"/>
      <c r="CM877" s="82"/>
      <c r="CN877" s="12"/>
      <c r="CO877" s="82"/>
      <c r="CP877" s="12"/>
      <c r="CQ877" s="83">
        <f t="shared" si="116"/>
        <v>0</v>
      </c>
      <c r="CR877" s="84"/>
      <c r="CS877" s="13"/>
      <c r="CT877" s="85"/>
      <c r="CU877" s="86"/>
      <c r="CV877" s="11"/>
      <c r="CW877" s="86"/>
      <c r="CX877" s="84">
        <v>200</v>
      </c>
      <c r="CY877" s="86">
        <f>200*21000+800*200</f>
        <v>4360000</v>
      </c>
    </row>
    <row r="878" spans="1:104" ht="25.5" x14ac:dyDescent="0.2">
      <c r="A878" s="43">
        <v>40088</v>
      </c>
      <c r="B878" s="44" t="s">
        <v>1127</v>
      </c>
      <c r="C878" s="44" t="s">
        <v>311</v>
      </c>
      <c r="D878" s="45" t="s">
        <v>1117</v>
      </c>
      <c r="E878" s="11"/>
      <c r="F878" s="12"/>
      <c r="G878" s="12"/>
      <c r="H878" s="12">
        <f>41*5</f>
        <v>205</v>
      </c>
      <c r="I878" s="12">
        <v>41</v>
      </c>
      <c r="J878" s="12"/>
      <c r="K878" s="12">
        <v>41</v>
      </c>
      <c r="L878" s="12"/>
      <c r="M878" s="12"/>
      <c r="N878" s="12"/>
      <c r="O878" s="12"/>
      <c r="P878" s="12"/>
      <c r="Q878" s="12"/>
      <c r="R878" s="12"/>
      <c r="S878" s="12"/>
      <c r="T878" s="13"/>
      <c r="U878" s="46"/>
      <c r="V878" s="47">
        <v>40156</v>
      </c>
      <c r="W878" s="48">
        <f t="shared" si="117"/>
        <v>0</v>
      </c>
      <c r="X878" s="48">
        <f t="shared" si="118"/>
        <v>0</v>
      </c>
      <c r="Y878" s="48">
        <f t="shared" si="119"/>
        <v>4360000</v>
      </c>
      <c r="Z878" s="48">
        <f t="shared" si="120"/>
        <v>0</v>
      </c>
      <c r="AA878" s="48"/>
      <c r="AB878" s="48"/>
      <c r="AC878" s="49">
        <f t="shared" si="121"/>
        <v>4360000</v>
      </c>
      <c r="AD878" s="50">
        <v>0</v>
      </c>
      <c r="AE878" s="47">
        <v>40099</v>
      </c>
      <c r="AF878" s="51" t="s">
        <v>1016</v>
      </c>
      <c r="AG878" s="52" t="s">
        <v>565</v>
      </c>
      <c r="AH878" s="53" t="s">
        <v>1281</v>
      </c>
      <c r="AI878" s="79"/>
      <c r="AJ878" s="80"/>
      <c r="AK878" s="81"/>
      <c r="AL878" s="80"/>
      <c r="AM878" s="80"/>
      <c r="AN878" s="80"/>
      <c r="AO878" s="80"/>
      <c r="AP878" s="80"/>
      <c r="AQ878" s="80"/>
      <c r="AR878" s="80"/>
      <c r="AS878" s="80"/>
      <c r="AT878" s="80"/>
      <c r="AU878" s="80"/>
      <c r="AV878" s="80"/>
      <c r="AW878" s="80"/>
      <c r="AX878" s="80"/>
      <c r="AY878" s="80"/>
      <c r="AZ878" s="80"/>
      <c r="BA878" s="80"/>
      <c r="BB878" s="80"/>
      <c r="BC878" s="80"/>
      <c r="BD878" s="80"/>
      <c r="BE878" s="80"/>
      <c r="BF878" s="80"/>
      <c r="BG878" s="80"/>
      <c r="BH878" s="80"/>
      <c r="BI878" s="80"/>
      <c r="BJ878" s="80"/>
      <c r="BK878" s="80"/>
      <c r="BL878" s="80"/>
      <c r="BM878" s="80"/>
      <c r="BN878" s="80"/>
      <c r="BO878" s="80"/>
      <c r="BP878" s="80"/>
      <c r="BQ878" s="80"/>
      <c r="BR878" s="80"/>
      <c r="BS878" s="80"/>
      <c r="BT878" s="80"/>
      <c r="BU878" s="80"/>
      <c r="BV878" s="80"/>
      <c r="BW878" s="80"/>
      <c r="BX878" s="80"/>
      <c r="BY878" s="80"/>
      <c r="BZ878" s="80"/>
      <c r="CA878" s="80"/>
      <c r="CB878" s="80"/>
      <c r="CC878" s="80"/>
      <c r="CD878" s="80"/>
      <c r="CE878" s="80"/>
      <c r="CF878" s="80"/>
      <c r="CG878" s="80"/>
      <c r="CH878" s="80"/>
      <c r="CI878" s="80"/>
      <c r="CJ878" s="80"/>
      <c r="CK878" s="82"/>
      <c r="CL878" s="12"/>
      <c r="CM878" s="82"/>
      <c r="CN878" s="12"/>
      <c r="CO878" s="82"/>
      <c r="CP878" s="12"/>
      <c r="CQ878" s="83">
        <f>AJ878+AL878+AN878+AP878+AR878+AT878+AV878+AX878+AZ878+BB878+BD878+BF878+BH878+BJ878+BL878+BN878+BP878+BR878+BT878+BV878+BX878+BZ878+CB878+CD878+CF878+CH878+CJ878+CL878+CN878+CP878</f>
        <v>0</v>
      </c>
      <c r="CR878" s="84"/>
      <c r="CS878" s="13"/>
      <c r="CT878" s="85"/>
      <c r="CU878" s="86"/>
      <c r="CV878" s="11"/>
      <c r="CW878" s="86"/>
      <c r="CX878" s="84">
        <v>200</v>
      </c>
      <c r="CY878" s="86">
        <f>200*21000+800*200</f>
        <v>4360000</v>
      </c>
    </row>
    <row r="879" spans="1:104" ht="25.5" x14ac:dyDescent="0.2">
      <c r="A879" s="43">
        <v>40088</v>
      </c>
      <c r="B879" s="44" t="s">
        <v>632</v>
      </c>
      <c r="C879" s="44" t="s">
        <v>78</v>
      </c>
      <c r="D879" s="45" t="s">
        <v>1117</v>
      </c>
      <c r="E879" s="11"/>
      <c r="F879" s="12"/>
      <c r="G879" s="12"/>
      <c r="H879" s="12">
        <v>80</v>
      </c>
      <c r="I879" s="12">
        <v>16</v>
      </c>
      <c r="J879" s="12"/>
      <c r="K879" s="12">
        <v>16</v>
      </c>
      <c r="L879" s="12"/>
      <c r="M879" s="12"/>
      <c r="N879" s="12"/>
      <c r="O879" s="12"/>
      <c r="P879" s="12"/>
      <c r="Q879" s="12"/>
      <c r="R879" s="12"/>
      <c r="S879" s="12"/>
      <c r="T879" s="13"/>
      <c r="U879" s="46"/>
      <c r="V879" s="47"/>
      <c r="W879" s="48">
        <f t="shared" si="117"/>
        <v>0</v>
      </c>
      <c r="X879" s="48">
        <f t="shared" si="118"/>
        <v>0</v>
      </c>
      <c r="Y879" s="48">
        <f t="shared" si="119"/>
        <v>0</v>
      </c>
      <c r="Z879" s="48">
        <f t="shared" si="120"/>
        <v>0</v>
      </c>
      <c r="AA879" s="48"/>
      <c r="AB879" s="48"/>
      <c r="AC879" s="49">
        <f t="shared" si="121"/>
        <v>0</v>
      </c>
      <c r="AD879" s="50">
        <v>0</v>
      </c>
      <c r="AE879" s="47">
        <v>40093</v>
      </c>
      <c r="AF879" s="51" t="s">
        <v>516</v>
      </c>
      <c r="AG879" s="52" t="s">
        <v>517</v>
      </c>
      <c r="AH879" s="53" t="s">
        <v>313</v>
      </c>
      <c r="AI879" s="79"/>
      <c r="AJ879" s="80"/>
      <c r="AK879" s="81"/>
      <c r="AL879" s="80"/>
      <c r="AM879" s="80"/>
      <c r="AN879" s="80"/>
      <c r="AO879" s="80"/>
      <c r="AP879" s="80"/>
      <c r="AQ879" s="80"/>
      <c r="AR879" s="80"/>
      <c r="AS879" s="80"/>
      <c r="AT879" s="80"/>
      <c r="AU879" s="80"/>
      <c r="AV879" s="80"/>
      <c r="AW879" s="80"/>
      <c r="AX879" s="80"/>
      <c r="AY879" s="80"/>
      <c r="AZ879" s="80"/>
      <c r="BA879" s="80"/>
      <c r="BB879" s="80"/>
      <c r="BC879" s="80"/>
      <c r="BD879" s="80"/>
      <c r="BE879" s="80"/>
      <c r="BF879" s="80"/>
      <c r="BG879" s="80"/>
      <c r="BH879" s="80"/>
      <c r="BI879" s="80"/>
      <c r="BJ879" s="80"/>
      <c r="BK879" s="80"/>
      <c r="BL879" s="80"/>
      <c r="BM879" s="80"/>
      <c r="BN879" s="80"/>
      <c r="BO879" s="80"/>
      <c r="BP879" s="80"/>
      <c r="BQ879" s="80"/>
      <c r="BR879" s="80"/>
      <c r="BS879" s="80"/>
      <c r="BT879" s="80"/>
      <c r="BU879" s="80"/>
      <c r="BV879" s="80"/>
      <c r="BW879" s="80"/>
      <c r="BX879" s="80"/>
      <c r="BY879" s="80"/>
      <c r="BZ879" s="80"/>
      <c r="CA879" s="80"/>
      <c r="CB879" s="80"/>
      <c r="CC879" s="80"/>
      <c r="CD879" s="80"/>
      <c r="CE879" s="80"/>
      <c r="CF879" s="80"/>
      <c r="CG879" s="80"/>
      <c r="CH879" s="80"/>
      <c r="CI879" s="80"/>
      <c r="CJ879" s="80"/>
      <c r="CK879" s="82"/>
      <c r="CL879" s="12"/>
      <c r="CM879" s="82"/>
      <c r="CN879" s="12"/>
      <c r="CO879" s="82"/>
      <c r="CP879" s="12"/>
      <c r="CQ879" s="83">
        <f>AJ879+AL879+AN879+AP879+AR879+AT879+AV879+AX879+AZ879+BB879+BD879+BF879+BH879+BJ879+BL879+BN879+BP879+BR879+BT879+BV879+BX879+BZ879+CB879+CD879+CF879+CH879+CJ879+CL879+CN879+CP879</f>
        <v>0</v>
      </c>
      <c r="CR879" s="84"/>
      <c r="CS879" s="13"/>
      <c r="CT879" s="85"/>
      <c r="CU879" s="86"/>
      <c r="CV879" s="11"/>
      <c r="CW879" s="86"/>
      <c r="CX879" s="84"/>
      <c r="CY879" s="86"/>
    </row>
    <row r="880" spans="1:104" ht="38.25" x14ac:dyDescent="0.2">
      <c r="A880" s="43">
        <v>40088</v>
      </c>
      <c r="B880" s="44" t="s">
        <v>481</v>
      </c>
      <c r="C880" s="44" t="s">
        <v>190</v>
      </c>
      <c r="D880" s="45" t="s">
        <v>1116</v>
      </c>
      <c r="E880" s="11"/>
      <c r="F880" s="12"/>
      <c r="G880" s="12"/>
      <c r="H880" s="12">
        <v>15</v>
      </c>
      <c r="I880" s="12">
        <v>3</v>
      </c>
      <c r="J880" s="12">
        <v>2</v>
      </c>
      <c r="K880" s="12">
        <v>1</v>
      </c>
      <c r="L880" s="12"/>
      <c r="M880" s="12"/>
      <c r="N880" s="12"/>
      <c r="O880" s="12"/>
      <c r="P880" s="12"/>
      <c r="Q880" s="12"/>
      <c r="R880" s="12">
        <v>2</v>
      </c>
      <c r="S880" s="12">
        <v>1</v>
      </c>
      <c r="T880" s="13"/>
      <c r="U880" s="46"/>
      <c r="V880" s="47"/>
      <c r="W880" s="48">
        <f t="shared" si="117"/>
        <v>0</v>
      </c>
      <c r="X880" s="48">
        <f t="shared" si="118"/>
        <v>0</v>
      </c>
      <c r="Y880" s="48">
        <f t="shared" si="119"/>
        <v>0</v>
      </c>
      <c r="Z880" s="48">
        <f t="shared" si="120"/>
        <v>0</v>
      </c>
      <c r="AA880" s="48"/>
      <c r="AB880" s="48"/>
      <c r="AC880" s="49">
        <f t="shared" si="121"/>
        <v>0</v>
      </c>
      <c r="AD880" s="50">
        <v>0</v>
      </c>
      <c r="AE880" s="47">
        <v>40093</v>
      </c>
      <c r="AF880" s="51" t="s">
        <v>516</v>
      </c>
      <c r="AG880" s="52" t="s">
        <v>517</v>
      </c>
      <c r="AH880" s="53" t="s">
        <v>313</v>
      </c>
      <c r="AI880" s="79"/>
      <c r="AJ880" s="80"/>
      <c r="AK880" s="81"/>
      <c r="AL880" s="80"/>
      <c r="AM880" s="80"/>
      <c r="AN880" s="80"/>
      <c r="AO880" s="80"/>
      <c r="AP880" s="80"/>
      <c r="AQ880" s="80"/>
      <c r="AR880" s="80"/>
      <c r="AS880" s="80"/>
      <c r="AT880" s="80"/>
      <c r="AU880" s="80"/>
      <c r="AV880" s="80"/>
      <c r="AW880" s="80"/>
      <c r="AX880" s="80"/>
      <c r="AY880" s="80"/>
      <c r="AZ880" s="80"/>
      <c r="BA880" s="80"/>
      <c r="BB880" s="80"/>
      <c r="BC880" s="80"/>
      <c r="BD880" s="80"/>
      <c r="BE880" s="80"/>
      <c r="BF880" s="80"/>
      <c r="BG880" s="80"/>
      <c r="BH880" s="80"/>
      <c r="BI880" s="80"/>
      <c r="BJ880" s="80"/>
      <c r="BK880" s="80"/>
      <c r="BL880" s="80"/>
      <c r="BM880" s="80"/>
      <c r="BN880" s="80"/>
      <c r="BO880" s="80"/>
      <c r="BP880" s="80"/>
      <c r="BQ880" s="80"/>
      <c r="BR880" s="80"/>
      <c r="BS880" s="80"/>
      <c r="BT880" s="80"/>
      <c r="BU880" s="80"/>
      <c r="BV880" s="80"/>
      <c r="BW880" s="80"/>
      <c r="BX880" s="80"/>
      <c r="BY880" s="80"/>
      <c r="BZ880" s="80"/>
      <c r="CA880" s="80"/>
      <c r="CB880" s="80"/>
      <c r="CC880" s="80"/>
      <c r="CD880" s="80"/>
      <c r="CE880" s="80"/>
      <c r="CF880" s="80"/>
      <c r="CG880" s="80"/>
      <c r="CH880" s="80"/>
      <c r="CI880" s="80"/>
      <c r="CJ880" s="80"/>
      <c r="CK880" s="82"/>
      <c r="CL880" s="12"/>
      <c r="CM880" s="82"/>
      <c r="CN880" s="12"/>
      <c r="CO880" s="82"/>
      <c r="CP880" s="12"/>
      <c r="CQ880" s="83">
        <f>AJ880+AL880+AN880+AP880+AR880+AT880+AV880+AX880+AZ880+BB880+BD880+BF880+BH880+BJ880+BL880+BN880+BP880+BR880+BT880+BV880+BX880+BZ880+CB880+CD880+CF880+CH880+CJ880+CL880+CN880+CP880</f>
        <v>0</v>
      </c>
      <c r="CR880" s="84"/>
      <c r="CS880" s="13"/>
      <c r="CT880" s="85"/>
      <c r="CU880" s="86"/>
      <c r="CV880" s="11"/>
      <c r="CW880" s="86"/>
      <c r="CX880" s="84"/>
      <c r="CY880" s="86"/>
    </row>
    <row r="881" spans="1:104" ht="12.75" x14ac:dyDescent="0.2">
      <c r="A881" s="43">
        <v>40088</v>
      </c>
      <c r="B881" s="44" t="s">
        <v>413</v>
      </c>
      <c r="C881" s="44" t="s">
        <v>1251</v>
      </c>
      <c r="D881" s="45" t="s">
        <v>1117</v>
      </c>
      <c r="E881" s="11"/>
      <c r="F881" s="12"/>
      <c r="G881" s="12"/>
      <c r="H881" s="12">
        <f>50*5</f>
        <v>250</v>
      </c>
      <c r="I881" s="12">
        <v>50</v>
      </c>
      <c r="J881" s="12"/>
      <c r="K881" s="12">
        <v>50</v>
      </c>
      <c r="L881" s="12"/>
      <c r="M881" s="12"/>
      <c r="N881" s="12"/>
      <c r="O881" s="12"/>
      <c r="P881" s="12"/>
      <c r="Q881" s="12"/>
      <c r="R881" s="12"/>
      <c r="S881" s="12"/>
      <c r="T881" s="13"/>
      <c r="U881" s="46"/>
      <c r="V881" s="47"/>
      <c r="W881" s="48">
        <f t="shared" si="117"/>
        <v>0</v>
      </c>
      <c r="X881" s="48">
        <f t="shared" si="118"/>
        <v>0</v>
      </c>
      <c r="Y881" s="48">
        <f t="shared" si="119"/>
        <v>0</v>
      </c>
      <c r="Z881" s="48">
        <f t="shared" si="120"/>
        <v>0</v>
      </c>
      <c r="AA881" s="48"/>
      <c r="AB881" s="48"/>
      <c r="AC881" s="49">
        <f t="shared" si="121"/>
        <v>0</v>
      </c>
      <c r="AD881" s="50">
        <v>0</v>
      </c>
      <c r="AE881" s="47">
        <v>40112</v>
      </c>
      <c r="AF881" s="51" t="s">
        <v>1016</v>
      </c>
      <c r="AG881" s="52" t="s">
        <v>565</v>
      </c>
      <c r="AH881" s="53"/>
      <c r="AI881" s="79"/>
      <c r="AJ881" s="80"/>
      <c r="AK881" s="81"/>
      <c r="AL881" s="80"/>
      <c r="AM881" s="80"/>
      <c r="AN881" s="80"/>
      <c r="AO881" s="80"/>
      <c r="AP881" s="80"/>
      <c r="AQ881" s="80"/>
      <c r="AR881" s="80"/>
      <c r="AS881" s="80"/>
      <c r="AT881" s="80"/>
      <c r="AU881" s="80"/>
      <c r="AV881" s="80"/>
      <c r="AW881" s="80"/>
      <c r="AX881" s="80"/>
      <c r="AY881" s="80"/>
      <c r="AZ881" s="80"/>
      <c r="BA881" s="80"/>
      <c r="BB881" s="80"/>
      <c r="BC881" s="80"/>
      <c r="BD881" s="80"/>
      <c r="BE881" s="80"/>
      <c r="BF881" s="80"/>
      <c r="BG881" s="80"/>
      <c r="BH881" s="80"/>
      <c r="BI881" s="80"/>
      <c r="BJ881" s="80"/>
      <c r="BK881" s="80"/>
      <c r="BL881" s="80"/>
      <c r="BM881" s="80"/>
      <c r="BN881" s="80"/>
      <c r="BO881" s="80"/>
      <c r="BP881" s="80"/>
      <c r="BQ881" s="80"/>
      <c r="BR881" s="80"/>
      <c r="BS881" s="80"/>
      <c r="BT881" s="80"/>
      <c r="BU881" s="80"/>
      <c r="BV881" s="80"/>
      <c r="BW881" s="80"/>
      <c r="BX881" s="80"/>
      <c r="BY881" s="80"/>
      <c r="BZ881" s="80"/>
      <c r="CA881" s="80"/>
      <c r="CB881" s="80"/>
      <c r="CC881" s="80"/>
      <c r="CD881" s="80"/>
      <c r="CE881" s="80"/>
      <c r="CF881" s="80"/>
      <c r="CG881" s="80"/>
      <c r="CH881" s="80"/>
      <c r="CI881" s="80"/>
      <c r="CJ881" s="80"/>
      <c r="CK881" s="82"/>
      <c r="CL881" s="12"/>
      <c r="CM881" s="82"/>
      <c r="CN881" s="12"/>
      <c r="CO881" s="82"/>
      <c r="CP881" s="12"/>
      <c r="CQ881" s="83">
        <f>AJ881+AL881+AN881+AP881+AR881+AT881+AV881+AX881+AZ881+BB881+BD881+BF881+BH881+BJ881+BL881+BN881+BP881+BR881+BT881+BV881+BX881+BZ881+CB881+CD881+CF881+CH881+CJ881+CL881+CN881+CP881</f>
        <v>0</v>
      </c>
      <c r="CR881" s="84"/>
      <c r="CS881" s="13"/>
      <c r="CT881" s="85"/>
      <c r="CU881" s="86"/>
      <c r="CV881" s="11"/>
      <c r="CW881" s="86"/>
      <c r="CX881" s="84"/>
      <c r="CY881" s="86"/>
    </row>
    <row r="882" spans="1:104" ht="12.75" x14ac:dyDescent="0.2">
      <c r="A882" s="43">
        <v>40088</v>
      </c>
      <c r="B882" s="44" t="s">
        <v>481</v>
      </c>
      <c r="C882" s="44" t="s">
        <v>1416</v>
      </c>
      <c r="D882" s="45" t="s">
        <v>1117</v>
      </c>
      <c r="E882" s="11"/>
      <c r="F882" s="12"/>
      <c r="G882" s="12"/>
      <c r="H882" s="12">
        <f>34*5</f>
        <v>170</v>
      </c>
      <c r="I882" s="12">
        <v>34</v>
      </c>
      <c r="J882" s="12"/>
      <c r="K882" s="12">
        <v>34</v>
      </c>
      <c r="L882" s="12"/>
      <c r="M882" s="12"/>
      <c r="N882" s="12"/>
      <c r="O882" s="12"/>
      <c r="P882" s="12"/>
      <c r="Q882" s="12"/>
      <c r="R882" s="12"/>
      <c r="S882" s="12">
        <v>1</v>
      </c>
      <c r="T882" s="13"/>
      <c r="U882" s="46"/>
      <c r="V882" s="47">
        <v>40156</v>
      </c>
      <c r="W882" s="48">
        <f t="shared" si="117"/>
        <v>0</v>
      </c>
      <c r="X882" s="48">
        <f t="shared" si="118"/>
        <v>0</v>
      </c>
      <c r="Y882" s="48">
        <f t="shared" si="119"/>
        <v>13581000</v>
      </c>
      <c r="Z882" s="48">
        <f t="shared" si="120"/>
        <v>0</v>
      </c>
      <c r="AA882" s="48"/>
      <c r="AB882" s="48"/>
      <c r="AC882" s="49">
        <f t="shared" si="121"/>
        <v>13581000</v>
      </c>
      <c r="AD882" s="50">
        <v>0</v>
      </c>
      <c r="AE882" s="47">
        <v>40109</v>
      </c>
      <c r="AF882" s="51" t="s">
        <v>1016</v>
      </c>
      <c r="AG882" s="52" t="s">
        <v>565</v>
      </c>
      <c r="AH882" s="53" t="s">
        <v>317</v>
      </c>
      <c r="AI882" s="79"/>
      <c r="AJ882" s="80"/>
      <c r="AK882" s="81"/>
      <c r="AL882" s="80"/>
      <c r="AM882" s="80"/>
      <c r="AN882" s="80"/>
      <c r="AO882" s="80"/>
      <c r="AP882" s="80"/>
      <c r="AQ882" s="80"/>
      <c r="AR882" s="80"/>
      <c r="AS882" s="80"/>
      <c r="AT882" s="80"/>
      <c r="AU882" s="80"/>
      <c r="AV882" s="80"/>
      <c r="AW882" s="80"/>
      <c r="AX882" s="80"/>
      <c r="AY882" s="80"/>
      <c r="AZ882" s="80"/>
      <c r="BA882" s="80"/>
      <c r="BB882" s="80"/>
      <c r="BC882" s="80"/>
      <c r="BD882" s="80"/>
      <c r="BE882" s="80"/>
      <c r="BF882" s="80"/>
      <c r="BG882" s="80"/>
      <c r="BH882" s="80"/>
      <c r="BI882" s="80"/>
      <c r="BJ882" s="80"/>
      <c r="BK882" s="80"/>
      <c r="BL882" s="80"/>
      <c r="BM882" s="80"/>
      <c r="BN882" s="80"/>
      <c r="BO882" s="80"/>
      <c r="BP882" s="80"/>
      <c r="BQ882" s="80"/>
      <c r="BR882" s="80"/>
      <c r="BS882" s="80"/>
      <c r="BT882" s="80"/>
      <c r="BU882" s="80"/>
      <c r="BV882" s="80"/>
      <c r="BW882" s="80"/>
      <c r="BX882" s="80"/>
      <c r="BY882" s="80"/>
      <c r="BZ882" s="80"/>
      <c r="CA882" s="80"/>
      <c r="CB882" s="80"/>
      <c r="CC882" s="80"/>
      <c r="CD882" s="80"/>
      <c r="CE882" s="80"/>
      <c r="CF882" s="80"/>
      <c r="CG882" s="80"/>
      <c r="CH882" s="80"/>
      <c r="CI882" s="80"/>
      <c r="CJ882" s="80"/>
      <c r="CK882" s="82"/>
      <c r="CL882" s="12"/>
      <c r="CM882" s="82"/>
      <c r="CN882" s="12"/>
      <c r="CO882" s="82"/>
      <c r="CP882" s="12"/>
      <c r="CQ882" s="83">
        <f t="shared" si="116"/>
        <v>0</v>
      </c>
      <c r="CR882" s="84"/>
      <c r="CS882" s="13"/>
      <c r="CT882" s="85"/>
      <c r="CU882" s="86"/>
      <c r="CV882" s="11"/>
      <c r="CW882" s="86"/>
      <c r="CX882" s="84">
        <f>351+217</f>
        <v>568</v>
      </c>
      <c r="CY882" s="86">
        <f>351*22000+217*27000</f>
        <v>13581000</v>
      </c>
    </row>
    <row r="883" spans="1:104" ht="25.5" x14ac:dyDescent="0.2">
      <c r="A883" s="43">
        <v>40088</v>
      </c>
      <c r="B883" s="44" t="s">
        <v>300</v>
      </c>
      <c r="C883" s="44" t="s">
        <v>464</v>
      </c>
      <c r="D883" s="45" t="s">
        <v>1117</v>
      </c>
      <c r="E883" s="11"/>
      <c r="F883" s="12"/>
      <c r="G883" s="12"/>
      <c r="H883" s="12">
        <v>142</v>
      </c>
      <c r="I883" s="12">
        <v>28</v>
      </c>
      <c r="J883" s="12"/>
      <c r="K883" s="12">
        <v>28</v>
      </c>
      <c r="L883" s="12"/>
      <c r="M883" s="12"/>
      <c r="N883" s="12"/>
      <c r="O883" s="12"/>
      <c r="P883" s="12"/>
      <c r="Q883" s="12"/>
      <c r="R883" s="12"/>
      <c r="S883" s="12"/>
      <c r="T883" s="13"/>
      <c r="U883" s="46"/>
      <c r="V883" s="47">
        <v>40193</v>
      </c>
      <c r="W883" s="48">
        <f t="shared" si="117"/>
        <v>0</v>
      </c>
      <c r="X883" s="48">
        <f t="shared" si="118"/>
        <v>37400000</v>
      </c>
      <c r="Y883" s="48">
        <f t="shared" si="119"/>
        <v>0</v>
      </c>
      <c r="Z883" s="48">
        <f t="shared" si="120"/>
        <v>0</v>
      </c>
      <c r="AA883" s="48"/>
      <c r="AB883" s="48"/>
      <c r="AC883" s="49">
        <f t="shared" si="121"/>
        <v>37400000</v>
      </c>
      <c r="AD883" s="50">
        <v>0</v>
      </c>
      <c r="AE883" s="47">
        <v>40123</v>
      </c>
      <c r="AF883" s="51" t="s">
        <v>1016</v>
      </c>
      <c r="AG883" s="52" t="s">
        <v>565</v>
      </c>
      <c r="AH883" s="53" t="s">
        <v>969</v>
      </c>
      <c r="AI883" s="79"/>
      <c r="AJ883" s="80"/>
      <c r="AK883" s="81"/>
      <c r="AL883" s="80"/>
      <c r="AM883" s="80"/>
      <c r="AN883" s="80"/>
      <c r="AO883" s="80"/>
      <c r="AP883" s="80"/>
      <c r="AQ883" s="80"/>
      <c r="AR883" s="80"/>
      <c r="AS883" s="80"/>
      <c r="AT883" s="80"/>
      <c r="AU883" s="80"/>
      <c r="AV883" s="80"/>
      <c r="AW883" s="80"/>
      <c r="AX883" s="80"/>
      <c r="AY883" s="80"/>
      <c r="AZ883" s="80"/>
      <c r="BA883" s="80"/>
      <c r="BB883" s="80"/>
      <c r="BC883" s="80"/>
      <c r="BD883" s="80"/>
      <c r="BE883" s="80"/>
      <c r="BF883" s="80"/>
      <c r="BG883" s="80"/>
      <c r="BH883" s="80"/>
      <c r="BI883" s="80"/>
      <c r="BJ883" s="80"/>
      <c r="BK883" s="80"/>
      <c r="BL883" s="80"/>
      <c r="BM883" s="80"/>
      <c r="BN883" s="80"/>
      <c r="BO883" s="80"/>
      <c r="BP883" s="80"/>
      <c r="BQ883" s="80"/>
      <c r="BR883" s="80"/>
      <c r="BS883" s="80"/>
      <c r="BT883" s="80"/>
      <c r="BU883" s="80"/>
      <c r="BV883" s="80"/>
      <c r="BW883" s="80"/>
      <c r="BX883" s="80"/>
      <c r="BY883" s="80"/>
      <c r="BZ883" s="80"/>
      <c r="CA883" s="80"/>
      <c r="CB883" s="80"/>
      <c r="CC883" s="80"/>
      <c r="CD883" s="80"/>
      <c r="CE883" s="80"/>
      <c r="CF883" s="80"/>
      <c r="CG883" s="80"/>
      <c r="CH883" s="80"/>
      <c r="CI883" s="80"/>
      <c r="CJ883" s="80"/>
      <c r="CK883" s="82"/>
      <c r="CL883" s="12"/>
      <c r="CM883" s="82"/>
      <c r="CN883" s="12"/>
      <c r="CO883" s="82"/>
      <c r="CP883" s="12"/>
      <c r="CQ883" s="83">
        <f t="shared" ref="CQ883:CQ905" si="122">AJ883+AL883+AN883+AP883+AR883+AT883+AV883+AX883+AZ883+BB883+BD883+BF883+BH883+BJ883+BL883+BN883+BP883+BR883+BT883+BV883+BX883+BZ883+CB883+CD883+CF883+CH883+CJ883+CL883+CN883+CP883</f>
        <v>0</v>
      </c>
      <c r="CR883" s="84"/>
      <c r="CS883" s="13"/>
      <c r="CT883" s="85">
        <v>440</v>
      </c>
      <c r="CU883" s="86">
        <f>440*85000</f>
        <v>37400000</v>
      </c>
      <c r="CV883" s="11"/>
      <c r="CW883" s="86"/>
      <c r="CX883" s="84"/>
      <c r="CY883" s="86"/>
    </row>
    <row r="884" spans="1:104" ht="25.5" x14ac:dyDescent="0.2">
      <c r="A884" s="43">
        <v>40088</v>
      </c>
      <c r="B884" s="44" t="s">
        <v>1224</v>
      </c>
      <c r="C884" s="44" t="s">
        <v>325</v>
      </c>
      <c r="D884" s="45" t="s">
        <v>1117</v>
      </c>
      <c r="E884" s="11"/>
      <c r="F884" s="12"/>
      <c r="G884" s="12"/>
      <c r="H884" s="12"/>
      <c r="I884" s="12"/>
      <c r="J884" s="12"/>
      <c r="K884" s="12"/>
      <c r="L884" s="12"/>
      <c r="M884" s="12"/>
      <c r="N884" s="12"/>
      <c r="O884" s="12"/>
      <c r="P884" s="12"/>
      <c r="Q884" s="12"/>
      <c r="R884" s="12"/>
      <c r="S884" s="12">
        <v>2</v>
      </c>
      <c r="T884" s="13"/>
      <c r="U884" s="46"/>
      <c r="V884" s="47"/>
      <c r="W884" s="48">
        <f t="shared" si="117"/>
        <v>0</v>
      </c>
      <c r="X884" s="48">
        <f t="shared" si="118"/>
        <v>0</v>
      </c>
      <c r="Y884" s="48">
        <f t="shared" si="119"/>
        <v>0</v>
      </c>
      <c r="Z884" s="48">
        <f t="shared" si="120"/>
        <v>0</v>
      </c>
      <c r="AA884" s="48"/>
      <c r="AB884" s="48"/>
      <c r="AC884" s="49">
        <f t="shared" si="121"/>
        <v>0</v>
      </c>
      <c r="AD884" s="50">
        <v>0</v>
      </c>
      <c r="AE884" s="47">
        <v>40129</v>
      </c>
      <c r="AF884" s="51" t="s">
        <v>1016</v>
      </c>
      <c r="AG884" s="52" t="s">
        <v>517</v>
      </c>
      <c r="AH884" s="54" t="s">
        <v>1034</v>
      </c>
      <c r="AI884" s="79"/>
      <c r="AJ884" s="80"/>
      <c r="AK884" s="81"/>
      <c r="AL884" s="80"/>
      <c r="AM884" s="80"/>
      <c r="AN884" s="80"/>
      <c r="AO884" s="80"/>
      <c r="AP884" s="80"/>
      <c r="AQ884" s="80"/>
      <c r="AR884" s="80"/>
      <c r="AS884" s="80"/>
      <c r="AT884" s="80"/>
      <c r="AU884" s="80"/>
      <c r="AV884" s="80"/>
      <c r="AW884" s="80"/>
      <c r="AX884" s="80"/>
      <c r="AY884" s="80"/>
      <c r="AZ884" s="80"/>
      <c r="BA884" s="80"/>
      <c r="BB884" s="80"/>
      <c r="BC884" s="80"/>
      <c r="BD884" s="80"/>
      <c r="BE884" s="80"/>
      <c r="BF884" s="80"/>
      <c r="BG884" s="80"/>
      <c r="BH884" s="80"/>
      <c r="BI884" s="80"/>
      <c r="BJ884" s="80"/>
      <c r="BK884" s="80"/>
      <c r="BL884" s="80"/>
      <c r="BM884" s="80"/>
      <c r="BN884" s="80"/>
      <c r="BO884" s="80"/>
      <c r="BP884" s="80"/>
      <c r="BQ884" s="80"/>
      <c r="BR884" s="80"/>
      <c r="BS884" s="80"/>
      <c r="BT884" s="80"/>
      <c r="BU884" s="80"/>
      <c r="BV884" s="80"/>
      <c r="BW884" s="80"/>
      <c r="BX884" s="80"/>
      <c r="BY884" s="80"/>
      <c r="BZ884" s="80"/>
      <c r="CA884" s="80"/>
      <c r="CB884" s="80"/>
      <c r="CC884" s="80"/>
      <c r="CD884" s="80"/>
      <c r="CE884" s="80"/>
      <c r="CF884" s="80"/>
      <c r="CG884" s="80"/>
      <c r="CH884" s="80"/>
      <c r="CI884" s="80"/>
      <c r="CJ884" s="80"/>
      <c r="CK884" s="82"/>
      <c r="CL884" s="12"/>
      <c r="CM884" s="82"/>
      <c r="CN884" s="12"/>
      <c r="CO884" s="82"/>
      <c r="CP884" s="12"/>
      <c r="CQ884" s="83">
        <f t="shared" si="122"/>
        <v>0</v>
      </c>
      <c r="CR884" s="84"/>
      <c r="CS884" s="13"/>
      <c r="CT884" s="85"/>
      <c r="CU884" s="86"/>
      <c r="CV884" s="11"/>
      <c r="CW884" s="86"/>
      <c r="CX884" s="84"/>
      <c r="CY884" s="86"/>
    </row>
    <row r="885" spans="1:104" ht="51" x14ac:dyDescent="0.2">
      <c r="A885" s="43">
        <v>40088</v>
      </c>
      <c r="B885" s="44" t="s">
        <v>413</v>
      </c>
      <c r="C885" s="44" t="s">
        <v>1454</v>
      </c>
      <c r="D885" s="45" t="s">
        <v>1118</v>
      </c>
      <c r="E885" s="11"/>
      <c r="F885" s="12"/>
      <c r="G885" s="12"/>
      <c r="H885" s="12"/>
      <c r="I885" s="12"/>
      <c r="J885" s="12"/>
      <c r="K885" s="12"/>
      <c r="L885" s="12"/>
      <c r="M885" s="12"/>
      <c r="N885" s="12"/>
      <c r="O885" s="12"/>
      <c r="P885" s="12"/>
      <c r="Q885" s="12"/>
      <c r="R885" s="12"/>
      <c r="S885" s="12"/>
      <c r="T885" s="13"/>
      <c r="U885" s="46"/>
      <c r="V885" s="47">
        <v>40156</v>
      </c>
      <c r="W885" s="48">
        <f t="shared" si="117"/>
        <v>36476000</v>
      </c>
      <c r="X885" s="48">
        <f t="shared" si="118"/>
        <v>85000000</v>
      </c>
      <c r="Y885" s="48">
        <f t="shared" si="119"/>
        <v>23820000</v>
      </c>
      <c r="Z885" s="48">
        <f t="shared" si="120"/>
        <v>0</v>
      </c>
      <c r="AA885" s="48"/>
      <c r="AB885" s="48"/>
      <c r="AC885" s="49">
        <f t="shared" si="121"/>
        <v>145296000</v>
      </c>
      <c r="AD885" s="50">
        <v>0</v>
      </c>
      <c r="AE885" s="47">
        <v>40088</v>
      </c>
      <c r="AF885" s="51" t="s">
        <v>1016</v>
      </c>
      <c r="AG885" s="52" t="s">
        <v>565</v>
      </c>
      <c r="AH885" s="53" t="s">
        <v>1188</v>
      </c>
      <c r="AI885" s="79"/>
      <c r="AJ885" s="80"/>
      <c r="AK885" s="81"/>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80"/>
      <c r="BM885" s="80"/>
      <c r="BN885" s="80"/>
      <c r="BO885" s="80"/>
      <c r="BP885" s="80"/>
      <c r="BQ885" s="80"/>
      <c r="BR885" s="80"/>
      <c r="BS885" s="80"/>
      <c r="BT885" s="80"/>
      <c r="BU885" s="80"/>
      <c r="BV885" s="80"/>
      <c r="BW885" s="80"/>
      <c r="BX885" s="80"/>
      <c r="BY885" s="80"/>
      <c r="BZ885" s="80"/>
      <c r="CA885" s="80"/>
      <c r="CB885" s="80"/>
      <c r="CC885" s="80"/>
      <c r="CD885" s="80"/>
      <c r="CE885" s="80"/>
      <c r="CF885" s="80"/>
      <c r="CG885" s="80"/>
      <c r="CH885" s="80"/>
      <c r="CI885" s="80"/>
      <c r="CJ885" s="80"/>
      <c r="CK885" s="82">
        <v>500</v>
      </c>
      <c r="CL885" s="12">
        <f>500*36952</f>
        <v>18476000</v>
      </c>
      <c r="CM885" s="82">
        <v>500</v>
      </c>
      <c r="CN885" s="12">
        <f>500*36000</f>
        <v>18000000</v>
      </c>
      <c r="CO885" s="82"/>
      <c r="CP885" s="12"/>
      <c r="CQ885" s="83">
        <f t="shared" si="122"/>
        <v>36476000</v>
      </c>
      <c r="CR885" s="84"/>
      <c r="CS885" s="13"/>
      <c r="CT885" s="85">
        <v>1000</v>
      </c>
      <c r="CU885" s="86">
        <f>1000*85000</f>
        <v>85000000</v>
      </c>
      <c r="CV885" s="11"/>
      <c r="CW885" s="86"/>
      <c r="CX885" s="84">
        <v>1000</v>
      </c>
      <c r="CY885" s="86">
        <f>1000*22500+6000*220</f>
        <v>23820000</v>
      </c>
      <c r="CZ885" s="9" t="s">
        <v>1314</v>
      </c>
    </row>
    <row r="886" spans="1:104" ht="25.5" x14ac:dyDescent="0.2">
      <c r="A886" s="43">
        <v>40089</v>
      </c>
      <c r="B886" s="44" t="s">
        <v>625</v>
      </c>
      <c r="C886" s="44" t="s">
        <v>1051</v>
      </c>
      <c r="D886" s="45" t="s">
        <v>1117</v>
      </c>
      <c r="E886" s="11"/>
      <c r="F886" s="12"/>
      <c r="G886" s="12"/>
      <c r="H886" s="12">
        <v>140</v>
      </c>
      <c r="I886" s="12">
        <v>28</v>
      </c>
      <c r="J886" s="12"/>
      <c r="K886" s="12">
        <v>28</v>
      </c>
      <c r="L886" s="12"/>
      <c r="M886" s="12"/>
      <c r="N886" s="12"/>
      <c r="O886" s="12"/>
      <c r="P886" s="12"/>
      <c r="Q886" s="12"/>
      <c r="R886" s="12"/>
      <c r="S886" s="12"/>
      <c r="T886" s="13"/>
      <c r="U886" s="46"/>
      <c r="V886" s="47"/>
      <c r="W886" s="48">
        <f t="shared" ref="W886:W905" si="123">CQ886</f>
        <v>0</v>
      </c>
      <c r="X886" s="48">
        <f t="shared" ref="X886:X905" si="124">CU886</f>
        <v>0</v>
      </c>
      <c r="Y886" s="48">
        <f t="shared" ref="Y886:Y905" si="125">CW886+CY886</f>
        <v>0</v>
      </c>
      <c r="Z886" s="48">
        <f t="shared" ref="Z886:Z905" si="126">CS886</f>
        <v>0</v>
      </c>
      <c r="AA886" s="48"/>
      <c r="AB886" s="48"/>
      <c r="AC886" s="49">
        <f t="shared" ref="AC886:AC905" si="127">W886+X886+Y886+Z886+AA886+AB886</f>
        <v>0</v>
      </c>
      <c r="AD886" s="50">
        <v>0</v>
      </c>
      <c r="AE886" s="47">
        <v>40093</v>
      </c>
      <c r="AF886" s="51" t="s">
        <v>516</v>
      </c>
      <c r="AG886" s="52" t="s">
        <v>517</v>
      </c>
      <c r="AH886" s="53" t="s">
        <v>75</v>
      </c>
      <c r="AI886" s="79"/>
      <c r="AJ886" s="80"/>
      <c r="AK886" s="81"/>
      <c r="AL886" s="80"/>
      <c r="AM886" s="80"/>
      <c r="AN886" s="80"/>
      <c r="AO886" s="80"/>
      <c r="AP886" s="80"/>
      <c r="AQ886" s="80"/>
      <c r="AR886" s="80"/>
      <c r="AS886" s="80"/>
      <c r="AT886" s="80"/>
      <c r="AU886" s="80"/>
      <c r="AV886" s="80"/>
      <c r="AW886" s="80"/>
      <c r="AX886" s="80"/>
      <c r="AY886" s="80"/>
      <c r="AZ886" s="80"/>
      <c r="BA886" s="80"/>
      <c r="BB886" s="80"/>
      <c r="BC886" s="80"/>
      <c r="BD886" s="80"/>
      <c r="BE886" s="80"/>
      <c r="BF886" s="80"/>
      <c r="BG886" s="80"/>
      <c r="BH886" s="80"/>
      <c r="BI886" s="80"/>
      <c r="BJ886" s="80"/>
      <c r="BK886" s="80"/>
      <c r="BL886" s="80"/>
      <c r="BM886" s="80"/>
      <c r="BN886" s="80"/>
      <c r="BO886" s="80"/>
      <c r="BP886" s="80"/>
      <c r="BQ886" s="80"/>
      <c r="BR886" s="80"/>
      <c r="BS886" s="80"/>
      <c r="BT886" s="80"/>
      <c r="BU886" s="80"/>
      <c r="BV886" s="80"/>
      <c r="BW886" s="80"/>
      <c r="BX886" s="80"/>
      <c r="BY886" s="80"/>
      <c r="BZ886" s="80"/>
      <c r="CA886" s="80"/>
      <c r="CB886" s="80"/>
      <c r="CC886" s="80"/>
      <c r="CD886" s="80"/>
      <c r="CE886" s="80"/>
      <c r="CF886" s="80"/>
      <c r="CG886" s="80"/>
      <c r="CH886" s="80"/>
      <c r="CI886" s="80"/>
      <c r="CJ886" s="80"/>
      <c r="CK886" s="82"/>
      <c r="CL886" s="12"/>
      <c r="CM886" s="82"/>
      <c r="CN886" s="12"/>
      <c r="CO886" s="82"/>
      <c r="CP886" s="12"/>
      <c r="CQ886" s="83">
        <f t="shared" si="122"/>
        <v>0</v>
      </c>
      <c r="CR886" s="84"/>
      <c r="CS886" s="13"/>
      <c r="CT886" s="85"/>
      <c r="CU886" s="86"/>
      <c r="CV886" s="11"/>
      <c r="CW886" s="86"/>
      <c r="CX886" s="84"/>
      <c r="CY886" s="86"/>
    </row>
    <row r="887" spans="1:104" ht="25.5" x14ac:dyDescent="0.2">
      <c r="A887" s="43">
        <v>40089</v>
      </c>
      <c r="B887" s="44" t="s">
        <v>625</v>
      </c>
      <c r="C887" s="44" t="s">
        <v>1245</v>
      </c>
      <c r="D887" s="45" t="s">
        <v>1117</v>
      </c>
      <c r="E887" s="11"/>
      <c r="F887" s="12"/>
      <c r="G887" s="12"/>
      <c r="H887" s="12">
        <v>125</v>
      </c>
      <c r="I887" s="12">
        <v>25</v>
      </c>
      <c r="J887" s="12"/>
      <c r="K887" s="12">
        <v>25</v>
      </c>
      <c r="L887" s="12"/>
      <c r="M887" s="12"/>
      <c r="N887" s="12"/>
      <c r="O887" s="12"/>
      <c r="P887" s="12"/>
      <c r="Q887" s="12"/>
      <c r="R887" s="12"/>
      <c r="S887" s="12"/>
      <c r="T887" s="13"/>
      <c r="U887" s="46"/>
      <c r="V887" s="47"/>
      <c r="W887" s="48">
        <f t="shared" si="123"/>
        <v>0</v>
      </c>
      <c r="X887" s="48">
        <f t="shared" si="124"/>
        <v>0</v>
      </c>
      <c r="Y887" s="48">
        <f t="shared" si="125"/>
        <v>0</v>
      </c>
      <c r="Z887" s="48">
        <f t="shared" si="126"/>
        <v>0</v>
      </c>
      <c r="AA887" s="48"/>
      <c r="AB887" s="48"/>
      <c r="AC887" s="49">
        <f t="shared" si="127"/>
        <v>0</v>
      </c>
      <c r="AD887" s="50">
        <v>0</v>
      </c>
      <c r="AE887" s="47">
        <v>40093</v>
      </c>
      <c r="AF887" s="51" t="s">
        <v>516</v>
      </c>
      <c r="AG887" s="52" t="s">
        <v>517</v>
      </c>
      <c r="AH887" s="53" t="s">
        <v>167</v>
      </c>
      <c r="AI887" s="79"/>
      <c r="AJ887" s="80"/>
      <c r="AK887" s="81"/>
      <c r="AL887" s="80"/>
      <c r="AM887" s="80"/>
      <c r="AN887" s="80"/>
      <c r="AO887" s="80"/>
      <c r="AP887" s="80"/>
      <c r="AQ887" s="80"/>
      <c r="AR887" s="80"/>
      <c r="AS887" s="80"/>
      <c r="AT887" s="80"/>
      <c r="AU887" s="80"/>
      <c r="AV887" s="80"/>
      <c r="AW887" s="80"/>
      <c r="AX887" s="80"/>
      <c r="AY887" s="80"/>
      <c r="AZ887" s="80"/>
      <c r="BA887" s="80"/>
      <c r="BB887" s="80"/>
      <c r="BC887" s="80"/>
      <c r="BD887" s="80"/>
      <c r="BE887" s="80"/>
      <c r="BF887" s="80"/>
      <c r="BG887" s="80"/>
      <c r="BH887" s="80"/>
      <c r="BI887" s="80"/>
      <c r="BJ887" s="80"/>
      <c r="BK887" s="80"/>
      <c r="BL887" s="80"/>
      <c r="BM887" s="80"/>
      <c r="BN887" s="80"/>
      <c r="BO887" s="80"/>
      <c r="BP887" s="80"/>
      <c r="BQ887" s="80"/>
      <c r="BR887" s="80"/>
      <c r="BS887" s="80"/>
      <c r="BT887" s="80"/>
      <c r="BU887" s="80"/>
      <c r="BV887" s="80"/>
      <c r="BW887" s="80"/>
      <c r="BX887" s="80"/>
      <c r="BY887" s="80"/>
      <c r="BZ887" s="80"/>
      <c r="CA887" s="80"/>
      <c r="CB887" s="80"/>
      <c r="CC887" s="80"/>
      <c r="CD887" s="80"/>
      <c r="CE887" s="80"/>
      <c r="CF887" s="80"/>
      <c r="CG887" s="80"/>
      <c r="CH887" s="80"/>
      <c r="CI887" s="80"/>
      <c r="CJ887" s="80"/>
      <c r="CK887" s="82"/>
      <c r="CL887" s="12"/>
      <c r="CM887" s="82"/>
      <c r="CN887" s="12"/>
      <c r="CO887" s="82"/>
      <c r="CP887" s="12"/>
      <c r="CQ887" s="83">
        <f t="shared" si="122"/>
        <v>0</v>
      </c>
      <c r="CR887" s="84"/>
      <c r="CS887" s="13"/>
      <c r="CT887" s="85"/>
      <c r="CU887" s="86"/>
      <c r="CV887" s="11"/>
      <c r="CW887" s="86"/>
      <c r="CX887" s="84"/>
      <c r="CY887" s="86"/>
    </row>
    <row r="888" spans="1:104" ht="38.25" x14ac:dyDescent="0.2">
      <c r="A888" s="43">
        <v>40089</v>
      </c>
      <c r="B888" s="44" t="s">
        <v>1136</v>
      </c>
      <c r="C888" s="44" t="s">
        <v>307</v>
      </c>
      <c r="D888" s="45" t="s">
        <v>1116</v>
      </c>
      <c r="E888" s="11"/>
      <c r="F888" s="12"/>
      <c r="G888" s="12"/>
      <c r="H888" s="12"/>
      <c r="I888" s="12"/>
      <c r="J888" s="12"/>
      <c r="K888" s="12"/>
      <c r="L888" s="12"/>
      <c r="M888" s="12"/>
      <c r="N888" s="12"/>
      <c r="O888" s="12"/>
      <c r="P888" s="12"/>
      <c r="Q888" s="12"/>
      <c r="R888" s="12"/>
      <c r="S888" s="12"/>
      <c r="T888" s="13"/>
      <c r="U888" s="46" t="s">
        <v>77</v>
      </c>
      <c r="V888" s="47"/>
      <c r="W888" s="48">
        <f t="shared" si="123"/>
        <v>0</v>
      </c>
      <c r="X888" s="48">
        <f t="shared" si="124"/>
        <v>0</v>
      </c>
      <c r="Y888" s="48">
        <f t="shared" si="125"/>
        <v>0</v>
      </c>
      <c r="Z888" s="48">
        <f t="shared" si="126"/>
        <v>0</v>
      </c>
      <c r="AA888" s="48"/>
      <c r="AB888" s="48"/>
      <c r="AC888" s="49">
        <f t="shared" si="127"/>
        <v>0</v>
      </c>
      <c r="AD888" s="50">
        <v>0</v>
      </c>
      <c r="AE888" s="47">
        <v>40093</v>
      </c>
      <c r="AF888" s="51" t="s">
        <v>516</v>
      </c>
      <c r="AG888" s="52" t="s">
        <v>517</v>
      </c>
      <c r="AH888" s="53" t="s">
        <v>1281</v>
      </c>
      <c r="AI888" s="79"/>
      <c r="AJ888" s="80"/>
      <c r="AK888" s="81"/>
      <c r="AL888" s="80"/>
      <c r="AM888" s="80"/>
      <c r="AN888" s="80"/>
      <c r="AO888" s="80"/>
      <c r="AP888" s="80"/>
      <c r="AQ888" s="80"/>
      <c r="AR888" s="80"/>
      <c r="AS888" s="80"/>
      <c r="AT888" s="80"/>
      <c r="AU888" s="80"/>
      <c r="AV888" s="80"/>
      <c r="AW888" s="80"/>
      <c r="AX888" s="80"/>
      <c r="AY888" s="80"/>
      <c r="AZ888" s="80"/>
      <c r="BA888" s="80"/>
      <c r="BB888" s="80"/>
      <c r="BC888" s="80"/>
      <c r="BD888" s="80"/>
      <c r="BE888" s="80"/>
      <c r="BF888" s="80"/>
      <c r="BG888" s="80"/>
      <c r="BH888" s="80"/>
      <c r="BI888" s="80"/>
      <c r="BJ888" s="80"/>
      <c r="BK888" s="80"/>
      <c r="BL888" s="80"/>
      <c r="BM888" s="80"/>
      <c r="BN888" s="80"/>
      <c r="BO888" s="80"/>
      <c r="BP888" s="80"/>
      <c r="BQ888" s="80"/>
      <c r="BR888" s="80"/>
      <c r="BS888" s="80"/>
      <c r="BT888" s="80"/>
      <c r="BU888" s="80"/>
      <c r="BV888" s="80"/>
      <c r="BW888" s="80"/>
      <c r="BX888" s="80"/>
      <c r="BY888" s="80"/>
      <c r="BZ888" s="80"/>
      <c r="CA888" s="80"/>
      <c r="CB888" s="80"/>
      <c r="CC888" s="80"/>
      <c r="CD888" s="80"/>
      <c r="CE888" s="80"/>
      <c r="CF888" s="80"/>
      <c r="CG888" s="80"/>
      <c r="CH888" s="80"/>
      <c r="CI888" s="80"/>
      <c r="CJ888" s="80"/>
      <c r="CK888" s="82"/>
      <c r="CL888" s="12"/>
      <c r="CM888" s="82"/>
      <c r="CN888" s="12"/>
      <c r="CO888" s="82"/>
      <c r="CP888" s="12"/>
      <c r="CQ888" s="83">
        <f t="shared" si="122"/>
        <v>0</v>
      </c>
      <c r="CR888" s="84"/>
      <c r="CS888" s="13"/>
      <c r="CT888" s="85"/>
      <c r="CU888" s="86"/>
      <c r="CV888" s="11"/>
      <c r="CW888" s="86"/>
      <c r="CX888" s="84"/>
      <c r="CY888" s="86"/>
    </row>
    <row r="889" spans="1:104" ht="12.75" x14ac:dyDescent="0.2">
      <c r="A889" s="43">
        <v>40089</v>
      </c>
      <c r="B889" s="44" t="s">
        <v>481</v>
      </c>
      <c r="C889" s="44" t="s">
        <v>188</v>
      </c>
      <c r="D889" s="45" t="s">
        <v>1117</v>
      </c>
      <c r="E889" s="11"/>
      <c r="F889" s="12">
        <v>1</v>
      </c>
      <c r="G889" s="12"/>
      <c r="H889" s="12">
        <v>35</v>
      </c>
      <c r="I889" s="12">
        <v>7</v>
      </c>
      <c r="J889" s="12"/>
      <c r="K889" s="12">
        <v>7</v>
      </c>
      <c r="L889" s="12"/>
      <c r="M889" s="12"/>
      <c r="N889" s="12"/>
      <c r="O889" s="12"/>
      <c r="P889" s="12"/>
      <c r="Q889" s="12"/>
      <c r="R889" s="12"/>
      <c r="S889" s="12"/>
      <c r="T889" s="13"/>
      <c r="U889" s="46"/>
      <c r="V889" s="47">
        <v>40156</v>
      </c>
      <c r="W889" s="48">
        <f t="shared" si="123"/>
        <v>0</v>
      </c>
      <c r="X889" s="48">
        <f t="shared" si="124"/>
        <v>0</v>
      </c>
      <c r="Y889" s="48">
        <f t="shared" si="125"/>
        <v>1253000</v>
      </c>
      <c r="Z889" s="48">
        <f t="shared" si="126"/>
        <v>0</v>
      </c>
      <c r="AA889" s="48"/>
      <c r="AB889" s="48"/>
      <c r="AC889" s="49">
        <f t="shared" si="127"/>
        <v>1253000</v>
      </c>
      <c r="AD889" s="50">
        <v>0</v>
      </c>
      <c r="AE889" s="47">
        <v>40093</v>
      </c>
      <c r="AF889" s="51" t="s">
        <v>1016</v>
      </c>
      <c r="AG889" s="52" t="s">
        <v>565</v>
      </c>
      <c r="AH889" s="53" t="s">
        <v>774</v>
      </c>
      <c r="AI889" s="79"/>
      <c r="AJ889" s="80"/>
      <c r="AK889" s="81"/>
      <c r="AL889" s="80"/>
      <c r="AM889" s="80"/>
      <c r="AN889" s="80"/>
      <c r="AO889" s="80"/>
      <c r="AP889" s="80"/>
      <c r="AQ889" s="80"/>
      <c r="AR889" s="80"/>
      <c r="AS889" s="80"/>
      <c r="AT889" s="80"/>
      <c r="AU889" s="80"/>
      <c r="AV889" s="80"/>
      <c r="AW889" s="80"/>
      <c r="AX889" s="80"/>
      <c r="AY889" s="80"/>
      <c r="AZ889" s="80"/>
      <c r="BA889" s="80"/>
      <c r="BB889" s="80"/>
      <c r="BC889" s="80"/>
      <c r="BD889" s="80"/>
      <c r="BE889" s="80"/>
      <c r="BF889" s="80"/>
      <c r="BG889" s="80"/>
      <c r="BH889" s="80"/>
      <c r="BI889" s="80"/>
      <c r="BJ889" s="80"/>
      <c r="BK889" s="80"/>
      <c r="BL889" s="80"/>
      <c r="BM889" s="80"/>
      <c r="BN889" s="80"/>
      <c r="BO889" s="80"/>
      <c r="BP889" s="80"/>
      <c r="BQ889" s="80"/>
      <c r="BR889" s="80"/>
      <c r="BS889" s="80"/>
      <c r="BT889" s="80"/>
      <c r="BU889" s="80"/>
      <c r="BV889" s="80"/>
      <c r="BW889" s="80"/>
      <c r="BX889" s="80"/>
      <c r="BY889" s="80"/>
      <c r="BZ889" s="80"/>
      <c r="CA889" s="80"/>
      <c r="CB889" s="80"/>
      <c r="CC889" s="80"/>
      <c r="CD889" s="80"/>
      <c r="CE889" s="80"/>
      <c r="CF889" s="80"/>
      <c r="CG889" s="80"/>
      <c r="CH889" s="80"/>
      <c r="CI889" s="80"/>
      <c r="CJ889" s="80"/>
      <c r="CK889" s="82"/>
      <c r="CL889" s="12"/>
      <c r="CM889" s="82"/>
      <c r="CN889" s="12"/>
      <c r="CO889" s="82"/>
      <c r="CP889" s="12"/>
      <c r="CQ889" s="83">
        <f t="shared" si="122"/>
        <v>0</v>
      </c>
      <c r="CR889" s="84"/>
      <c r="CS889" s="13"/>
      <c r="CT889" s="85"/>
      <c r="CU889" s="86"/>
      <c r="CV889" s="11"/>
      <c r="CW889" s="86"/>
      <c r="CX889" s="84">
        <f>14+35</f>
        <v>49</v>
      </c>
      <c r="CY889" s="86">
        <f>14*22000+35*27000</f>
        <v>1253000</v>
      </c>
    </row>
    <row r="890" spans="1:104" ht="25.5" x14ac:dyDescent="0.2">
      <c r="A890" s="43">
        <v>40089</v>
      </c>
      <c r="B890" s="44" t="s">
        <v>481</v>
      </c>
      <c r="C890" s="44" t="s">
        <v>243</v>
      </c>
      <c r="D890" s="45" t="s">
        <v>1117</v>
      </c>
      <c r="E890" s="11"/>
      <c r="F890" s="12"/>
      <c r="G890" s="12"/>
      <c r="H890" s="12"/>
      <c r="I890" s="12"/>
      <c r="J890" s="12"/>
      <c r="K890" s="12"/>
      <c r="L890" s="12"/>
      <c r="M890" s="12"/>
      <c r="N890" s="12"/>
      <c r="O890" s="12"/>
      <c r="P890" s="12"/>
      <c r="Q890" s="12"/>
      <c r="R890" s="12"/>
      <c r="S890" s="12"/>
      <c r="T890" s="13"/>
      <c r="U890" s="46"/>
      <c r="V890" s="47"/>
      <c r="W890" s="48">
        <f t="shared" si="123"/>
        <v>0</v>
      </c>
      <c r="X890" s="48">
        <f t="shared" si="124"/>
        <v>0</v>
      </c>
      <c r="Y890" s="48">
        <f t="shared" si="125"/>
        <v>0</v>
      </c>
      <c r="Z890" s="48">
        <f t="shared" si="126"/>
        <v>0</v>
      </c>
      <c r="AA890" s="48"/>
      <c r="AB890" s="48"/>
      <c r="AC890" s="49">
        <f t="shared" si="127"/>
        <v>0</v>
      </c>
      <c r="AD890" s="50">
        <v>0</v>
      </c>
      <c r="AE890" s="47">
        <v>40093</v>
      </c>
      <c r="AF890" s="51" t="s">
        <v>516</v>
      </c>
      <c r="AG890" s="52" t="s">
        <v>517</v>
      </c>
      <c r="AH890" s="53" t="s">
        <v>317</v>
      </c>
      <c r="AI890" s="79"/>
      <c r="AJ890" s="80"/>
      <c r="AK890" s="81"/>
      <c r="AL890" s="80"/>
      <c r="AM890" s="80"/>
      <c r="AN890" s="80"/>
      <c r="AO890" s="80"/>
      <c r="AP890" s="80"/>
      <c r="AQ890" s="80"/>
      <c r="AR890" s="80"/>
      <c r="AS890" s="80"/>
      <c r="AT890" s="80"/>
      <c r="AU890" s="80"/>
      <c r="AV890" s="80"/>
      <c r="AW890" s="80"/>
      <c r="AX890" s="80"/>
      <c r="AY890" s="80"/>
      <c r="AZ890" s="80"/>
      <c r="BA890" s="80"/>
      <c r="BB890" s="80"/>
      <c r="BC890" s="80"/>
      <c r="BD890" s="80"/>
      <c r="BE890" s="80"/>
      <c r="BF890" s="80"/>
      <c r="BG890" s="80"/>
      <c r="BH890" s="80"/>
      <c r="BI890" s="80"/>
      <c r="BJ890" s="80"/>
      <c r="BK890" s="80"/>
      <c r="BL890" s="80"/>
      <c r="BM890" s="80"/>
      <c r="BN890" s="80"/>
      <c r="BO890" s="80"/>
      <c r="BP890" s="80"/>
      <c r="BQ890" s="80"/>
      <c r="BR890" s="80"/>
      <c r="BS890" s="80"/>
      <c r="BT890" s="80"/>
      <c r="BU890" s="80"/>
      <c r="BV890" s="80"/>
      <c r="BW890" s="80"/>
      <c r="BX890" s="80"/>
      <c r="BY890" s="80"/>
      <c r="BZ890" s="80"/>
      <c r="CA890" s="80"/>
      <c r="CB890" s="80"/>
      <c r="CC890" s="80"/>
      <c r="CD890" s="80"/>
      <c r="CE890" s="80"/>
      <c r="CF890" s="80"/>
      <c r="CG890" s="80"/>
      <c r="CH890" s="80"/>
      <c r="CI890" s="80"/>
      <c r="CJ890" s="80"/>
      <c r="CK890" s="82"/>
      <c r="CL890" s="12"/>
      <c r="CM890" s="82"/>
      <c r="CN890" s="12"/>
      <c r="CO890" s="82"/>
      <c r="CP890" s="12"/>
      <c r="CQ890" s="83">
        <f t="shared" si="122"/>
        <v>0</v>
      </c>
      <c r="CR890" s="84"/>
      <c r="CS890" s="13"/>
      <c r="CT890" s="85"/>
      <c r="CU890" s="86"/>
      <c r="CV890" s="11"/>
      <c r="CW890" s="86"/>
      <c r="CX890" s="84"/>
      <c r="CY890" s="86"/>
    </row>
    <row r="891" spans="1:104" ht="25.5" x14ac:dyDescent="0.2">
      <c r="A891" s="43">
        <v>40089</v>
      </c>
      <c r="B891" s="44" t="s">
        <v>481</v>
      </c>
      <c r="C891" s="44" t="s">
        <v>1094</v>
      </c>
      <c r="D891" s="45" t="s">
        <v>1117</v>
      </c>
      <c r="E891" s="11"/>
      <c r="F891" s="12"/>
      <c r="G891" s="12"/>
      <c r="H891" s="12"/>
      <c r="I891" s="12"/>
      <c r="J891" s="12"/>
      <c r="K891" s="12"/>
      <c r="L891" s="12"/>
      <c r="M891" s="12"/>
      <c r="N891" s="12"/>
      <c r="O891" s="12"/>
      <c r="P891" s="12"/>
      <c r="Q891" s="12"/>
      <c r="R891" s="12">
        <v>2</v>
      </c>
      <c r="S891" s="12">
        <v>1</v>
      </c>
      <c r="T891" s="13"/>
      <c r="U891" s="46"/>
      <c r="V891" s="47"/>
      <c r="W891" s="48">
        <f t="shared" si="123"/>
        <v>0</v>
      </c>
      <c r="X891" s="48">
        <f t="shared" si="124"/>
        <v>0</v>
      </c>
      <c r="Y891" s="48">
        <f t="shared" si="125"/>
        <v>0</v>
      </c>
      <c r="Z891" s="48">
        <f t="shared" si="126"/>
        <v>0</v>
      </c>
      <c r="AA891" s="48"/>
      <c r="AB891" s="48"/>
      <c r="AC891" s="49">
        <f t="shared" si="127"/>
        <v>0</v>
      </c>
      <c r="AD891" s="50">
        <v>0</v>
      </c>
      <c r="AE891" s="47">
        <v>40093</v>
      </c>
      <c r="AF891" s="51" t="s">
        <v>1016</v>
      </c>
      <c r="AG891" s="52" t="s">
        <v>517</v>
      </c>
      <c r="AH891" s="53" t="s">
        <v>34</v>
      </c>
      <c r="AI891" s="79"/>
      <c r="AJ891" s="80"/>
      <c r="AK891" s="81"/>
      <c r="AL891" s="80"/>
      <c r="AM891" s="80"/>
      <c r="AN891" s="80"/>
      <c r="AO891" s="80"/>
      <c r="AP891" s="80"/>
      <c r="AQ891" s="80"/>
      <c r="AR891" s="80"/>
      <c r="AS891" s="80"/>
      <c r="AT891" s="80"/>
      <c r="AU891" s="80"/>
      <c r="AV891" s="80"/>
      <c r="AW891" s="80"/>
      <c r="AX891" s="80"/>
      <c r="AY891" s="80"/>
      <c r="AZ891" s="80"/>
      <c r="BA891" s="80"/>
      <c r="BB891" s="80"/>
      <c r="BC891" s="80"/>
      <c r="BD891" s="80"/>
      <c r="BE891" s="80"/>
      <c r="BF891" s="80"/>
      <c r="BG891" s="80"/>
      <c r="BH891" s="80"/>
      <c r="BI891" s="80"/>
      <c r="BJ891" s="80"/>
      <c r="BK891" s="80"/>
      <c r="BL891" s="80"/>
      <c r="BM891" s="80"/>
      <c r="BN891" s="80"/>
      <c r="BO891" s="80"/>
      <c r="BP891" s="80"/>
      <c r="BQ891" s="80"/>
      <c r="BR891" s="80"/>
      <c r="BS891" s="80"/>
      <c r="BT891" s="80"/>
      <c r="BU891" s="80"/>
      <c r="BV891" s="80"/>
      <c r="BW891" s="80"/>
      <c r="BX891" s="80"/>
      <c r="BY891" s="80"/>
      <c r="BZ891" s="80"/>
      <c r="CA891" s="80"/>
      <c r="CB891" s="80"/>
      <c r="CC891" s="80"/>
      <c r="CD891" s="80"/>
      <c r="CE891" s="80"/>
      <c r="CF891" s="80"/>
      <c r="CG891" s="80"/>
      <c r="CH891" s="80"/>
      <c r="CI891" s="80"/>
      <c r="CJ891" s="80"/>
      <c r="CK891" s="82"/>
      <c r="CL891" s="12"/>
      <c r="CM891" s="82"/>
      <c r="CN891" s="12"/>
      <c r="CO891" s="82"/>
      <c r="CP891" s="12"/>
      <c r="CQ891" s="83">
        <f t="shared" si="122"/>
        <v>0</v>
      </c>
      <c r="CR891" s="84"/>
      <c r="CS891" s="13"/>
      <c r="CT891" s="85"/>
      <c r="CU891" s="86"/>
      <c r="CV891" s="11"/>
      <c r="CW891" s="86"/>
      <c r="CX891" s="84"/>
      <c r="CY891" s="86"/>
    </row>
    <row r="892" spans="1:104" ht="12.75" x14ac:dyDescent="0.2">
      <c r="A892" s="43">
        <v>40089</v>
      </c>
      <c r="B892" s="44" t="s">
        <v>481</v>
      </c>
      <c r="C892" s="44" t="s">
        <v>190</v>
      </c>
      <c r="D892" s="45" t="s">
        <v>1117</v>
      </c>
      <c r="E892" s="11"/>
      <c r="F892" s="12"/>
      <c r="G892" s="12"/>
      <c r="H892" s="12"/>
      <c r="I892" s="12"/>
      <c r="J892" s="12"/>
      <c r="K892" s="12"/>
      <c r="L892" s="12"/>
      <c r="M892" s="12"/>
      <c r="N892" s="12"/>
      <c r="O892" s="12"/>
      <c r="P892" s="12"/>
      <c r="Q892" s="12"/>
      <c r="R892" s="12"/>
      <c r="S892" s="12"/>
      <c r="T892" s="13"/>
      <c r="U892" s="46"/>
      <c r="V892" s="47">
        <v>40156</v>
      </c>
      <c r="W892" s="48">
        <f t="shared" si="123"/>
        <v>0</v>
      </c>
      <c r="X892" s="48">
        <f t="shared" si="124"/>
        <v>0</v>
      </c>
      <c r="Y892" s="48">
        <f t="shared" si="125"/>
        <v>378000</v>
      </c>
      <c r="Z892" s="48">
        <f t="shared" si="126"/>
        <v>0</v>
      </c>
      <c r="AA892" s="48"/>
      <c r="AB892" s="48"/>
      <c r="AC892" s="49">
        <f t="shared" si="127"/>
        <v>378000</v>
      </c>
      <c r="AD892" s="50">
        <v>0</v>
      </c>
      <c r="AE892" s="47">
        <v>40093</v>
      </c>
      <c r="AF892" s="51" t="s">
        <v>1016</v>
      </c>
      <c r="AG892" s="52" t="s">
        <v>565</v>
      </c>
      <c r="AH892" s="53" t="s">
        <v>317</v>
      </c>
      <c r="AI892" s="79"/>
      <c r="AJ892" s="80"/>
      <c r="AK892" s="81"/>
      <c r="AL892" s="80"/>
      <c r="AM892" s="80"/>
      <c r="AN892" s="80"/>
      <c r="AO892" s="80"/>
      <c r="AP892" s="80"/>
      <c r="AQ892" s="80"/>
      <c r="AR892" s="80"/>
      <c r="AS892" s="80"/>
      <c r="AT892" s="80"/>
      <c r="AU892" s="80"/>
      <c r="AV892" s="80"/>
      <c r="AW892" s="80"/>
      <c r="AX892" s="80"/>
      <c r="AY892" s="80"/>
      <c r="AZ892" s="80"/>
      <c r="BA892" s="80"/>
      <c r="BB892" s="80"/>
      <c r="BC892" s="80"/>
      <c r="BD892" s="80"/>
      <c r="BE892" s="80"/>
      <c r="BF892" s="80"/>
      <c r="BG892" s="80"/>
      <c r="BH892" s="80"/>
      <c r="BI892" s="80"/>
      <c r="BJ892" s="80"/>
      <c r="BK892" s="80"/>
      <c r="BL892" s="80"/>
      <c r="BM892" s="80"/>
      <c r="BN892" s="80"/>
      <c r="BO892" s="80"/>
      <c r="BP892" s="80"/>
      <c r="BQ892" s="80"/>
      <c r="BR892" s="80"/>
      <c r="BS892" s="80"/>
      <c r="BT892" s="80"/>
      <c r="BU892" s="80"/>
      <c r="BV892" s="80"/>
      <c r="BW892" s="80"/>
      <c r="BX892" s="80"/>
      <c r="BY892" s="80"/>
      <c r="BZ892" s="80"/>
      <c r="CA892" s="80"/>
      <c r="CB892" s="80"/>
      <c r="CC892" s="80"/>
      <c r="CD892" s="80"/>
      <c r="CE892" s="80"/>
      <c r="CF892" s="80"/>
      <c r="CG892" s="80"/>
      <c r="CH892" s="80"/>
      <c r="CI892" s="80"/>
      <c r="CJ892" s="80"/>
      <c r="CK892" s="82"/>
      <c r="CL892" s="12"/>
      <c r="CM892" s="82"/>
      <c r="CN892" s="12"/>
      <c r="CO892" s="82"/>
      <c r="CP892" s="12"/>
      <c r="CQ892" s="83">
        <f t="shared" si="122"/>
        <v>0</v>
      </c>
      <c r="CR892" s="84"/>
      <c r="CS892" s="13"/>
      <c r="CT892" s="85"/>
      <c r="CU892" s="86"/>
      <c r="CV892" s="11"/>
      <c r="CW892" s="86"/>
      <c r="CX892" s="84">
        <v>14</v>
      </c>
      <c r="CY892" s="86">
        <f>14*27000</f>
        <v>378000</v>
      </c>
    </row>
    <row r="893" spans="1:104" ht="25.5" x14ac:dyDescent="0.2">
      <c r="A893" s="43">
        <v>40089</v>
      </c>
      <c r="B893" s="44" t="s">
        <v>1350</v>
      </c>
      <c r="C893" s="44" t="s">
        <v>76</v>
      </c>
      <c r="D893" s="45" t="s">
        <v>1117</v>
      </c>
      <c r="E893" s="11"/>
      <c r="F893" s="12"/>
      <c r="G893" s="12"/>
      <c r="H893" s="12">
        <v>40</v>
      </c>
      <c r="I893" s="12">
        <v>8</v>
      </c>
      <c r="J893" s="12"/>
      <c r="K893" s="12">
        <v>8</v>
      </c>
      <c r="L893" s="12"/>
      <c r="M893" s="12"/>
      <c r="N893" s="12"/>
      <c r="O893" s="12"/>
      <c r="P893" s="12"/>
      <c r="Q893" s="12"/>
      <c r="R893" s="12"/>
      <c r="S893" s="12"/>
      <c r="T893" s="13"/>
      <c r="U893" s="46"/>
      <c r="V893" s="47"/>
      <c r="W893" s="48">
        <f t="shared" si="123"/>
        <v>0</v>
      </c>
      <c r="X893" s="48">
        <f t="shared" si="124"/>
        <v>0</v>
      </c>
      <c r="Y893" s="48">
        <f t="shared" si="125"/>
        <v>0</v>
      </c>
      <c r="Z893" s="48">
        <f t="shared" si="126"/>
        <v>0</v>
      </c>
      <c r="AA893" s="48"/>
      <c r="AB893" s="48"/>
      <c r="AC893" s="49">
        <f t="shared" si="127"/>
        <v>0</v>
      </c>
      <c r="AD893" s="50">
        <v>0</v>
      </c>
      <c r="AE893" s="47">
        <v>40093</v>
      </c>
      <c r="AF893" s="51" t="s">
        <v>516</v>
      </c>
      <c r="AG893" s="52" t="s">
        <v>517</v>
      </c>
      <c r="AH893" s="53" t="s">
        <v>1281</v>
      </c>
      <c r="AI893" s="79"/>
      <c r="AJ893" s="80"/>
      <c r="AK893" s="81"/>
      <c r="AL893" s="80"/>
      <c r="AM893" s="80"/>
      <c r="AN893" s="80"/>
      <c r="AO893" s="80"/>
      <c r="AP893" s="80"/>
      <c r="AQ893" s="80"/>
      <c r="AR893" s="80"/>
      <c r="AS893" s="80"/>
      <c r="AT893" s="80"/>
      <c r="AU893" s="80"/>
      <c r="AV893" s="80"/>
      <c r="AW893" s="80"/>
      <c r="AX893" s="80"/>
      <c r="AY893" s="80"/>
      <c r="AZ893" s="80"/>
      <c r="BA893" s="80"/>
      <c r="BB893" s="80"/>
      <c r="BC893" s="80"/>
      <c r="BD893" s="80"/>
      <c r="BE893" s="80"/>
      <c r="BF893" s="80"/>
      <c r="BG893" s="80"/>
      <c r="BH893" s="80"/>
      <c r="BI893" s="80"/>
      <c r="BJ893" s="80"/>
      <c r="BK893" s="80"/>
      <c r="BL893" s="80"/>
      <c r="BM893" s="80"/>
      <c r="BN893" s="80"/>
      <c r="BO893" s="80"/>
      <c r="BP893" s="80"/>
      <c r="BQ893" s="80"/>
      <c r="BR893" s="80"/>
      <c r="BS893" s="80"/>
      <c r="BT893" s="80"/>
      <c r="BU893" s="80"/>
      <c r="BV893" s="80"/>
      <c r="BW893" s="80"/>
      <c r="BX893" s="80"/>
      <c r="BY893" s="80"/>
      <c r="BZ893" s="80"/>
      <c r="CA893" s="80"/>
      <c r="CB893" s="80"/>
      <c r="CC893" s="80"/>
      <c r="CD893" s="80"/>
      <c r="CE893" s="80"/>
      <c r="CF893" s="80"/>
      <c r="CG893" s="80"/>
      <c r="CH893" s="80"/>
      <c r="CI893" s="80"/>
      <c r="CJ893" s="80"/>
      <c r="CK893" s="82"/>
      <c r="CL893" s="12"/>
      <c r="CM893" s="82"/>
      <c r="CN893" s="12"/>
      <c r="CO893" s="82"/>
      <c r="CP893" s="12"/>
      <c r="CQ893" s="83">
        <f t="shared" si="122"/>
        <v>0</v>
      </c>
      <c r="CR893" s="84"/>
      <c r="CS893" s="13"/>
      <c r="CT893" s="85"/>
      <c r="CU893" s="86"/>
      <c r="CV893" s="11"/>
      <c r="CW893" s="86"/>
      <c r="CX893" s="84"/>
      <c r="CY893" s="86"/>
    </row>
    <row r="894" spans="1:104" ht="38.25" x14ac:dyDescent="0.2">
      <c r="A894" s="43">
        <v>40089</v>
      </c>
      <c r="B894" s="44" t="s">
        <v>1127</v>
      </c>
      <c r="C894" s="44" t="s">
        <v>1359</v>
      </c>
      <c r="D894" s="45" t="s">
        <v>1116</v>
      </c>
      <c r="E894" s="11"/>
      <c r="F894" s="12"/>
      <c r="G894" s="12"/>
      <c r="H894" s="12">
        <v>5</v>
      </c>
      <c r="I894" s="12">
        <v>1</v>
      </c>
      <c r="J894" s="12">
        <v>1</v>
      </c>
      <c r="K894" s="12"/>
      <c r="L894" s="12"/>
      <c r="M894" s="12"/>
      <c r="N894" s="12"/>
      <c r="O894" s="12"/>
      <c r="P894" s="12"/>
      <c r="Q894" s="12"/>
      <c r="R894" s="12"/>
      <c r="S894" s="12"/>
      <c r="T894" s="13"/>
      <c r="U894" s="46"/>
      <c r="V894" s="47"/>
      <c r="W894" s="48">
        <f t="shared" si="123"/>
        <v>0</v>
      </c>
      <c r="X894" s="48">
        <f t="shared" si="124"/>
        <v>0</v>
      </c>
      <c r="Y894" s="48">
        <f t="shared" si="125"/>
        <v>0</v>
      </c>
      <c r="Z894" s="48">
        <f t="shared" si="126"/>
        <v>0</v>
      </c>
      <c r="AA894" s="48"/>
      <c r="AB894" s="48"/>
      <c r="AC894" s="49">
        <f t="shared" si="127"/>
        <v>0</v>
      </c>
      <c r="AD894" s="50">
        <v>0</v>
      </c>
      <c r="AE894" s="47">
        <v>40101</v>
      </c>
      <c r="AF894" s="51" t="s">
        <v>516</v>
      </c>
      <c r="AG894" s="52" t="s">
        <v>517</v>
      </c>
      <c r="AH894" s="53" t="s">
        <v>317</v>
      </c>
      <c r="AI894" s="79"/>
      <c r="AJ894" s="80"/>
      <c r="AK894" s="81"/>
      <c r="AL894" s="80"/>
      <c r="AM894" s="80"/>
      <c r="AN894" s="80"/>
      <c r="AO894" s="80"/>
      <c r="AP894" s="80"/>
      <c r="AQ894" s="80"/>
      <c r="AR894" s="80"/>
      <c r="AS894" s="80"/>
      <c r="AT894" s="80"/>
      <c r="AU894" s="80"/>
      <c r="AV894" s="80"/>
      <c r="AW894" s="80"/>
      <c r="AX894" s="80"/>
      <c r="AY894" s="80"/>
      <c r="AZ894" s="80"/>
      <c r="BA894" s="80"/>
      <c r="BB894" s="80"/>
      <c r="BC894" s="80"/>
      <c r="BD894" s="80"/>
      <c r="BE894" s="80"/>
      <c r="BF894" s="80"/>
      <c r="BG894" s="80"/>
      <c r="BH894" s="80"/>
      <c r="BI894" s="80"/>
      <c r="BJ894" s="80"/>
      <c r="BK894" s="80"/>
      <c r="BL894" s="80"/>
      <c r="BM894" s="80"/>
      <c r="BN894" s="80"/>
      <c r="BO894" s="80"/>
      <c r="BP894" s="80"/>
      <c r="BQ894" s="80"/>
      <c r="BR894" s="80"/>
      <c r="BS894" s="80"/>
      <c r="BT894" s="80"/>
      <c r="BU894" s="80"/>
      <c r="BV894" s="80"/>
      <c r="BW894" s="80"/>
      <c r="BX894" s="80"/>
      <c r="BY894" s="80"/>
      <c r="BZ894" s="80"/>
      <c r="CA894" s="80"/>
      <c r="CB894" s="80"/>
      <c r="CC894" s="80"/>
      <c r="CD894" s="80"/>
      <c r="CE894" s="80"/>
      <c r="CF894" s="80"/>
      <c r="CG894" s="80"/>
      <c r="CH894" s="80"/>
      <c r="CI894" s="80"/>
      <c r="CJ894" s="80"/>
      <c r="CK894" s="82"/>
      <c r="CL894" s="12"/>
      <c r="CM894" s="82"/>
      <c r="CN894" s="12"/>
      <c r="CO894" s="82"/>
      <c r="CP894" s="12"/>
      <c r="CQ894" s="83">
        <f t="shared" si="122"/>
        <v>0</v>
      </c>
      <c r="CR894" s="84"/>
      <c r="CS894" s="13"/>
      <c r="CT894" s="85"/>
      <c r="CU894" s="86"/>
      <c r="CV894" s="11"/>
      <c r="CW894" s="86"/>
      <c r="CX894" s="84"/>
      <c r="CY894" s="86"/>
    </row>
    <row r="895" spans="1:104" ht="25.5" x14ac:dyDescent="0.2">
      <c r="A895" s="43">
        <v>40089</v>
      </c>
      <c r="B895" s="44" t="s">
        <v>904</v>
      </c>
      <c r="C895" s="44" t="s">
        <v>1004</v>
      </c>
      <c r="D895" s="45" t="s">
        <v>1117</v>
      </c>
      <c r="E895" s="11"/>
      <c r="F895" s="12"/>
      <c r="G895" s="12"/>
      <c r="H895" s="12">
        <v>40</v>
      </c>
      <c r="I895" s="12">
        <v>8</v>
      </c>
      <c r="J895" s="12"/>
      <c r="K895" s="12">
        <v>8</v>
      </c>
      <c r="L895" s="12"/>
      <c r="M895" s="12"/>
      <c r="N895" s="12"/>
      <c r="O895" s="12"/>
      <c r="P895" s="12"/>
      <c r="Q895" s="12"/>
      <c r="R895" s="12"/>
      <c r="S895" s="12"/>
      <c r="T895" s="13"/>
      <c r="U895" s="46"/>
      <c r="V895" s="47"/>
      <c r="W895" s="48">
        <f t="shared" si="123"/>
        <v>0</v>
      </c>
      <c r="X895" s="48">
        <f t="shared" si="124"/>
        <v>0</v>
      </c>
      <c r="Y895" s="48">
        <f t="shared" si="125"/>
        <v>0</v>
      </c>
      <c r="Z895" s="48">
        <f t="shared" si="126"/>
        <v>0</v>
      </c>
      <c r="AA895" s="48"/>
      <c r="AB895" s="48"/>
      <c r="AC895" s="49">
        <f t="shared" si="127"/>
        <v>0</v>
      </c>
      <c r="AD895" s="50">
        <v>0</v>
      </c>
      <c r="AE895" s="47">
        <v>40120</v>
      </c>
      <c r="AF895" s="51" t="s">
        <v>516</v>
      </c>
      <c r="AG895" s="52" t="s">
        <v>517</v>
      </c>
      <c r="AH895" s="53" t="s">
        <v>317</v>
      </c>
      <c r="AI895" s="79"/>
      <c r="AJ895" s="80"/>
      <c r="AK895" s="81"/>
      <c r="AL895" s="80"/>
      <c r="AM895" s="80"/>
      <c r="AN895" s="80"/>
      <c r="AO895" s="80"/>
      <c r="AP895" s="80"/>
      <c r="AQ895" s="80"/>
      <c r="AR895" s="80"/>
      <c r="AS895" s="80"/>
      <c r="AT895" s="80"/>
      <c r="AU895" s="80"/>
      <c r="AV895" s="80"/>
      <c r="AW895" s="80"/>
      <c r="AX895" s="80"/>
      <c r="AY895" s="80"/>
      <c r="AZ895" s="80"/>
      <c r="BA895" s="80"/>
      <c r="BB895" s="80"/>
      <c r="BC895" s="80"/>
      <c r="BD895" s="80"/>
      <c r="BE895" s="80"/>
      <c r="BF895" s="80"/>
      <c r="BG895" s="80"/>
      <c r="BH895" s="80"/>
      <c r="BI895" s="80"/>
      <c r="BJ895" s="80"/>
      <c r="BK895" s="80"/>
      <c r="BL895" s="80"/>
      <c r="BM895" s="80"/>
      <c r="BN895" s="80"/>
      <c r="BO895" s="80"/>
      <c r="BP895" s="80"/>
      <c r="BQ895" s="80"/>
      <c r="BR895" s="80"/>
      <c r="BS895" s="80"/>
      <c r="BT895" s="80"/>
      <c r="BU895" s="80"/>
      <c r="BV895" s="80"/>
      <c r="BW895" s="80"/>
      <c r="BX895" s="80"/>
      <c r="BY895" s="80"/>
      <c r="BZ895" s="80"/>
      <c r="CA895" s="80"/>
      <c r="CB895" s="80"/>
      <c r="CC895" s="80"/>
      <c r="CD895" s="80"/>
      <c r="CE895" s="80"/>
      <c r="CF895" s="80"/>
      <c r="CG895" s="80"/>
      <c r="CH895" s="80"/>
      <c r="CI895" s="80"/>
      <c r="CJ895" s="80"/>
      <c r="CK895" s="82"/>
      <c r="CL895" s="12"/>
      <c r="CM895" s="82"/>
      <c r="CN895" s="12"/>
      <c r="CO895" s="82"/>
      <c r="CP895" s="12"/>
      <c r="CQ895" s="83">
        <f t="shared" si="122"/>
        <v>0</v>
      </c>
      <c r="CR895" s="84"/>
      <c r="CS895" s="13"/>
      <c r="CT895" s="85"/>
      <c r="CU895" s="86"/>
      <c r="CV895" s="11"/>
      <c r="CW895" s="86"/>
      <c r="CX895" s="84"/>
      <c r="CY895" s="86"/>
    </row>
    <row r="896" spans="1:104" ht="51" x14ac:dyDescent="0.2">
      <c r="A896" s="43">
        <v>40090</v>
      </c>
      <c r="B896" s="44" t="s">
        <v>1114</v>
      </c>
      <c r="C896" s="44" t="s">
        <v>646</v>
      </c>
      <c r="D896" s="45" t="s">
        <v>1117</v>
      </c>
      <c r="E896" s="11"/>
      <c r="F896" s="12"/>
      <c r="G896" s="12"/>
      <c r="H896" s="12">
        <v>256</v>
      </c>
      <c r="I896" s="12">
        <v>64</v>
      </c>
      <c r="J896" s="12"/>
      <c r="K896" s="12">
        <v>64</v>
      </c>
      <c r="L896" s="12"/>
      <c r="M896" s="12"/>
      <c r="N896" s="12"/>
      <c r="O896" s="12"/>
      <c r="P896" s="12"/>
      <c r="Q896" s="12"/>
      <c r="R896" s="12"/>
      <c r="S896" s="12"/>
      <c r="T896" s="13"/>
      <c r="U896" s="46"/>
      <c r="V896" s="47"/>
      <c r="W896" s="48">
        <f t="shared" si="123"/>
        <v>0</v>
      </c>
      <c r="X896" s="48">
        <f t="shared" si="124"/>
        <v>0</v>
      </c>
      <c r="Y896" s="48">
        <f t="shared" si="125"/>
        <v>0</v>
      </c>
      <c r="Z896" s="48">
        <f t="shared" si="126"/>
        <v>0</v>
      </c>
      <c r="AA896" s="48"/>
      <c r="AB896" s="48"/>
      <c r="AC896" s="49">
        <f t="shared" si="127"/>
        <v>0</v>
      </c>
      <c r="AD896" s="50">
        <v>0</v>
      </c>
      <c r="AE896" s="47">
        <v>40093</v>
      </c>
      <c r="AF896" s="51" t="s">
        <v>516</v>
      </c>
      <c r="AG896" s="52" t="s">
        <v>517</v>
      </c>
      <c r="AH896" s="53" t="s">
        <v>850</v>
      </c>
      <c r="AI896" s="79"/>
      <c r="AJ896" s="80"/>
      <c r="AK896" s="81"/>
      <c r="AL896" s="80"/>
      <c r="AM896" s="80"/>
      <c r="AN896" s="80"/>
      <c r="AO896" s="80"/>
      <c r="AP896" s="80"/>
      <c r="AQ896" s="80"/>
      <c r="AR896" s="80"/>
      <c r="AS896" s="80"/>
      <c r="AT896" s="80"/>
      <c r="AU896" s="80"/>
      <c r="AV896" s="80"/>
      <c r="AW896" s="80"/>
      <c r="AX896" s="80"/>
      <c r="AY896" s="80"/>
      <c r="AZ896" s="80"/>
      <c r="BA896" s="80"/>
      <c r="BB896" s="80"/>
      <c r="BC896" s="80"/>
      <c r="BD896" s="80"/>
      <c r="BE896" s="80"/>
      <c r="BF896" s="80"/>
      <c r="BG896" s="80"/>
      <c r="BH896" s="80"/>
      <c r="BI896" s="80"/>
      <c r="BJ896" s="80"/>
      <c r="BK896" s="80"/>
      <c r="BL896" s="80"/>
      <c r="BM896" s="80"/>
      <c r="BN896" s="80"/>
      <c r="BO896" s="80"/>
      <c r="BP896" s="80"/>
      <c r="BQ896" s="80"/>
      <c r="BR896" s="80"/>
      <c r="BS896" s="80"/>
      <c r="BT896" s="80"/>
      <c r="BU896" s="80"/>
      <c r="BV896" s="80"/>
      <c r="BW896" s="80"/>
      <c r="BX896" s="80"/>
      <c r="BY896" s="80"/>
      <c r="BZ896" s="80"/>
      <c r="CA896" s="80"/>
      <c r="CB896" s="80"/>
      <c r="CC896" s="80"/>
      <c r="CD896" s="80"/>
      <c r="CE896" s="80"/>
      <c r="CF896" s="80"/>
      <c r="CG896" s="80"/>
      <c r="CH896" s="80"/>
      <c r="CI896" s="80"/>
      <c r="CJ896" s="80"/>
      <c r="CK896" s="82"/>
      <c r="CL896" s="12"/>
      <c r="CM896" s="82"/>
      <c r="CN896" s="12"/>
      <c r="CO896" s="82"/>
      <c r="CP896" s="12"/>
      <c r="CQ896" s="83">
        <f t="shared" si="122"/>
        <v>0</v>
      </c>
      <c r="CR896" s="84"/>
      <c r="CS896" s="13"/>
      <c r="CT896" s="85"/>
      <c r="CU896" s="86"/>
      <c r="CV896" s="11"/>
      <c r="CW896" s="86"/>
      <c r="CX896" s="84"/>
      <c r="CY896" s="86"/>
    </row>
    <row r="897" spans="1:103" ht="25.5" x14ac:dyDescent="0.2">
      <c r="A897" s="43">
        <v>40091</v>
      </c>
      <c r="B897" s="44" t="s">
        <v>1097</v>
      </c>
      <c r="C897" s="44" t="s">
        <v>1383</v>
      </c>
      <c r="D897" s="45" t="s">
        <v>1118</v>
      </c>
      <c r="E897" s="11"/>
      <c r="F897" s="12"/>
      <c r="G897" s="12"/>
      <c r="H897" s="12">
        <f>20*5</f>
        <v>100</v>
      </c>
      <c r="I897" s="12">
        <v>20</v>
      </c>
      <c r="J897" s="12"/>
      <c r="K897" s="12">
        <v>20</v>
      </c>
      <c r="L897" s="12">
        <v>2</v>
      </c>
      <c r="M897" s="12"/>
      <c r="N897" s="12"/>
      <c r="O897" s="12"/>
      <c r="P897" s="12"/>
      <c r="Q897" s="12"/>
      <c r="R897" s="12"/>
      <c r="S897" s="12"/>
      <c r="T897" s="13"/>
      <c r="U897" s="46" t="s">
        <v>597</v>
      </c>
      <c r="V897" s="47">
        <v>40156</v>
      </c>
      <c r="W897" s="48">
        <f t="shared" si="123"/>
        <v>0</v>
      </c>
      <c r="X897" s="48">
        <f t="shared" si="124"/>
        <v>0</v>
      </c>
      <c r="Y897" s="48">
        <f t="shared" si="125"/>
        <v>23000000</v>
      </c>
      <c r="Z897" s="48">
        <f t="shared" si="126"/>
        <v>0</v>
      </c>
      <c r="AA897" s="48"/>
      <c r="AB897" s="48"/>
      <c r="AC897" s="49">
        <f t="shared" si="127"/>
        <v>23000000</v>
      </c>
      <c r="AD897" s="50">
        <v>0</v>
      </c>
      <c r="AE897" s="47">
        <v>40092</v>
      </c>
      <c r="AF897" s="51" t="s">
        <v>1016</v>
      </c>
      <c r="AG897" s="52" t="s">
        <v>565</v>
      </c>
      <c r="AH897" s="53" t="s">
        <v>154</v>
      </c>
      <c r="AI897" s="79"/>
      <c r="AJ897" s="80"/>
      <c r="AK897" s="81"/>
      <c r="AL897" s="80"/>
      <c r="AM897" s="80"/>
      <c r="AN897" s="80"/>
      <c r="AO897" s="80"/>
      <c r="AP897" s="80"/>
      <c r="AQ897" s="80"/>
      <c r="AR897" s="80"/>
      <c r="AS897" s="80"/>
      <c r="AT897" s="80"/>
      <c r="AU897" s="80"/>
      <c r="AV897" s="80"/>
      <c r="AW897" s="80"/>
      <c r="AX897" s="80"/>
      <c r="AY897" s="80"/>
      <c r="AZ897" s="80"/>
      <c r="BA897" s="80"/>
      <c r="BB897" s="80"/>
      <c r="BC897" s="80"/>
      <c r="BD897" s="80"/>
      <c r="BE897" s="80"/>
      <c r="BF897" s="80"/>
      <c r="BG897" s="80"/>
      <c r="BH897" s="80"/>
      <c r="BI897" s="80"/>
      <c r="BJ897" s="80"/>
      <c r="BK897" s="80"/>
      <c r="BL897" s="80"/>
      <c r="BM897" s="80"/>
      <c r="BN897" s="80"/>
      <c r="BO897" s="80"/>
      <c r="BP897" s="80"/>
      <c r="BQ897" s="80"/>
      <c r="BR897" s="80"/>
      <c r="BS897" s="80"/>
      <c r="BT897" s="80"/>
      <c r="BU897" s="80"/>
      <c r="BV897" s="80"/>
      <c r="BW897" s="80"/>
      <c r="BX897" s="80"/>
      <c r="BY897" s="80"/>
      <c r="BZ897" s="80"/>
      <c r="CA897" s="80"/>
      <c r="CB897" s="80"/>
      <c r="CC897" s="80"/>
      <c r="CD897" s="80"/>
      <c r="CE897" s="80"/>
      <c r="CF897" s="80"/>
      <c r="CG897" s="80"/>
      <c r="CH897" s="80"/>
      <c r="CI897" s="80"/>
      <c r="CJ897" s="80"/>
      <c r="CK897" s="82"/>
      <c r="CL897" s="12"/>
      <c r="CM897" s="82"/>
      <c r="CN897" s="12"/>
      <c r="CO897" s="82"/>
      <c r="CP897" s="12"/>
      <c r="CQ897" s="83">
        <f t="shared" si="122"/>
        <v>0</v>
      </c>
      <c r="CR897" s="84"/>
      <c r="CS897" s="13"/>
      <c r="CT897" s="85"/>
      <c r="CU897" s="86"/>
      <c r="CV897" s="11"/>
      <c r="CW897" s="86"/>
      <c r="CX897" s="84">
        <v>1000</v>
      </c>
      <c r="CY897" s="86">
        <f>1000*23000</f>
        <v>23000000</v>
      </c>
    </row>
    <row r="898" spans="1:103" ht="38.25" x14ac:dyDescent="0.2">
      <c r="A898" s="43">
        <v>40092</v>
      </c>
      <c r="B898" s="44" t="s">
        <v>1226</v>
      </c>
      <c r="C898" s="44" t="s">
        <v>642</v>
      </c>
      <c r="D898" s="45" t="s">
        <v>1118</v>
      </c>
      <c r="E898" s="11"/>
      <c r="F898" s="12"/>
      <c r="G898" s="12"/>
      <c r="H898" s="12">
        <f>68*5</f>
        <v>340</v>
      </c>
      <c r="I898" s="12">
        <v>68</v>
      </c>
      <c r="J898" s="12">
        <v>2</v>
      </c>
      <c r="K898" s="12">
        <v>66</v>
      </c>
      <c r="L898" s="12"/>
      <c r="M898" s="12"/>
      <c r="N898" s="12"/>
      <c r="O898" s="12">
        <v>1</v>
      </c>
      <c r="P898" s="12">
        <v>1</v>
      </c>
      <c r="Q898" s="12"/>
      <c r="R898" s="12"/>
      <c r="S898" s="12"/>
      <c r="T898" s="13"/>
      <c r="U898" s="46"/>
      <c r="V898" s="47">
        <v>40156</v>
      </c>
      <c r="W898" s="48">
        <f t="shared" si="123"/>
        <v>7450000</v>
      </c>
      <c r="X898" s="48">
        <f t="shared" si="124"/>
        <v>8500000</v>
      </c>
      <c r="Y898" s="48">
        <f t="shared" si="125"/>
        <v>10500000</v>
      </c>
      <c r="Z898" s="48">
        <f t="shared" si="126"/>
        <v>0</v>
      </c>
      <c r="AA898" s="48"/>
      <c r="AB898" s="48"/>
      <c r="AC898" s="49">
        <f t="shared" si="127"/>
        <v>26450000</v>
      </c>
      <c r="AD898" s="50">
        <v>0</v>
      </c>
      <c r="AE898" s="47">
        <v>40093</v>
      </c>
      <c r="AF898" s="51" t="s">
        <v>1016</v>
      </c>
      <c r="AG898" s="52" t="s">
        <v>565</v>
      </c>
      <c r="AH898" s="53" t="s">
        <v>382</v>
      </c>
      <c r="AI898" s="79"/>
      <c r="AJ898" s="80"/>
      <c r="AK898" s="81"/>
      <c r="AL898" s="80"/>
      <c r="AM898" s="80"/>
      <c r="AN898" s="80"/>
      <c r="AO898" s="80"/>
      <c r="AP898" s="80"/>
      <c r="AQ898" s="80"/>
      <c r="AR898" s="80"/>
      <c r="AS898" s="80"/>
      <c r="AT898" s="80"/>
      <c r="AU898" s="80"/>
      <c r="AV898" s="80"/>
      <c r="AW898" s="80"/>
      <c r="AX898" s="80"/>
      <c r="AY898" s="80"/>
      <c r="AZ898" s="80"/>
      <c r="BA898" s="80"/>
      <c r="BB898" s="80"/>
      <c r="BC898" s="80"/>
      <c r="BD898" s="80"/>
      <c r="BE898" s="80"/>
      <c r="BF898" s="80"/>
      <c r="BG898" s="80"/>
      <c r="BH898" s="80"/>
      <c r="BI898" s="80"/>
      <c r="BJ898" s="80"/>
      <c r="BK898" s="80"/>
      <c r="BL898" s="80"/>
      <c r="BM898" s="80"/>
      <c r="BN898" s="80"/>
      <c r="BO898" s="80"/>
      <c r="BP898" s="80"/>
      <c r="BQ898" s="80"/>
      <c r="BR898" s="80"/>
      <c r="BS898" s="80"/>
      <c r="BT898" s="80"/>
      <c r="BU898" s="80"/>
      <c r="BV898" s="80"/>
      <c r="BW898" s="80"/>
      <c r="BX898" s="80"/>
      <c r="BY898" s="80"/>
      <c r="BZ898" s="80"/>
      <c r="CA898" s="80"/>
      <c r="CB898" s="80"/>
      <c r="CC898" s="80"/>
      <c r="CD898" s="80"/>
      <c r="CE898" s="80"/>
      <c r="CF898" s="80"/>
      <c r="CG898" s="80"/>
      <c r="CH898" s="80"/>
      <c r="CI898" s="80"/>
      <c r="CJ898" s="80"/>
      <c r="CK898" s="82">
        <v>100</v>
      </c>
      <c r="CL898" s="12">
        <f>100*38500</f>
        <v>3850000</v>
      </c>
      <c r="CM898" s="82">
        <v>100</v>
      </c>
      <c r="CN898" s="12">
        <f>100*36000</f>
        <v>3600000</v>
      </c>
      <c r="CO898" s="82"/>
      <c r="CP898" s="12"/>
      <c r="CQ898" s="83">
        <f t="shared" si="122"/>
        <v>7450000</v>
      </c>
      <c r="CR898" s="84"/>
      <c r="CS898" s="13"/>
      <c r="CT898" s="85">
        <v>100</v>
      </c>
      <c r="CU898" s="86">
        <f>100*85000</f>
        <v>8500000</v>
      </c>
      <c r="CV898" s="11"/>
      <c r="CW898" s="86"/>
      <c r="CX898" s="84">
        <v>500</v>
      </c>
      <c r="CY898" s="86">
        <f>500*21000</f>
        <v>10500000</v>
      </c>
    </row>
    <row r="899" spans="1:103" ht="25.5" x14ac:dyDescent="0.2">
      <c r="A899" s="43">
        <v>40092</v>
      </c>
      <c r="B899" s="44" t="s">
        <v>1453</v>
      </c>
      <c r="C899" s="44" t="s">
        <v>999</v>
      </c>
      <c r="D899" s="45" t="s">
        <v>1095</v>
      </c>
      <c r="E899" s="11">
        <v>2</v>
      </c>
      <c r="F899" s="12"/>
      <c r="G899" s="12"/>
      <c r="H899" s="12"/>
      <c r="I899" s="12"/>
      <c r="J899" s="12"/>
      <c r="K899" s="12"/>
      <c r="L899" s="12"/>
      <c r="M899" s="12"/>
      <c r="N899" s="12"/>
      <c r="O899" s="12"/>
      <c r="P899" s="12"/>
      <c r="Q899" s="12"/>
      <c r="R899" s="12"/>
      <c r="S899" s="12"/>
      <c r="T899" s="13"/>
      <c r="U899" s="46"/>
      <c r="V899" s="47"/>
      <c r="W899" s="48">
        <f t="shared" si="123"/>
        <v>0</v>
      </c>
      <c r="X899" s="48">
        <f t="shared" si="124"/>
        <v>0</v>
      </c>
      <c r="Y899" s="48">
        <f t="shared" si="125"/>
        <v>0</v>
      </c>
      <c r="Z899" s="48">
        <f t="shared" si="126"/>
        <v>0</v>
      </c>
      <c r="AA899" s="48"/>
      <c r="AB899" s="48"/>
      <c r="AC899" s="49">
        <f t="shared" si="127"/>
        <v>0</v>
      </c>
      <c r="AD899" s="50">
        <v>0</v>
      </c>
      <c r="AE899" s="47">
        <v>40092</v>
      </c>
      <c r="AF899" s="51" t="s">
        <v>516</v>
      </c>
      <c r="AG899" s="52" t="s">
        <v>517</v>
      </c>
      <c r="AH899" s="53" t="s">
        <v>851</v>
      </c>
      <c r="AI899" s="79"/>
      <c r="AJ899" s="80"/>
      <c r="AK899" s="81"/>
      <c r="AL899" s="80"/>
      <c r="AM899" s="80"/>
      <c r="AN899" s="80"/>
      <c r="AO899" s="80"/>
      <c r="AP899" s="80"/>
      <c r="AQ899" s="80"/>
      <c r="AR899" s="80"/>
      <c r="AS899" s="80"/>
      <c r="AT899" s="80"/>
      <c r="AU899" s="80"/>
      <c r="AV899" s="80"/>
      <c r="AW899" s="80"/>
      <c r="AX899" s="80"/>
      <c r="AY899" s="80"/>
      <c r="AZ899" s="80"/>
      <c r="BA899" s="80"/>
      <c r="BB899" s="80"/>
      <c r="BC899" s="80"/>
      <c r="BD899" s="80"/>
      <c r="BE899" s="80"/>
      <c r="BF899" s="80"/>
      <c r="BG899" s="80"/>
      <c r="BH899" s="80"/>
      <c r="BI899" s="80"/>
      <c r="BJ899" s="80"/>
      <c r="BK899" s="80"/>
      <c r="BL899" s="80"/>
      <c r="BM899" s="80"/>
      <c r="BN899" s="80"/>
      <c r="BO899" s="80"/>
      <c r="BP899" s="80"/>
      <c r="BQ899" s="80"/>
      <c r="BR899" s="80"/>
      <c r="BS899" s="80"/>
      <c r="BT899" s="80"/>
      <c r="BU899" s="80"/>
      <c r="BV899" s="80"/>
      <c r="BW899" s="80"/>
      <c r="BX899" s="80"/>
      <c r="BY899" s="80"/>
      <c r="BZ899" s="80"/>
      <c r="CA899" s="80"/>
      <c r="CB899" s="80"/>
      <c r="CC899" s="80"/>
      <c r="CD899" s="80"/>
      <c r="CE899" s="80"/>
      <c r="CF899" s="80"/>
      <c r="CG899" s="80"/>
      <c r="CH899" s="80"/>
      <c r="CI899" s="80"/>
      <c r="CJ899" s="80"/>
      <c r="CK899" s="82"/>
      <c r="CL899" s="12"/>
      <c r="CM899" s="82"/>
      <c r="CN899" s="12"/>
      <c r="CO899" s="82"/>
      <c r="CP899" s="12"/>
      <c r="CQ899" s="83">
        <f t="shared" si="122"/>
        <v>0</v>
      </c>
      <c r="CR899" s="84"/>
      <c r="CS899" s="13"/>
      <c r="CT899" s="85"/>
      <c r="CU899" s="86"/>
      <c r="CV899" s="11"/>
      <c r="CW899" s="86"/>
      <c r="CX899" s="84"/>
      <c r="CY899" s="86"/>
    </row>
    <row r="900" spans="1:103" ht="25.5" x14ac:dyDescent="0.2">
      <c r="A900" s="43">
        <v>40093</v>
      </c>
      <c r="B900" s="44" t="s">
        <v>632</v>
      </c>
      <c r="C900" s="44" t="s">
        <v>1175</v>
      </c>
      <c r="D900" s="45" t="s">
        <v>1117</v>
      </c>
      <c r="E900" s="11"/>
      <c r="F900" s="12"/>
      <c r="G900" s="12"/>
      <c r="H900" s="12">
        <f>157*5</f>
        <v>785</v>
      </c>
      <c r="I900" s="12">
        <v>157</v>
      </c>
      <c r="J900" s="12"/>
      <c r="K900" s="12">
        <v>157</v>
      </c>
      <c r="L900" s="12"/>
      <c r="M900" s="12"/>
      <c r="N900" s="12"/>
      <c r="O900" s="12"/>
      <c r="P900" s="12"/>
      <c r="Q900" s="12"/>
      <c r="R900" s="12"/>
      <c r="S900" s="12"/>
      <c r="T900" s="13"/>
      <c r="U900" s="46"/>
      <c r="V900" s="47">
        <v>40193</v>
      </c>
      <c r="W900" s="48">
        <f t="shared" si="123"/>
        <v>14999956</v>
      </c>
      <c r="X900" s="48">
        <f t="shared" si="124"/>
        <v>17000000</v>
      </c>
      <c r="Y900" s="48">
        <f t="shared" si="125"/>
        <v>16500000</v>
      </c>
      <c r="Z900" s="48">
        <f t="shared" si="126"/>
        <v>0</v>
      </c>
      <c r="AA900" s="48"/>
      <c r="AB900" s="48"/>
      <c r="AC900" s="49">
        <f t="shared" si="127"/>
        <v>48499956</v>
      </c>
      <c r="AD900" s="50">
        <v>0</v>
      </c>
      <c r="AE900" s="47">
        <v>40141</v>
      </c>
      <c r="AF900" s="51" t="s">
        <v>1016</v>
      </c>
      <c r="AG900" s="52" t="s">
        <v>565</v>
      </c>
      <c r="AH900" s="53"/>
      <c r="AI900" s="79"/>
      <c r="AJ900" s="80"/>
      <c r="AK900" s="81"/>
      <c r="AL900" s="80"/>
      <c r="AM900" s="80"/>
      <c r="AN900" s="80"/>
      <c r="AO900" s="80"/>
      <c r="AP900" s="80"/>
      <c r="AQ900" s="80"/>
      <c r="AR900" s="80"/>
      <c r="AS900" s="80"/>
      <c r="AT900" s="80"/>
      <c r="AU900" s="80"/>
      <c r="AV900" s="80"/>
      <c r="AW900" s="80"/>
      <c r="AX900" s="80"/>
      <c r="AY900" s="80"/>
      <c r="AZ900" s="80"/>
      <c r="BA900" s="80"/>
      <c r="BB900" s="80"/>
      <c r="BC900" s="80"/>
      <c r="BD900" s="80"/>
      <c r="BE900" s="80"/>
      <c r="BF900" s="80"/>
      <c r="BG900" s="80"/>
      <c r="BH900" s="80"/>
      <c r="BI900" s="80"/>
      <c r="BJ900" s="80"/>
      <c r="BK900" s="80"/>
      <c r="BL900" s="80"/>
      <c r="BM900" s="80"/>
      <c r="BN900" s="80"/>
      <c r="BO900" s="80"/>
      <c r="BP900" s="80"/>
      <c r="BQ900" s="80"/>
      <c r="BR900" s="80"/>
      <c r="BS900" s="80"/>
      <c r="BT900" s="80"/>
      <c r="BU900" s="80"/>
      <c r="BV900" s="80"/>
      <c r="BW900" s="80"/>
      <c r="BX900" s="80"/>
      <c r="BY900" s="80"/>
      <c r="BZ900" s="80"/>
      <c r="CA900" s="80"/>
      <c r="CB900" s="80"/>
      <c r="CC900" s="80"/>
      <c r="CD900" s="80"/>
      <c r="CE900" s="80"/>
      <c r="CF900" s="80"/>
      <c r="CG900" s="80"/>
      <c r="CH900" s="80"/>
      <c r="CI900" s="80"/>
      <c r="CJ900" s="80"/>
      <c r="CK900" s="82">
        <v>200</v>
      </c>
      <c r="CL900" s="12">
        <f>200*38999.78</f>
        <v>7799956</v>
      </c>
      <c r="CM900" s="82">
        <v>200</v>
      </c>
      <c r="CN900" s="12">
        <f>200*36000</f>
        <v>7200000</v>
      </c>
      <c r="CO900" s="82"/>
      <c r="CP900" s="12"/>
      <c r="CQ900" s="83">
        <f t="shared" si="122"/>
        <v>14999956</v>
      </c>
      <c r="CR900" s="84"/>
      <c r="CS900" s="13"/>
      <c r="CT900" s="85">
        <v>200</v>
      </c>
      <c r="CU900" s="86">
        <f>200*85000</f>
        <v>17000000</v>
      </c>
      <c r="CV900" s="11"/>
      <c r="CW900" s="86"/>
      <c r="CX900" s="84">
        <v>750</v>
      </c>
      <c r="CY900" s="86">
        <f>750*22000</f>
        <v>16500000</v>
      </c>
    </row>
    <row r="901" spans="1:103" ht="63.75" x14ac:dyDescent="0.2">
      <c r="A901" s="43">
        <v>40093</v>
      </c>
      <c r="B901" s="44" t="s">
        <v>437</v>
      </c>
      <c r="C901" s="44" t="s">
        <v>747</v>
      </c>
      <c r="D901" s="45" t="s">
        <v>1118</v>
      </c>
      <c r="E901" s="11"/>
      <c r="F901" s="12"/>
      <c r="G901" s="12"/>
      <c r="H901" s="12"/>
      <c r="I901" s="12"/>
      <c r="J901" s="12"/>
      <c r="K901" s="12"/>
      <c r="L901" s="12"/>
      <c r="M901" s="12"/>
      <c r="N901" s="12"/>
      <c r="O901" s="12"/>
      <c r="P901" s="12"/>
      <c r="Q901" s="12"/>
      <c r="R901" s="12"/>
      <c r="S901" s="12"/>
      <c r="T901" s="13"/>
      <c r="U901" s="46"/>
      <c r="V901" s="47">
        <v>40168</v>
      </c>
      <c r="W901" s="48">
        <f t="shared" si="123"/>
        <v>0</v>
      </c>
      <c r="X901" s="48">
        <f t="shared" si="124"/>
        <v>0</v>
      </c>
      <c r="Y901" s="48">
        <f t="shared" si="125"/>
        <v>0</v>
      </c>
      <c r="Z901" s="48">
        <f t="shared" si="126"/>
        <v>0</v>
      </c>
      <c r="AA901" s="48"/>
      <c r="AB901" s="48">
        <v>47989500</v>
      </c>
      <c r="AC901" s="49">
        <f t="shared" si="127"/>
        <v>47989500</v>
      </c>
      <c r="AD901" s="50">
        <v>0</v>
      </c>
      <c r="AE901" s="47">
        <v>40106</v>
      </c>
      <c r="AF901" s="51" t="s">
        <v>1016</v>
      </c>
      <c r="AG901" s="52" t="s">
        <v>565</v>
      </c>
      <c r="AH901" s="54" t="s">
        <v>748</v>
      </c>
      <c r="AI901" s="79"/>
      <c r="AJ901" s="80"/>
      <c r="AK901" s="81"/>
      <c r="AL901" s="80"/>
      <c r="AM901" s="80"/>
      <c r="AN901" s="80"/>
      <c r="AO901" s="80"/>
      <c r="AP901" s="80"/>
      <c r="AQ901" s="80"/>
      <c r="AR901" s="80"/>
      <c r="AS901" s="80"/>
      <c r="AT901" s="80"/>
      <c r="AU901" s="80"/>
      <c r="AV901" s="80"/>
      <c r="AW901" s="80"/>
      <c r="AX901" s="80"/>
      <c r="AY901" s="80"/>
      <c r="AZ901" s="80"/>
      <c r="BA901" s="80"/>
      <c r="BB901" s="80"/>
      <c r="BC901" s="80"/>
      <c r="BD901" s="80"/>
      <c r="BE901" s="80"/>
      <c r="BF901" s="80"/>
      <c r="BG901" s="80"/>
      <c r="BH901" s="80"/>
      <c r="BI901" s="80"/>
      <c r="BJ901" s="80"/>
      <c r="BK901" s="80"/>
      <c r="BL901" s="80"/>
      <c r="BM901" s="80"/>
      <c r="BN901" s="80"/>
      <c r="BO901" s="80"/>
      <c r="BP901" s="80"/>
      <c r="BQ901" s="80"/>
      <c r="BR901" s="80"/>
      <c r="BS901" s="80"/>
      <c r="BT901" s="80"/>
      <c r="BU901" s="80"/>
      <c r="BV901" s="80"/>
      <c r="BW901" s="80"/>
      <c r="BX901" s="80"/>
      <c r="BY901" s="80"/>
      <c r="BZ901" s="80"/>
      <c r="CA901" s="80"/>
      <c r="CB901" s="80"/>
      <c r="CC901" s="80"/>
      <c r="CD901" s="80"/>
      <c r="CE901" s="80"/>
      <c r="CF901" s="80"/>
      <c r="CG901" s="80"/>
      <c r="CH901" s="80"/>
      <c r="CI901" s="80"/>
      <c r="CJ901" s="80"/>
      <c r="CK901" s="82"/>
      <c r="CL901" s="12"/>
      <c r="CM901" s="82"/>
      <c r="CN901" s="12"/>
      <c r="CO901" s="82"/>
      <c r="CP901" s="12"/>
      <c r="CQ901" s="83">
        <f t="shared" si="122"/>
        <v>0</v>
      </c>
      <c r="CR901" s="84"/>
      <c r="CS901" s="13"/>
      <c r="CT901" s="85"/>
      <c r="CU901" s="86"/>
      <c r="CV901" s="11"/>
      <c r="CW901" s="86"/>
      <c r="CX901" s="84"/>
      <c r="CY901" s="86"/>
    </row>
    <row r="902" spans="1:103" ht="25.5" x14ac:dyDescent="0.2">
      <c r="A902" s="43">
        <v>40094</v>
      </c>
      <c r="B902" s="44" t="s">
        <v>300</v>
      </c>
      <c r="C902" s="44" t="s">
        <v>61</v>
      </c>
      <c r="D902" s="45" t="s">
        <v>1117</v>
      </c>
      <c r="E902" s="11"/>
      <c r="F902" s="12"/>
      <c r="G902" s="12"/>
      <c r="H902" s="12">
        <v>170</v>
      </c>
      <c r="I902" s="12">
        <v>50</v>
      </c>
      <c r="J902" s="12"/>
      <c r="K902" s="12">
        <v>25</v>
      </c>
      <c r="L902" s="12"/>
      <c r="M902" s="12"/>
      <c r="N902" s="12"/>
      <c r="O902" s="12"/>
      <c r="P902" s="12"/>
      <c r="Q902" s="12"/>
      <c r="R902" s="12"/>
      <c r="S902" s="12"/>
      <c r="T902" s="13"/>
      <c r="U902" s="46"/>
      <c r="V902" s="47"/>
      <c r="W902" s="48">
        <f t="shared" si="123"/>
        <v>0</v>
      </c>
      <c r="X902" s="48">
        <f t="shared" si="124"/>
        <v>0</v>
      </c>
      <c r="Y902" s="48">
        <f t="shared" si="125"/>
        <v>0</v>
      </c>
      <c r="Z902" s="48">
        <f t="shared" si="126"/>
        <v>0</v>
      </c>
      <c r="AA902" s="48"/>
      <c r="AB902" s="48"/>
      <c r="AC902" s="49">
        <f t="shared" si="127"/>
        <v>0</v>
      </c>
      <c r="AD902" s="50">
        <v>0</v>
      </c>
      <c r="AE902" s="47">
        <v>40099</v>
      </c>
      <c r="AF902" s="51" t="s">
        <v>516</v>
      </c>
      <c r="AG902" s="52" t="s">
        <v>517</v>
      </c>
      <c r="AH902" s="53" t="s">
        <v>778</v>
      </c>
      <c r="AI902" s="79"/>
      <c r="AJ902" s="80"/>
      <c r="AK902" s="81"/>
      <c r="AL902" s="80"/>
      <c r="AM902" s="80"/>
      <c r="AN902" s="80"/>
      <c r="AO902" s="80"/>
      <c r="AP902" s="80"/>
      <c r="AQ902" s="80"/>
      <c r="AR902" s="80"/>
      <c r="AS902" s="80"/>
      <c r="AT902" s="80"/>
      <c r="AU902" s="80"/>
      <c r="AV902" s="80"/>
      <c r="AW902" s="80"/>
      <c r="AX902" s="80"/>
      <c r="AY902" s="80"/>
      <c r="AZ902" s="80"/>
      <c r="BA902" s="80"/>
      <c r="BB902" s="80"/>
      <c r="BC902" s="80"/>
      <c r="BD902" s="80"/>
      <c r="BE902" s="80"/>
      <c r="BF902" s="80"/>
      <c r="BG902" s="80"/>
      <c r="BH902" s="80"/>
      <c r="BI902" s="80"/>
      <c r="BJ902" s="80"/>
      <c r="BK902" s="80"/>
      <c r="BL902" s="80"/>
      <c r="BM902" s="80"/>
      <c r="BN902" s="80"/>
      <c r="BO902" s="80"/>
      <c r="BP902" s="80"/>
      <c r="BQ902" s="80"/>
      <c r="BR902" s="80"/>
      <c r="BS902" s="80"/>
      <c r="BT902" s="80"/>
      <c r="BU902" s="80"/>
      <c r="BV902" s="80"/>
      <c r="BW902" s="80"/>
      <c r="BX902" s="80"/>
      <c r="BY902" s="80"/>
      <c r="BZ902" s="80"/>
      <c r="CA902" s="80"/>
      <c r="CB902" s="80"/>
      <c r="CC902" s="80"/>
      <c r="CD902" s="80"/>
      <c r="CE902" s="80"/>
      <c r="CF902" s="80"/>
      <c r="CG902" s="80"/>
      <c r="CH902" s="80"/>
      <c r="CI902" s="80"/>
      <c r="CJ902" s="80"/>
      <c r="CK902" s="82"/>
      <c r="CL902" s="12"/>
      <c r="CM902" s="82"/>
      <c r="CN902" s="12"/>
      <c r="CO902" s="82"/>
      <c r="CP902" s="12"/>
      <c r="CQ902" s="83">
        <f t="shared" si="122"/>
        <v>0</v>
      </c>
      <c r="CR902" s="84"/>
      <c r="CS902" s="13"/>
      <c r="CT902" s="85"/>
      <c r="CU902" s="86"/>
      <c r="CV902" s="11"/>
      <c r="CW902" s="86"/>
      <c r="CX902" s="84"/>
      <c r="CY902" s="86"/>
    </row>
    <row r="903" spans="1:103" ht="38.25" x14ac:dyDescent="0.2">
      <c r="A903" s="43">
        <v>40094</v>
      </c>
      <c r="B903" s="44" t="s">
        <v>1114</v>
      </c>
      <c r="C903" s="44" t="s">
        <v>560</v>
      </c>
      <c r="D903" s="45" t="s">
        <v>1116</v>
      </c>
      <c r="E903" s="11"/>
      <c r="F903" s="12"/>
      <c r="G903" s="12"/>
      <c r="H903" s="12">
        <v>21</v>
      </c>
      <c r="I903" s="12">
        <v>3</v>
      </c>
      <c r="J903" s="12">
        <v>1</v>
      </c>
      <c r="K903" s="12">
        <v>2</v>
      </c>
      <c r="L903" s="12"/>
      <c r="M903" s="12"/>
      <c r="N903" s="12"/>
      <c r="O903" s="12"/>
      <c r="P903" s="12"/>
      <c r="Q903" s="12"/>
      <c r="R903" s="12"/>
      <c r="S903" s="12"/>
      <c r="T903" s="13"/>
      <c r="U903" s="46"/>
      <c r="V903" s="47"/>
      <c r="W903" s="48">
        <f t="shared" si="123"/>
        <v>0</v>
      </c>
      <c r="X903" s="48">
        <f t="shared" si="124"/>
        <v>0</v>
      </c>
      <c r="Y903" s="48">
        <f t="shared" si="125"/>
        <v>0</v>
      </c>
      <c r="Z903" s="48">
        <f t="shared" si="126"/>
        <v>0</v>
      </c>
      <c r="AA903" s="48"/>
      <c r="AB903" s="48"/>
      <c r="AC903" s="49">
        <f t="shared" si="127"/>
        <v>0</v>
      </c>
      <c r="AD903" s="50">
        <v>0</v>
      </c>
      <c r="AE903" s="47">
        <v>40095</v>
      </c>
      <c r="AF903" s="51" t="s">
        <v>516</v>
      </c>
      <c r="AG903" s="52" t="s">
        <v>517</v>
      </c>
      <c r="AH903" s="53" t="s">
        <v>137</v>
      </c>
      <c r="AI903" s="79"/>
      <c r="AJ903" s="80"/>
      <c r="AK903" s="81"/>
      <c r="AL903" s="80"/>
      <c r="AM903" s="80"/>
      <c r="AN903" s="80"/>
      <c r="AO903" s="80"/>
      <c r="AP903" s="80"/>
      <c r="AQ903" s="80"/>
      <c r="AR903" s="80"/>
      <c r="AS903" s="80"/>
      <c r="AT903" s="80"/>
      <c r="AU903" s="80"/>
      <c r="AV903" s="80"/>
      <c r="AW903" s="80"/>
      <c r="AX903" s="80"/>
      <c r="AY903" s="80"/>
      <c r="AZ903" s="80"/>
      <c r="BA903" s="80"/>
      <c r="BB903" s="80"/>
      <c r="BC903" s="80"/>
      <c r="BD903" s="80"/>
      <c r="BE903" s="80"/>
      <c r="BF903" s="80"/>
      <c r="BG903" s="80"/>
      <c r="BH903" s="80"/>
      <c r="BI903" s="80"/>
      <c r="BJ903" s="80"/>
      <c r="BK903" s="80"/>
      <c r="BL903" s="80"/>
      <c r="BM903" s="80"/>
      <c r="BN903" s="80"/>
      <c r="BO903" s="80"/>
      <c r="BP903" s="80"/>
      <c r="BQ903" s="80"/>
      <c r="BR903" s="80"/>
      <c r="BS903" s="80"/>
      <c r="BT903" s="80"/>
      <c r="BU903" s="80"/>
      <c r="BV903" s="80"/>
      <c r="BW903" s="80"/>
      <c r="BX903" s="80"/>
      <c r="BY903" s="80"/>
      <c r="BZ903" s="80"/>
      <c r="CA903" s="80"/>
      <c r="CB903" s="80"/>
      <c r="CC903" s="80"/>
      <c r="CD903" s="80"/>
      <c r="CE903" s="80"/>
      <c r="CF903" s="80"/>
      <c r="CG903" s="80"/>
      <c r="CH903" s="80"/>
      <c r="CI903" s="80"/>
      <c r="CJ903" s="80"/>
      <c r="CK903" s="82"/>
      <c r="CL903" s="12"/>
      <c r="CM903" s="82"/>
      <c r="CN903" s="12"/>
      <c r="CO903" s="82"/>
      <c r="CP903" s="12"/>
      <c r="CQ903" s="83">
        <f t="shared" si="122"/>
        <v>0</v>
      </c>
      <c r="CR903" s="84"/>
      <c r="CS903" s="13"/>
      <c r="CT903" s="85"/>
      <c r="CU903" s="86"/>
      <c r="CV903" s="11"/>
      <c r="CW903" s="86"/>
      <c r="CX903" s="84"/>
      <c r="CY903" s="86"/>
    </row>
    <row r="904" spans="1:103" ht="63.75" x14ac:dyDescent="0.2">
      <c r="A904" s="43">
        <v>40096</v>
      </c>
      <c r="B904" s="44" t="s">
        <v>1097</v>
      </c>
      <c r="C904" s="44" t="s">
        <v>453</v>
      </c>
      <c r="D904" s="45" t="s">
        <v>1118</v>
      </c>
      <c r="E904" s="11"/>
      <c r="F904" s="12"/>
      <c r="G904" s="12"/>
      <c r="H904" s="12">
        <f>779*5</f>
        <v>3895</v>
      </c>
      <c r="I904" s="12">
        <v>779</v>
      </c>
      <c r="J904" s="12"/>
      <c r="K904" s="12">
        <v>779</v>
      </c>
      <c r="L904" s="12"/>
      <c r="M904" s="12"/>
      <c r="N904" s="12"/>
      <c r="O904" s="12"/>
      <c r="P904" s="12"/>
      <c r="Q904" s="12"/>
      <c r="R904" s="12"/>
      <c r="S904" s="12"/>
      <c r="T904" s="13"/>
      <c r="U904" s="46" t="s">
        <v>597</v>
      </c>
      <c r="V904" s="47">
        <v>40156</v>
      </c>
      <c r="W904" s="48">
        <f t="shared" si="123"/>
        <v>59983000</v>
      </c>
      <c r="X904" s="48">
        <f t="shared" si="124"/>
        <v>67773000</v>
      </c>
      <c r="Y904" s="48">
        <f t="shared" si="125"/>
        <v>0</v>
      </c>
      <c r="Z904" s="48">
        <f t="shared" si="126"/>
        <v>0</v>
      </c>
      <c r="AA904" s="48"/>
      <c r="AB904" s="48"/>
      <c r="AC904" s="49">
        <f t="shared" si="127"/>
        <v>127756000</v>
      </c>
      <c r="AD904" s="50">
        <v>0</v>
      </c>
      <c r="AE904" s="47">
        <v>40105</v>
      </c>
      <c r="AF904" s="51" t="s">
        <v>1016</v>
      </c>
      <c r="AG904" s="52" t="s">
        <v>565</v>
      </c>
      <c r="AH904" s="53" t="s">
        <v>454</v>
      </c>
      <c r="AI904" s="79"/>
      <c r="AJ904" s="80"/>
      <c r="AK904" s="81"/>
      <c r="AL904" s="80"/>
      <c r="AM904" s="80"/>
      <c r="AN904" s="80"/>
      <c r="AO904" s="80"/>
      <c r="AP904" s="80"/>
      <c r="AQ904" s="80"/>
      <c r="AR904" s="80"/>
      <c r="AS904" s="80"/>
      <c r="AT904" s="80"/>
      <c r="AU904" s="80"/>
      <c r="AV904" s="80"/>
      <c r="AW904" s="80"/>
      <c r="AX904" s="80"/>
      <c r="AY904" s="80"/>
      <c r="AZ904" s="80"/>
      <c r="BA904" s="80"/>
      <c r="BB904" s="80"/>
      <c r="BC904" s="80"/>
      <c r="BD904" s="80"/>
      <c r="BE904" s="80"/>
      <c r="BF904" s="80"/>
      <c r="BG904" s="80"/>
      <c r="BH904" s="80"/>
      <c r="BI904" s="80"/>
      <c r="BJ904" s="80"/>
      <c r="BK904" s="80"/>
      <c r="BL904" s="80"/>
      <c r="BM904" s="80"/>
      <c r="BN904" s="80"/>
      <c r="BO904" s="80"/>
      <c r="BP904" s="80"/>
      <c r="BQ904" s="80"/>
      <c r="BR904" s="80"/>
      <c r="BS904" s="80"/>
      <c r="BT904" s="80"/>
      <c r="BU904" s="80"/>
      <c r="BV904" s="80"/>
      <c r="BW904" s="80"/>
      <c r="BX904" s="80"/>
      <c r="BY904" s="80"/>
      <c r="BZ904" s="80"/>
      <c r="CA904" s="80"/>
      <c r="CB904" s="80"/>
      <c r="CC904" s="80"/>
      <c r="CD904" s="80"/>
      <c r="CE904" s="80"/>
      <c r="CF904" s="80"/>
      <c r="CG904" s="80"/>
      <c r="CH904" s="80"/>
      <c r="CI904" s="80"/>
      <c r="CJ904" s="80"/>
      <c r="CK904" s="82">
        <v>779</v>
      </c>
      <c r="CL904" s="12">
        <f>779*39000</f>
        <v>30381000</v>
      </c>
      <c r="CM904" s="82">
        <v>779</v>
      </c>
      <c r="CN904" s="12">
        <f>779*38000</f>
        <v>29602000</v>
      </c>
      <c r="CO904" s="82"/>
      <c r="CP904" s="12"/>
      <c r="CQ904" s="83">
        <f t="shared" si="122"/>
        <v>59983000</v>
      </c>
      <c r="CR904" s="84"/>
      <c r="CS904" s="13"/>
      <c r="CT904" s="85">
        <v>779</v>
      </c>
      <c r="CU904" s="86">
        <f>779*87000</f>
        <v>67773000</v>
      </c>
      <c r="CV904" s="11"/>
      <c r="CW904" s="86"/>
      <c r="CX904" s="84"/>
      <c r="CY904" s="86"/>
    </row>
    <row r="905" spans="1:103" ht="25.5" x14ac:dyDescent="0.2">
      <c r="A905" s="43">
        <v>40096</v>
      </c>
      <c r="B905" s="44" t="s">
        <v>1097</v>
      </c>
      <c r="C905" s="44" t="s">
        <v>1401</v>
      </c>
      <c r="D905" s="45" t="s">
        <v>1118</v>
      </c>
      <c r="E905" s="11"/>
      <c r="F905" s="12"/>
      <c r="G905" s="12"/>
      <c r="H905" s="12">
        <v>896</v>
      </c>
      <c r="I905" s="12">
        <v>184</v>
      </c>
      <c r="J905" s="12"/>
      <c r="K905" s="12">
        <v>184</v>
      </c>
      <c r="L905" s="12"/>
      <c r="M905" s="12"/>
      <c r="N905" s="12"/>
      <c r="O905" s="12"/>
      <c r="P905" s="12"/>
      <c r="Q905" s="12"/>
      <c r="R905" s="12"/>
      <c r="S905" s="12"/>
      <c r="T905" s="13"/>
      <c r="U905" s="46"/>
      <c r="V905" s="47"/>
      <c r="W905" s="48">
        <f t="shared" si="123"/>
        <v>0</v>
      </c>
      <c r="X905" s="48">
        <f t="shared" si="124"/>
        <v>0</v>
      </c>
      <c r="Y905" s="48">
        <f t="shared" si="125"/>
        <v>0</v>
      </c>
      <c r="Z905" s="48">
        <f t="shared" si="126"/>
        <v>0</v>
      </c>
      <c r="AA905" s="48"/>
      <c r="AB905" s="48"/>
      <c r="AC905" s="49">
        <f t="shared" si="127"/>
        <v>0</v>
      </c>
      <c r="AD905" s="50">
        <v>0</v>
      </c>
      <c r="AE905" s="47">
        <v>40123</v>
      </c>
      <c r="AF905" s="51" t="s">
        <v>516</v>
      </c>
      <c r="AG905" s="52" t="s">
        <v>517</v>
      </c>
      <c r="AH905" s="53" t="s">
        <v>1406</v>
      </c>
      <c r="AI905" s="79"/>
      <c r="AJ905" s="80"/>
      <c r="AK905" s="81"/>
      <c r="AL905" s="80"/>
      <c r="AM905" s="80"/>
      <c r="AN905" s="80"/>
      <c r="AO905" s="80"/>
      <c r="AP905" s="80"/>
      <c r="AQ905" s="80"/>
      <c r="AR905" s="80"/>
      <c r="AS905" s="80"/>
      <c r="AT905" s="80"/>
      <c r="AU905" s="80"/>
      <c r="AV905" s="80"/>
      <c r="AW905" s="80"/>
      <c r="AX905" s="80"/>
      <c r="AY905" s="80"/>
      <c r="AZ905" s="80"/>
      <c r="BA905" s="80"/>
      <c r="BB905" s="80"/>
      <c r="BC905" s="80"/>
      <c r="BD905" s="80"/>
      <c r="BE905" s="80"/>
      <c r="BF905" s="80"/>
      <c r="BG905" s="80"/>
      <c r="BH905" s="80"/>
      <c r="BI905" s="80"/>
      <c r="BJ905" s="80"/>
      <c r="BK905" s="80"/>
      <c r="BL905" s="80"/>
      <c r="BM905" s="80"/>
      <c r="BN905" s="80"/>
      <c r="BO905" s="80"/>
      <c r="BP905" s="80"/>
      <c r="BQ905" s="80"/>
      <c r="BR905" s="80"/>
      <c r="BS905" s="80"/>
      <c r="BT905" s="80"/>
      <c r="BU905" s="80"/>
      <c r="BV905" s="80"/>
      <c r="BW905" s="80"/>
      <c r="BX905" s="80"/>
      <c r="BY905" s="80"/>
      <c r="BZ905" s="80"/>
      <c r="CA905" s="80"/>
      <c r="CB905" s="80"/>
      <c r="CC905" s="80"/>
      <c r="CD905" s="80"/>
      <c r="CE905" s="80"/>
      <c r="CF905" s="80"/>
      <c r="CG905" s="80"/>
      <c r="CH905" s="80"/>
      <c r="CI905" s="80"/>
      <c r="CJ905" s="80"/>
      <c r="CK905" s="82"/>
      <c r="CL905" s="12"/>
      <c r="CM905" s="82"/>
      <c r="CN905" s="12"/>
      <c r="CO905" s="82"/>
      <c r="CP905" s="12"/>
      <c r="CQ905" s="83">
        <f t="shared" si="122"/>
        <v>0</v>
      </c>
      <c r="CR905" s="84"/>
      <c r="CS905" s="13"/>
      <c r="CT905" s="85"/>
      <c r="CU905" s="86"/>
      <c r="CV905" s="11"/>
      <c r="CW905" s="86"/>
      <c r="CX905" s="84"/>
      <c r="CY905" s="86"/>
    </row>
    <row r="906" spans="1:103" ht="25.5" x14ac:dyDescent="0.2">
      <c r="A906" s="43">
        <v>40096</v>
      </c>
      <c r="B906" s="44" t="s">
        <v>1097</v>
      </c>
      <c r="C906" s="44" t="s">
        <v>124</v>
      </c>
      <c r="D906" s="45" t="s">
        <v>1117</v>
      </c>
      <c r="E906" s="11"/>
      <c r="F906" s="12"/>
      <c r="G906" s="12"/>
      <c r="H906" s="12">
        <v>236</v>
      </c>
      <c r="I906" s="12">
        <v>48</v>
      </c>
      <c r="J906" s="12"/>
      <c r="K906" s="12">
        <v>37</v>
      </c>
      <c r="L906" s="12"/>
      <c r="M906" s="12"/>
      <c r="N906" s="12"/>
      <c r="O906" s="12"/>
      <c r="P906" s="12"/>
      <c r="Q906" s="12"/>
      <c r="R906" s="12"/>
      <c r="S906" s="12"/>
      <c r="T906" s="13"/>
      <c r="U906" s="46"/>
      <c r="V906" s="47"/>
      <c r="W906" s="48">
        <f t="shared" ref="W906:W917" si="128">CQ906</f>
        <v>0</v>
      </c>
      <c r="X906" s="48">
        <f t="shared" ref="X906:X917" si="129">CU906</f>
        <v>0</v>
      </c>
      <c r="Y906" s="48">
        <f t="shared" ref="Y906:Y917" si="130">CW906+CY906</f>
        <v>0</v>
      </c>
      <c r="Z906" s="48">
        <f t="shared" ref="Z906:Z917" si="131">CS906</f>
        <v>0</v>
      </c>
      <c r="AA906" s="48"/>
      <c r="AB906" s="48"/>
      <c r="AC906" s="49">
        <f t="shared" ref="AC906:AC917" si="132">W906+X906+Y906+Z906+AA906+AB906</f>
        <v>0</v>
      </c>
      <c r="AD906" s="50">
        <v>0</v>
      </c>
      <c r="AE906" s="47">
        <v>40123</v>
      </c>
      <c r="AF906" s="51" t="s">
        <v>516</v>
      </c>
      <c r="AG906" s="52" t="s">
        <v>517</v>
      </c>
      <c r="AH906" s="53" t="s">
        <v>1406</v>
      </c>
      <c r="AI906" s="79"/>
      <c r="AJ906" s="80"/>
      <c r="AK906" s="81"/>
      <c r="AL906" s="80"/>
      <c r="AM906" s="80"/>
      <c r="AN906" s="80"/>
      <c r="AO906" s="80"/>
      <c r="AP906" s="80"/>
      <c r="AQ906" s="80"/>
      <c r="AR906" s="80"/>
      <c r="AS906" s="80"/>
      <c r="AT906" s="80"/>
      <c r="AU906" s="80"/>
      <c r="AV906" s="80"/>
      <c r="AW906" s="80"/>
      <c r="AX906" s="80"/>
      <c r="AY906" s="80"/>
      <c r="AZ906" s="80"/>
      <c r="BA906" s="80"/>
      <c r="BB906" s="80"/>
      <c r="BC906" s="80"/>
      <c r="BD906" s="80"/>
      <c r="BE906" s="80"/>
      <c r="BF906" s="80"/>
      <c r="BG906" s="80"/>
      <c r="BH906" s="80"/>
      <c r="BI906" s="80"/>
      <c r="BJ906" s="80"/>
      <c r="BK906" s="80"/>
      <c r="BL906" s="80"/>
      <c r="BM906" s="80"/>
      <c r="BN906" s="80"/>
      <c r="BO906" s="80"/>
      <c r="BP906" s="80"/>
      <c r="BQ906" s="80"/>
      <c r="BR906" s="80"/>
      <c r="BS906" s="80"/>
      <c r="BT906" s="80"/>
      <c r="BU906" s="80"/>
      <c r="BV906" s="80"/>
      <c r="BW906" s="80"/>
      <c r="BX906" s="80"/>
      <c r="BY906" s="80"/>
      <c r="BZ906" s="80"/>
      <c r="CA906" s="80"/>
      <c r="CB906" s="80"/>
      <c r="CC906" s="80"/>
      <c r="CD906" s="80"/>
      <c r="CE906" s="80"/>
      <c r="CF906" s="80"/>
      <c r="CG906" s="80"/>
      <c r="CH906" s="80"/>
      <c r="CI906" s="80"/>
      <c r="CJ906" s="80"/>
      <c r="CK906" s="82"/>
      <c r="CL906" s="12"/>
      <c r="CM906" s="82"/>
      <c r="CN906" s="12"/>
      <c r="CO906" s="82"/>
      <c r="CP906" s="12"/>
      <c r="CQ906" s="83">
        <f t="shared" ref="CQ906:CQ917" si="133">AJ906+AL906+AN906+AP906+AR906+AT906+AV906+AX906+AZ906+BB906+BD906+BF906+BH906+BJ906+BL906+BN906+BP906+BR906+BT906+BV906+BX906+BZ906+CB906+CD906+CF906+CH906+CJ906+CL906+CN906+CP906</f>
        <v>0</v>
      </c>
      <c r="CR906" s="84"/>
      <c r="CS906" s="13"/>
      <c r="CT906" s="85"/>
      <c r="CU906" s="86"/>
      <c r="CV906" s="11"/>
      <c r="CW906" s="86"/>
      <c r="CX906" s="84"/>
      <c r="CY906" s="86"/>
    </row>
    <row r="907" spans="1:103" ht="12.75" x14ac:dyDescent="0.2">
      <c r="A907" s="43">
        <v>40096</v>
      </c>
      <c r="B907" s="44" t="s">
        <v>1453</v>
      </c>
      <c r="C907" s="44" t="s">
        <v>490</v>
      </c>
      <c r="D907" s="45" t="s">
        <v>1117</v>
      </c>
      <c r="E907" s="11"/>
      <c r="F907" s="12"/>
      <c r="G907" s="12"/>
      <c r="H907" s="12">
        <f>123*5</f>
        <v>615</v>
      </c>
      <c r="I907" s="12">
        <v>123</v>
      </c>
      <c r="J907" s="12"/>
      <c r="K907" s="12">
        <v>123</v>
      </c>
      <c r="L907" s="12"/>
      <c r="M907" s="12"/>
      <c r="N907" s="12"/>
      <c r="O907" s="12"/>
      <c r="P907" s="12"/>
      <c r="Q907" s="12"/>
      <c r="R907" s="12"/>
      <c r="S907" s="12"/>
      <c r="T907" s="13"/>
      <c r="U907" s="46"/>
      <c r="V907" s="47">
        <v>40156</v>
      </c>
      <c r="W907" s="48">
        <f t="shared" si="128"/>
        <v>0</v>
      </c>
      <c r="X907" s="48">
        <f t="shared" si="129"/>
        <v>0</v>
      </c>
      <c r="Y907" s="48">
        <f t="shared" si="130"/>
        <v>22890000</v>
      </c>
      <c r="Z907" s="48">
        <f t="shared" si="131"/>
        <v>0</v>
      </c>
      <c r="AA907" s="48"/>
      <c r="AB907" s="48"/>
      <c r="AC907" s="49">
        <f t="shared" si="132"/>
        <v>22890000</v>
      </c>
      <c r="AD907" s="50">
        <v>0</v>
      </c>
      <c r="AE907" s="47">
        <v>40128</v>
      </c>
      <c r="AF907" s="51" t="s">
        <v>1016</v>
      </c>
      <c r="AG907" s="52" t="s">
        <v>565</v>
      </c>
      <c r="AH907" s="53"/>
      <c r="AI907" s="79"/>
      <c r="AJ907" s="80"/>
      <c r="AK907" s="81"/>
      <c r="AL907" s="80"/>
      <c r="AM907" s="80"/>
      <c r="AN907" s="80"/>
      <c r="AO907" s="80"/>
      <c r="AP907" s="80"/>
      <c r="AQ907" s="80"/>
      <c r="AR907" s="80"/>
      <c r="AS907" s="80"/>
      <c r="AT907" s="80"/>
      <c r="AU907" s="80"/>
      <c r="AV907" s="80"/>
      <c r="AW907" s="80"/>
      <c r="AX907" s="80"/>
      <c r="AY907" s="80"/>
      <c r="AZ907" s="80"/>
      <c r="BA907" s="80"/>
      <c r="BB907" s="80"/>
      <c r="BC907" s="80"/>
      <c r="BD907" s="80"/>
      <c r="BE907" s="80"/>
      <c r="BF907" s="80"/>
      <c r="BG907" s="80"/>
      <c r="BH907" s="80"/>
      <c r="BI907" s="80"/>
      <c r="BJ907" s="80"/>
      <c r="BK907" s="80"/>
      <c r="BL907" s="80"/>
      <c r="BM907" s="80"/>
      <c r="BN907" s="80"/>
      <c r="BO907" s="80"/>
      <c r="BP907" s="80"/>
      <c r="BQ907" s="80"/>
      <c r="BR907" s="80"/>
      <c r="BS907" s="80"/>
      <c r="BT907" s="80"/>
      <c r="BU907" s="80"/>
      <c r="BV907" s="80"/>
      <c r="BW907" s="80"/>
      <c r="BX907" s="80"/>
      <c r="BY907" s="80"/>
      <c r="BZ907" s="80"/>
      <c r="CA907" s="80"/>
      <c r="CB907" s="80"/>
      <c r="CC907" s="80"/>
      <c r="CD907" s="80"/>
      <c r="CE907" s="80"/>
      <c r="CF907" s="80"/>
      <c r="CG907" s="80"/>
      <c r="CH907" s="80"/>
      <c r="CI907" s="80"/>
      <c r="CJ907" s="80"/>
      <c r="CK907" s="82"/>
      <c r="CL907" s="12"/>
      <c r="CM907" s="82"/>
      <c r="CN907" s="12"/>
      <c r="CO907" s="82"/>
      <c r="CP907" s="12"/>
      <c r="CQ907" s="83">
        <f t="shared" si="133"/>
        <v>0</v>
      </c>
      <c r="CR907" s="84"/>
      <c r="CS907" s="13"/>
      <c r="CT907" s="85"/>
      <c r="CU907" s="86"/>
      <c r="CV907" s="11"/>
      <c r="CW907" s="86"/>
      <c r="CX907" s="84">
        <v>1050</v>
      </c>
      <c r="CY907" s="86">
        <f>1050*21000+4200*200</f>
        <v>22890000</v>
      </c>
    </row>
    <row r="908" spans="1:103" ht="114.75" x14ac:dyDescent="0.2">
      <c r="A908" s="43">
        <v>40097</v>
      </c>
      <c r="B908" s="44" t="s">
        <v>600</v>
      </c>
      <c r="C908" s="44" t="s">
        <v>241</v>
      </c>
      <c r="D908" s="45" t="s">
        <v>1117</v>
      </c>
      <c r="E908" s="11"/>
      <c r="F908" s="12"/>
      <c r="G908" s="12"/>
      <c r="H908" s="12">
        <f>255*5</f>
        <v>1275</v>
      </c>
      <c r="I908" s="12">
        <v>255</v>
      </c>
      <c r="J908" s="12"/>
      <c r="K908" s="12">
        <v>255</v>
      </c>
      <c r="L908" s="12"/>
      <c r="M908" s="12"/>
      <c r="N908" s="12"/>
      <c r="O908" s="12"/>
      <c r="P908" s="12"/>
      <c r="Q908" s="12"/>
      <c r="R908" s="12"/>
      <c r="S908" s="12"/>
      <c r="T908" s="13"/>
      <c r="U908" s="46"/>
      <c r="V908" s="47">
        <v>40198</v>
      </c>
      <c r="W908" s="48">
        <f t="shared" si="128"/>
        <v>38237760</v>
      </c>
      <c r="X908" s="48">
        <f t="shared" si="129"/>
        <v>21675000</v>
      </c>
      <c r="Y908" s="48">
        <f t="shared" si="130"/>
        <v>11000000</v>
      </c>
      <c r="Z908" s="48">
        <f t="shared" si="131"/>
        <v>0</v>
      </c>
      <c r="AA908" s="48"/>
      <c r="AB908" s="48"/>
      <c r="AC908" s="49">
        <f t="shared" si="132"/>
        <v>70912760</v>
      </c>
      <c r="AD908" s="50">
        <v>0</v>
      </c>
      <c r="AE908" s="47">
        <v>40099</v>
      </c>
      <c r="AF908" s="51" t="s">
        <v>1016</v>
      </c>
      <c r="AG908" s="52" t="s">
        <v>565</v>
      </c>
      <c r="AH908" s="53" t="s">
        <v>35</v>
      </c>
      <c r="AI908" s="79"/>
      <c r="AJ908" s="80"/>
      <c r="AK908" s="81"/>
      <c r="AL908" s="80"/>
      <c r="AM908" s="80"/>
      <c r="AN908" s="80"/>
      <c r="AO908" s="80"/>
      <c r="AP908" s="80"/>
      <c r="AQ908" s="80"/>
      <c r="AR908" s="80"/>
      <c r="AS908" s="80"/>
      <c r="AT908" s="80"/>
      <c r="AU908" s="80">
        <v>255</v>
      </c>
      <c r="AV908" s="80">
        <f>255*56000</f>
        <v>14280000</v>
      </c>
      <c r="AW908" s="80"/>
      <c r="AX908" s="80"/>
      <c r="AY908" s="80"/>
      <c r="AZ908" s="80"/>
      <c r="BA908" s="80"/>
      <c r="BB908" s="80"/>
      <c r="BC908" s="80"/>
      <c r="BD908" s="80"/>
      <c r="BE908" s="80"/>
      <c r="BF908" s="80"/>
      <c r="BG908" s="80"/>
      <c r="BH908" s="80"/>
      <c r="BI908" s="80"/>
      <c r="BJ908" s="80"/>
      <c r="BK908" s="80"/>
      <c r="BL908" s="80"/>
      <c r="BM908" s="80"/>
      <c r="BN908" s="80"/>
      <c r="BO908" s="80"/>
      <c r="BP908" s="80"/>
      <c r="BQ908" s="80"/>
      <c r="BR908" s="80"/>
      <c r="BS908" s="80"/>
      <c r="BT908" s="80"/>
      <c r="BU908" s="80"/>
      <c r="BV908" s="80"/>
      <c r="BW908" s="80"/>
      <c r="BX908" s="80"/>
      <c r="BY908" s="80"/>
      <c r="BZ908" s="80"/>
      <c r="CA908" s="80"/>
      <c r="CB908" s="80"/>
      <c r="CC908" s="80"/>
      <c r="CD908" s="80"/>
      <c r="CE908" s="80">
        <v>255</v>
      </c>
      <c r="CF908" s="80">
        <f>255*21000</f>
        <v>5355000</v>
      </c>
      <c r="CG908" s="80"/>
      <c r="CH908" s="80"/>
      <c r="CI908" s="80"/>
      <c r="CJ908" s="80"/>
      <c r="CK908" s="82">
        <v>255</v>
      </c>
      <c r="CL908" s="12">
        <f>255*36952</f>
        <v>9422760</v>
      </c>
      <c r="CM908" s="82">
        <v>255</v>
      </c>
      <c r="CN908" s="12">
        <f>255*36000</f>
        <v>9180000</v>
      </c>
      <c r="CO908" s="82"/>
      <c r="CP908" s="12"/>
      <c r="CQ908" s="83">
        <f t="shared" si="133"/>
        <v>38237760</v>
      </c>
      <c r="CR908" s="84"/>
      <c r="CS908" s="13"/>
      <c r="CT908" s="85">
        <v>255</v>
      </c>
      <c r="CU908" s="86">
        <f>255*85000</f>
        <v>21675000</v>
      </c>
      <c r="CV908" s="11"/>
      <c r="CW908" s="86"/>
      <c r="CX908" s="84">
        <v>500</v>
      </c>
      <c r="CY908" s="86">
        <f>500*22000</f>
        <v>11000000</v>
      </c>
    </row>
    <row r="909" spans="1:103" ht="25.5" x14ac:dyDescent="0.2">
      <c r="A909" s="43">
        <v>40098</v>
      </c>
      <c r="B909" s="44" t="s">
        <v>1127</v>
      </c>
      <c r="C909" s="44" t="s">
        <v>116</v>
      </c>
      <c r="D909" s="45" t="s">
        <v>1118</v>
      </c>
      <c r="E909" s="11"/>
      <c r="F909" s="12"/>
      <c r="G909" s="12"/>
      <c r="H909" s="12">
        <v>60</v>
      </c>
      <c r="I909" s="12">
        <v>12</v>
      </c>
      <c r="J909" s="12"/>
      <c r="K909" s="12">
        <v>12</v>
      </c>
      <c r="L909" s="12"/>
      <c r="M909" s="12"/>
      <c r="N909" s="12"/>
      <c r="O909" s="12"/>
      <c r="P909" s="12"/>
      <c r="Q909" s="12"/>
      <c r="R909" s="12"/>
      <c r="S909" s="12"/>
      <c r="T909" s="13"/>
      <c r="U909" s="46"/>
      <c r="V909" s="47"/>
      <c r="W909" s="48">
        <f t="shared" si="128"/>
        <v>0</v>
      </c>
      <c r="X909" s="48">
        <f t="shared" si="129"/>
        <v>0</v>
      </c>
      <c r="Y909" s="48">
        <f t="shared" si="130"/>
        <v>0</v>
      </c>
      <c r="Z909" s="48">
        <f t="shared" si="131"/>
        <v>0</v>
      </c>
      <c r="AA909" s="48"/>
      <c r="AB909" s="48"/>
      <c r="AC909" s="49">
        <f t="shared" si="132"/>
        <v>0</v>
      </c>
      <c r="AD909" s="50">
        <v>0</v>
      </c>
      <c r="AE909" s="47">
        <v>40100</v>
      </c>
      <c r="AF909" s="51" t="s">
        <v>516</v>
      </c>
      <c r="AG909" s="52" t="s">
        <v>517</v>
      </c>
      <c r="AH909" s="53" t="s">
        <v>776</v>
      </c>
      <c r="AI909" s="79"/>
      <c r="AJ909" s="80"/>
      <c r="AK909" s="81"/>
      <c r="AL909" s="80"/>
      <c r="AM909" s="80"/>
      <c r="AN909" s="80"/>
      <c r="AO909" s="80"/>
      <c r="AP909" s="80"/>
      <c r="AQ909" s="80"/>
      <c r="AR909" s="80"/>
      <c r="AS909" s="80"/>
      <c r="AT909" s="80"/>
      <c r="AU909" s="80"/>
      <c r="AV909" s="80"/>
      <c r="AW909" s="80"/>
      <c r="AX909" s="80"/>
      <c r="AY909" s="80"/>
      <c r="AZ909" s="80"/>
      <c r="BA909" s="80"/>
      <c r="BB909" s="80"/>
      <c r="BC909" s="80"/>
      <c r="BD909" s="80"/>
      <c r="BE909" s="80"/>
      <c r="BF909" s="80"/>
      <c r="BG909" s="80"/>
      <c r="BH909" s="80"/>
      <c r="BI909" s="80"/>
      <c r="BJ909" s="80"/>
      <c r="BK909" s="80"/>
      <c r="BL909" s="80"/>
      <c r="BM909" s="80"/>
      <c r="BN909" s="80"/>
      <c r="BO909" s="80"/>
      <c r="BP909" s="80"/>
      <c r="BQ909" s="80"/>
      <c r="BR909" s="80"/>
      <c r="BS909" s="80"/>
      <c r="BT909" s="80"/>
      <c r="BU909" s="80"/>
      <c r="BV909" s="80"/>
      <c r="BW909" s="80"/>
      <c r="BX909" s="80"/>
      <c r="BY909" s="80"/>
      <c r="BZ909" s="80"/>
      <c r="CA909" s="80"/>
      <c r="CB909" s="80"/>
      <c r="CC909" s="80"/>
      <c r="CD909" s="80"/>
      <c r="CE909" s="80"/>
      <c r="CF909" s="80"/>
      <c r="CG909" s="80"/>
      <c r="CH909" s="80"/>
      <c r="CI909" s="80"/>
      <c r="CJ909" s="80"/>
      <c r="CK909" s="82"/>
      <c r="CL909" s="12"/>
      <c r="CM909" s="82"/>
      <c r="CN909" s="12"/>
      <c r="CO909" s="82"/>
      <c r="CP909" s="12"/>
      <c r="CQ909" s="83">
        <f t="shared" si="133"/>
        <v>0</v>
      </c>
      <c r="CR909" s="84"/>
      <c r="CS909" s="13"/>
      <c r="CT909" s="85"/>
      <c r="CU909" s="86"/>
      <c r="CV909" s="11"/>
      <c r="CW909" s="86"/>
      <c r="CX909" s="84"/>
      <c r="CY909" s="86"/>
    </row>
    <row r="910" spans="1:103" ht="25.5" x14ac:dyDescent="0.2">
      <c r="A910" s="43">
        <v>40098</v>
      </c>
      <c r="B910" s="44" t="s">
        <v>600</v>
      </c>
      <c r="C910" s="44" t="s">
        <v>109</v>
      </c>
      <c r="D910" s="45" t="s">
        <v>1117</v>
      </c>
      <c r="E910" s="11"/>
      <c r="F910" s="12"/>
      <c r="G910" s="12"/>
      <c r="H910" s="12">
        <v>250</v>
      </c>
      <c r="I910" s="12">
        <v>50</v>
      </c>
      <c r="J910" s="12"/>
      <c r="K910" s="12">
        <v>50</v>
      </c>
      <c r="L910" s="12"/>
      <c r="M910" s="12"/>
      <c r="N910" s="12"/>
      <c r="O910" s="12"/>
      <c r="P910" s="12"/>
      <c r="Q910" s="12"/>
      <c r="R910" s="12"/>
      <c r="S910" s="12"/>
      <c r="T910" s="13"/>
      <c r="U910" s="46"/>
      <c r="V910" s="47"/>
      <c r="W910" s="48">
        <f t="shared" si="128"/>
        <v>0</v>
      </c>
      <c r="X910" s="48">
        <f t="shared" si="129"/>
        <v>0</v>
      </c>
      <c r="Y910" s="48">
        <f t="shared" si="130"/>
        <v>0</v>
      </c>
      <c r="Z910" s="48">
        <f t="shared" si="131"/>
        <v>0</v>
      </c>
      <c r="AA910" s="48"/>
      <c r="AB910" s="48"/>
      <c r="AC910" s="49">
        <f t="shared" si="132"/>
        <v>0</v>
      </c>
      <c r="AD910" s="50">
        <v>0</v>
      </c>
      <c r="AE910" s="47">
        <v>40100</v>
      </c>
      <c r="AF910" s="51" t="s">
        <v>516</v>
      </c>
      <c r="AG910" s="52" t="s">
        <v>517</v>
      </c>
      <c r="AH910" s="53" t="s">
        <v>777</v>
      </c>
      <c r="AI910" s="79"/>
      <c r="AJ910" s="80"/>
      <c r="AK910" s="81"/>
      <c r="AL910" s="80"/>
      <c r="AM910" s="80"/>
      <c r="AN910" s="80"/>
      <c r="AO910" s="80"/>
      <c r="AP910" s="80"/>
      <c r="AQ910" s="80"/>
      <c r="AR910" s="80"/>
      <c r="AS910" s="80"/>
      <c r="AT910" s="80"/>
      <c r="AU910" s="80"/>
      <c r="AV910" s="80"/>
      <c r="AW910" s="80"/>
      <c r="AX910" s="80"/>
      <c r="AY910" s="80"/>
      <c r="AZ910" s="80"/>
      <c r="BA910" s="80"/>
      <c r="BB910" s="80"/>
      <c r="BC910" s="80"/>
      <c r="BD910" s="80"/>
      <c r="BE910" s="80"/>
      <c r="BF910" s="80"/>
      <c r="BG910" s="80"/>
      <c r="BH910" s="80"/>
      <c r="BI910" s="80"/>
      <c r="BJ910" s="80"/>
      <c r="BK910" s="80"/>
      <c r="BL910" s="80"/>
      <c r="BM910" s="80"/>
      <c r="BN910" s="80"/>
      <c r="BO910" s="80"/>
      <c r="BP910" s="80"/>
      <c r="BQ910" s="80"/>
      <c r="BR910" s="80"/>
      <c r="BS910" s="80"/>
      <c r="BT910" s="80"/>
      <c r="BU910" s="80"/>
      <c r="BV910" s="80"/>
      <c r="BW910" s="80"/>
      <c r="BX910" s="80"/>
      <c r="BY910" s="80"/>
      <c r="BZ910" s="80"/>
      <c r="CA910" s="80"/>
      <c r="CB910" s="80"/>
      <c r="CC910" s="80"/>
      <c r="CD910" s="80"/>
      <c r="CE910" s="80"/>
      <c r="CF910" s="80"/>
      <c r="CG910" s="80"/>
      <c r="CH910" s="80"/>
      <c r="CI910" s="80"/>
      <c r="CJ910" s="80"/>
      <c r="CK910" s="82"/>
      <c r="CL910" s="12"/>
      <c r="CM910" s="82"/>
      <c r="CN910" s="12"/>
      <c r="CO910" s="82"/>
      <c r="CP910" s="12"/>
      <c r="CQ910" s="83">
        <f t="shared" si="133"/>
        <v>0</v>
      </c>
      <c r="CR910" s="84"/>
      <c r="CS910" s="13"/>
      <c r="CT910" s="85"/>
      <c r="CU910" s="86"/>
      <c r="CV910" s="11"/>
      <c r="CW910" s="86"/>
      <c r="CX910" s="84"/>
      <c r="CY910" s="86"/>
    </row>
    <row r="911" spans="1:103" ht="38.25" x14ac:dyDescent="0.2">
      <c r="A911" s="43">
        <v>40098</v>
      </c>
      <c r="B911" s="44" t="s">
        <v>781</v>
      </c>
      <c r="C911" s="44" t="s">
        <v>1163</v>
      </c>
      <c r="D911" s="45" t="s">
        <v>1116</v>
      </c>
      <c r="E911" s="11"/>
      <c r="F911" s="12"/>
      <c r="G911" s="12"/>
      <c r="H911" s="12">
        <v>5</v>
      </c>
      <c r="I911" s="12">
        <v>1</v>
      </c>
      <c r="J911" s="12">
        <v>1</v>
      </c>
      <c r="K911" s="12"/>
      <c r="L911" s="12"/>
      <c r="M911" s="12"/>
      <c r="N911" s="12"/>
      <c r="O911" s="12"/>
      <c r="P911" s="12"/>
      <c r="Q911" s="12"/>
      <c r="R911" s="12"/>
      <c r="S911" s="12"/>
      <c r="T911" s="13"/>
      <c r="U911" s="46"/>
      <c r="V911" s="47"/>
      <c r="W911" s="48">
        <f t="shared" si="128"/>
        <v>0</v>
      </c>
      <c r="X911" s="48">
        <f t="shared" si="129"/>
        <v>0</v>
      </c>
      <c r="Y911" s="48">
        <f t="shared" si="130"/>
        <v>0</v>
      </c>
      <c r="Z911" s="48">
        <f t="shared" si="131"/>
        <v>0</v>
      </c>
      <c r="AA911" s="48"/>
      <c r="AB911" s="48"/>
      <c r="AC911" s="49">
        <f t="shared" si="132"/>
        <v>0</v>
      </c>
      <c r="AD911" s="50">
        <v>0</v>
      </c>
      <c r="AE911" s="47">
        <v>40100</v>
      </c>
      <c r="AF911" s="51" t="s">
        <v>516</v>
      </c>
      <c r="AG911" s="52" t="s">
        <v>517</v>
      </c>
      <c r="AH911" s="53" t="s">
        <v>775</v>
      </c>
      <c r="AI911" s="79"/>
      <c r="AJ911" s="80"/>
      <c r="AK911" s="81"/>
      <c r="AL911" s="80"/>
      <c r="AM911" s="80"/>
      <c r="AN911" s="80"/>
      <c r="AO911" s="80"/>
      <c r="AP911" s="80"/>
      <c r="AQ911" s="80"/>
      <c r="AR911" s="80"/>
      <c r="AS911" s="80"/>
      <c r="AT911" s="80"/>
      <c r="AU911" s="80"/>
      <c r="AV911" s="80"/>
      <c r="AW911" s="80"/>
      <c r="AX911" s="80"/>
      <c r="AY911" s="80"/>
      <c r="AZ911" s="80"/>
      <c r="BA911" s="80"/>
      <c r="BB911" s="80"/>
      <c r="BC911" s="80"/>
      <c r="BD911" s="80"/>
      <c r="BE911" s="80"/>
      <c r="BF911" s="80"/>
      <c r="BG911" s="80"/>
      <c r="BH911" s="80"/>
      <c r="BI911" s="80"/>
      <c r="BJ911" s="80"/>
      <c r="BK911" s="80"/>
      <c r="BL911" s="80"/>
      <c r="BM911" s="80"/>
      <c r="BN911" s="80"/>
      <c r="BO911" s="80"/>
      <c r="BP911" s="80"/>
      <c r="BQ911" s="80"/>
      <c r="BR911" s="80"/>
      <c r="BS911" s="80"/>
      <c r="BT911" s="80"/>
      <c r="BU911" s="80"/>
      <c r="BV911" s="80"/>
      <c r="BW911" s="80"/>
      <c r="BX911" s="80"/>
      <c r="BY911" s="80"/>
      <c r="BZ911" s="80"/>
      <c r="CA911" s="80"/>
      <c r="CB911" s="80"/>
      <c r="CC911" s="80"/>
      <c r="CD911" s="80"/>
      <c r="CE911" s="80"/>
      <c r="CF911" s="80"/>
      <c r="CG911" s="80"/>
      <c r="CH911" s="80"/>
      <c r="CI911" s="80"/>
      <c r="CJ911" s="80"/>
      <c r="CK911" s="82"/>
      <c r="CL911" s="12"/>
      <c r="CM911" s="82"/>
      <c r="CN911" s="12"/>
      <c r="CO911" s="82"/>
      <c r="CP911" s="12"/>
      <c r="CQ911" s="83">
        <f t="shared" si="133"/>
        <v>0</v>
      </c>
      <c r="CR911" s="84"/>
      <c r="CS911" s="13"/>
      <c r="CT911" s="85"/>
      <c r="CU911" s="86"/>
      <c r="CV911" s="11"/>
      <c r="CW911" s="86"/>
      <c r="CX911" s="84"/>
      <c r="CY911" s="86"/>
    </row>
    <row r="912" spans="1:103" ht="25.5" x14ac:dyDescent="0.2">
      <c r="A912" s="43">
        <v>40098</v>
      </c>
      <c r="B912" s="44" t="s">
        <v>1136</v>
      </c>
      <c r="C912" s="44" t="s">
        <v>425</v>
      </c>
      <c r="D912" s="45" t="s">
        <v>1070</v>
      </c>
      <c r="E912" s="11">
        <v>6</v>
      </c>
      <c r="F912" s="12">
        <v>9</v>
      </c>
      <c r="G912" s="12"/>
      <c r="H912" s="12"/>
      <c r="I912" s="12"/>
      <c r="J912" s="12"/>
      <c r="K912" s="12"/>
      <c r="L912" s="12"/>
      <c r="M912" s="12"/>
      <c r="N912" s="12"/>
      <c r="O912" s="12"/>
      <c r="P912" s="12"/>
      <c r="Q912" s="12"/>
      <c r="R912" s="12"/>
      <c r="S912" s="12"/>
      <c r="T912" s="13"/>
      <c r="U912" s="46"/>
      <c r="V912" s="47"/>
      <c r="W912" s="48">
        <f t="shared" si="128"/>
        <v>0</v>
      </c>
      <c r="X912" s="48">
        <f t="shared" si="129"/>
        <v>0</v>
      </c>
      <c r="Y912" s="48">
        <f t="shared" si="130"/>
        <v>0</v>
      </c>
      <c r="Z912" s="48">
        <f t="shared" si="131"/>
        <v>0</v>
      </c>
      <c r="AA912" s="48"/>
      <c r="AB912" s="48"/>
      <c r="AC912" s="49">
        <f t="shared" si="132"/>
        <v>0</v>
      </c>
      <c r="AD912" s="50">
        <v>0</v>
      </c>
      <c r="AE912" s="47">
        <v>40100</v>
      </c>
      <c r="AF912" s="51" t="s">
        <v>516</v>
      </c>
      <c r="AG912" s="52" t="s">
        <v>517</v>
      </c>
      <c r="AH912" s="53" t="s">
        <v>45</v>
      </c>
      <c r="AI912" s="79"/>
      <c r="AJ912" s="80"/>
      <c r="AK912" s="81"/>
      <c r="AL912" s="80"/>
      <c r="AM912" s="80"/>
      <c r="AN912" s="80"/>
      <c r="AO912" s="80"/>
      <c r="AP912" s="80"/>
      <c r="AQ912" s="80"/>
      <c r="AR912" s="80"/>
      <c r="AS912" s="80"/>
      <c r="AT912" s="80"/>
      <c r="AU912" s="80"/>
      <c r="AV912" s="80"/>
      <c r="AW912" s="80"/>
      <c r="AX912" s="80"/>
      <c r="AY912" s="80"/>
      <c r="AZ912" s="80"/>
      <c r="BA912" s="80"/>
      <c r="BB912" s="80"/>
      <c r="BC912" s="80"/>
      <c r="BD912" s="80"/>
      <c r="BE912" s="80"/>
      <c r="BF912" s="80"/>
      <c r="BG912" s="80"/>
      <c r="BH912" s="80"/>
      <c r="BI912" s="80"/>
      <c r="BJ912" s="80"/>
      <c r="BK912" s="80"/>
      <c r="BL912" s="80"/>
      <c r="BM912" s="80"/>
      <c r="BN912" s="80"/>
      <c r="BO912" s="80"/>
      <c r="BP912" s="80"/>
      <c r="BQ912" s="80"/>
      <c r="BR912" s="80"/>
      <c r="BS912" s="80"/>
      <c r="BT912" s="80"/>
      <c r="BU912" s="80"/>
      <c r="BV912" s="80"/>
      <c r="BW912" s="80"/>
      <c r="BX912" s="80"/>
      <c r="BY912" s="80"/>
      <c r="BZ912" s="80"/>
      <c r="CA912" s="80"/>
      <c r="CB912" s="80"/>
      <c r="CC912" s="80"/>
      <c r="CD912" s="80"/>
      <c r="CE912" s="80"/>
      <c r="CF912" s="80"/>
      <c r="CG912" s="80"/>
      <c r="CH912" s="80"/>
      <c r="CI912" s="80"/>
      <c r="CJ912" s="80"/>
      <c r="CK912" s="82"/>
      <c r="CL912" s="12"/>
      <c r="CM912" s="82"/>
      <c r="CN912" s="12"/>
      <c r="CO912" s="82"/>
      <c r="CP912" s="12"/>
      <c r="CQ912" s="83">
        <f t="shared" si="133"/>
        <v>0</v>
      </c>
      <c r="CR912" s="84"/>
      <c r="CS912" s="13"/>
      <c r="CT912" s="85"/>
      <c r="CU912" s="86"/>
      <c r="CV912" s="11"/>
      <c r="CW912" s="86"/>
      <c r="CX912" s="84"/>
      <c r="CY912" s="86"/>
    </row>
    <row r="913" spans="1:103" ht="25.5" x14ac:dyDescent="0.2">
      <c r="A913" s="43">
        <v>40098</v>
      </c>
      <c r="B913" s="44" t="s">
        <v>904</v>
      </c>
      <c r="C913" s="44" t="s">
        <v>84</v>
      </c>
      <c r="D913" s="45" t="s">
        <v>1117</v>
      </c>
      <c r="E913" s="11"/>
      <c r="F913" s="12"/>
      <c r="G913" s="12"/>
      <c r="H913" s="12">
        <v>25</v>
      </c>
      <c r="I913" s="12">
        <v>5</v>
      </c>
      <c r="J913" s="12"/>
      <c r="K913" s="12">
        <v>5</v>
      </c>
      <c r="L913" s="12"/>
      <c r="M913" s="12"/>
      <c r="N913" s="12"/>
      <c r="O913" s="12"/>
      <c r="P913" s="12"/>
      <c r="Q913" s="12"/>
      <c r="R913" s="12"/>
      <c r="S913" s="12"/>
      <c r="T913" s="13"/>
      <c r="U913" s="46"/>
      <c r="V913" s="47"/>
      <c r="W913" s="48">
        <f t="shared" si="128"/>
        <v>0</v>
      </c>
      <c r="X913" s="48">
        <f t="shared" si="129"/>
        <v>0</v>
      </c>
      <c r="Y913" s="48">
        <f t="shared" si="130"/>
        <v>0</v>
      </c>
      <c r="Z913" s="48">
        <f t="shared" si="131"/>
        <v>0</v>
      </c>
      <c r="AA913" s="48"/>
      <c r="AB913" s="48"/>
      <c r="AC913" s="49">
        <f t="shared" si="132"/>
        <v>0</v>
      </c>
      <c r="AD913" s="50">
        <v>0</v>
      </c>
      <c r="AE913" s="47">
        <v>40120</v>
      </c>
      <c r="AF913" s="51" t="s">
        <v>516</v>
      </c>
      <c r="AG913" s="52" t="s">
        <v>517</v>
      </c>
      <c r="AH913" s="53" t="s">
        <v>317</v>
      </c>
      <c r="AI913" s="79"/>
      <c r="AJ913" s="80"/>
      <c r="AK913" s="81"/>
      <c r="AL913" s="80"/>
      <c r="AM913" s="80"/>
      <c r="AN913" s="80"/>
      <c r="AO913" s="80"/>
      <c r="AP913" s="80"/>
      <c r="AQ913" s="80"/>
      <c r="AR913" s="80"/>
      <c r="AS913" s="80"/>
      <c r="AT913" s="80"/>
      <c r="AU913" s="80"/>
      <c r="AV913" s="80"/>
      <c r="AW913" s="80"/>
      <c r="AX913" s="80"/>
      <c r="AY913" s="80"/>
      <c r="AZ913" s="80"/>
      <c r="BA913" s="80"/>
      <c r="BB913" s="80"/>
      <c r="BC913" s="80"/>
      <c r="BD913" s="80"/>
      <c r="BE913" s="80"/>
      <c r="BF913" s="80"/>
      <c r="BG913" s="80"/>
      <c r="BH913" s="80"/>
      <c r="BI913" s="80"/>
      <c r="BJ913" s="80"/>
      <c r="BK913" s="80"/>
      <c r="BL913" s="80"/>
      <c r="BM913" s="80"/>
      <c r="BN913" s="80"/>
      <c r="BO913" s="80"/>
      <c r="BP913" s="80"/>
      <c r="BQ913" s="80"/>
      <c r="BR913" s="80"/>
      <c r="BS913" s="80"/>
      <c r="BT913" s="80"/>
      <c r="BU913" s="80"/>
      <c r="BV913" s="80"/>
      <c r="BW913" s="80"/>
      <c r="BX913" s="80"/>
      <c r="BY913" s="80"/>
      <c r="BZ913" s="80"/>
      <c r="CA913" s="80"/>
      <c r="CB913" s="80"/>
      <c r="CC913" s="80"/>
      <c r="CD913" s="80"/>
      <c r="CE913" s="80"/>
      <c r="CF913" s="80"/>
      <c r="CG913" s="80"/>
      <c r="CH913" s="80"/>
      <c r="CI913" s="80"/>
      <c r="CJ913" s="80"/>
      <c r="CK913" s="82"/>
      <c r="CL913" s="12"/>
      <c r="CM913" s="82"/>
      <c r="CN913" s="12"/>
      <c r="CO913" s="82"/>
      <c r="CP913" s="12"/>
      <c r="CQ913" s="83">
        <f t="shared" si="133"/>
        <v>0</v>
      </c>
      <c r="CR913" s="84"/>
      <c r="CS913" s="13"/>
      <c r="CT913" s="85"/>
      <c r="CU913" s="86"/>
      <c r="CV913" s="11"/>
      <c r="CW913" s="86"/>
      <c r="CX913" s="84"/>
      <c r="CY913" s="86"/>
    </row>
    <row r="914" spans="1:103" ht="25.5" x14ac:dyDescent="0.2">
      <c r="A914" s="43">
        <v>40098</v>
      </c>
      <c r="B914" s="44" t="s">
        <v>1453</v>
      </c>
      <c r="C914" s="44" t="s">
        <v>1400</v>
      </c>
      <c r="D914" s="45" t="s">
        <v>1117</v>
      </c>
      <c r="E914" s="11"/>
      <c r="F914" s="12"/>
      <c r="G914" s="12"/>
      <c r="H914" s="12">
        <f>45*5</f>
        <v>225</v>
      </c>
      <c r="I914" s="12">
        <v>45</v>
      </c>
      <c r="J914" s="12"/>
      <c r="K914" s="12">
        <v>45</v>
      </c>
      <c r="L914" s="12"/>
      <c r="M914" s="12"/>
      <c r="N914" s="12"/>
      <c r="O914" s="12"/>
      <c r="P914" s="12"/>
      <c r="Q914" s="12"/>
      <c r="R914" s="12"/>
      <c r="S914" s="12"/>
      <c r="T914" s="13"/>
      <c r="U914" s="46"/>
      <c r="V914" s="47">
        <v>40156</v>
      </c>
      <c r="W914" s="48">
        <f t="shared" si="128"/>
        <v>0</v>
      </c>
      <c r="X914" s="48">
        <f t="shared" si="129"/>
        <v>0</v>
      </c>
      <c r="Y914" s="48">
        <f t="shared" si="130"/>
        <v>19620000</v>
      </c>
      <c r="Z914" s="48">
        <f t="shared" si="131"/>
        <v>0</v>
      </c>
      <c r="AA914" s="48"/>
      <c r="AB914" s="48"/>
      <c r="AC914" s="49">
        <f t="shared" si="132"/>
        <v>19620000</v>
      </c>
      <c r="AD914" s="50">
        <v>0</v>
      </c>
      <c r="AE914" s="47">
        <v>40123</v>
      </c>
      <c r="AF914" s="51" t="s">
        <v>1016</v>
      </c>
      <c r="AG914" s="52" t="s">
        <v>565</v>
      </c>
      <c r="AH914" s="53" t="s">
        <v>1406</v>
      </c>
      <c r="AI914" s="79"/>
      <c r="AJ914" s="80"/>
      <c r="AK914" s="81"/>
      <c r="AL914" s="80"/>
      <c r="AM914" s="80"/>
      <c r="AN914" s="80"/>
      <c r="AO914" s="80"/>
      <c r="AP914" s="80"/>
      <c r="AQ914" s="80"/>
      <c r="AR914" s="80"/>
      <c r="AS914" s="80"/>
      <c r="AT914" s="80"/>
      <c r="AU914" s="80"/>
      <c r="AV914" s="80"/>
      <c r="AW914" s="80"/>
      <c r="AX914" s="80"/>
      <c r="AY914" s="80"/>
      <c r="AZ914" s="80"/>
      <c r="BA914" s="80"/>
      <c r="BB914" s="80"/>
      <c r="BC914" s="80"/>
      <c r="BD914" s="80"/>
      <c r="BE914" s="80"/>
      <c r="BF914" s="80"/>
      <c r="BG914" s="80"/>
      <c r="BH914" s="80"/>
      <c r="BI914" s="80"/>
      <c r="BJ914" s="80"/>
      <c r="BK914" s="80"/>
      <c r="BL914" s="80"/>
      <c r="BM914" s="80"/>
      <c r="BN914" s="80"/>
      <c r="BO914" s="80"/>
      <c r="BP914" s="80"/>
      <c r="BQ914" s="80"/>
      <c r="BR914" s="80"/>
      <c r="BS914" s="80"/>
      <c r="BT914" s="80"/>
      <c r="BU914" s="80"/>
      <c r="BV914" s="80"/>
      <c r="BW914" s="80"/>
      <c r="BX914" s="80"/>
      <c r="BY914" s="80"/>
      <c r="BZ914" s="80"/>
      <c r="CA914" s="80"/>
      <c r="CB914" s="80"/>
      <c r="CC914" s="80"/>
      <c r="CD914" s="80"/>
      <c r="CE914" s="80"/>
      <c r="CF914" s="80"/>
      <c r="CG914" s="80"/>
      <c r="CH914" s="80"/>
      <c r="CI914" s="80"/>
      <c r="CJ914" s="80"/>
      <c r="CK914" s="82"/>
      <c r="CL914" s="12"/>
      <c r="CM914" s="82"/>
      <c r="CN914" s="12"/>
      <c r="CO914" s="82"/>
      <c r="CP914" s="12"/>
      <c r="CQ914" s="83">
        <f t="shared" si="133"/>
        <v>0</v>
      </c>
      <c r="CR914" s="84"/>
      <c r="CS914" s="13"/>
      <c r="CT914" s="85"/>
      <c r="CU914" s="86"/>
      <c r="CV914" s="11"/>
      <c r="CW914" s="86"/>
      <c r="CX914" s="84">
        <v>900</v>
      </c>
      <c r="CY914" s="86">
        <f>900*21000+3600*200</f>
        <v>19620000</v>
      </c>
    </row>
    <row r="915" spans="1:103" ht="25.5" x14ac:dyDescent="0.2">
      <c r="A915" s="43">
        <v>40099</v>
      </c>
      <c r="B915" s="44" t="s">
        <v>1127</v>
      </c>
      <c r="C915" s="44" t="s">
        <v>1295</v>
      </c>
      <c r="D915" s="45" t="s">
        <v>1118</v>
      </c>
      <c r="E915" s="11"/>
      <c r="F915" s="12"/>
      <c r="G915" s="12"/>
      <c r="H915" s="12">
        <v>30</v>
      </c>
      <c r="I915" s="12">
        <v>6</v>
      </c>
      <c r="J915" s="12"/>
      <c r="K915" s="12">
        <v>6</v>
      </c>
      <c r="L915" s="12"/>
      <c r="M915" s="12"/>
      <c r="N915" s="12"/>
      <c r="O915" s="12"/>
      <c r="P915" s="12"/>
      <c r="Q915" s="12"/>
      <c r="R915" s="12"/>
      <c r="S915" s="12"/>
      <c r="T915" s="13"/>
      <c r="U915" s="46"/>
      <c r="V915" s="47"/>
      <c r="W915" s="48">
        <f t="shared" si="128"/>
        <v>0</v>
      </c>
      <c r="X915" s="48">
        <f t="shared" si="129"/>
        <v>0</v>
      </c>
      <c r="Y915" s="48">
        <f t="shared" si="130"/>
        <v>0</v>
      </c>
      <c r="Z915" s="48">
        <f t="shared" si="131"/>
        <v>0</v>
      </c>
      <c r="AA915" s="48"/>
      <c r="AB915" s="48"/>
      <c r="AC915" s="49">
        <f t="shared" si="132"/>
        <v>0</v>
      </c>
      <c r="AD915" s="50">
        <v>0</v>
      </c>
      <c r="AE915" s="47">
        <v>40101</v>
      </c>
      <c r="AF915" s="51" t="s">
        <v>516</v>
      </c>
      <c r="AG915" s="52" t="s">
        <v>517</v>
      </c>
      <c r="AH915" s="53" t="s">
        <v>1296</v>
      </c>
      <c r="AI915" s="79"/>
      <c r="AJ915" s="80"/>
      <c r="AK915" s="81"/>
      <c r="AL915" s="80"/>
      <c r="AM915" s="80"/>
      <c r="AN915" s="80"/>
      <c r="AO915" s="80"/>
      <c r="AP915" s="80"/>
      <c r="AQ915" s="80"/>
      <c r="AR915" s="80"/>
      <c r="AS915" s="80"/>
      <c r="AT915" s="80"/>
      <c r="AU915" s="80"/>
      <c r="AV915" s="80"/>
      <c r="AW915" s="80"/>
      <c r="AX915" s="80"/>
      <c r="AY915" s="80"/>
      <c r="AZ915" s="80"/>
      <c r="BA915" s="80"/>
      <c r="BB915" s="80"/>
      <c r="BC915" s="80"/>
      <c r="BD915" s="80"/>
      <c r="BE915" s="80"/>
      <c r="BF915" s="80"/>
      <c r="BG915" s="80"/>
      <c r="BH915" s="80"/>
      <c r="BI915" s="80"/>
      <c r="BJ915" s="80"/>
      <c r="BK915" s="80"/>
      <c r="BL915" s="80"/>
      <c r="BM915" s="80"/>
      <c r="BN915" s="80"/>
      <c r="BO915" s="80"/>
      <c r="BP915" s="80"/>
      <c r="BQ915" s="80"/>
      <c r="BR915" s="80"/>
      <c r="BS915" s="80"/>
      <c r="BT915" s="80"/>
      <c r="BU915" s="80"/>
      <c r="BV915" s="80"/>
      <c r="BW915" s="80"/>
      <c r="BX915" s="80"/>
      <c r="BY915" s="80"/>
      <c r="BZ915" s="80"/>
      <c r="CA915" s="80"/>
      <c r="CB915" s="80"/>
      <c r="CC915" s="80"/>
      <c r="CD915" s="80"/>
      <c r="CE915" s="80"/>
      <c r="CF915" s="80"/>
      <c r="CG915" s="80"/>
      <c r="CH915" s="80"/>
      <c r="CI915" s="80"/>
      <c r="CJ915" s="80"/>
      <c r="CK915" s="82"/>
      <c r="CL915" s="12"/>
      <c r="CM915" s="82"/>
      <c r="CN915" s="12"/>
      <c r="CO915" s="82"/>
      <c r="CP915" s="12"/>
      <c r="CQ915" s="83">
        <f t="shared" si="133"/>
        <v>0</v>
      </c>
      <c r="CR915" s="84"/>
      <c r="CS915" s="13"/>
      <c r="CT915" s="85"/>
      <c r="CU915" s="86"/>
      <c r="CV915" s="11"/>
      <c r="CW915" s="86"/>
      <c r="CX915" s="84"/>
      <c r="CY915" s="86"/>
    </row>
    <row r="916" spans="1:103" ht="25.5" x14ac:dyDescent="0.2">
      <c r="A916" s="43">
        <v>40099</v>
      </c>
      <c r="B916" s="44" t="s">
        <v>625</v>
      </c>
      <c r="C916" s="44" t="s">
        <v>1161</v>
      </c>
      <c r="D916" s="45" t="s">
        <v>1117</v>
      </c>
      <c r="E916" s="11"/>
      <c r="F916" s="12"/>
      <c r="G916" s="12"/>
      <c r="H916" s="12">
        <v>90</v>
      </c>
      <c r="I916" s="12">
        <v>18</v>
      </c>
      <c r="J916" s="12"/>
      <c r="K916" s="12">
        <v>18</v>
      </c>
      <c r="L916" s="12"/>
      <c r="M916" s="12"/>
      <c r="N916" s="12"/>
      <c r="O916" s="12"/>
      <c r="P916" s="12"/>
      <c r="Q916" s="12"/>
      <c r="R916" s="12"/>
      <c r="S916" s="12"/>
      <c r="T916" s="13"/>
      <c r="U916" s="46"/>
      <c r="V916" s="47"/>
      <c r="W916" s="48">
        <f t="shared" si="128"/>
        <v>0</v>
      </c>
      <c r="X916" s="48">
        <f t="shared" si="129"/>
        <v>0</v>
      </c>
      <c r="Y916" s="48">
        <f t="shared" si="130"/>
        <v>0</v>
      </c>
      <c r="Z916" s="48">
        <f t="shared" si="131"/>
        <v>0</v>
      </c>
      <c r="AA916" s="48"/>
      <c r="AB916" s="48"/>
      <c r="AC916" s="49">
        <f t="shared" si="132"/>
        <v>0</v>
      </c>
      <c r="AD916" s="50">
        <v>0</v>
      </c>
      <c r="AE916" s="47">
        <v>40101</v>
      </c>
      <c r="AF916" s="51" t="s">
        <v>516</v>
      </c>
      <c r="AG916" s="52" t="s">
        <v>517</v>
      </c>
      <c r="AH916" s="53" t="s">
        <v>313</v>
      </c>
      <c r="AI916" s="79"/>
      <c r="AJ916" s="80"/>
      <c r="AK916" s="81"/>
      <c r="AL916" s="80"/>
      <c r="AM916" s="80"/>
      <c r="AN916" s="80"/>
      <c r="AO916" s="80"/>
      <c r="AP916" s="80"/>
      <c r="AQ916" s="80"/>
      <c r="AR916" s="80"/>
      <c r="AS916" s="80"/>
      <c r="AT916" s="80"/>
      <c r="AU916" s="80"/>
      <c r="AV916" s="80"/>
      <c r="AW916" s="80"/>
      <c r="AX916" s="80"/>
      <c r="AY916" s="80"/>
      <c r="AZ916" s="80"/>
      <c r="BA916" s="80"/>
      <c r="BB916" s="80"/>
      <c r="BC916" s="80"/>
      <c r="BD916" s="80"/>
      <c r="BE916" s="80"/>
      <c r="BF916" s="80"/>
      <c r="BG916" s="80"/>
      <c r="BH916" s="80"/>
      <c r="BI916" s="80"/>
      <c r="BJ916" s="80"/>
      <c r="BK916" s="80"/>
      <c r="BL916" s="80"/>
      <c r="BM916" s="80"/>
      <c r="BN916" s="80"/>
      <c r="BO916" s="80"/>
      <c r="BP916" s="80"/>
      <c r="BQ916" s="80"/>
      <c r="BR916" s="80"/>
      <c r="BS916" s="80"/>
      <c r="BT916" s="80"/>
      <c r="BU916" s="80"/>
      <c r="BV916" s="80"/>
      <c r="BW916" s="80"/>
      <c r="BX916" s="80"/>
      <c r="BY916" s="80"/>
      <c r="BZ916" s="80"/>
      <c r="CA916" s="80"/>
      <c r="CB916" s="80"/>
      <c r="CC916" s="80"/>
      <c r="CD916" s="80"/>
      <c r="CE916" s="80"/>
      <c r="CF916" s="80"/>
      <c r="CG916" s="80"/>
      <c r="CH916" s="80"/>
      <c r="CI916" s="80"/>
      <c r="CJ916" s="80"/>
      <c r="CK916" s="82"/>
      <c r="CL916" s="12"/>
      <c r="CM916" s="82"/>
      <c r="CN916" s="12"/>
      <c r="CO916" s="82"/>
      <c r="CP916" s="12"/>
      <c r="CQ916" s="83">
        <f t="shared" si="133"/>
        <v>0</v>
      </c>
      <c r="CR916" s="84"/>
      <c r="CS916" s="13"/>
      <c r="CT916" s="85"/>
      <c r="CU916" s="86"/>
      <c r="CV916" s="11"/>
      <c r="CW916" s="86"/>
      <c r="CX916" s="84"/>
      <c r="CY916" s="86"/>
    </row>
    <row r="917" spans="1:103" ht="38.25" x14ac:dyDescent="0.2">
      <c r="A917" s="43">
        <v>40100</v>
      </c>
      <c r="B917" s="44" t="s">
        <v>625</v>
      </c>
      <c r="C917" s="44" t="s">
        <v>1051</v>
      </c>
      <c r="D917" s="45" t="s">
        <v>1116</v>
      </c>
      <c r="E917" s="11"/>
      <c r="F917" s="12"/>
      <c r="G917" s="12"/>
      <c r="H917" s="12">
        <v>5</v>
      </c>
      <c r="I917" s="12">
        <v>1</v>
      </c>
      <c r="J917" s="12">
        <v>1</v>
      </c>
      <c r="K917" s="12"/>
      <c r="L917" s="12"/>
      <c r="M917" s="12"/>
      <c r="N917" s="12"/>
      <c r="O917" s="12"/>
      <c r="P917" s="12"/>
      <c r="Q917" s="12"/>
      <c r="R917" s="12"/>
      <c r="S917" s="12"/>
      <c r="T917" s="13"/>
      <c r="U917" s="46"/>
      <c r="V917" s="47"/>
      <c r="W917" s="48">
        <f t="shared" si="128"/>
        <v>0</v>
      </c>
      <c r="X917" s="48">
        <f t="shared" si="129"/>
        <v>0</v>
      </c>
      <c r="Y917" s="48">
        <f t="shared" si="130"/>
        <v>0</v>
      </c>
      <c r="Z917" s="48">
        <f t="shared" si="131"/>
        <v>0</v>
      </c>
      <c r="AA917" s="48"/>
      <c r="AB917" s="48"/>
      <c r="AC917" s="49">
        <f t="shared" si="132"/>
        <v>0</v>
      </c>
      <c r="AD917" s="50">
        <v>0</v>
      </c>
      <c r="AE917" s="47">
        <v>40101</v>
      </c>
      <c r="AF917" s="51" t="s">
        <v>516</v>
      </c>
      <c r="AG917" s="52" t="s">
        <v>517</v>
      </c>
      <c r="AH917" s="53"/>
      <c r="AI917" s="79"/>
      <c r="AJ917" s="80"/>
      <c r="AK917" s="81"/>
      <c r="AL917" s="80"/>
      <c r="AM917" s="80"/>
      <c r="AN917" s="80"/>
      <c r="AO917" s="80"/>
      <c r="AP917" s="80"/>
      <c r="AQ917" s="80"/>
      <c r="AR917" s="80"/>
      <c r="AS917" s="80"/>
      <c r="AT917" s="80"/>
      <c r="AU917" s="80"/>
      <c r="AV917" s="80"/>
      <c r="AW917" s="80"/>
      <c r="AX917" s="80"/>
      <c r="AY917" s="80"/>
      <c r="AZ917" s="80"/>
      <c r="BA917" s="80"/>
      <c r="BB917" s="80"/>
      <c r="BC917" s="80"/>
      <c r="BD917" s="80"/>
      <c r="BE917" s="80"/>
      <c r="BF917" s="80"/>
      <c r="BG917" s="80"/>
      <c r="BH917" s="80"/>
      <c r="BI917" s="80"/>
      <c r="BJ917" s="80"/>
      <c r="BK917" s="80"/>
      <c r="BL917" s="80"/>
      <c r="BM917" s="80"/>
      <c r="BN917" s="80"/>
      <c r="BO917" s="80"/>
      <c r="BP917" s="80"/>
      <c r="BQ917" s="80"/>
      <c r="BR917" s="80"/>
      <c r="BS917" s="80"/>
      <c r="BT917" s="80"/>
      <c r="BU917" s="80"/>
      <c r="BV917" s="80"/>
      <c r="BW917" s="80"/>
      <c r="BX917" s="80"/>
      <c r="BY917" s="80"/>
      <c r="BZ917" s="80"/>
      <c r="CA917" s="80"/>
      <c r="CB917" s="80"/>
      <c r="CC917" s="80"/>
      <c r="CD917" s="80"/>
      <c r="CE917" s="80"/>
      <c r="CF917" s="80"/>
      <c r="CG917" s="80"/>
      <c r="CH917" s="80"/>
      <c r="CI917" s="80"/>
      <c r="CJ917" s="80"/>
      <c r="CK917" s="82"/>
      <c r="CL917" s="12"/>
      <c r="CM917" s="82"/>
      <c r="CN917" s="12"/>
      <c r="CO917" s="82"/>
      <c r="CP917" s="12"/>
      <c r="CQ917" s="83">
        <f t="shared" si="133"/>
        <v>0</v>
      </c>
      <c r="CR917" s="84"/>
      <c r="CS917" s="13"/>
      <c r="CT917" s="85"/>
      <c r="CU917" s="86"/>
      <c r="CV917" s="11"/>
      <c r="CW917" s="86"/>
      <c r="CX917" s="84"/>
      <c r="CY917" s="86"/>
    </row>
    <row r="918" spans="1:103" ht="38.25" x14ac:dyDescent="0.2">
      <c r="A918" s="43">
        <v>40100</v>
      </c>
      <c r="B918" s="44" t="s">
        <v>1097</v>
      </c>
      <c r="C918" s="44" t="s">
        <v>1379</v>
      </c>
      <c r="D918" s="45" t="s">
        <v>1118</v>
      </c>
      <c r="E918" s="11"/>
      <c r="F918" s="12"/>
      <c r="G918" s="12"/>
      <c r="H918" s="12"/>
      <c r="I918" s="12"/>
      <c r="J918" s="12"/>
      <c r="K918" s="12"/>
      <c r="L918" s="12"/>
      <c r="M918" s="12"/>
      <c r="N918" s="12"/>
      <c r="O918" s="12"/>
      <c r="P918" s="12"/>
      <c r="Q918" s="12"/>
      <c r="R918" s="12"/>
      <c r="S918" s="12"/>
      <c r="T918" s="13"/>
      <c r="U918" s="46"/>
      <c r="V918" s="47"/>
      <c r="W918" s="48">
        <f t="shared" ref="W918:W929" si="134">CQ918</f>
        <v>0</v>
      </c>
      <c r="X918" s="48">
        <f t="shared" ref="X918:X929" si="135">CU918</f>
        <v>0</v>
      </c>
      <c r="Y918" s="48">
        <f t="shared" ref="Y918:Y929" si="136">CW918+CY918</f>
        <v>0</v>
      </c>
      <c r="Z918" s="48">
        <f t="shared" ref="Z918:Z929" si="137">CS918</f>
        <v>0</v>
      </c>
      <c r="AA918" s="48">
        <f>41760000+20880000</f>
        <v>62640000</v>
      </c>
      <c r="AB918" s="48"/>
      <c r="AC918" s="49">
        <f t="shared" ref="AC918:AC929" si="138">W918+X918+Y918+Z918+AA918+AB918</f>
        <v>62640000</v>
      </c>
      <c r="AD918" s="50">
        <v>0</v>
      </c>
      <c r="AE918" s="47">
        <v>40100</v>
      </c>
      <c r="AF918" s="51" t="s">
        <v>1016</v>
      </c>
      <c r="AG918" s="52" t="s">
        <v>565</v>
      </c>
      <c r="AH918" s="54" t="s">
        <v>686</v>
      </c>
      <c r="AI918" s="79"/>
      <c r="AJ918" s="80"/>
      <c r="AK918" s="81"/>
      <c r="AL918" s="80"/>
      <c r="AM918" s="80"/>
      <c r="AN918" s="80"/>
      <c r="AO918" s="80"/>
      <c r="AP918" s="80"/>
      <c r="AQ918" s="80"/>
      <c r="AR918" s="80"/>
      <c r="AS918" s="80"/>
      <c r="AT918" s="80"/>
      <c r="AU918" s="80"/>
      <c r="AV918" s="80"/>
      <c r="AW918" s="80"/>
      <c r="AX918" s="80"/>
      <c r="AY918" s="80"/>
      <c r="AZ918" s="80"/>
      <c r="BA918" s="80"/>
      <c r="BB918" s="80"/>
      <c r="BC918" s="80"/>
      <c r="BD918" s="80"/>
      <c r="BE918" s="80"/>
      <c r="BF918" s="80"/>
      <c r="BG918" s="80"/>
      <c r="BH918" s="80"/>
      <c r="BI918" s="80"/>
      <c r="BJ918" s="80"/>
      <c r="BK918" s="80"/>
      <c r="BL918" s="80"/>
      <c r="BM918" s="80"/>
      <c r="BN918" s="80"/>
      <c r="BO918" s="80"/>
      <c r="BP918" s="80"/>
      <c r="BQ918" s="80"/>
      <c r="BR918" s="80"/>
      <c r="BS918" s="80"/>
      <c r="BT918" s="80"/>
      <c r="BU918" s="80"/>
      <c r="BV918" s="80"/>
      <c r="BW918" s="80"/>
      <c r="BX918" s="80"/>
      <c r="BY918" s="80"/>
      <c r="BZ918" s="80"/>
      <c r="CA918" s="80"/>
      <c r="CB918" s="80"/>
      <c r="CC918" s="80"/>
      <c r="CD918" s="80"/>
      <c r="CE918" s="80"/>
      <c r="CF918" s="80"/>
      <c r="CG918" s="80"/>
      <c r="CH918" s="80"/>
      <c r="CI918" s="80"/>
      <c r="CJ918" s="80"/>
      <c r="CK918" s="82"/>
      <c r="CL918" s="12"/>
      <c r="CM918" s="82"/>
      <c r="CN918" s="12"/>
      <c r="CO918" s="82"/>
      <c r="CP918" s="12"/>
      <c r="CQ918" s="83">
        <f t="shared" ref="CQ918:CQ929" si="139">AJ918+AL918+AN918+AP918+AR918+AT918+AV918+AX918+AZ918+BB918+BD918+BF918+BH918+BJ918+BL918+BN918+BP918+BR918+BT918+BV918+BX918+BZ918+CB918+CD918+CF918+CH918+CJ918+CL918+CN918+CP918</f>
        <v>0</v>
      </c>
      <c r="CR918" s="84"/>
      <c r="CS918" s="13"/>
      <c r="CT918" s="85"/>
      <c r="CU918" s="86"/>
      <c r="CV918" s="11"/>
      <c r="CW918" s="86"/>
      <c r="CX918" s="84"/>
      <c r="CY918" s="86"/>
    </row>
    <row r="919" spans="1:103" ht="63.75" x14ac:dyDescent="0.2">
      <c r="A919" s="43">
        <v>40101</v>
      </c>
      <c r="B919" s="44" t="s">
        <v>300</v>
      </c>
      <c r="C919" s="44" t="s">
        <v>61</v>
      </c>
      <c r="D919" s="45" t="s">
        <v>1118</v>
      </c>
      <c r="E919" s="11"/>
      <c r="F919" s="12"/>
      <c r="G919" s="12"/>
      <c r="H919" s="12">
        <v>142</v>
      </c>
      <c r="I919" s="12">
        <v>23</v>
      </c>
      <c r="J919" s="12"/>
      <c r="K919" s="12">
        <v>23</v>
      </c>
      <c r="L919" s="12"/>
      <c r="M919" s="12"/>
      <c r="N919" s="12"/>
      <c r="O919" s="12"/>
      <c r="P919" s="12"/>
      <c r="Q919" s="12"/>
      <c r="R919" s="12"/>
      <c r="S919" s="12"/>
      <c r="T919" s="13"/>
      <c r="U919" s="46"/>
      <c r="V919" s="47"/>
      <c r="W919" s="48">
        <f t="shared" si="134"/>
        <v>0</v>
      </c>
      <c r="X919" s="48">
        <f t="shared" si="135"/>
        <v>0</v>
      </c>
      <c r="Y919" s="48">
        <f t="shared" si="136"/>
        <v>0</v>
      </c>
      <c r="Z919" s="48">
        <f t="shared" si="137"/>
        <v>0</v>
      </c>
      <c r="AA919" s="48"/>
      <c r="AB919" s="48"/>
      <c r="AC919" s="49">
        <f t="shared" si="138"/>
        <v>0</v>
      </c>
      <c r="AD919" s="50">
        <v>0</v>
      </c>
      <c r="AE919" s="47">
        <v>40101</v>
      </c>
      <c r="AF919" s="51" t="s">
        <v>516</v>
      </c>
      <c r="AG919" s="52" t="s">
        <v>517</v>
      </c>
      <c r="AH919" s="53" t="s">
        <v>1297</v>
      </c>
      <c r="AI919" s="79"/>
      <c r="AJ919" s="80"/>
      <c r="AK919" s="81"/>
      <c r="AL919" s="80"/>
      <c r="AM919" s="80"/>
      <c r="AN919" s="80"/>
      <c r="AO919" s="80"/>
      <c r="AP919" s="80"/>
      <c r="AQ919" s="80"/>
      <c r="AR919" s="80"/>
      <c r="AS919" s="80"/>
      <c r="AT919" s="80"/>
      <c r="AU919" s="80"/>
      <c r="AV919" s="80"/>
      <c r="AW919" s="80"/>
      <c r="AX919" s="80"/>
      <c r="AY919" s="80"/>
      <c r="AZ919" s="80"/>
      <c r="BA919" s="80"/>
      <c r="BB919" s="80"/>
      <c r="BC919" s="80"/>
      <c r="BD919" s="80"/>
      <c r="BE919" s="80"/>
      <c r="BF919" s="80"/>
      <c r="BG919" s="80"/>
      <c r="BH919" s="80"/>
      <c r="BI919" s="80"/>
      <c r="BJ919" s="80"/>
      <c r="BK919" s="80"/>
      <c r="BL919" s="80"/>
      <c r="BM919" s="80"/>
      <c r="BN919" s="80"/>
      <c r="BO919" s="80"/>
      <c r="BP919" s="80"/>
      <c r="BQ919" s="80"/>
      <c r="BR919" s="80"/>
      <c r="BS919" s="80"/>
      <c r="BT919" s="80"/>
      <c r="BU919" s="80"/>
      <c r="BV919" s="80"/>
      <c r="BW919" s="80"/>
      <c r="BX919" s="80"/>
      <c r="BY919" s="80"/>
      <c r="BZ919" s="80"/>
      <c r="CA919" s="80"/>
      <c r="CB919" s="80"/>
      <c r="CC919" s="80"/>
      <c r="CD919" s="80"/>
      <c r="CE919" s="80"/>
      <c r="CF919" s="80"/>
      <c r="CG919" s="80"/>
      <c r="CH919" s="80"/>
      <c r="CI919" s="80"/>
      <c r="CJ919" s="80"/>
      <c r="CK919" s="82"/>
      <c r="CL919" s="12"/>
      <c r="CM919" s="82"/>
      <c r="CN919" s="12"/>
      <c r="CO919" s="82"/>
      <c r="CP919" s="12"/>
      <c r="CQ919" s="83">
        <f t="shared" si="139"/>
        <v>0</v>
      </c>
      <c r="CR919" s="84"/>
      <c r="CS919" s="13"/>
      <c r="CT919" s="85"/>
      <c r="CU919" s="86"/>
      <c r="CV919" s="11"/>
      <c r="CW919" s="86"/>
      <c r="CX919" s="84"/>
      <c r="CY919" s="86"/>
    </row>
    <row r="920" spans="1:103" ht="25.5" x14ac:dyDescent="0.2">
      <c r="A920" s="43">
        <v>40101</v>
      </c>
      <c r="B920" s="44" t="s">
        <v>1094</v>
      </c>
      <c r="C920" s="44" t="s">
        <v>1074</v>
      </c>
      <c r="D920" s="45" t="s">
        <v>1118</v>
      </c>
      <c r="E920" s="11"/>
      <c r="F920" s="12"/>
      <c r="G920" s="12"/>
      <c r="H920" s="12">
        <v>995</v>
      </c>
      <c r="I920" s="12">
        <v>199</v>
      </c>
      <c r="J920" s="12"/>
      <c r="K920" s="12">
        <v>199</v>
      </c>
      <c r="L920" s="12"/>
      <c r="M920" s="12"/>
      <c r="N920" s="12"/>
      <c r="O920" s="12"/>
      <c r="P920" s="12"/>
      <c r="Q920" s="12"/>
      <c r="R920" s="12"/>
      <c r="S920" s="12"/>
      <c r="T920" s="13"/>
      <c r="U920" s="46"/>
      <c r="V920" s="47"/>
      <c r="W920" s="48">
        <f t="shared" si="134"/>
        <v>0</v>
      </c>
      <c r="X920" s="48">
        <f t="shared" si="135"/>
        <v>0</v>
      </c>
      <c r="Y920" s="48">
        <f t="shared" si="136"/>
        <v>0</v>
      </c>
      <c r="Z920" s="48">
        <f t="shared" si="137"/>
        <v>0</v>
      </c>
      <c r="AA920" s="48"/>
      <c r="AB920" s="48"/>
      <c r="AC920" s="49">
        <f t="shared" si="138"/>
        <v>0</v>
      </c>
      <c r="AD920" s="50">
        <v>0</v>
      </c>
      <c r="AE920" s="47">
        <v>40106</v>
      </c>
      <c r="AF920" s="51" t="s">
        <v>516</v>
      </c>
      <c r="AG920" s="52" t="s">
        <v>517</v>
      </c>
      <c r="AH920" s="53" t="s">
        <v>1336</v>
      </c>
      <c r="AI920" s="79"/>
      <c r="AJ920" s="80"/>
      <c r="AK920" s="81"/>
      <c r="AL920" s="80"/>
      <c r="AM920" s="80"/>
      <c r="AN920" s="80"/>
      <c r="AO920" s="80"/>
      <c r="AP920" s="80"/>
      <c r="AQ920" s="80"/>
      <c r="AR920" s="80"/>
      <c r="AS920" s="80"/>
      <c r="AT920" s="80"/>
      <c r="AU920" s="80"/>
      <c r="AV920" s="80"/>
      <c r="AW920" s="80"/>
      <c r="AX920" s="80"/>
      <c r="AY920" s="80"/>
      <c r="AZ920" s="80"/>
      <c r="BA920" s="80"/>
      <c r="BB920" s="80"/>
      <c r="BC920" s="80"/>
      <c r="BD920" s="80"/>
      <c r="BE920" s="80"/>
      <c r="BF920" s="80"/>
      <c r="BG920" s="80"/>
      <c r="BH920" s="80"/>
      <c r="BI920" s="80"/>
      <c r="BJ920" s="80"/>
      <c r="BK920" s="80"/>
      <c r="BL920" s="80"/>
      <c r="BM920" s="80"/>
      <c r="BN920" s="80"/>
      <c r="BO920" s="80"/>
      <c r="BP920" s="80"/>
      <c r="BQ920" s="80"/>
      <c r="BR920" s="80"/>
      <c r="BS920" s="80"/>
      <c r="BT920" s="80"/>
      <c r="BU920" s="80"/>
      <c r="BV920" s="80"/>
      <c r="BW920" s="80"/>
      <c r="BX920" s="80"/>
      <c r="BY920" s="80"/>
      <c r="BZ920" s="80"/>
      <c r="CA920" s="80"/>
      <c r="CB920" s="80"/>
      <c r="CC920" s="80"/>
      <c r="CD920" s="80"/>
      <c r="CE920" s="80"/>
      <c r="CF920" s="80"/>
      <c r="CG920" s="80"/>
      <c r="CH920" s="80"/>
      <c r="CI920" s="80"/>
      <c r="CJ920" s="80"/>
      <c r="CK920" s="82"/>
      <c r="CL920" s="12"/>
      <c r="CM920" s="82"/>
      <c r="CN920" s="12"/>
      <c r="CO920" s="82"/>
      <c r="CP920" s="12"/>
      <c r="CQ920" s="83">
        <f t="shared" si="139"/>
        <v>0</v>
      </c>
      <c r="CR920" s="84"/>
      <c r="CS920" s="13"/>
      <c r="CT920" s="85"/>
      <c r="CU920" s="86"/>
      <c r="CV920" s="11"/>
      <c r="CW920" s="86"/>
      <c r="CX920" s="84"/>
      <c r="CY920" s="86"/>
    </row>
    <row r="921" spans="1:103" ht="25.5" x14ac:dyDescent="0.2">
      <c r="A921" s="43">
        <v>40101</v>
      </c>
      <c r="B921" s="44" t="s">
        <v>1094</v>
      </c>
      <c r="C921" s="44" t="s">
        <v>680</v>
      </c>
      <c r="D921" s="45" t="s">
        <v>1118</v>
      </c>
      <c r="E921" s="11"/>
      <c r="F921" s="12"/>
      <c r="G921" s="12"/>
      <c r="H921" s="12">
        <v>1000</v>
      </c>
      <c r="I921" s="12">
        <v>200</v>
      </c>
      <c r="J921" s="12"/>
      <c r="K921" s="12">
        <v>200</v>
      </c>
      <c r="L921" s="12"/>
      <c r="M921" s="12"/>
      <c r="N921" s="12"/>
      <c r="O921" s="12"/>
      <c r="P921" s="12"/>
      <c r="Q921" s="12"/>
      <c r="R921" s="12"/>
      <c r="S921" s="12"/>
      <c r="T921" s="13"/>
      <c r="U921" s="46"/>
      <c r="V921" s="47"/>
      <c r="W921" s="48">
        <f t="shared" si="134"/>
        <v>0</v>
      </c>
      <c r="X921" s="48">
        <f t="shared" si="135"/>
        <v>0</v>
      </c>
      <c r="Y921" s="48">
        <f t="shared" si="136"/>
        <v>0</v>
      </c>
      <c r="Z921" s="48">
        <f t="shared" si="137"/>
        <v>0</v>
      </c>
      <c r="AA921" s="48"/>
      <c r="AB921" s="48"/>
      <c r="AC921" s="49">
        <f t="shared" si="138"/>
        <v>0</v>
      </c>
      <c r="AD921" s="50">
        <v>0</v>
      </c>
      <c r="AE921" s="47">
        <v>40106</v>
      </c>
      <c r="AF921" s="51" t="s">
        <v>516</v>
      </c>
      <c r="AG921" s="52" t="s">
        <v>517</v>
      </c>
      <c r="AH921" s="53" t="s">
        <v>1336</v>
      </c>
      <c r="AI921" s="79"/>
      <c r="AJ921" s="80"/>
      <c r="AK921" s="81"/>
      <c r="AL921" s="80"/>
      <c r="AM921" s="80"/>
      <c r="AN921" s="80"/>
      <c r="AO921" s="80"/>
      <c r="AP921" s="80"/>
      <c r="AQ921" s="80"/>
      <c r="AR921" s="80"/>
      <c r="AS921" s="80"/>
      <c r="AT921" s="80"/>
      <c r="AU921" s="80"/>
      <c r="AV921" s="80"/>
      <c r="AW921" s="80"/>
      <c r="AX921" s="80"/>
      <c r="AY921" s="80"/>
      <c r="AZ921" s="80"/>
      <c r="BA921" s="80"/>
      <c r="BB921" s="80"/>
      <c r="BC921" s="80"/>
      <c r="BD921" s="80"/>
      <c r="BE921" s="80"/>
      <c r="BF921" s="80"/>
      <c r="BG921" s="80"/>
      <c r="BH921" s="80"/>
      <c r="BI921" s="80"/>
      <c r="BJ921" s="80"/>
      <c r="BK921" s="80"/>
      <c r="BL921" s="80"/>
      <c r="BM921" s="80"/>
      <c r="BN921" s="80"/>
      <c r="BO921" s="80"/>
      <c r="BP921" s="80"/>
      <c r="BQ921" s="80"/>
      <c r="BR921" s="80"/>
      <c r="BS921" s="80"/>
      <c r="BT921" s="80"/>
      <c r="BU921" s="80"/>
      <c r="BV921" s="80"/>
      <c r="BW921" s="80"/>
      <c r="BX921" s="80"/>
      <c r="BY921" s="80"/>
      <c r="BZ921" s="80"/>
      <c r="CA921" s="80"/>
      <c r="CB921" s="80"/>
      <c r="CC921" s="80"/>
      <c r="CD921" s="80"/>
      <c r="CE921" s="80"/>
      <c r="CF921" s="80"/>
      <c r="CG921" s="80"/>
      <c r="CH921" s="80"/>
      <c r="CI921" s="80"/>
      <c r="CJ921" s="80"/>
      <c r="CK921" s="82"/>
      <c r="CL921" s="12"/>
      <c r="CM921" s="82"/>
      <c r="CN921" s="12"/>
      <c r="CO921" s="82"/>
      <c r="CP921" s="12"/>
      <c r="CQ921" s="83">
        <f t="shared" si="139"/>
        <v>0</v>
      </c>
      <c r="CR921" s="84"/>
      <c r="CS921" s="13"/>
      <c r="CT921" s="85"/>
      <c r="CU921" s="86"/>
      <c r="CV921" s="11"/>
      <c r="CW921" s="86"/>
      <c r="CX921" s="84"/>
      <c r="CY921" s="86"/>
    </row>
    <row r="922" spans="1:103" ht="38.25" x14ac:dyDescent="0.2">
      <c r="A922" s="43">
        <v>40101</v>
      </c>
      <c r="B922" s="44" t="s">
        <v>781</v>
      </c>
      <c r="C922" s="44" t="s">
        <v>1011</v>
      </c>
      <c r="D922" s="45" t="s">
        <v>1116</v>
      </c>
      <c r="E922" s="11"/>
      <c r="F922" s="12"/>
      <c r="G922" s="12"/>
      <c r="H922" s="12">
        <v>70</v>
      </c>
      <c r="I922" s="12">
        <v>12</v>
      </c>
      <c r="J922" s="12">
        <v>7</v>
      </c>
      <c r="K922" s="12"/>
      <c r="L922" s="12"/>
      <c r="M922" s="12"/>
      <c r="N922" s="12"/>
      <c r="O922" s="12"/>
      <c r="P922" s="12"/>
      <c r="Q922" s="12"/>
      <c r="R922" s="12"/>
      <c r="S922" s="12"/>
      <c r="T922" s="13"/>
      <c r="U922" s="46"/>
      <c r="V922" s="47"/>
      <c r="W922" s="48">
        <f t="shared" si="134"/>
        <v>0</v>
      </c>
      <c r="X922" s="48">
        <f t="shared" si="135"/>
        <v>0</v>
      </c>
      <c r="Y922" s="48">
        <f t="shared" si="136"/>
        <v>0</v>
      </c>
      <c r="Z922" s="48">
        <f t="shared" si="137"/>
        <v>0</v>
      </c>
      <c r="AA922" s="48"/>
      <c r="AB922" s="48"/>
      <c r="AC922" s="49">
        <f t="shared" si="138"/>
        <v>0</v>
      </c>
      <c r="AD922" s="50">
        <v>0</v>
      </c>
      <c r="AE922" s="47">
        <v>40106</v>
      </c>
      <c r="AF922" s="51" t="s">
        <v>516</v>
      </c>
      <c r="AG922" s="52" t="s">
        <v>517</v>
      </c>
      <c r="AH922" s="53" t="s">
        <v>455</v>
      </c>
      <c r="AI922" s="79"/>
      <c r="AJ922" s="80"/>
      <c r="AK922" s="81"/>
      <c r="AL922" s="80"/>
      <c r="AM922" s="80"/>
      <c r="AN922" s="80"/>
      <c r="AO922" s="80"/>
      <c r="AP922" s="80"/>
      <c r="AQ922" s="80"/>
      <c r="AR922" s="80"/>
      <c r="AS922" s="80"/>
      <c r="AT922" s="80"/>
      <c r="AU922" s="80"/>
      <c r="AV922" s="80"/>
      <c r="AW922" s="80"/>
      <c r="AX922" s="80"/>
      <c r="AY922" s="80"/>
      <c r="AZ922" s="80"/>
      <c r="BA922" s="80"/>
      <c r="BB922" s="80"/>
      <c r="BC922" s="80"/>
      <c r="BD922" s="80"/>
      <c r="BE922" s="80"/>
      <c r="BF922" s="80"/>
      <c r="BG922" s="80"/>
      <c r="BH922" s="80"/>
      <c r="BI922" s="80"/>
      <c r="BJ922" s="80"/>
      <c r="BK922" s="80"/>
      <c r="BL922" s="80"/>
      <c r="BM922" s="80"/>
      <c r="BN922" s="80"/>
      <c r="BO922" s="80"/>
      <c r="BP922" s="80"/>
      <c r="BQ922" s="80"/>
      <c r="BR922" s="80"/>
      <c r="BS922" s="80"/>
      <c r="BT922" s="80"/>
      <c r="BU922" s="80"/>
      <c r="BV922" s="80"/>
      <c r="BW922" s="80"/>
      <c r="BX922" s="80"/>
      <c r="BY922" s="80"/>
      <c r="BZ922" s="80"/>
      <c r="CA922" s="80"/>
      <c r="CB922" s="80"/>
      <c r="CC922" s="80"/>
      <c r="CD922" s="80"/>
      <c r="CE922" s="80"/>
      <c r="CF922" s="80"/>
      <c r="CG922" s="80"/>
      <c r="CH922" s="80"/>
      <c r="CI922" s="80"/>
      <c r="CJ922" s="80"/>
      <c r="CK922" s="82"/>
      <c r="CL922" s="12"/>
      <c r="CM922" s="82"/>
      <c r="CN922" s="12"/>
      <c r="CO922" s="82"/>
      <c r="CP922" s="12"/>
      <c r="CQ922" s="83">
        <f t="shared" si="139"/>
        <v>0</v>
      </c>
      <c r="CR922" s="84"/>
      <c r="CS922" s="13"/>
      <c r="CT922" s="85"/>
      <c r="CU922" s="86"/>
      <c r="CV922" s="11"/>
      <c r="CW922" s="86"/>
      <c r="CX922" s="84"/>
      <c r="CY922" s="86"/>
    </row>
    <row r="923" spans="1:103" ht="25.5" x14ac:dyDescent="0.2">
      <c r="A923" s="43">
        <v>40101</v>
      </c>
      <c r="B923" s="44" t="s">
        <v>300</v>
      </c>
      <c r="C923" s="44" t="s">
        <v>61</v>
      </c>
      <c r="D923" s="45" t="s">
        <v>1118</v>
      </c>
      <c r="E923" s="11"/>
      <c r="F923" s="12"/>
      <c r="G923" s="12"/>
      <c r="H923" s="12">
        <v>8</v>
      </c>
      <c r="I923" s="12">
        <v>2</v>
      </c>
      <c r="J923" s="12"/>
      <c r="K923" s="12">
        <v>2</v>
      </c>
      <c r="L923" s="12"/>
      <c r="M923" s="12"/>
      <c r="N923" s="12"/>
      <c r="O923" s="12"/>
      <c r="P923" s="12"/>
      <c r="Q923" s="12"/>
      <c r="R923" s="12"/>
      <c r="S923" s="12"/>
      <c r="T923" s="13"/>
      <c r="U923" s="46"/>
      <c r="V923" s="47"/>
      <c r="W923" s="48">
        <f t="shared" si="134"/>
        <v>0</v>
      </c>
      <c r="X923" s="48">
        <f t="shared" si="135"/>
        <v>0</v>
      </c>
      <c r="Y923" s="48">
        <f t="shared" si="136"/>
        <v>0</v>
      </c>
      <c r="Z923" s="48">
        <f t="shared" si="137"/>
        <v>0</v>
      </c>
      <c r="AA923" s="48"/>
      <c r="AB923" s="48"/>
      <c r="AC923" s="49">
        <f t="shared" si="138"/>
        <v>0</v>
      </c>
      <c r="AD923" s="50">
        <v>0</v>
      </c>
      <c r="AE923" s="47">
        <v>40123</v>
      </c>
      <c r="AF923" s="51" t="s">
        <v>516</v>
      </c>
      <c r="AG923" s="52" t="s">
        <v>517</v>
      </c>
      <c r="AH923" s="53" t="s">
        <v>1402</v>
      </c>
      <c r="AI923" s="79"/>
      <c r="AJ923" s="80"/>
      <c r="AK923" s="81"/>
      <c r="AL923" s="80"/>
      <c r="AM923" s="80"/>
      <c r="AN923" s="80"/>
      <c r="AO923" s="80"/>
      <c r="AP923" s="80"/>
      <c r="AQ923" s="80"/>
      <c r="AR923" s="80"/>
      <c r="AS923" s="80"/>
      <c r="AT923" s="80"/>
      <c r="AU923" s="80"/>
      <c r="AV923" s="80"/>
      <c r="AW923" s="80"/>
      <c r="AX923" s="80"/>
      <c r="AY923" s="80"/>
      <c r="AZ923" s="80"/>
      <c r="BA923" s="80"/>
      <c r="BB923" s="80"/>
      <c r="BC923" s="80"/>
      <c r="BD923" s="80"/>
      <c r="BE923" s="80"/>
      <c r="BF923" s="80"/>
      <c r="BG923" s="80"/>
      <c r="BH923" s="80"/>
      <c r="BI923" s="80"/>
      <c r="BJ923" s="80"/>
      <c r="BK923" s="80"/>
      <c r="BL923" s="80"/>
      <c r="BM923" s="80"/>
      <c r="BN923" s="80"/>
      <c r="BO923" s="80"/>
      <c r="BP923" s="80"/>
      <c r="BQ923" s="80"/>
      <c r="BR923" s="80"/>
      <c r="BS923" s="80"/>
      <c r="BT923" s="80"/>
      <c r="BU923" s="80"/>
      <c r="BV923" s="80"/>
      <c r="BW923" s="80"/>
      <c r="BX923" s="80"/>
      <c r="BY923" s="80"/>
      <c r="BZ923" s="80"/>
      <c r="CA923" s="80"/>
      <c r="CB923" s="80"/>
      <c r="CC923" s="80"/>
      <c r="CD923" s="80"/>
      <c r="CE923" s="80"/>
      <c r="CF923" s="80"/>
      <c r="CG923" s="80"/>
      <c r="CH923" s="80"/>
      <c r="CI923" s="80"/>
      <c r="CJ923" s="80"/>
      <c r="CK923" s="82"/>
      <c r="CL923" s="12"/>
      <c r="CM923" s="82"/>
      <c r="CN923" s="12"/>
      <c r="CO923" s="82"/>
      <c r="CP923" s="12"/>
      <c r="CQ923" s="83">
        <f t="shared" si="139"/>
        <v>0</v>
      </c>
      <c r="CR923" s="84"/>
      <c r="CS923" s="13"/>
      <c r="CT923" s="85"/>
      <c r="CU923" s="86"/>
      <c r="CV923" s="11"/>
      <c r="CW923" s="86"/>
      <c r="CX923" s="84"/>
      <c r="CY923" s="86"/>
    </row>
    <row r="924" spans="1:103" ht="25.5" x14ac:dyDescent="0.2">
      <c r="A924" s="43">
        <v>40101</v>
      </c>
      <c r="B924" s="44" t="s">
        <v>1127</v>
      </c>
      <c r="C924" s="44" t="s">
        <v>116</v>
      </c>
      <c r="D924" s="45" t="s">
        <v>1118</v>
      </c>
      <c r="E924" s="11"/>
      <c r="F924" s="12"/>
      <c r="G924" s="12"/>
      <c r="H924" s="12">
        <v>35</v>
      </c>
      <c r="I924" s="12">
        <v>7</v>
      </c>
      <c r="J924" s="12"/>
      <c r="K924" s="12">
        <v>7</v>
      </c>
      <c r="L924" s="12"/>
      <c r="M924" s="12"/>
      <c r="N924" s="12"/>
      <c r="O924" s="12"/>
      <c r="P924" s="12"/>
      <c r="Q924" s="12"/>
      <c r="R924" s="12"/>
      <c r="S924" s="12"/>
      <c r="T924" s="13"/>
      <c r="U924" s="46"/>
      <c r="V924" s="47"/>
      <c r="W924" s="48">
        <f t="shared" si="134"/>
        <v>0</v>
      </c>
      <c r="X924" s="48">
        <f t="shared" si="135"/>
        <v>0</v>
      </c>
      <c r="Y924" s="48">
        <f t="shared" si="136"/>
        <v>0</v>
      </c>
      <c r="Z924" s="48">
        <f t="shared" si="137"/>
        <v>0</v>
      </c>
      <c r="AA924" s="48"/>
      <c r="AB924" s="48"/>
      <c r="AC924" s="49">
        <f t="shared" si="138"/>
        <v>0</v>
      </c>
      <c r="AD924" s="50">
        <v>0</v>
      </c>
      <c r="AE924" s="47">
        <v>40123</v>
      </c>
      <c r="AF924" s="51" t="s">
        <v>516</v>
      </c>
      <c r="AG924" s="52" t="s">
        <v>517</v>
      </c>
      <c r="AH924" s="53" t="s">
        <v>1403</v>
      </c>
      <c r="AI924" s="79"/>
      <c r="AJ924" s="80"/>
      <c r="AK924" s="81"/>
      <c r="AL924" s="80"/>
      <c r="AM924" s="80"/>
      <c r="AN924" s="80"/>
      <c r="AO924" s="80"/>
      <c r="AP924" s="80"/>
      <c r="AQ924" s="80"/>
      <c r="AR924" s="80"/>
      <c r="AS924" s="80"/>
      <c r="AT924" s="80"/>
      <c r="AU924" s="80"/>
      <c r="AV924" s="80"/>
      <c r="AW924" s="80"/>
      <c r="AX924" s="80"/>
      <c r="AY924" s="80"/>
      <c r="AZ924" s="80"/>
      <c r="BA924" s="80"/>
      <c r="BB924" s="80"/>
      <c r="BC924" s="80"/>
      <c r="BD924" s="80"/>
      <c r="BE924" s="80"/>
      <c r="BF924" s="80"/>
      <c r="BG924" s="80"/>
      <c r="BH924" s="80"/>
      <c r="BI924" s="80"/>
      <c r="BJ924" s="80"/>
      <c r="BK924" s="80"/>
      <c r="BL924" s="80"/>
      <c r="BM924" s="80"/>
      <c r="BN924" s="80"/>
      <c r="BO924" s="80"/>
      <c r="BP924" s="80"/>
      <c r="BQ924" s="80"/>
      <c r="BR924" s="80"/>
      <c r="BS924" s="80"/>
      <c r="BT924" s="80"/>
      <c r="BU924" s="80"/>
      <c r="BV924" s="80"/>
      <c r="BW924" s="80"/>
      <c r="BX924" s="80"/>
      <c r="BY924" s="80"/>
      <c r="BZ924" s="80"/>
      <c r="CA924" s="80"/>
      <c r="CB924" s="80"/>
      <c r="CC924" s="80"/>
      <c r="CD924" s="80"/>
      <c r="CE924" s="80"/>
      <c r="CF924" s="80"/>
      <c r="CG924" s="80"/>
      <c r="CH924" s="80"/>
      <c r="CI924" s="80"/>
      <c r="CJ924" s="80"/>
      <c r="CK924" s="82"/>
      <c r="CL924" s="12"/>
      <c r="CM924" s="82"/>
      <c r="CN924" s="12"/>
      <c r="CO924" s="82"/>
      <c r="CP924" s="12"/>
      <c r="CQ924" s="83">
        <f t="shared" si="139"/>
        <v>0</v>
      </c>
      <c r="CR924" s="84"/>
      <c r="CS924" s="13"/>
      <c r="CT924" s="85"/>
      <c r="CU924" s="86"/>
      <c r="CV924" s="11"/>
      <c r="CW924" s="86"/>
      <c r="CX924" s="84"/>
      <c r="CY924" s="86"/>
    </row>
    <row r="925" spans="1:103" ht="25.5" x14ac:dyDescent="0.2">
      <c r="A925" s="43">
        <v>40101</v>
      </c>
      <c r="B925" s="44" t="s">
        <v>1127</v>
      </c>
      <c r="C925" s="44" t="s">
        <v>116</v>
      </c>
      <c r="D925" s="45" t="s">
        <v>1092</v>
      </c>
      <c r="E925" s="11"/>
      <c r="F925" s="12"/>
      <c r="G925" s="12"/>
      <c r="H925" s="12">
        <v>12</v>
      </c>
      <c r="I925" s="12">
        <v>3</v>
      </c>
      <c r="J925" s="12"/>
      <c r="K925" s="12">
        <v>3</v>
      </c>
      <c r="L925" s="12"/>
      <c r="M925" s="12"/>
      <c r="N925" s="12"/>
      <c r="O925" s="12"/>
      <c r="P925" s="12"/>
      <c r="Q925" s="12"/>
      <c r="R925" s="12"/>
      <c r="S925" s="12"/>
      <c r="T925" s="13"/>
      <c r="U925" s="46"/>
      <c r="V925" s="47"/>
      <c r="W925" s="48">
        <f t="shared" si="134"/>
        <v>0</v>
      </c>
      <c r="X925" s="48">
        <f t="shared" si="135"/>
        <v>0</v>
      </c>
      <c r="Y925" s="48">
        <f t="shared" si="136"/>
        <v>0</v>
      </c>
      <c r="Z925" s="48">
        <f t="shared" si="137"/>
        <v>0</v>
      </c>
      <c r="AA925" s="48"/>
      <c r="AB925" s="48"/>
      <c r="AC925" s="49">
        <f t="shared" si="138"/>
        <v>0</v>
      </c>
      <c r="AD925" s="50">
        <v>0</v>
      </c>
      <c r="AE925" s="47">
        <v>40123</v>
      </c>
      <c r="AF925" s="51" t="s">
        <v>516</v>
      </c>
      <c r="AG925" s="52" t="s">
        <v>517</v>
      </c>
      <c r="AH925" s="53" t="s">
        <v>1406</v>
      </c>
      <c r="AI925" s="79"/>
      <c r="AJ925" s="80"/>
      <c r="AK925" s="81"/>
      <c r="AL925" s="80"/>
      <c r="AM925" s="80"/>
      <c r="AN925" s="80"/>
      <c r="AO925" s="80"/>
      <c r="AP925" s="80"/>
      <c r="AQ925" s="80"/>
      <c r="AR925" s="80"/>
      <c r="AS925" s="80"/>
      <c r="AT925" s="80"/>
      <c r="AU925" s="80"/>
      <c r="AV925" s="80"/>
      <c r="AW925" s="80"/>
      <c r="AX925" s="80"/>
      <c r="AY925" s="80"/>
      <c r="AZ925" s="80"/>
      <c r="BA925" s="80"/>
      <c r="BB925" s="80"/>
      <c r="BC925" s="80"/>
      <c r="BD925" s="80"/>
      <c r="BE925" s="80"/>
      <c r="BF925" s="80"/>
      <c r="BG925" s="80"/>
      <c r="BH925" s="80"/>
      <c r="BI925" s="80"/>
      <c r="BJ925" s="80"/>
      <c r="BK925" s="80"/>
      <c r="BL925" s="80"/>
      <c r="BM925" s="80"/>
      <c r="BN925" s="80"/>
      <c r="BO925" s="80"/>
      <c r="BP925" s="80"/>
      <c r="BQ925" s="80"/>
      <c r="BR925" s="80"/>
      <c r="BS925" s="80"/>
      <c r="BT925" s="80"/>
      <c r="BU925" s="80"/>
      <c r="BV925" s="80"/>
      <c r="BW925" s="80"/>
      <c r="BX925" s="80"/>
      <c r="BY925" s="80"/>
      <c r="BZ925" s="80"/>
      <c r="CA925" s="80"/>
      <c r="CB925" s="80"/>
      <c r="CC925" s="80"/>
      <c r="CD925" s="80"/>
      <c r="CE925" s="80"/>
      <c r="CF925" s="80"/>
      <c r="CG925" s="80"/>
      <c r="CH925" s="80"/>
      <c r="CI925" s="80"/>
      <c r="CJ925" s="80"/>
      <c r="CK925" s="82"/>
      <c r="CL925" s="12"/>
      <c r="CM925" s="82"/>
      <c r="CN925" s="12"/>
      <c r="CO925" s="82"/>
      <c r="CP925" s="12"/>
      <c r="CQ925" s="83">
        <f t="shared" si="139"/>
        <v>0</v>
      </c>
      <c r="CR925" s="84"/>
      <c r="CS925" s="13"/>
      <c r="CT925" s="85"/>
      <c r="CU925" s="86"/>
      <c r="CV925" s="11"/>
      <c r="CW925" s="86"/>
      <c r="CX925" s="84"/>
      <c r="CY925" s="86"/>
    </row>
    <row r="926" spans="1:103" ht="25.5" x14ac:dyDescent="0.2">
      <c r="A926" s="43">
        <v>40102</v>
      </c>
      <c r="B926" s="44" t="s">
        <v>478</v>
      </c>
      <c r="C926" s="44" t="s">
        <v>478</v>
      </c>
      <c r="D926" s="45" t="s">
        <v>1117</v>
      </c>
      <c r="E926" s="11"/>
      <c r="F926" s="12"/>
      <c r="G926" s="12"/>
      <c r="H926" s="12">
        <v>6</v>
      </c>
      <c r="I926" s="12">
        <v>1</v>
      </c>
      <c r="J926" s="12"/>
      <c r="K926" s="12">
        <v>1</v>
      </c>
      <c r="L926" s="12"/>
      <c r="M926" s="12"/>
      <c r="N926" s="12"/>
      <c r="O926" s="12"/>
      <c r="P926" s="12"/>
      <c r="Q926" s="12"/>
      <c r="R926" s="12"/>
      <c r="S926" s="12"/>
      <c r="T926" s="13"/>
      <c r="U926" s="46"/>
      <c r="V926" s="47"/>
      <c r="W926" s="48">
        <f t="shared" si="134"/>
        <v>0</v>
      </c>
      <c r="X926" s="48">
        <f t="shared" si="135"/>
        <v>0</v>
      </c>
      <c r="Y926" s="48">
        <f t="shared" si="136"/>
        <v>0</v>
      </c>
      <c r="Z926" s="48">
        <f t="shared" si="137"/>
        <v>0</v>
      </c>
      <c r="AA926" s="48"/>
      <c r="AB926" s="48"/>
      <c r="AC926" s="49">
        <f t="shared" si="138"/>
        <v>0</v>
      </c>
      <c r="AD926" s="50">
        <v>0</v>
      </c>
      <c r="AE926" s="47">
        <v>40123</v>
      </c>
      <c r="AF926" s="51" t="s">
        <v>516</v>
      </c>
      <c r="AG926" s="52" t="s">
        <v>517</v>
      </c>
      <c r="AH926" s="53" t="s">
        <v>1406</v>
      </c>
      <c r="AI926" s="79"/>
      <c r="AJ926" s="80"/>
      <c r="AK926" s="81"/>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80"/>
      <c r="BM926" s="80"/>
      <c r="BN926" s="80"/>
      <c r="BO926" s="80"/>
      <c r="BP926" s="80"/>
      <c r="BQ926" s="80"/>
      <c r="BR926" s="80"/>
      <c r="BS926" s="80"/>
      <c r="BT926" s="80"/>
      <c r="BU926" s="80"/>
      <c r="BV926" s="80"/>
      <c r="BW926" s="80"/>
      <c r="BX926" s="80"/>
      <c r="BY926" s="80"/>
      <c r="BZ926" s="80"/>
      <c r="CA926" s="80"/>
      <c r="CB926" s="80"/>
      <c r="CC926" s="80"/>
      <c r="CD926" s="80"/>
      <c r="CE926" s="80"/>
      <c r="CF926" s="80"/>
      <c r="CG926" s="80"/>
      <c r="CH926" s="80"/>
      <c r="CI926" s="80"/>
      <c r="CJ926" s="80"/>
      <c r="CK926" s="82"/>
      <c r="CL926" s="12"/>
      <c r="CM926" s="82"/>
      <c r="CN926" s="12"/>
      <c r="CO926" s="82"/>
      <c r="CP926" s="12"/>
      <c r="CQ926" s="83">
        <f t="shared" si="139"/>
        <v>0</v>
      </c>
      <c r="CR926" s="84"/>
      <c r="CS926" s="13"/>
      <c r="CT926" s="85"/>
      <c r="CU926" s="86"/>
      <c r="CV926" s="11"/>
      <c r="CW926" s="86"/>
      <c r="CX926" s="84"/>
      <c r="CY926" s="86"/>
    </row>
    <row r="927" spans="1:103" ht="25.5" x14ac:dyDescent="0.2">
      <c r="A927" s="43">
        <v>40103</v>
      </c>
      <c r="B927" s="44" t="s">
        <v>904</v>
      </c>
      <c r="C927" s="44" t="s">
        <v>239</v>
      </c>
      <c r="D927" s="45" t="s">
        <v>1117</v>
      </c>
      <c r="E927" s="11"/>
      <c r="F927" s="12"/>
      <c r="G927" s="12"/>
      <c r="H927" s="12">
        <v>50</v>
      </c>
      <c r="I927" s="12">
        <v>10</v>
      </c>
      <c r="J927" s="12"/>
      <c r="K927" s="12">
        <v>10</v>
      </c>
      <c r="L927" s="12"/>
      <c r="M927" s="12"/>
      <c r="N927" s="12"/>
      <c r="O927" s="12"/>
      <c r="P927" s="12"/>
      <c r="Q927" s="12"/>
      <c r="R927" s="12"/>
      <c r="S927" s="12"/>
      <c r="T927" s="13"/>
      <c r="U927" s="46"/>
      <c r="V927" s="47"/>
      <c r="W927" s="48">
        <f t="shared" si="134"/>
        <v>0</v>
      </c>
      <c r="X927" s="48">
        <f t="shared" si="135"/>
        <v>0</v>
      </c>
      <c r="Y927" s="48">
        <f t="shared" si="136"/>
        <v>0</v>
      </c>
      <c r="Z927" s="48">
        <f t="shared" si="137"/>
        <v>0</v>
      </c>
      <c r="AA927" s="48"/>
      <c r="AB927" s="48"/>
      <c r="AC927" s="49">
        <f t="shared" si="138"/>
        <v>0</v>
      </c>
      <c r="AD927" s="50">
        <v>0</v>
      </c>
      <c r="AE927" s="47">
        <v>40120</v>
      </c>
      <c r="AF927" s="51" t="s">
        <v>516</v>
      </c>
      <c r="AG927" s="52" t="s">
        <v>517</v>
      </c>
      <c r="AH927" s="53" t="s">
        <v>317</v>
      </c>
      <c r="AI927" s="79"/>
      <c r="AJ927" s="80"/>
      <c r="AK927" s="81"/>
      <c r="AL927" s="80"/>
      <c r="AM927" s="80"/>
      <c r="AN927" s="80"/>
      <c r="AO927" s="80"/>
      <c r="AP927" s="80"/>
      <c r="AQ927" s="80"/>
      <c r="AR927" s="80"/>
      <c r="AS927" s="80"/>
      <c r="AT927" s="80"/>
      <c r="AU927" s="80"/>
      <c r="AV927" s="80"/>
      <c r="AW927" s="80"/>
      <c r="AX927" s="80"/>
      <c r="AY927" s="80"/>
      <c r="AZ927" s="80"/>
      <c r="BA927" s="80"/>
      <c r="BB927" s="80"/>
      <c r="BC927" s="80"/>
      <c r="BD927" s="80"/>
      <c r="BE927" s="80"/>
      <c r="BF927" s="80"/>
      <c r="BG927" s="80"/>
      <c r="BH927" s="80"/>
      <c r="BI927" s="80"/>
      <c r="BJ927" s="80"/>
      <c r="BK927" s="80"/>
      <c r="BL927" s="80"/>
      <c r="BM927" s="80"/>
      <c r="BN927" s="80"/>
      <c r="BO927" s="80"/>
      <c r="BP927" s="80"/>
      <c r="BQ927" s="80"/>
      <c r="BR927" s="80"/>
      <c r="BS927" s="80"/>
      <c r="BT927" s="80"/>
      <c r="BU927" s="80"/>
      <c r="BV927" s="80"/>
      <c r="BW927" s="80"/>
      <c r="BX927" s="80"/>
      <c r="BY927" s="80"/>
      <c r="BZ927" s="80"/>
      <c r="CA927" s="80"/>
      <c r="CB927" s="80"/>
      <c r="CC927" s="80"/>
      <c r="CD927" s="80"/>
      <c r="CE927" s="80"/>
      <c r="CF927" s="80"/>
      <c r="CG927" s="80"/>
      <c r="CH927" s="80"/>
      <c r="CI927" s="80"/>
      <c r="CJ927" s="80"/>
      <c r="CK927" s="82"/>
      <c r="CL927" s="12"/>
      <c r="CM927" s="82"/>
      <c r="CN927" s="12"/>
      <c r="CO927" s="82"/>
      <c r="CP927" s="12"/>
      <c r="CQ927" s="83">
        <f t="shared" si="139"/>
        <v>0</v>
      </c>
      <c r="CR927" s="84"/>
      <c r="CS927" s="13"/>
      <c r="CT927" s="85"/>
      <c r="CU927" s="86"/>
      <c r="CV927" s="11"/>
      <c r="CW927" s="86"/>
      <c r="CX927" s="84"/>
      <c r="CY927" s="86"/>
    </row>
    <row r="928" spans="1:103" ht="25.5" x14ac:dyDescent="0.2">
      <c r="A928" s="43">
        <v>40103</v>
      </c>
      <c r="B928" s="44" t="s">
        <v>904</v>
      </c>
      <c r="C928" s="44" t="s">
        <v>215</v>
      </c>
      <c r="D928" s="45" t="s">
        <v>1117</v>
      </c>
      <c r="E928" s="11"/>
      <c r="F928" s="12"/>
      <c r="G928" s="12"/>
      <c r="H928" s="12">
        <v>40</v>
      </c>
      <c r="I928" s="12">
        <v>8</v>
      </c>
      <c r="J928" s="12"/>
      <c r="K928" s="12">
        <v>8</v>
      </c>
      <c r="L928" s="12"/>
      <c r="M928" s="12"/>
      <c r="N928" s="12"/>
      <c r="O928" s="12"/>
      <c r="P928" s="12"/>
      <c r="Q928" s="12"/>
      <c r="R928" s="12"/>
      <c r="S928" s="12"/>
      <c r="T928" s="13"/>
      <c r="U928" s="46"/>
      <c r="V928" s="47"/>
      <c r="W928" s="48">
        <f t="shared" si="134"/>
        <v>0</v>
      </c>
      <c r="X928" s="48">
        <f t="shared" si="135"/>
        <v>0</v>
      </c>
      <c r="Y928" s="48">
        <f t="shared" si="136"/>
        <v>0</v>
      </c>
      <c r="Z928" s="48">
        <f t="shared" si="137"/>
        <v>0</v>
      </c>
      <c r="AA928" s="48"/>
      <c r="AB928" s="48"/>
      <c r="AC928" s="49">
        <f t="shared" si="138"/>
        <v>0</v>
      </c>
      <c r="AD928" s="50">
        <v>0</v>
      </c>
      <c r="AE928" s="47">
        <v>40120</v>
      </c>
      <c r="AF928" s="51" t="s">
        <v>516</v>
      </c>
      <c r="AG928" s="52" t="s">
        <v>517</v>
      </c>
      <c r="AH928" s="53" t="s">
        <v>317</v>
      </c>
      <c r="AI928" s="79"/>
      <c r="AJ928" s="80"/>
      <c r="AK928" s="81"/>
      <c r="AL928" s="80"/>
      <c r="AM928" s="80"/>
      <c r="AN928" s="80"/>
      <c r="AO928" s="80"/>
      <c r="AP928" s="80"/>
      <c r="AQ928" s="80"/>
      <c r="AR928" s="80"/>
      <c r="AS928" s="80"/>
      <c r="AT928" s="80"/>
      <c r="AU928" s="80"/>
      <c r="AV928" s="80"/>
      <c r="AW928" s="80"/>
      <c r="AX928" s="80"/>
      <c r="AY928" s="80"/>
      <c r="AZ928" s="80"/>
      <c r="BA928" s="80"/>
      <c r="BB928" s="80"/>
      <c r="BC928" s="80"/>
      <c r="BD928" s="80"/>
      <c r="BE928" s="80"/>
      <c r="BF928" s="80"/>
      <c r="BG928" s="80"/>
      <c r="BH928" s="80"/>
      <c r="BI928" s="80"/>
      <c r="BJ928" s="80"/>
      <c r="BK928" s="80"/>
      <c r="BL928" s="80"/>
      <c r="BM928" s="80"/>
      <c r="BN928" s="80"/>
      <c r="BO928" s="80"/>
      <c r="BP928" s="80"/>
      <c r="BQ928" s="80"/>
      <c r="BR928" s="80"/>
      <c r="BS928" s="80"/>
      <c r="BT928" s="80"/>
      <c r="BU928" s="80"/>
      <c r="BV928" s="80"/>
      <c r="BW928" s="80"/>
      <c r="BX928" s="80"/>
      <c r="BY928" s="80"/>
      <c r="BZ928" s="80"/>
      <c r="CA928" s="80"/>
      <c r="CB928" s="80"/>
      <c r="CC928" s="80"/>
      <c r="CD928" s="80"/>
      <c r="CE928" s="80"/>
      <c r="CF928" s="80"/>
      <c r="CG928" s="80"/>
      <c r="CH928" s="80"/>
      <c r="CI928" s="80"/>
      <c r="CJ928" s="80"/>
      <c r="CK928" s="82"/>
      <c r="CL928" s="12"/>
      <c r="CM928" s="82"/>
      <c r="CN928" s="12"/>
      <c r="CO928" s="82"/>
      <c r="CP928" s="12"/>
      <c r="CQ928" s="83">
        <f t="shared" si="139"/>
        <v>0</v>
      </c>
      <c r="CR928" s="84"/>
      <c r="CS928" s="13"/>
      <c r="CT928" s="85"/>
      <c r="CU928" s="86"/>
      <c r="CV928" s="11"/>
      <c r="CW928" s="86"/>
      <c r="CX928" s="84"/>
      <c r="CY928" s="86"/>
    </row>
    <row r="929" spans="1:103" ht="25.5" x14ac:dyDescent="0.2">
      <c r="A929" s="43">
        <v>40103</v>
      </c>
      <c r="B929" s="44" t="s">
        <v>904</v>
      </c>
      <c r="C929" s="44" t="s">
        <v>1008</v>
      </c>
      <c r="D929" s="45" t="s">
        <v>1117</v>
      </c>
      <c r="E929" s="11"/>
      <c r="F929" s="12"/>
      <c r="G929" s="12"/>
      <c r="H929" s="12">
        <v>30</v>
      </c>
      <c r="I929" s="12">
        <v>6</v>
      </c>
      <c r="J929" s="12"/>
      <c r="K929" s="12">
        <v>6</v>
      </c>
      <c r="L929" s="12"/>
      <c r="M929" s="12"/>
      <c r="N929" s="12"/>
      <c r="O929" s="12"/>
      <c r="P929" s="12"/>
      <c r="Q929" s="12"/>
      <c r="R929" s="12"/>
      <c r="S929" s="12"/>
      <c r="T929" s="13"/>
      <c r="U929" s="46"/>
      <c r="V929" s="47"/>
      <c r="W929" s="48">
        <f t="shared" si="134"/>
        <v>0</v>
      </c>
      <c r="X929" s="48">
        <f t="shared" si="135"/>
        <v>0</v>
      </c>
      <c r="Y929" s="48">
        <f t="shared" si="136"/>
        <v>0</v>
      </c>
      <c r="Z929" s="48">
        <f t="shared" si="137"/>
        <v>0</v>
      </c>
      <c r="AA929" s="48"/>
      <c r="AB929" s="48"/>
      <c r="AC929" s="49">
        <f t="shared" si="138"/>
        <v>0</v>
      </c>
      <c r="AD929" s="50">
        <v>0</v>
      </c>
      <c r="AE929" s="47">
        <v>40120</v>
      </c>
      <c r="AF929" s="51" t="s">
        <v>516</v>
      </c>
      <c r="AG929" s="52" t="s">
        <v>517</v>
      </c>
      <c r="AH929" s="53" t="s">
        <v>317</v>
      </c>
      <c r="AI929" s="79"/>
      <c r="AJ929" s="80"/>
      <c r="AK929" s="81"/>
      <c r="AL929" s="80"/>
      <c r="AM929" s="80"/>
      <c r="AN929" s="80"/>
      <c r="AO929" s="80"/>
      <c r="AP929" s="80"/>
      <c r="AQ929" s="80"/>
      <c r="AR929" s="80"/>
      <c r="AS929" s="80"/>
      <c r="AT929" s="80"/>
      <c r="AU929" s="80"/>
      <c r="AV929" s="80"/>
      <c r="AW929" s="80"/>
      <c r="AX929" s="80"/>
      <c r="AY929" s="80"/>
      <c r="AZ929" s="80"/>
      <c r="BA929" s="80"/>
      <c r="BB929" s="80"/>
      <c r="BC929" s="80"/>
      <c r="BD929" s="80"/>
      <c r="BE929" s="80"/>
      <c r="BF929" s="80"/>
      <c r="BG929" s="80"/>
      <c r="BH929" s="80"/>
      <c r="BI929" s="80"/>
      <c r="BJ929" s="80"/>
      <c r="BK929" s="80"/>
      <c r="BL929" s="80"/>
      <c r="BM929" s="80"/>
      <c r="BN929" s="80"/>
      <c r="BO929" s="80"/>
      <c r="BP929" s="80"/>
      <c r="BQ929" s="80"/>
      <c r="BR929" s="80"/>
      <c r="BS929" s="80"/>
      <c r="BT929" s="80"/>
      <c r="BU929" s="80"/>
      <c r="BV929" s="80"/>
      <c r="BW929" s="80"/>
      <c r="BX929" s="80"/>
      <c r="BY929" s="80"/>
      <c r="BZ929" s="80"/>
      <c r="CA929" s="80"/>
      <c r="CB929" s="80"/>
      <c r="CC929" s="80"/>
      <c r="CD929" s="80"/>
      <c r="CE929" s="80"/>
      <c r="CF929" s="80"/>
      <c r="CG929" s="80"/>
      <c r="CH929" s="80"/>
      <c r="CI929" s="80"/>
      <c r="CJ929" s="80"/>
      <c r="CK929" s="82"/>
      <c r="CL929" s="12"/>
      <c r="CM929" s="82"/>
      <c r="CN929" s="12"/>
      <c r="CO929" s="82"/>
      <c r="CP929" s="12"/>
      <c r="CQ929" s="83">
        <f t="shared" si="139"/>
        <v>0</v>
      </c>
      <c r="CR929" s="84"/>
      <c r="CS929" s="13"/>
      <c r="CT929" s="85"/>
      <c r="CU929" s="86"/>
      <c r="CV929" s="11"/>
      <c r="CW929" s="86"/>
      <c r="CX929" s="84"/>
      <c r="CY929" s="86"/>
    </row>
    <row r="930" spans="1:103" ht="25.5" x14ac:dyDescent="0.2">
      <c r="A930" s="43">
        <v>40103</v>
      </c>
      <c r="B930" s="44" t="s">
        <v>904</v>
      </c>
      <c r="C930" s="44" t="s">
        <v>1006</v>
      </c>
      <c r="D930" s="45" t="s">
        <v>1117</v>
      </c>
      <c r="E930" s="11"/>
      <c r="F930" s="12"/>
      <c r="G930" s="12"/>
      <c r="H930" s="12">
        <v>75</v>
      </c>
      <c r="I930" s="12">
        <v>15</v>
      </c>
      <c r="J930" s="12"/>
      <c r="K930" s="12">
        <v>15</v>
      </c>
      <c r="L930" s="12"/>
      <c r="M930" s="12"/>
      <c r="N930" s="12"/>
      <c r="O930" s="12"/>
      <c r="P930" s="12"/>
      <c r="Q930" s="12"/>
      <c r="R930" s="12"/>
      <c r="S930" s="12"/>
      <c r="T930" s="13"/>
      <c r="U930" s="46"/>
      <c r="V930" s="47"/>
      <c r="W930" s="48">
        <f t="shared" ref="W930:W937" si="140">CQ930</f>
        <v>0</v>
      </c>
      <c r="X930" s="48">
        <f t="shared" ref="X930:X937" si="141">CU930</f>
        <v>0</v>
      </c>
      <c r="Y930" s="48">
        <f t="shared" ref="Y930:Y937" si="142">CW930+CY930</f>
        <v>0</v>
      </c>
      <c r="Z930" s="48">
        <f t="shared" ref="Z930:Z937" si="143">CS930</f>
        <v>0</v>
      </c>
      <c r="AA930" s="48"/>
      <c r="AB930" s="48"/>
      <c r="AC930" s="49">
        <f t="shared" ref="AC930:AC937" si="144">W930+X930+Y930+Z930+AA930+AB930</f>
        <v>0</v>
      </c>
      <c r="AD930" s="50">
        <v>0</v>
      </c>
      <c r="AE930" s="47">
        <v>40120</v>
      </c>
      <c r="AF930" s="51" t="s">
        <v>516</v>
      </c>
      <c r="AG930" s="52" t="s">
        <v>517</v>
      </c>
      <c r="AH930" s="53" t="s">
        <v>317</v>
      </c>
      <c r="AI930" s="79"/>
      <c r="AJ930" s="80"/>
      <c r="AK930" s="81"/>
      <c r="AL930" s="80"/>
      <c r="AM930" s="80"/>
      <c r="AN930" s="80"/>
      <c r="AO930" s="80"/>
      <c r="AP930" s="80"/>
      <c r="AQ930" s="80"/>
      <c r="AR930" s="80"/>
      <c r="AS930" s="80"/>
      <c r="AT930" s="80"/>
      <c r="AU930" s="80"/>
      <c r="AV930" s="80"/>
      <c r="AW930" s="80"/>
      <c r="AX930" s="80"/>
      <c r="AY930" s="80"/>
      <c r="AZ930" s="80"/>
      <c r="BA930" s="80"/>
      <c r="BB930" s="80"/>
      <c r="BC930" s="80"/>
      <c r="BD930" s="80"/>
      <c r="BE930" s="80"/>
      <c r="BF930" s="80"/>
      <c r="BG930" s="80"/>
      <c r="BH930" s="80"/>
      <c r="BI930" s="80"/>
      <c r="BJ930" s="80"/>
      <c r="BK930" s="80"/>
      <c r="BL930" s="80"/>
      <c r="BM930" s="80"/>
      <c r="BN930" s="80"/>
      <c r="BO930" s="80"/>
      <c r="BP930" s="80"/>
      <c r="BQ930" s="80"/>
      <c r="BR930" s="80"/>
      <c r="BS930" s="80"/>
      <c r="BT930" s="80"/>
      <c r="BU930" s="80"/>
      <c r="BV930" s="80"/>
      <c r="BW930" s="80"/>
      <c r="BX930" s="80"/>
      <c r="BY930" s="80"/>
      <c r="BZ930" s="80"/>
      <c r="CA930" s="80"/>
      <c r="CB930" s="80"/>
      <c r="CC930" s="80"/>
      <c r="CD930" s="80"/>
      <c r="CE930" s="80"/>
      <c r="CF930" s="80"/>
      <c r="CG930" s="80"/>
      <c r="CH930" s="80"/>
      <c r="CI930" s="80"/>
      <c r="CJ930" s="80"/>
      <c r="CK930" s="82"/>
      <c r="CL930" s="12"/>
      <c r="CM930" s="82"/>
      <c r="CN930" s="12"/>
      <c r="CO930" s="82"/>
      <c r="CP930" s="12"/>
      <c r="CQ930" s="83">
        <f t="shared" ref="CQ930:CQ937" si="145">AJ930+AL930+AN930+AP930+AR930+AT930+AV930+AX930+AZ930+BB930+BD930+BF930+BH930+BJ930+BL930+BN930+BP930+BR930+BT930+BV930+BX930+BZ930+CB930+CD930+CF930+CH930+CJ930+CL930+CN930+CP930</f>
        <v>0</v>
      </c>
      <c r="CR930" s="84"/>
      <c r="CS930" s="13"/>
      <c r="CT930" s="85"/>
      <c r="CU930" s="86"/>
      <c r="CV930" s="11"/>
      <c r="CW930" s="86"/>
      <c r="CX930" s="84"/>
      <c r="CY930" s="86"/>
    </row>
    <row r="931" spans="1:103" ht="25.5" x14ac:dyDescent="0.2">
      <c r="A931" s="43">
        <v>40103</v>
      </c>
      <c r="B931" s="44" t="s">
        <v>781</v>
      </c>
      <c r="C931" s="44" t="s">
        <v>207</v>
      </c>
      <c r="D931" s="45" t="s">
        <v>1117</v>
      </c>
      <c r="E931" s="11"/>
      <c r="F931" s="12"/>
      <c r="G931" s="12"/>
      <c r="H931" s="12">
        <v>315</v>
      </c>
      <c r="I931" s="12">
        <v>63</v>
      </c>
      <c r="J931" s="12"/>
      <c r="K931" s="12">
        <v>63</v>
      </c>
      <c r="L931" s="12"/>
      <c r="M931" s="12"/>
      <c r="N931" s="12"/>
      <c r="O931" s="12"/>
      <c r="P931" s="12"/>
      <c r="Q931" s="12"/>
      <c r="R931" s="12"/>
      <c r="S931" s="12"/>
      <c r="T931" s="13"/>
      <c r="U931" s="46"/>
      <c r="V931" s="47"/>
      <c r="W931" s="48">
        <f t="shared" si="140"/>
        <v>0</v>
      </c>
      <c r="X931" s="48">
        <f t="shared" si="141"/>
        <v>0</v>
      </c>
      <c r="Y931" s="48">
        <f t="shared" si="142"/>
        <v>0</v>
      </c>
      <c r="Z931" s="48">
        <f t="shared" si="143"/>
        <v>0</v>
      </c>
      <c r="AA931" s="48"/>
      <c r="AB931" s="48"/>
      <c r="AC931" s="49">
        <f t="shared" si="144"/>
        <v>0</v>
      </c>
      <c r="AD931" s="50">
        <v>0</v>
      </c>
      <c r="AE931" s="47">
        <v>40120</v>
      </c>
      <c r="AF931" s="51" t="s">
        <v>516</v>
      </c>
      <c r="AG931" s="52" t="s">
        <v>517</v>
      </c>
      <c r="AH931" s="53" t="s">
        <v>208</v>
      </c>
      <c r="AI931" s="79"/>
      <c r="AJ931" s="80"/>
      <c r="AK931" s="81"/>
      <c r="AL931" s="80"/>
      <c r="AM931" s="80"/>
      <c r="AN931" s="80"/>
      <c r="AO931" s="80"/>
      <c r="AP931" s="80"/>
      <c r="AQ931" s="80"/>
      <c r="AR931" s="80"/>
      <c r="AS931" s="80"/>
      <c r="AT931" s="80"/>
      <c r="AU931" s="80"/>
      <c r="AV931" s="80"/>
      <c r="AW931" s="80"/>
      <c r="AX931" s="80"/>
      <c r="AY931" s="80"/>
      <c r="AZ931" s="80"/>
      <c r="BA931" s="80"/>
      <c r="BB931" s="80"/>
      <c r="BC931" s="80"/>
      <c r="BD931" s="80"/>
      <c r="BE931" s="80"/>
      <c r="BF931" s="80"/>
      <c r="BG931" s="80"/>
      <c r="BH931" s="80"/>
      <c r="BI931" s="80"/>
      <c r="BJ931" s="80"/>
      <c r="BK931" s="80"/>
      <c r="BL931" s="80"/>
      <c r="BM931" s="80"/>
      <c r="BN931" s="80"/>
      <c r="BO931" s="80"/>
      <c r="BP931" s="80"/>
      <c r="BQ931" s="80"/>
      <c r="BR931" s="80"/>
      <c r="BS931" s="80"/>
      <c r="BT931" s="80"/>
      <c r="BU931" s="80"/>
      <c r="BV931" s="80"/>
      <c r="BW931" s="80"/>
      <c r="BX931" s="80"/>
      <c r="BY931" s="80"/>
      <c r="BZ931" s="80"/>
      <c r="CA931" s="80"/>
      <c r="CB931" s="80"/>
      <c r="CC931" s="80"/>
      <c r="CD931" s="80"/>
      <c r="CE931" s="80"/>
      <c r="CF931" s="80"/>
      <c r="CG931" s="80"/>
      <c r="CH931" s="80"/>
      <c r="CI931" s="80"/>
      <c r="CJ931" s="80"/>
      <c r="CK931" s="82"/>
      <c r="CL931" s="12"/>
      <c r="CM931" s="82"/>
      <c r="CN931" s="12"/>
      <c r="CO931" s="82"/>
      <c r="CP931" s="12"/>
      <c r="CQ931" s="83">
        <f t="shared" si="145"/>
        <v>0</v>
      </c>
      <c r="CR931" s="84"/>
      <c r="CS931" s="13"/>
      <c r="CT931" s="85"/>
      <c r="CU931" s="86"/>
      <c r="CV931" s="11"/>
      <c r="CW931" s="86"/>
      <c r="CX931" s="84"/>
      <c r="CY931" s="86"/>
    </row>
    <row r="932" spans="1:103" ht="25.5" x14ac:dyDescent="0.2">
      <c r="A932" s="43">
        <v>40104</v>
      </c>
      <c r="B932" s="44" t="s">
        <v>1091</v>
      </c>
      <c r="C932" s="44" t="s">
        <v>456</v>
      </c>
      <c r="D932" s="45" t="s">
        <v>1117</v>
      </c>
      <c r="E932" s="11"/>
      <c r="F932" s="12"/>
      <c r="G932" s="12"/>
      <c r="H932" s="12">
        <v>75</v>
      </c>
      <c r="I932" s="12">
        <v>22</v>
      </c>
      <c r="J932" s="12"/>
      <c r="K932" s="12">
        <v>22</v>
      </c>
      <c r="L932" s="12"/>
      <c r="M932" s="12"/>
      <c r="N932" s="12"/>
      <c r="O932" s="12"/>
      <c r="P932" s="12"/>
      <c r="Q932" s="12"/>
      <c r="R932" s="12"/>
      <c r="S932" s="12"/>
      <c r="T932" s="13"/>
      <c r="U932" s="46"/>
      <c r="V932" s="47"/>
      <c r="W932" s="48">
        <f t="shared" si="140"/>
        <v>0</v>
      </c>
      <c r="X932" s="48">
        <f t="shared" si="141"/>
        <v>0</v>
      </c>
      <c r="Y932" s="48">
        <f t="shared" si="142"/>
        <v>0</v>
      </c>
      <c r="Z932" s="48">
        <f t="shared" si="143"/>
        <v>0</v>
      </c>
      <c r="AA932" s="48"/>
      <c r="AB932" s="48"/>
      <c r="AC932" s="49">
        <f t="shared" si="144"/>
        <v>0</v>
      </c>
      <c r="AD932" s="50">
        <v>0</v>
      </c>
      <c r="AE932" s="47">
        <v>40106</v>
      </c>
      <c r="AF932" s="51" t="s">
        <v>516</v>
      </c>
      <c r="AG932" s="52" t="s">
        <v>517</v>
      </c>
      <c r="AH932" s="53" t="s">
        <v>1335</v>
      </c>
      <c r="AI932" s="79"/>
      <c r="AJ932" s="80"/>
      <c r="AK932" s="81"/>
      <c r="AL932" s="80"/>
      <c r="AM932" s="80"/>
      <c r="AN932" s="80"/>
      <c r="AO932" s="80"/>
      <c r="AP932" s="80"/>
      <c r="AQ932" s="80"/>
      <c r="AR932" s="80"/>
      <c r="AS932" s="80"/>
      <c r="AT932" s="80"/>
      <c r="AU932" s="80"/>
      <c r="AV932" s="80"/>
      <c r="AW932" s="80"/>
      <c r="AX932" s="80"/>
      <c r="AY932" s="80"/>
      <c r="AZ932" s="80"/>
      <c r="BA932" s="80"/>
      <c r="BB932" s="80"/>
      <c r="BC932" s="80"/>
      <c r="BD932" s="80"/>
      <c r="BE932" s="80"/>
      <c r="BF932" s="80"/>
      <c r="BG932" s="80"/>
      <c r="BH932" s="80"/>
      <c r="BI932" s="80"/>
      <c r="BJ932" s="80"/>
      <c r="BK932" s="80"/>
      <c r="BL932" s="80"/>
      <c r="BM932" s="80"/>
      <c r="BN932" s="80"/>
      <c r="BO932" s="80"/>
      <c r="BP932" s="80"/>
      <c r="BQ932" s="80"/>
      <c r="BR932" s="80"/>
      <c r="BS932" s="80"/>
      <c r="BT932" s="80"/>
      <c r="BU932" s="80"/>
      <c r="BV932" s="80"/>
      <c r="BW932" s="80"/>
      <c r="BX932" s="80"/>
      <c r="BY932" s="80"/>
      <c r="BZ932" s="80"/>
      <c r="CA932" s="80"/>
      <c r="CB932" s="80"/>
      <c r="CC932" s="80"/>
      <c r="CD932" s="80"/>
      <c r="CE932" s="80"/>
      <c r="CF932" s="80"/>
      <c r="CG932" s="80"/>
      <c r="CH932" s="80"/>
      <c r="CI932" s="80"/>
      <c r="CJ932" s="80"/>
      <c r="CK932" s="82"/>
      <c r="CL932" s="12"/>
      <c r="CM932" s="82"/>
      <c r="CN932" s="12"/>
      <c r="CO932" s="82"/>
      <c r="CP932" s="12"/>
      <c r="CQ932" s="83">
        <f t="shared" si="145"/>
        <v>0</v>
      </c>
      <c r="CR932" s="84"/>
      <c r="CS932" s="13"/>
      <c r="CT932" s="85"/>
      <c r="CU932" s="86"/>
      <c r="CV932" s="11"/>
      <c r="CW932" s="86"/>
      <c r="CX932" s="84"/>
      <c r="CY932" s="86"/>
    </row>
    <row r="933" spans="1:103" ht="38.25" x14ac:dyDescent="0.2">
      <c r="A933" s="43">
        <v>40104</v>
      </c>
      <c r="B933" s="44" t="s">
        <v>1114</v>
      </c>
      <c r="C933" s="44" t="s">
        <v>1413</v>
      </c>
      <c r="D933" s="45" t="s">
        <v>1117</v>
      </c>
      <c r="E933" s="11"/>
      <c r="F933" s="12"/>
      <c r="G933" s="12"/>
      <c r="H933" s="12">
        <v>60</v>
      </c>
      <c r="I933" s="12">
        <v>14</v>
      </c>
      <c r="J933" s="12"/>
      <c r="K933" s="12">
        <v>14</v>
      </c>
      <c r="L933" s="12"/>
      <c r="M933" s="12"/>
      <c r="N933" s="12"/>
      <c r="O933" s="12"/>
      <c r="P933" s="12"/>
      <c r="Q933" s="12"/>
      <c r="R933" s="12"/>
      <c r="S933" s="12"/>
      <c r="T933" s="13"/>
      <c r="U933" s="46"/>
      <c r="V933" s="47"/>
      <c r="W933" s="48">
        <f t="shared" si="140"/>
        <v>0</v>
      </c>
      <c r="X933" s="48">
        <f t="shared" si="141"/>
        <v>0</v>
      </c>
      <c r="Y933" s="48">
        <f t="shared" si="142"/>
        <v>0</v>
      </c>
      <c r="Z933" s="48">
        <f t="shared" si="143"/>
        <v>0</v>
      </c>
      <c r="AA933" s="48"/>
      <c r="AB933" s="48"/>
      <c r="AC933" s="49">
        <f t="shared" si="144"/>
        <v>0</v>
      </c>
      <c r="AD933" s="50">
        <v>0</v>
      </c>
      <c r="AE933" s="47">
        <v>40106</v>
      </c>
      <c r="AF933" s="51" t="s">
        <v>516</v>
      </c>
      <c r="AG933" s="52" t="s">
        <v>517</v>
      </c>
      <c r="AH933" s="53" t="s">
        <v>1331</v>
      </c>
      <c r="AI933" s="79"/>
      <c r="AJ933" s="80"/>
      <c r="AK933" s="81"/>
      <c r="AL933" s="80"/>
      <c r="AM933" s="80"/>
      <c r="AN933" s="80"/>
      <c r="AO933" s="80"/>
      <c r="AP933" s="80"/>
      <c r="AQ933" s="80"/>
      <c r="AR933" s="80"/>
      <c r="AS933" s="80"/>
      <c r="AT933" s="80"/>
      <c r="AU933" s="80"/>
      <c r="AV933" s="80"/>
      <c r="AW933" s="80"/>
      <c r="AX933" s="80"/>
      <c r="AY933" s="80"/>
      <c r="AZ933" s="80"/>
      <c r="BA933" s="80"/>
      <c r="BB933" s="80"/>
      <c r="BC933" s="80"/>
      <c r="BD933" s="80"/>
      <c r="BE933" s="80"/>
      <c r="BF933" s="80"/>
      <c r="BG933" s="80"/>
      <c r="BH933" s="80"/>
      <c r="BI933" s="80"/>
      <c r="BJ933" s="80"/>
      <c r="BK933" s="80"/>
      <c r="BL933" s="80"/>
      <c r="BM933" s="80"/>
      <c r="BN933" s="80"/>
      <c r="BO933" s="80"/>
      <c r="BP933" s="80"/>
      <c r="BQ933" s="80"/>
      <c r="BR933" s="80"/>
      <c r="BS933" s="80"/>
      <c r="BT933" s="80"/>
      <c r="BU933" s="80"/>
      <c r="BV933" s="80"/>
      <c r="BW933" s="80"/>
      <c r="BX933" s="80"/>
      <c r="BY933" s="80"/>
      <c r="BZ933" s="80"/>
      <c r="CA933" s="80"/>
      <c r="CB933" s="80"/>
      <c r="CC933" s="80"/>
      <c r="CD933" s="80"/>
      <c r="CE933" s="80"/>
      <c r="CF933" s="80"/>
      <c r="CG933" s="80"/>
      <c r="CH933" s="80"/>
      <c r="CI933" s="80"/>
      <c r="CJ933" s="80"/>
      <c r="CK933" s="82"/>
      <c r="CL933" s="12"/>
      <c r="CM933" s="82"/>
      <c r="CN933" s="12"/>
      <c r="CO933" s="82"/>
      <c r="CP933" s="12"/>
      <c r="CQ933" s="83">
        <f t="shared" si="145"/>
        <v>0</v>
      </c>
      <c r="CR933" s="84"/>
      <c r="CS933" s="13"/>
      <c r="CT933" s="85"/>
      <c r="CU933" s="86"/>
      <c r="CV933" s="11"/>
      <c r="CW933" s="86"/>
      <c r="CX933" s="84"/>
      <c r="CY933" s="86"/>
    </row>
    <row r="934" spans="1:103" ht="38.25" x14ac:dyDescent="0.2">
      <c r="A934" s="43">
        <v>40105</v>
      </c>
      <c r="B934" s="44" t="s">
        <v>481</v>
      </c>
      <c r="C934" s="44" t="s">
        <v>1417</v>
      </c>
      <c r="D934" s="45" t="s">
        <v>1117</v>
      </c>
      <c r="E934" s="11"/>
      <c r="F934" s="12"/>
      <c r="G934" s="12"/>
      <c r="H934" s="12">
        <v>5</v>
      </c>
      <c r="I934" s="12">
        <v>1</v>
      </c>
      <c r="J934" s="12"/>
      <c r="K934" s="12">
        <v>1</v>
      </c>
      <c r="L934" s="12"/>
      <c r="M934" s="12"/>
      <c r="N934" s="12"/>
      <c r="O934" s="12"/>
      <c r="P934" s="12"/>
      <c r="Q934" s="12"/>
      <c r="R934" s="12"/>
      <c r="S934" s="12">
        <v>1</v>
      </c>
      <c r="T934" s="13"/>
      <c r="U934" s="46"/>
      <c r="V934" s="47"/>
      <c r="W934" s="48">
        <f t="shared" si="140"/>
        <v>0</v>
      </c>
      <c r="X934" s="48">
        <f t="shared" si="141"/>
        <v>0</v>
      </c>
      <c r="Y934" s="48">
        <f t="shared" si="142"/>
        <v>0</v>
      </c>
      <c r="Z934" s="48">
        <f t="shared" si="143"/>
        <v>0</v>
      </c>
      <c r="AA934" s="48"/>
      <c r="AB934" s="48"/>
      <c r="AC934" s="49">
        <f t="shared" si="144"/>
        <v>0</v>
      </c>
      <c r="AD934" s="50">
        <v>0</v>
      </c>
      <c r="AE934" s="47">
        <v>40105</v>
      </c>
      <c r="AF934" s="51" t="s">
        <v>1016</v>
      </c>
      <c r="AG934" s="52" t="s">
        <v>517</v>
      </c>
      <c r="AH934" s="53" t="s">
        <v>36</v>
      </c>
      <c r="AI934" s="79"/>
      <c r="AJ934" s="80"/>
      <c r="AK934" s="81"/>
      <c r="AL934" s="80"/>
      <c r="AM934" s="80"/>
      <c r="AN934" s="80"/>
      <c r="AO934" s="80"/>
      <c r="AP934" s="80"/>
      <c r="AQ934" s="80"/>
      <c r="AR934" s="80"/>
      <c r="AS934" s="80"/>
      <c r="AT934" s="80"/>
      <c r="AU934" s="80"/>
      <c r="AV934" s="80"/>
      <c r="AW934" s="80"/>
      <c r="AX934" s="80"/>
      <c r="AY934" s="80"/>
      <c r="AZ934" s="80"/>
      <c r="BA934" s="80"/>
      <c r="BB934" s="80"/>
      <c r="BC934" s="80"/>
      <c r="BD934" s="80"/>
      <c r="BE934" s="80"/>
      <c r="BF934" s="80"/>
      <c r="BG934" s="80"/>
      <c r="BH934" s="80"/>
      <c r="BI934" s="80"/>
      <c r="BJ934" s="80"/>
      <c r="BK934" s="80"/>
      <c r="BL934" s="80"/>
      <c r="BM934" s="80"/>
      <c r="BN934" s="80"/>
      <c r="BO934" s="80"/>
      <c r="BP934" s="80"/>
      <c r="BQ934" s="80"/>
      <c r="BR934" s="80"/>
      <c r="BS934" s="80"/>
      <c r="BT934" s="80"/>
      <c r="BU934" s="80"/>
      <c r="BV934" s="80"/>
      <c r="BW934" s="80"/>
      <c r="BX934" s="80"/>
      <c r="BY934" s="80"/>
      <c r="BZ934" s="80"/>
      <c r="CA934" s="80"/>
      <c r="CB934" s="80"/>
      <c r="CC934" s="80"/>
      <c r="CD934" s="80"/>
      <c r="CE934" s="80"/>
      <c r="CF934" s="80"/>
      <c r="CG934" s="80"/>
      <c r="CH934" s="80"/>
      <c r="CI934" s="80"/>
      <c r="CJ934" s="80"/>
      <c r="CK934" s="82"/>
      <c r="CL934" s="12"/>
      <c r="CM934" s="82"/>
      <c r="CN934" s="12"/>
      <c r="CO934" s="82"/>
      <c r="CP934" s="12"/>
      <c r="CQ934" s="83">
        <f t="shared" si="145"/>
        <v>0</v>
      </c>
      <c r="CR934" s="84"/>
      <c r="CS934" s="13"/>
      <c r="CT934" s="85"/>
      <c r="CU934" s="86"/>
      <c r="CV934" s="11"/>
      <c r="CW934" s="86"/>
      <c r="CX934" s="84"/>
      <c r="CY934" s="86"/>
    </row>
    <row r="935" spans="1:103" ht="25.5" x14ac:dyDescent="0.2">
      <c r="A935" s="43">
        <v>40105</v>
      </c>
      <c r="B935" s="44" t="s">
        <v>625</v>
      </c>
      <c r="C935" s="44" t="s">
        <v>1083</v>
      </c>
      <c r="D935" s="45" t="s">
        <v>1118</v>
      </c>
      <c r="E935" s="11"/>
      <c r="F935" s="12"/>
      <c r="G935" s="12"/>
      <c r="H935" s="12">
        <v>225</v>
      </c>
      <c r="I935" s="12">
        <v>45</v>
      </c>
      <c r="J935" s="12"/>
      <c r="K935" s="12">
        <v>45</v>
      </c>
      <c r="L935" s="12"/>
      <c r="M935" s="12"/>
      <c r="N935" s="12"/>
      <c r="O935" s="12"/>
      <c r="P935" s="12"/>
      <c r="Q935" s="12"/>
      <c r="R935" s="12"/>
      <c r="S935" s="12"/>
      <c r="T935" s="13"/>
      <c r="U935" s="46"/>
      <c r="V935" s="47"/>
      <c r="W935" s="48">
        <f t="shared" si="140"/>
        <v>0</v>
      </c>
      <c r="X935" s="48">
        <f t="shared" si="141"/>
        <v>0</v>
      </c>
      <c r="Y935" s="48">
        <f t="shared" si="142"/>
        <v>0</v>
      </c>
      <c r="Z935" s="48">
        <f t="shared" si="143"/>
        <v>0</v>
      </c>
      <c r="AA935" s="48"/>
      <c r="AB935" s="48"/>
      <c r="AC935" s="49">
        <f t="shared" si="144"/>
        <v>0</v>
      </c>
      <c r="AD935" s="50">
        <v>0</v>
      </c>
      <c r="AE935" s="47">
        <v>40106</v>
      </c>
      <c r="AF935" s="51" t="s">
        <v>516</v>
      </c>
      <c r="AG935" s="52" t="s">
        <v>517</v>
      </c>
      <c r="AH935" s="53" t="s">
        <v>155</v>
      </c>
      <c r="AI935" s="79"/>
      <c r="AJ935" s="80"/>
      <c r="AK935" s="81"/>
      <c r="AL935" s="80"/>
      <c r="AM935" s="80"/>
      <c r="AN935" s="80"/>
      <c r="AO935" s="80"/>
      <c r="AP935" s="80"/>
      <c r="AQ935" s="80"/>
      <c r="AR935" s="80"/>
      <c r="AS935" s="80"/>
      <c r="AT935" s="80"/>
      <c r="AU935" s="80"/>
      <c r="AV935" s="80"/>
      <c r="AW935" s="80"/>
      <c r="AX935" s="80"/>
      <c r="AY935" s="80"/>
      <c r="AZ935" s="80"/>
      <c r="BA935" s="80"/>
      <c r="BB935" s="80"/>
      <c r="BC935" s="80"/>
      <c r="BD935" s="80"/>
      <c r="BE935" s="80"/>
      <c r="BF935" s="80"/>
      <c r="BG935" s="80"/>
      <c r="BH935" s="80"/>
      <c r="BI935" s="80"/>
      <c r="BJ935" s="80"/>
      <c r="BK935" s="80"/>
      <c r="BL935" s="80"/>
      <c r="BM935" s="80"/>
      <c r="BN935" s="80"/>
      <c r="BO935" s="80"/>
      <c r="BP935" s="80"/>
      <c r="BQ935" s="80"/>
      <c r="BR935" s="80"/>
      <c r="BS935" s="80"/>
      <c r="BT935" s="80"/>
      <c r="BU935" s="80"/>
      <c r="BV935" s="80"/>
      <c r="BW935" s="80"/>
      <c r="BX935" s="80"/>
      <c r="BY935" s="80"/>
      <c r="BZ935" s="80"/>
      <c r="CA935" s="80"/>
      <c r="CB935" s="80"/>
      <c r="CC935" s="80"/>
      <c r="CD935" s="80"/>
      <c r="CE935" s="80"/>
      <c r="CF935" s="80"/>
      <c r="CG935" s="80"/>
      <c r="CH935" s="80"/>
      <c r="CI935" s="80"/>
      <c r="CJ935" s="80"/>
      <c r="CK935" s="82"/>
      <c r="CL935" s="12"/>
      <c r="CM935" s="82"/>
      <c r="CN935" s="12"/>
      <c r="CO935" s="82"/>
      <c r="CP935" s="12"/>
      <c r="CQ935" s="83">
        <f t="shared" si="145"/>
        <v>0</v>
      </c>
      <c r="CR935" s="84"/>
      <c r="CS935" s="13"/>
      <c r="CT935" s="85"/>
      <c r="CU935" s="86"/>
      <c r="CV935" s="11"/>
      <c r="CW935" s="86"/>
      <c r="CX935" s="84"/>
      <c r="CY935" s="86"/>
    </row>
    <row r="936" spans="1:103" ht="25.5" x14ac:dyDescent="0.2">
      <c r="A936" s="43">
        <v>40105</v>
      </c>
      <c r="B936" s="44" t="s">
        <v>625</v>
      </c>
      <c r="C936" s="44" t="s">
        <v>1051</v>
      </c>
      <c r="D936" s="45" t="s">
        <v>1117</v>
      </c>
      <c r="E936" s="11"/>
      <c r="F936" s="12"/>
      <c r="G936" s="12"/>
      <c r="H936" s="12">
        <v>124</v>
      </c>
      <c r="I936" s="12">
        <v>35</v>
      </c>
      <c r="J936" s="12"/>
      <c r="K936" s="12">
        <v>35</v>
      </c>
      <c r="L936" s="12"/>
      <c r="M936" s="12"/>
      <c r="N936" s="12"/>
      <c r="O936" s="12"/>
      <c r="P936" s="12"/>
      <c r="Q936" s="12"/>
      <c r="R936" s="12"/>
      <c r="S936" s="12"/>
      <c r="T936" s="13"/>
      <c r="U936" s="46"/>
      <c r="V936" s="47"/>
      <c r="W936" s="48">
        <f t="shared" si="140"/>
        <v>0</v>
      </c>
      <c r="X936" s="48">
        <f t="shared" si="141"/>
        <v>0</v>
      </c>
      <c r="Y936" s="48">
        <f t="shared" si="142"/>
        <v>0</v>
      </c>
      <c r="Z936" s="48">
        <f t="shared" si="143"/>
        <v>0</v>
      </c>
      <c r="AA936" s="48"/>
      <c r="AB936" s="48"/>
      <c r="AC936" s="49">
        <f t="shared" si="144"/>
        <v>0</v>
      </c>
      <c r="AD936" s="50">
        <v>0</v>
      </c>
      <c r="AE936" s="47">
        <v>40106</v>
      </c>
      <c r="AF936" s="51" t="s">
        <v>516</v>
      </c>
      <c r="AG936" s="52" t="s">
        <v>517</v>
      </c>
      <c r="AH936" s="53" t="s">
        <v>156</v>
      </c>
      <c r="AI936" s="79"/>
      <c r="AJ936" s="80"/>
      <c r="AK936" s="81"/>
      <c r="AL936" s="80"/>
      <c r="AM936" s="80"/>
      <c r="AN936" s="80"/>
      <c r="AO936" s="80"/>
      <c r="AP936" s="80"/>
      <c r="AQ936" s="80"/>
      <c r="AR936" s="80"/>
      <c r="AS936" s="80"/>
      <c r="AT936" s="80"/>
      <c r="AU936" s="80"/>
      <c r="AV936" s="80"/>
      <c r="AW936" s="80"/>
      <c r="AX936" s="80"/>
      <c r="AY936" s="80"/>
      <c r="AZ936" s="80"/>
      <c r="BA936" s="80"/>
      <c r="BB936" s="80"/>
      <c r="BC936" s="80"/>
      <c r="BD936" s="80"/>
      <c r="BE936" s="80"/>
      <c r="BF936" s="80"/>
      <c r="BG936" s="80"/>
      <c r="BH936" s="80"/>
      <c r="BI936" s="80"/>
      <c r="BJ936" s="80"/>
      <c r="BK936" s="80"/>
      <c r="BL936" s="80"/>
      <c r="BM936" s="80"/>
      <c r="BN936" s="80"/>
      <c r="BO936" s="80"/>
      <c r="BP936" s="80"/>
      <c r="BQ936" s="80"/>
      <c r="BR936" s="80"/>
      <c r="BS936" s="80"/>
      <c r="BT936" s="80"/>
      <c r="BU936" s="80"/>
      <c r="BV936" s="80"/>
      <c r="BW936" s="80"/>
      <c r="BX936" s="80"/>
      <c r="BY936" s="80"/>
      <c r="BZ936" s="80"/>
      <c r="CA936" s="80"/>
      <c r="CB936" s="80"/>
      <c r="CC936" s="80"/>
      <c r="CD936" s="80"/>
      <c r="CE936" s="80"/>
      <c r="CF936" s="80"/>
      <c r="CG936" s="80"/>
      <c r="CH936" s="80"/>
      <c r="CI936" s="80"/>
      <c r="CJ936" s="80"/>
      <c r="CK936" s="82"/>
      <c r="CL936" s="12"/>
      <c r="CM936" s="82"/>
      <c r="CN936" s="12"/>
      <c r="CO936" s="82"/>
      <c r="CP936" s="12"/>
      <c r="CQ936" s="83">
        <f t="shared" si="145"/>
        <v>0</v>
      </c>
      <c r="CR936" s="84"/>
      <c r="CS936" s="13"/>
      <c r="CT936" s="85"/>
      <c r="CU936" s="86"/>
      <c r="CV936" s="11"/>
      <c r="CW936" s="86"/>
      <c r="CX936" s="84"/>
      <c r="CY936" s="86"/>
    </row>
    <row r="937" spans="1:103" ht="25.5" x14ac:dyDescent="0.2">
      <c r="A937" s="43">
        <v>40105</v>
      </c>
      <c r="B937" s="44" t="s">
        <v>600</v>
      </c>
      <c r="C937" s="44" t="s">
        <v>166</v>
      </c>
      <c r="D937" s="45" t="s">
        <v>1117</v>
      </c>
      <c r="E937" s="11"/>
      <c r="F937" s="12"/>
      <c r="G937" s="12"/>
      <c r="H937" s="12">
        <v>225</v>
      </c>
      <c r="I937" s="12">
        <v>45</v>
      </c>
      <c r="J937" s="12"/>
      <c r="K937" s="12">
        <v>45</v>
      </c>
      <c r="L937" s="12"/>
      <c r="M937" s="12"/>
      <c r="N937" s="12"/>
      <c r="O937" s="12"/>
      <c r="P937" s="12"/>
      <c r="Q937" s="12"/>
      <c r="R937" s="12"/>
      <c r="S937" s="12"/>
      <c r="T937" s="13"/>
      <c r="U937" s="46"/>
      <c r="V937" s="47"/>
      <c r="W937" s="48">
        <f t="shared" si="140"/>
        <v>0</v>
      </c>
      <c r="X937" s="48">
        <f t="shared" si="141"/>
        <v>0</v>
      </c>
      <c r="Y937" s="48">
        <f t="shared" si="142"/>
        <v>0</v>
      </c>
      <c r="Z937" s="48">
        <f t="shared" si="143"/>
        <v>0</v>
      </c>
      <c r="AA937" s="48"/>
      <c r="AB937" s="48"/>
      <c r="AC937" s="49">
        <f t="shared" si="144"/>
        <v>0</v>
      </c>
      <c r="AD937" s="50">
        <v>0</v>
      </c>
      <c r="AE937" s="47">
        <v>40106</v>
      </c>
      <c r="AF937" s="51" t="s">
        <v>516</v>
      </c>
      <c r="AG937" s="52" t="s">
        <v>517</v>
      </c>
      <c r="AH937" s="53" t="s">
        <v>157</v>
      </c>
      <c r="AI937" s="79"/>
      <c r="AJ937" s="80"/>
      <c r="AK937" s="81"/>
      <c r="AL937" s="80"/>
      <c r="AM937" s="80"/>
      <c r="AN937" s="80"/>
      <c r="AO937" s="80"/>
      <c r="AP937" s="80"/>
      <c r="AQ937" s="80"/>
      <c r="AR937" s="80"/>
      <c r="AS937" s="80"/>
      <c r="AT937" s="80"/>
      <c r="AU937" s="80"/>
      <c r="AV937" s="80"/>
      <c r="AW937" s="80"/>
      <c r="AX937" s="80"/>
      <c r="AY937" s="80"/>
      <c r="AZ937" s="80"/>
      <c r="BA937" s="80"/>
      <c r="BB937" s="80"/>
      <c r="BC937" s="80"/>
      <c r="BD937" s="80"/>
      <c r="BE937" s="80"/>
      <c r="BF937" s="80"/>
      <c r="BG937" s="80"/>
      <c r="BH937" s="80"/>
      <c r="BI937" s="80"/>
      <c r="BJ937" s="80"/>
      <c r="BK937" s="80"/>
      <c r="BL937" s="80"/>
      <c r="BM937" s="80"/>
      <c r="BN937" s="80"/>
      <c r="BO937" s="80"/>
      <c r="BP937" s="80"/>
      <c r="BQ937" s="80"/>
      <c r="BR937" s="80"/>
      <c r="BS937" s="80"/>
      <c r="BT937" s="80"/>
      <c r="BU937" s="80"/>
      <c r="BV937" s="80"/>
      <c r="BW937" s="80"/>
      <c r="BX937" s="80"/>
      <c r="BY937" s="80"/>
      <c r="BZ937" s="80"/>
      <c r="CA937" s="80"/>
      <c r="CB937" s="80"/>
      <c r="CC937" s="80"/>
      <c r="CD937" s="80"/>
      <c r="CE937" s="80"/>
      <c r="CF937" s="80"/>
      <c r="CG937" s="80"/>
      <c r="CH937" s="80"/>
      <c r="CI937" s="80"/>
      <c r="CJ937" s="80"/>
      <c r="CK937" s="82"/>
      <c r="CL937" s="12"/>
      <c r="CM937" s="82"/>
      <c r="CN937" s="12"/>
      <c r="CO937" s="82"/>
      <c r="CP937" s="12"/>
      <c r="CQ937" s="83">
        <f t="shared" si="145"/>
        <v>0</v>
      </c>
      <c r="CR937" s="84"/>
      <c r="CS937" s="13"/>
      <c r="CT937" s="85"/>
      <c r="CU937" s="86"/>
      <c r="CV937" s="11"/>
      <c r="CW937" s="86"/>
      <c r="CX937" s="84"/>
      <c r="CY937" s="86"/>
    </row>
    <row r="938" spans="1:103" ht="38.25" x14ac:dyDescent="0.2">
      <c r="A938" s="43">
        <v>40105</v>
      </c>
      <c r="B938" s="44" t="s">
        <v>1127</v>
      </c>
      <c r="C938" s="44" t="s">
        <v>116</v>
      </c>
      <c r="D938" s="45" t="s">
        <v>1118</v>
      </c>
      <c r="E938" s="11"/>
      <c r="F938" s="12"/>
      <c r="G938" s="12"/>
      <c r="H938" s="12"/>
      <c r="I938" s="12"/>
      <c r="J938" s="12"/>
      <c r="K938" s="12"/>
      <c r="L938" s="12"/>
      <c r="M938" s="12"/>
      <c r="N938" s="12"/>
      <c r="O938" s="12"/>
      <c r="P938" s="12"/>
      <c r="Q938" s="12"/>
      <c r="R938" s="12"/>
      <c r="S938" s="12"/>
      <c r="T938" s="13"/>
      <c r="U938" s="46"/>
      <c r="V938" s="47"/>
      <c r="W938" s="48">
        <f t="shared" ref="W938:W948" si="146">CQ938</f>
        <v>0</v>
      </c>
      <c r="X938" s="48">
        <f t="shared" ref="X938:X948" si="147">CU938</f>
        <v>0</v>
      </c>
      <c r="Y938" s="48">
        <f t="shared" ref="Y938:Y948" si="148">CW938+CY938</f>
        <v>0</v>
      </c>
      <c r="Z938" s="48">
        <f t="shared" ref="Z938:Z948" si="149">CS938</f>
        <v>0</v>
      </c>
      <c r="AA938" s="48"/>
      <c r="AB938" s="48"/>
      <c r="AC938" s="49">
        <f t="shared" ref="AC938:AC948" si="150">W938+X938+Y938+Z938+AA938+AB938</f>
        <v>0</v>
      </c>
      <c r="AD938" s="50">
        <v>0</v>
      </c>
      <c r="AE938" s="47">
        <v>40106</v>
      </c>
      <c r="AF938" s="51" t="s">
        <v>516</v>
      </c>
      <c r="AG938" s="52" t="s">
        <v>517</v>
      </c>
      <c r="AH938" s="53" t="s">
        <v>158</v>
      </c>
      <c r="AI938" s="79"/>
      <c r="AJ938" s="80"/>
      <c r="AK938" s="81"/>
      <c r="AL938" s="80"/>
      <c r="AM938" s="80"/>
      <c r="AN938" s="80"/>
      <c r="AO938" s="80"/>
      <c r="AP938" s="80"/>
      <c r="AQ938" s="80"/>
      <c r="AR938" s="80"/>
      <c r="AS938" s="80"/>
      <c r="AT938" s="80"/>
      <c r="AU938" s="80"/>
      <c r="AV938" s="80"/>
      <c r="AW938" s="80"/>
      <c r="AX938" s="80"/>
      <c r="AY938" s="80"/>
      <c r="AZ938" s="80"/>
      <c r="BA938" s="80"/>
      <c r="BB938" s="80"/>
      <c r="BC938" s="80"/>
      <c r="BD938" s="80"/>
      <c r="BE938" s="80"/>
      <c r="BF938" s="80"/>
      <c r="BG938" s="80"/>
      <c r="BH938" s="80"/>
      <c r="BI938" s="80"/>
      <c r="BJ938" s="80"/>
      <c r="BK938" s="80"/>
      <c r="BL938" s="80"/>
      <c r="BM938" s="80"/>
      <c r="BN938" s="80"/>
      <c r="BO938" s="80"/>
      <c r="BP938" s="80"/>
      <c r="BQ938" s="80"/>
      <c r="BR938" s="80"/>
      <c r="BS938" s="80"/>
      <c r="BT938" s="80"/>
      <c r="BU938" s="80"/>
      <c r="BV938" s="80"/>
      <c r="BW938" s="80"/>
      <c r="BX938" s="80"/>
      <c r="BY938" s="80"/>
      <c r="BZ938" s="80"/>
      <c r="CA938" s="80"/>
      <c r="CB938" s="80"/>
      <c r="CC938" s="80"/>
      <c r="CD938" s="80"/>
      <c r="CE938" s="80"/>
      <c r="CF938" s="80"/>
      <c r="CG938" s="80"/>
      <c r="CH938" s="80"/>
      <c r="CI938" s="80"/>
      <c r="CJ938" s="80"/>
      <c r="CK938" s="82"/>
      <c r="CL938" s="12"/>
      <c r="CM938" s="82"/>
      <c r="CN938" s="12"/>
      <c r="CO938" s="82"/>
      <c r="CP938" s="12"/>
      <c r="CQ938" s="83">
        <f t="shared" ref="CQ938:CQ948" si="151">AJ938+AL938+AN938+AP938+AR938+AT938+AV938+AX938+AZ938+BB938+BD938+BF938+BH938+BJ938+BL938+BN938+BP938+BR938+BT938+BV938+BX938+BZ938+CB938+CD938+CF938+CH938+CJ938+CL938+CN938+CP938</f>
        <v>0</v>
      </c>
      <c r="CR938" s="84"/>
      <c r="CS938" s="13"/>
      <c r="CT938" s="85"/>
      <c r="CU938" s="86"/>
      <c r="CV938" s="11"/>
      <c r="CW938" s="86"/>
      <c r="CX938" s="84"/>
      <c r="CY938" s="86"/>
    </row>
    <row r="939" spans="1:103" ht="25.5" x14ac:dyDescent="0.2">
      <c r="A939" s="43">
        <v>40105</v>
      </c>
      <c r="B939" s="44" t="s">
        <v>625</v>
      </c>
      <c r="C939" s="44" t="s">
        <v>1161</v>
      </c>
      <c r="D939" s="45" t="s">
        <v>1117</v>
      </c>
      <c r="E939" s="11"/>
      <c r="F939" s="12"/>
      <c r="G939" s="12"/>
      <c r="H939" s="12">
        <v>90</v>
      </c>
      <c r="I939" s="12">
        <v>18</v>
      </c>
      <c r="J939" s="12"/>
      <c r="K939" s="12">
        <v>18</v>
      </c>
      <c r="L939" s="12"/>
      <c r="M939" s="12"/>
      <c r="N939" s="12"/>
      <c r="O939" s="12"/>
      <c r="P939" s="12"/>
      <c r="Q939" s="12"/>
      <c r="R939" s="12"/>
      <c r="S939" s="12"/>
      <c r="T939" s="13"/>
      <c r="U939" s="46"/>
      <c r="V939" s="47"/>
      <c r="W939" s="48">
        <f t="shared" si="146"/>
        <v>0</v>
      </c>
      <c r="X939" s="48">
        <f t="shared" si="147"/>
        <v>0</v>
      </c>
      <c r="Y939" s="48">
        <f t="shared" si="148"/>
        <v>0</v>
      </c>
      <c r="Z939" s="48">
        <f t="shared" si="149"/>
        <v>0</v>
      </c>
      <c r="AA939" s="48"/>
      <c r="AB939" s="48"/>
      <c r="AC939" s="49">
        <f t="shared" si="150"/>
        <v>0</v>
      </c>
      <c r="AD939" s="50">
        <v>0</v>
      </c>
      <c r="AE939" s="47">
        <v>40123</v>
      </c>
      <c r="AF939" s="51" t="s">
        <v>516</v>
      </c>
      <c r="AG939" s="52" t="s">
        <v>517</v>
      </c>
      <c r="AH939" s="53" t="s">
        <v>1406</v>
      </c>
      <c r="AI939" s="79"/>
      <c r="AJ939" s="80"/>
      <c r="AK939" s="81"/>
      <c r="AL939" s="80"/>
      <c r="AM939" s="80"/>
      <c r="AN939" s="80"/>
      <c r="AO939" s="80"/>
      <c r="AP939" s="80"/>
      <c r="AQ939" s="80"/>
      <c r="AR939" s="80"/>
      <c r="AS939" s="80"/>
      <c r="AT939" s="80"/>
      <c r="AU939" s="80"/>
      <c r="AV939" s="80"/>
      <c r="AW939" s="80"/>
      <c r="AX939" s="80"/>
      <c r="AY939" s="80"/>
      <c r="AZ939" s="80"/>
      <c r="BA939" s="80"/>
      <c r="BB939" s="80"/>
      <c r="BC939" s="80"/>
      <c r="BD939" s="80"/>
      <c r="BE939" s="80"/>
      <c r="BF939" s="80"/>
      <c r="BG939" s="80"/>
      <c r="BH939" s="80"/>
      <c r="BI939" s="80"/>
      <c r="BJ939" s="80"/>
      <c r="BK939" s="80"/>
      <c r="BL939" s="80"/>
      <c r="BM939" s="80"/>
      <c r="BN939" s="80"/>
      <c r="BO939" s="80"/>
      <c r="BP939" s="80"/>
      <c r="BQ939" s="80"/>
      <c r="BR939" s="80"/>
      <c r="BS939" s="80"/>
      <c r="BT939" s="80"/>
      <c r="BU939" s="80"/>
      <c r="BV939" s="80"/>
      <c r="BW939" s="80"/>
      <c r="BX939" s="80"/>
      <c r="BY939" s="80"/>
      <c r="BZ939" s="80"/>
      <c r="CA939" s="80"/>
      <c r="CB939" s="80"/>
      <c r="CC939" s="80"/>
      <c r="CD939" s="80"/>
      <c r="CE939" s="80"/>
      <c r="CF939" s="80"/>
      <c r="CG939" s="80"/>
      <c r="CH939" s="80"/>
      <c r="CI939" s="80"/>
      <c r="CJ939" s="80"/>
      <c r="CK939" s="82"/>
      <c r="CL939" s="12"/>
      <c r="CM939" s="82"/>
      <c r="CN939" s="12"/>
      <c r="CO939" s="82"/>
      <c r="CP939" s="12"/>
      <c r="CQ939" s="83">
        <f t="shared" si="151"/>
        <v>0</v>
      </c>
      <c r="CR939" s="84"/>
      <c r="CS939" s="13"/>
      <c r="CT939" s="85"/>
      <c r="CU939" s="86"/>
      <c r="CV939" s="11"/>
      <c r="CW939" s="86"/>
      <c r="CX939" s="84"/>
      <c r="CY939" s="86"/>
    </row>
    <row r="940" spans="1:103" ht="25.5" x14ac:dyDescent="0.2">
      <c r="A940" s="43">
        <v>40105</v>
      </c>
      <c r="B940" s="44" t="s">
        <v>1091</v>
      </c>
      <c r="C940" s="44" t="s">
        <v>456</v>
      </c>
      <c r="D940" s="45" t="s">
        <v>1117</v>
      </c>
      <c r="E940" s="11"/>
      <c r="F940" s="12"/>
      <c r="G940" s="12"/>
      <c r="H940" s="12">
        <v>75</v>
      </c>
      <c r="I940" s="12">
        <v>15</v>
      </c>
      <c r="J940" s="12"/>
      <c r="K940" s="12">
        <v>15</v>
      </c>
      <c r="L940" s="12"/>
      <c r="M940" s="12"/>
      <c r="N940" s="12"/>
      <c r="O940" s="12"/>
      <c r="P940" s="12"/>
      <c r="Q940" s="12"/>
      <c r="R940" s="12"/>
      <c r="S940" s="12"/>
      <c r="T940" s="13"/>
      <c r="U940" s="46"/>
      <c r="V940" s="47"/>
      <c r="W940" s="48">
        <f t="shared" si="146"/>
        <v>0</v>
      </c>
      <c r="X940" s="48">
        <f t="shared" si="147"/>
        <v>0</v>
      </c>
      <c r="Y940" s="48">
        <f t="shared" si="148"/>
        <v>0</v>
      </c>
      <c r="Z940" s="48">
        <f t="shared" si="149"/>
        <v>0</v>
      </c>
      <c r="AA940" s="48"/>
      <c r="AB940" s="48"/>
      <c r="AC940" s="49">
        <f t="shared" si="150"/>
        <v>0</v>
      </c>
      <c r="AD940" s="50">
        <v>0</v>
      </c>
      <c r="AE940" s="47">
        <v>40123</v>
      </c>
      <c r="AF940" s="51" t="s">
        <v>516</v>
      </c>
      <c r="AG940" s="52" t="s">
        <v>517</v>
      </c>
      <c r="AH940" s="53" t="s">
        <v>1406</v>
      </c>
      <c r="AI940" s="79"/>
      <c r="AJ940" s="80"/>
      <c r="AK940" s="81"/>
      <c r="AL940" s="80"/>
      <c r="AM940" s="80"/>
      <c r="AN940" s="80"/>
      <c r="AO940" s="80"/>
      <c r="AP940" s="80"/>
      <c r="AQ940" s="80"/>
      <c r="AR940" s="80"/>
      <c r="AS940" s="80"/>
      <c r="AT940" s="80"/>
      <c r="AU940" s="80"/>
      <c r="AV940" s="80"/>
      <c r="AW940" s="80"/>
      <c r="AX940" s="80"/>
      <c r="AY940" s="80"/>
      <c r="AZ940" s="80"/>
      <c r="BA940" s="80"/>
      <c r="BB940" s="80"/>
      <c r="BC940" s="80"/>
      <c r="BD940" s="80"/>
      <c r="BE940" s="80"/>
      <c r="BF940" s="80"/>
      <c r="BG940" s="80"/>
      <c r="BH940" s="80"/>
      <c r="BI940" s="80"/>
      <c r="BJ940" s="80"/>
      <c r="BK940" s="80"/>
      <c r="BL940" s="80"/>
      <c r="BM940" s="80"/>
      <c r="BN940" s="80"/>
      <c r="BO940" s="80"/>
      <c r="BP940" s="80"/>
      <c r="BQ940" s="80"/>
      <c r="BR940" s="80"/>
      <c r="BS940" s="80"/>
      <c r="BT940" s="80"/>
      <c r="BU940" s="80"/>
      <c r="BV940" s="80"/>
      <c r="BW940" s="80"/>
      <c r="BX940" s="80"/>
      <c r="BY940" s="80"/>
      <c r="BZ940" s="80"/>
      <c r="CA940" s="80"/>
      <c r="CB940" s="80"/>
      <c r="CC940" s="80"/>
      <c r="CD940" s="80"/>
      <c r="CE940" s="80"/>
      <c r="CF940" s="80"/>
      <c r="CG940" s="80"/>
      <c r="CH940" s="80"/>
      <c r="CI940" s="80"/>
      <c r="CJ940" s="80"/>
      <c r="CK940" s="82"/>
      <c r="CL940" s="12"/>
      <c r="CM940" s="82"/>
      <c r="CN940" s="12"/>
      <c r="CO940" s="82"/>
      <c r="CP940" s="12"/>
      <c r="CQ940" s="83">
        <f t="shared" si="151"/>
        <v>0</v>
      </c>
      <c r="CR940" s="84"/>
      <c r="CS940" s="13"/>
      <c r="CT940" s="85"/>
      <c r="CU940" s="86"/>
      <c r="CV940" s="11"/>
      <c r="CW940" s="86"/>
      <c r="CX940" s="84"/>
      <c r="CY940" s="86"/>
    </row>
    <row r="941" spans="1:103" ht="25.5" x14ac:dyDescent="0.2">
      <c r="A941" s="43">
        <v>40105</v>
      </c>
      <c r="B941" s="44" t="s">
        <v>1066</v>
      </c>
      <c r="C941" s="44" t="s">
        <v>273</v>
      </c>
      <c r="D941" s="45" t="s">
        <v>1118</v>
      </c>
      <c r="E941" s="11"/>
      <c r="F941" s="12"/>
      <c r="G941" s="12"/>
      <c r="H941" s="12">
        <v>7</v>
      </c>
      <c r="I941" s="12">
        <v>1</v>
      </c>
      <c r="J941" s="12"/>
      <c r="K941" s="12">
        <v>1</v>
      </c>
      <c r="L941" s="12"/>
      <c r="M941" s="12"/>
      <c r="N941" s="12"/>
      <c r="O941" s="12"/>
      <c r="P941" s="12"/>
      <c r="Q941" s="12"/>
      <c r="R941" s="12"/>
      <c r="S941" s="12"/>
      <c r="T941" s="13"/>
      <c r="U941" s="46"/>
      <c r="V941" s="47"/>
      <c r="W941" s="48">
        <f t="shared" si="146"/>
        <v>0</v>
      </c>
      <c r="X941" s="48">
        <f t="shared" si="147"/>
        <v>0</v>
      </c>
      <c r="Y941" s="48">
        <f t="shared" si="148"/>
        <v>0</v>
      </c>
      <c r="Z941" s="48">
        <f t="shared" si="149"/>
        <v>0</v>
      </c>
      <c r="AA941" s="48"/>
      <c r="AB941" s="48"/>
      <c r="AC941" s="49">
        <f t="shared" si="150"/>
        <v>0</v>
      </c>
      <c r="AD941" s="50">
        <v>0</v>
      </c>
      <c r="AE941" s="47">
        <v>40123</v>
      </c>
      <c r="AF941" s="51" t="s">
        <v>516</v>
      </c>
      <c r="AG941" s="52" t="s">
        <v>517</v>
      </c>
      <c r="AH941" s="53" t="s">
        <v>1406</v>
      </c>
      <c r="AI941" s="79"/>
      <c r="AJ941" s="80"/>
      <c r="AK941" s="81"/>
      <c r="AL941" s="80"/>
      <c r="AM941" s="80"/>
      <c r="AN941" s="80"/>
      <c r="AO941" s="80"/>
      <c r="AP941" s="80"/>
      <c r="AQ941" s="80"/>
      <c r="AR941" s="80"/>
      <c r="AS941" s="80"/>
      <c r="AT941" s="80"/>
      <c r="AU941" s="80"/>
      <c r="AV941" s="80"/>
      <c r="AW941" s="80"/>
      <c r="AX941" s="80"/>
      <c r="AY941" s="80"/>
      <c r="AZ941" s="80"/>
      <c r="BA941" s="80"/>
      <c r="BB941" s="80"/>
      <c r="BC941" s="80"/>
      <c r="BD941" s="80"/>
      <c r="BE941" s="80"/>
      <c r="BF941" s="80"/>
      <c r="BG941" s="80"/>
      <c r="BH941" s="80"/>
      <c r="BI941" s="80"/>
      <c r="BJ941" s="80"/>
      <c r="BK941" s="80"/>
      <c r="BL941" s="80"/>
      <c r="BM941" s="80"/>
      <c r="BN941" s="80"/>
      <c r="BO941" s="80"/>
      <c r="BP941" s="80"/>
      <c r="BQ941" s="80"/>
      <c r="BR941" s="80"/>
      <c r="BS941" s="80"/>
      <c r="BT941" s="80"/>
      <c r="BU941" s="80"/>
      <c r="BV941" s="80"/>
      <c r="BW941" s="80"/>
      <c r="BX941" s="80"/>
      <c r="BY941" s="80"/>
      <c r="BZ941" s="80"/>
      <c r="CA941" s="80"/>
      <c r="CB941" s="80"/>
      <c r="CC941" s="80"/>
      <c r="CD941" s="80"/>
      <c r="CE941" s="80"/>
      <c r="CF941" s="80"/>
      <c r="CG941" s="80"/>
      <c r="CH941" s="80"/>
      <c r="CI941" s="80"/>
      <c r="CJ941" s="80"/>
      <c r="CK941" s="82"/>
      <c r="CL941" s="12"/>
      <c r="CM941" s="82"/>
      <c r="CN941" s="12"/>
      <c r="CO941" s="82"/>
      <c r="CP941" s="12"/>
      <c r="CQ941" s="83">
        <f t="shared" si="151"/>
        <v>0</v>
      </c>
      <c r="CR941" s="84"/>
      <c r="CS941" s="13"/>
      <c r="CT941" s="85"/>
      <c r="CU941" s="86"/>
      <c r="CV941" s="11"/>
      <c r="CW941" s="86"/>
      <c r="CX941" s="84"/>
      <c r="CY941" s="86"/>
    </row>
    <row r="942" spans="1:103" ht="25.5" x14ac:dyDescent="0.2">
      <c r="A942" s="43">
        <v>40105</v>
      </c>
      <c r="B942" s="44" t="s">
        <v>600</v>
      </c>
      <c r="C942" s="44" t="s">
        <v>166</v>
      </c>
      <c r="D942" s="45" t="s">
        <v>1117</v>
      </c>
      <c r="E942" s="11"/>
      <c r="F942" s="12"/>
      <c r="G942" s="12"/>
      <c r="H942" s="12">
        <v>225</v>
      </c>
      <c r="I942" s="12">
        <v>45</v>
      </c>
      <c r="J942" s="12"/>
      <c r="K942" s="12">
        <v>45</v>
      </c>
      <c r="L942" s="12"/>
      <c r="M942" s="12"/>
      <c r="N942" s="12"/>
      <c r="O942" s="12"/>
      <c r="P942" s="12"/>
      <c r="Q942" s="12"/>
      <c r="R942" s="12"/>
      <c r="S942" s="12"/>
      <c r="T942" s="13"/>
      <c r="U942" s="46"/>
      <c r="V942" s="47"/>
      <c r="W942" s="48">
        <f t="shared" si="146"/>
        <v>0</v>
      </c>
      <c r="X942" s="48">
        <f t="shared" si="147"/>
        <v>0</v>
      </c>
      <c r="Y942" s="48">
        <f t="shared" si="148"/>
        <v>0</v>
      </c>
      <c r="Z942" s="48">
        <f t="shared" si="149"/>
        <v>0</v>
      </c>
      <c r="AA942" s="48"/>
      <c r="AB942" s="48"/>
      <c r="AC942" s="49">
        <f t="shared" si="150"/>
        <v>0</v>
      </c>
      <c r="AD942" s="50">
        <v>0</v>
      </c>
      <c r="AE942" s="47">
        <v>40123</v>
      </c>
      <c r="AF942" s="51" t="s">
        <v>516</v>
      </c>
      <c r="AG942" s="52" t="s">
        <v>517</v>
      </c>
      <c r="AH942" s="53" t="s">
        <v>1406</v>
      </c>
      <c r="AI942" s="79"/>
      <c r="AJ942" s="80"/>
      <c r="AK942" s="81"/>
      <c r="AL942" s="80"/>
      <c r="AM942" s="80"/>
      <c r="AN942" s="80"/>
      <c r="AO942" s="80"/>
      <c r="AP942" s="80"/>
      <c r="AQ942" s="80"/>
      <c r="AR942" s="80"/>
      <c r="AS942" s="80"/>
      <c r="AT942" s="80"/>
      <c r="AU942" s="80"/>
      <c r="AV942" s="80"/>
      <c r="AW942" s="80"/>
      <c r="AX942" s="80"/>
      <c r="AY942" s="80"/>
      <c r="AZ942" s="80"/>
      <c r="BA942" s="80"/>
      <c r="BB942" s="80"/>
      <c r="BC942" s="80"/>
      <c r="BD942" s="80"/>
      <c r="BE942" s="80"/>
      <c r="BF942" s="80"/>
      <c r="BG942" s="80"/>
      <c r="BH942" s="80"/>
      <c r="BI942" s="80"/>
      <c r="BJ942" s="80"/>
      <c r="BK942" s="80"/>
      <c r="BL942" s="80"/>
      <c r="BM942" s="80"/>
      <c r="BN942" s="80"/>
      <c r="BO942" s="80"/>
      <c r="BP942" s="80"/>
      <c r="BQ942" s="80"/>
      <c r="BR942" s="80"/>
      <c r="BS942" s="80"/>
      <c r="BT942" s="80"/>
      <c r="BU942" s="80"/>
      <c r="BV942" s="80"/>
      <c r="BW942" s="80"/>
      <c r="BX942" s="80"/>
      <c r="BY942" s="80"/>
      <c r="BZ942" s="80"/>
      <c r="CA942" s="80"/>
      <c r="CB942" s="80"/>
      <c r="CC942" s="80"/>
      <c r="CD942" s="80"/>
      <c r="CE942" s="80"/>
      <c r="CF942" s="80"/>
      <c r="CG942" s="80"/>
      <c r="CH942" s="80"/>
      <c r="CI942" s="80"/>
      <c r="CJ942" s="80"/>
      <c r="CK942" s="82"/>
      <c r="CL942" s="12"/>
      <c r="CM942" s="82"/>
      <c r="CN942" s="12"/>
      <c r="CO942" s="82"/>
      <c r="CP942" s="12"/>
      <c r="CQ942" s="83">
        <f t="shared" si="151"/>
        <v>0</v>
      </c>
      <c r="CR942" s="84"/>
      <c r="CS942" s="13"/>
      <c r="CT942" s="85"/>
      <c r="CU942" s="86"/>
      <c r="CV942" s="11"/>
      <c r="CW942" s="86"/>
      <c r="CX942" s="84"/>
      <c r="CY942" s="86"/>
    </row>
    <row r="943" spans="1:103" ht="25.5" x14ac:dyDescent="0.2">
      <c r="A943" s="43">
        <v>40105</v>
      </c>
      <c r="B943" s="44" t="s">
        <v>600</v>
      </c>
      <c r="C943" s="44" t="s">
        <v>97</v>
      </c>
      <c r="D943" s="45" t="s">
        <v>72</v>
      </c>
      <c r="E943" s="11"/>
      <c r="F943" s="12"/>
      <c r="G943" s="12"/>
      <c r="H943" s="12">
        <v>5</v>
      </c>
      <c r="I943" s="12">
        <v>1</v>
      </c>
      <c r="J943" s="12"/>
      <c r="K943" s="12">
        <v>1</v>
      </c>
      <c r="L943" s="12"/>
      <c r="M943" s="12"/>
      <c r="N943" s="12"/>
      <c r="O943" s="12"/>
      <c r="P943" s="12"/>
      <c r="Q943" s="12"/>
      <c r="R943" s="12"/>
      <c r="S943" s="12"/>
      <c r="T943" s="13"/>
      <c r="U943" s="46"/>
      <c r="V943" s="47"/>
      <c r="W943" s="48">
        <f t="shared" si="146"/>
        <v>0</v>
      </c>
      <c r="X943" s="48">
        <f t="shared" si="147"/>
        <v>0</v>
      </c>
      <c r="Y943" s="48">
        <f t="shared" si="148"/>
        <v>0</v>
      </c>
      <c r="Z943" s="48">
        <f t="shared" si="149"/>
        <v>0</v>
      </c>
      <c r="AA943" s="48"/>
      <c r="AB943" s="48"/>
      <c r="AC943" s="49">
        <f t="shared" si="150"/>
        <v>0</v>
      </c>
      <c r="AD943" s="50">
        <v>0</v>
      </c>
      <c r="AE943" s="47">
        <v>40123</v>
      </c>
      <c r="AF943" s="51" t="s">
        <v>516</v>
      </c>
      <c r="AG943" s="52" t="s">
        <v>517</v>
      </c>
      <c r="AH943" s="53" t="s">
        <v>1406</v>
      </c>
      <c r="AI943" s="79"/>
      <c r="AJ943" s="80"/>
      <c r="AK943" s="81"/>
      <c r="AL943" s="80"/>
      <c r="AM943" s="80"/>
      <c r="AN943" s="80"/>
      <c r="AO943" s="80"/>
      <c r="AP943" s="80"/>
      <c r="AQ943" s="80"/>
      <c r="AR943" s="80"/>
      <c r="AS943" s="80"/>
      <c r="AT943" s="80"/>
      <c r="AU943" s="80"/>
      <c r="AV943" s="80"/>
      <c r="AW943" s="80"/>
      <c r="AX943" s="80"/>
      <c r="AY943" s="80"/>
      <c r="AZ943" s="80"/>
      <c r="BA943" s="80"/>
      <c r="BB943" s="80"/>
      <c r="BC943" s="80"/>
      <c r="BD943" s="80"/>
      <c r="BE943" s="80"/>
      <c r="BF943" s="80"/>
      <c r="BG943" s="80"/>
      <c r="BH943" s="80"/>
      <c r="BI943" s="80"/>
      <c r="BJ943" s="80"/>
      <c r="BK943" s="80"/>
      <c r="BL943" s="80"/>
      <c r="BM943" s="80"/>
      <c r="BN943" s="80"/>
      <c r="BO943" s="80"/>
      <c r="BP943" s="80"/>
      <c r="BQ943" s="80"/>
      <c r="BR943" s="80"/>
      <c r="BS943" s="80"/>
      <c r="BT943" s="80"/>
      <c r="BU943" s="80"/>
      <c r="BV943" s="80"/>
      <c r="BW943" s="80"/>
      <c r="BX943" s="80"/>
      <c r="BY943" s="80"/>
      <c r="BZ943" s="80"/>
      <c r="CA943" s="80"/>
      <c r="CB943" s="80"/>
      <c r="CC943" s="80"/>
      <c r="CD943" s="80"/>
      <c r="CE943" s="80"/>
      <c r="CF943" s="80"/>
      <c r="CG943" s="80"/>
      <c r="CH943" s="80"/>
      <c r="CI943" s="80"/>
      <c r="CJ943" s="80"/>
      <c r="CK943" s="82"/>
      <c r="CL943" s="12"/>
      <c r="CM943" s="82"/>
      <c r="CN943" s="12"/>
      <c r="CO943" s="82"/>
      <c r="CP943" s="12"/>
      <c r="CQ943" s="83">
        <f t="shared" si="151"/>
        <v>0</v>
      </c>
      <c r="CR943" s="84"/>
      <c r="CS943" s="13"/>
      <c r="CT943" s="85"/>
      <c r="CU943" s="86"/>
      <c r="CV943" s="11"/>
      <c r="CW943" s="86"/>
      <c r="CX943" s="84"/>
      <c r="CY943" s="86"/>
    </row>
    <row r="944" spans="1:103" ht="25.5" x14ac:dyDescent="0.2">
      <c r="A944" s="43">
        <v>40105</v>
      </c>
      <c r="B944" s="44" t="s">
        <v>1453</v>
      </c>
      <c r="C944" s="44" t="s">
        <v>1454</v>
      </c>
      <c r="D944" s="45" t="s">
        <v>1118</v>
      </c>
      <c r="E944" s="11"/>
      <c r="F944" s="12"/>
      <c r="G944" s="12"/>
      <c r="H944" s="12"/>
      <c r="I944" s="12"/>
      <c r="J944" s="12"/>
      <c r="K944" s="12"/>
      <c r="L944" s="12"/>
      <c r="M944" s="12"/>
      <c r="N944" s="12"/>
      <c r="O944" s="12"/>
      <c r="P944" s="12"/>
      <c r="Q944" s="12"/>
      <c r="R944" s="12"/>
      <c r="S944" s="12"/>
      <c r="T944" s="13"/>
      <c r="U944" s="46"/>
      <c r="V944" s="47">
        <v>40157</v>
      </c>
      <c r="W944" s="48">
        <f t="shared" si="146"/>
        <v>0</v>
      </c>
      <c r="X944" s="48">
        <f t="shared" si="147"/>
        <v>0</v>
      </c>
      <c r="Y944" s="48">
        <f t="shared" si="148"/>
        <v>0</v>
      </c>
      <c r="Z944" s="48">
        <f t="shared" si="149"/>
        <v>36192000</v>
      </c>
      <c r="AA944" s="48"/>
      <c r="AB944" s="48"/>
      <c r="AC944" s="49">
        <f t="shared" si="150"/>
        <v>36192000</v>
      </c>
      <c r="AD944" s="50">
        <v>0</v>
      </c>
      <c r="AE944" s="47">
        <v>40105</v>
      </c>
      <c r="AF944" s="51" t="s">
        <v>1016</v>
      </c>
      <c r="AG944" s="52" t="s">
        <v>565</v>
      </c>
      <c r="AH944" s="53" t="s">
        <v>1189</v>
      </c>
      <c r="AI944" s="79"/>
      <c r="AJ944" s="80"/>
      <c r="AK944" s="81"/>
      <c r="AL944" s="80"/>
      <c r="AM944" s="80"/>
      <c r="AN944" s="80"/>
      <c r="AO944" s="80"/>
      <c r="AP944" s="80"/>
      <c r="AQ944" s="80"/>
      <c r="AR944" s="80"/>
      <c r="AS944" s="80"/>
      <c r="AT944" s="80"/>
      <c r="AU944" s="80"/>
      <c r="AV944" s="80"/>
      <c r="AW944" s="80"/>
      <c r="AX944" s="80"/>
      <c r="AY944" s="80"/>
      <c r="AZ944" s="80"/>
      <c r="BA944" s="80"/>
      <c r="BB944" s="80"/>
      <c r="BC944" s="80"/>
      <c r="BD944" s="80"/>
      <c r="BE944" s="80"/>
      <c r="BF944" s="80"/>
      <c r="BG944" s="80"/>
      <c r="BH944" s="80"/>
      <c r="BI944" s="80"/>
      <c r="BJ944" s="80"/>
      <c r="BK944" s="80"/>
      <c r="BL944" s="80"/>
      <c r="BM944" s="80"/>
      <c r="BN944" s="80"/>
      <c r="BO944" s="80"/>
      <c r="BP944" s="80"/>
      <c r="BQ944" s="80"/>
      <c r="BR944" s="80"/>
      <c r="BS944" s="80"/>
      <c r="BT944" s="80"/>
      <c r="BU944" s="80"/>
      <c r="BV944" s="80"/>
      <c r="BW944" s="80"/>
      <c r="BX944" s="80"/>
      <c r="BY944" s="80"/>
      <c r="BZ944" s="80"/>
      <c r="CA944" s="80"/>
      <c r="CB944" s="80"/>
      <c r="CC944" s="80"/>
      <c r="CD944" s="80"/>
      <c r="CE944" s="80"/>
      <c r="CF944" s="80"/>
      <c r="CG944" s="80"/>
      <c r="CH944" s="80"/>
      <c r="CI944" s="80"/>
      <c r="CJ944" s="80"/>
      <c r="CK944" s="82"/>
      <c r="CL944" s="12"/>
      <c r="CM944" s="82"/>
      <c r="CN944" s="12"/>
      <c r="CO944" s="82"/>
      <c r="CP944" s="12"/>
      <c r="CQ944" s="83">
        <f t="shared" si="151"/>
        <v>0</v>
      </c>
      <c r="CR944" s="84">
        <v>40000</v>
      </c>
      <c r="CS944" s="13">
        <f>40000*904.8</f>
        <v>36192000</v>
      </c>
      <c r="CT944" s="85"/>
      <c r="CU944" s="86"/>
      <c r="CV944" s="11"/>
      <c r="CW944" s="86"/>
      <c r="CX944" s="84"/>
      <c r="CY944" s="86"/>
    </row>
    <row r="945" spans="1:103" ht="51" x14ac:dyDescent="0.2">
      <c r="A945" s="43">
        <v>40106</v>
      </c>
      <c r="B945" s="44" t="s">
        <v>1127</v>
      </c>
      <c r="C945" s="44" t="s">
        <v>116</v>
      </c>
      <c r="D945" s="45" t="s">
        <v>1118</v>
      </c>
      <c r="E945" s="11"/>
      <c r="F945" s="12"/>
      <c r="G945" s="12"/>
      <c r="H945" s="12"/>
      <c r="I945" s="12"/>
      <c r="J945" s="12"/>
      <c r="K945" s="12"/>
      <c r="L945" s="12"/>
      <c r="M945" s="12"/>
      <c r="N945" s="12"/>
      <c r="O945" s="12"/>
      <c r="P945" s="12"/>
      <c r="Q945" s="12"/>
      <c r="R945" s="12"/>
      <c r="S945" s="12"/>
      <c r="T945" s="13"/>
      <c r="U945" s="46" t="s">
        <v>1332</v>
      </c>
      <c r="V945" s="47"/>
      <c r="W945" s="48">
        <f t="shared" si="146"/>
        <v>0</v>
      </c>
      <c r="X945" s="48">
        <f t="shared" si="147"/>
        <v>0</v>
      </c>
      <c r="Y945" s="48">
        <f t="shared" si="148"/>
        <v>0</v>
      </c>
      <c r="Z945" s="48">
        <f t="shared" si="149"/>
        <v>0</v>
      </c>
      <c r="AA945" s="48"/>
      <c r="AB945" s="48"/>
      <c r="AC945" s="49">
        <f t="shared" si="150"/>
        <v>0</v>
      </c>
      <c r="AD945" s="50">
        <v>0</v>
      </c>
      <c r="AE945" s="47">
        <v>40106</v>
      </c>
      <c r="AF945" s="51" t="s">
        <v>516</v>
      </c>
      <c r="AG945" s="52" t="s">
        <v>517</v>
      </c>
      <c r="AH945" s="53" t="s">
        <v>1333</v>
      </c>
      <c r="AI945" s="79"/>
      <c r="AJ945" s="80"/>
      <c r="AK945" s="81"/>
      <c r="AL945" s="80"/>
      <c r="AM945" s="80"/>
      <c r="AN945" s="80"/>
      <c r="AO945" s="80"/>
      <c r="AP945" s="80"/>
      <c r="AQ945" s="80"/>
      <c r="AR945" s="80"/>
      <c r="AS945" s="80"/>
      <c r="AT945" s="80"/>
      <c r="AU945" s="80"/>
      <c r="AV945" s="80"/>
      <c r="AW945" s="80"/>
      <c r="AX945" s="80"/>
      <c r="AY945" s="80"/>
      <c r="AZ945" s="80"/>
      <c r="BA945" s="80"/>
      <c r="BB945" s="80"/>
      <c r="BC945" s="80"/>
      <c r="BD945" s="80"/>
      <c r="BE945" s="80"/>
      <c r="BF945" s="80"/>
      <c r="BG945" s="80"/>
      <c r="BH945" s="80"/>
      <c r="BI945" s="80"/>
      <c r="BJ945" s="80"/>
      <c r="BK945" s="80"/>
      <c r="BL945" s="80"/>
      <c r="BM945" s="80"/>
      <c r="BN945" s="80"/>
      <c r="BO945" s="80"/>
      <c r="BP945" s="80"/>
      <c r="BQ945" s="80"/>
      <c r="BR945" s="80"/>
      <c r="BS945" s="80"/>
      <c r="BT945" s="80"/>
      <c r="BU945" s="80"/>
      <c r="BV945" s="80"/>
      <c r="BW945" s="80"/>
      <c r="BX945" s="80"/>
      <c r="BY945" s="80"/>
      <c r="BZ945" s="80"/>
      <c r="CA945" s="80"/>
      <c r="CB945" s="80"/>
      <c r="CC945" s="80"/>
      <c r="CD945" s="80"/>
      <c r="CE945" s="80"/>
      <c r="CF945" s="80"/>
      <c r="CG945" s="80"/>
      <c r="CH945" s="80"/>
      <c r="CI945" s="80"/>
      <c r="CJ945" s="80"/>
      <c r="CK945" s="82"/>
      <c r="CL945" s="12"/>
      <c r="CM945" s="82"/>
      <c r="CN945" s="12"/>
      <c r="CO945" s="82"/>
      <c r="CP945" s="12"/>
      <c r="CQ945" s="83">
        <f t="shared" si="151"/>
        <v>0</v>
      </c>
      <c r="CR945" s="84"/>
      <c r="CS945" s="13"/>
      <c r="CT945" s="85"/>
      <c r="CU945" s="86"/>
      <c r="CV945" s="11"/>
      <c r="CW945" s="86"/>
      <c r="CX945" s="84"/>
      <c r="CY945" s="86"/>
    </row>
    <row r="946" spans="1:103" ht="25.5" x14ac:dyDescent="0.2">
      <c r="A946" s="43">
        <v>40106</v>
      </c>
      <c r="B946" s="44" t="s">
        <v>625</v>
      </c>
      <c r="C946" s="44" t="s">
        <v>1051</v>
      </c>
      <c r="D946" s="45" t="s">
        <v>1118</v>
      </c>
      <c r="E946" s="11"/>
      <c r="F946" s="12"/>
      <c r="G946" s="12"/>
      <c r="H946" s="12"/>
      <c r="I946" s="12"/>
      <c r="J946" s="12"/>
      <c r="K946" s="12"/>
      <c r="L946" s="12"/>
      <c r="M946" s="12"/>
      <c r="N946" s="12"/>
      <c r="O946" s="12"/>
      <c r="P946" s="12"/>
      <c r="Q946" s="12"/>
      <c r="R946" s="12"/>
      <c r="S946" s="12"/>
      <c r="T946" s="13"/>
      <c r="U946" s="46"/>
      <c r="V946" s="47"/>
      <c r="W946" s="48">
        <f t="shared" si="146"/>
        <v>0</v>
      </c>
      <c r="X946" s="48">
        <f t="shared" si="147"/>
        <v>0</v>
      </c>
      <c r="Y946" s="48">
        <f t="shared" si="148"/>
        <v>0</v>
      </c>
      <c r="Z946" s="48">
        <f t="shared" si="149"/>
        <v>0</v>
      </c>
      <c r="AA946" s="48"/>
      <c r="AB946" s="48"/>
      <c r="AC946" s="49">
        <f t="shared" si="150"/>
        <v>0</v>
      </c>
      <c r="AD946" s="50">
        <v>0</v>
      </c>
      <c r="AE946" s="47">
        <v>40106</v>
      </c>
      <c r="AF946" s="51" t="s">
        <v>516</v>
      </c>
      <c r="AG946" s="52" t="s">
        <v>517</v>
      </c>
      <c r="AH946" s="53" t="s">
        <v>1334</v>
      </c>
      <c r="AI946" s="79"/>
      <c r="AJ946" s="80"/>
      <c r="AK946" s="81"/>
      <c r="AL946" s="80"/>
      <c r="AM946" s="80"/>
      <c r="AN946" s="80"/>
      <c r="AO946" s="80"/>
      <c r="AP946" s="80"/>
      <c r="AQ946" s="80"/>
      <c r="AR946" s="80"/>
      <c r="AS946" s="80"/>
      <c r="AT946" s="80"/>
      <c r="AU946" s="80"/>
      <c r="AV946" s="80"/>
      <c r="AW946" s="80"/>
      <c r="AX946" s="80"/>
      <c r="AY946" s="80"/>
      <c r="AZ946" s="80"/>
      <c r="BA946" s="80"/>
      <c r="BB946" s="80"/>
      <c r="BC946" s="80"/>
      <c r="BD946" s="80"/>
      <c r="BE946" s="80"/>
      <c r="BF946" s="80"/>
      <c r="BG946" s="80"/>
      <c r="BH946" s="80"/>
      <c r="BI946" s="80"/>
      <c r="BJ946" s="80"/>
      <c r="BK946" s="80"/>
      <c r="BL946" s="80"/>
      <c r="BM946" s="80"/>
      <c r="BN946" s="80"/>
      <c r="BO946" s="80"/>
      <c r="BP946" s="80"/>
      <c r="BQ946" s="80"/>
      <c r="BR946" s="80"/>
      <c r="BS946" s="80"/>
      <c r="BT946" s="80"/>
      <c r="BU946" s="80"/>
      <c r="BV946" s="80"/>
      <c r="BW946" s="80"/>
      <c r="BX946" s="80"/>
      <c r="BY946" s="80"/>
      <c r="BZ946" s="80"/>
      <c r="CA946" s="80"/>
      <c r="CB946" s="80"/>
      <c r="CC946" s="80"/>
      <c r="CD946" s="80"/>
      <c r="CE946" s="80"/>
      <c r="CF946" s="80"/>
      <c r="CG946" s="80"/>
      <c r="CH946" s="80"/>
      <c r="CI946" s="80"/>
      <c r="CJ946" s="80"/>
      <c r="CK946" s="82"/>
      <c r="CL946" s="12"/>
      <c r="CM946" s="82"/>
      <c r="CN946" s="12"/>
      <c r="CO946" s="82"/>
      <c r="CP946" s="12"/>
      <c r="CQ946" s="83">
        <f t="shared" si="151"/>
        <v>0</v>
      </c>
      <c r="CR946" s="84"/>
      <c r="CS946" s="13"/>
      <c r="CT946" s="85"/>
      <c r="CU946" s="86"/>
      <c r="CV946" s="11"/>
      <c r="CW946" s="86"/>
      <c r="CX946" s="84"/>
      <c r="CY946" s="86"/>
    </row>
    <row r="947" spans="1:103" ht="38.25" x14ac:dyDescent="0.2">
      <c r="A947" s="43">
        <v>40106</v>
      </c>
      <c r="B947" s="44" t="s">
        <v>1127</v>
      </c>
      <c r="C947" s="44" t="s">
        <v>1428</v>
      </c>
      <c r="D947" s="45" t="s">
        <v>1092</v>
      </c>
      <c r="E947" s="11"/>
      <c r="F947" s="12"/>
      <c r="G947" s="12"/>
      <c r="H947" s="12">
        <f>20*5</f>
        <v>100</v>
      </c>
      <c r="I947" s="12">
        <v>20</v>
      </c>
      <c r="J947" s="12"/>
      <c r="K947" s="12">
        <v>2</v>
      </c>
      <c r="L947" s="12">
        <v>1</v>
      </c>
      <c r="M947" s="12"/>
      <c r="N947" s="12"/>
      <c r="O947" s="12"/>
      <c r="P947" s="12"/>
      <c r="Q947" s="12"/>
      <c r="R947" s="12"/>
      <c r="S947" s="12"/>
      <c r="T947" s="13"/>
      <c r="U947" s="46"/>
      <c r="V947" s="47"/>
      <c r="W947" s="48">
        <f t="shared" si="146"/>
        <v>0</v>
      </c>
      <c r="X947" s="48">
        <f t="shared" si="147"/>
        <v>0</v>
      </c>
      <c r="Y947" s="48">
        <f t="shared" si="148"/>
        <v>0</v>
      </c>
      <c r="Z947" s="48">
        <f t="shared" si="149"/>
        <v>0</v>
      </c>
      <c r="AA947" s="48"/>
      <c r="AB947" s="48"/>
      <c r="AC947" s="49">
        <f t="shared" si="150"/>
        <v>0</v>
      </c>
      <c r="AD947" s="50">
        <v>0</v>
      </c>
      <c r="AE947" s="47">
        <v>40114</v>
      </c>
      <c r="AF947" s="51" t="s">
        <v>1016</v>
      </c>
      <c r="AG947" s="52" t="s">
        <v>517</v>
      </c>
      <c r="AH947" s="53" t="s">
        <v>37</v>
      </c>
      <c r="AI947" s="79"/>
      <c r="AJ947" s="80"/>
      <c r="AK947" s="81"/>
      <c r="AL947" s="80"/>
      <c r="AM947" s="80"/>
      <c r="AN947" s="80"/>
      <c r="AO947" s="80"/>
      <c r="AP947" s="80"/>
      <c r="AQ947" s="80"/>
      <c r="AR947" s="80"/>
      <c r="AS947" s="80"/>
      <c r="AT947" s="80"/>
      <c r="AU947" s="80"/>
      <c r="AV947" s="80"/>
      <c r="AW947" s="80"/>
      <c r="AX947" s="80"/>
      <c r="AY947" s="80"/>
      <c r="AZ947" s="80"/>
      <c r="BA947" s="80"/>
      <c r="BB947" s="80"/>
      <c r="BC947" s="80"/>
      <c r="BD947" s="80"/>
      <c r="BE947" s="80"/>
      <c r="BF947" s="80"/>
      <c r="BG947" s="80"/>
      <c r="BH947" s="80"/>
      <c r="BI947" s="80"/>
      <c r="BJ947" s="80"/>
      <c r="BK947" s="80"/>
      <c r="BL947" s="80"/>
      <c r="BM947" s="80"/>
      <c r="BN947" s="80"/>
      <c r="BO947" s="80"/>
      <c r="BP947" s="80"/>
      <c r="BQ947" s="80"/>
      <c r="BR947" s="80"/>
      <c r="BS947" s="80"/>
      <c r="BT947" s="80"/>
      <c r="BU947" s="80"/>
      <c r="BV947" s="80"/>
      <c r="BW947" s="80"/>
      <c r="BX947" s="80"/>
      <c r="BY947" s="80"/>
      <c r="BZ947" s="80"/>
      <c r="CA947" s="80"/>
      <c r="CB947" s="80"/>
      <c r="CC947" s="80"/>
      <c r="CD947" s="80"/>
      <c r="CE947" s="80"/>
      <c r="CF947" s="80"/>
      <c r="CG947" s="80"/>
      <c r="CH947" s="80"/>
      <c r="CI947" s="80"/>
      <c r="CJ947" s="80"/>
      <c r="CK947" s="82"/>
      <c r="CL947" s="12"/>
      <c r="CM947" s="82"/>
      <c r="CN947" s="12"/>
      <c r="CO947" s="82"/>
      <c r="CP947" s="12"/>
      <c r="CQ947" s="83">
        <f t="shared" si="151"/>
        <v>0</v>
      </c>
      <c r="CR947" s="84"/>
      <c r="CS947" s="13"/>
      <c r="CT947" s="85"/>
      <c r="CU947" s="86"/>
      <c r="CV947" s="11"/>
      <c r="CW947" s="86"/>
      <c r="CX947" s="84"/>
      <c r="CY947" s="86"/>
    </row>
    <row r="948" spans="1:103" ht="25.5" x14ac:dyDescent="0.2">
      <c r="A948" s="43">
        <v>40107</v>
      </c>
      <c r="B948" s="44" t="s">
        <v>1136</v>
      </c>
      <c r="C948" s="44" t="s">
        <v>307</v>
      </c>
      <c r="D948" s="45" t="s">
        <v>1095</v>
      </c>
      <c r="E948" s="11">
        <v>1</v>
      </c>
      <c r="F948" s="12"/>
      <c r="G948" s="12"/>
      <c r="H948" s="12">
        <v>20</v>
      </c>
      <c r="I948" s="12">
        <v>4</v>
      </c>
      <c r="J948" s="12">
        <v>2</v>
      </c>
      <c r="K948" s="12">
        <v>2</v>
      </c>
      <c r="L948" s="12"/>
      <c r="M948" s="12"/>
      <c r="N948" s="12"/>
      <c r="O948" s="12"/>
      <c r="P948" s="12"/>
      <c r="Q948" s="12"/>
      <c r="R948" s="12"/>
      <c r="S948" s="12"/>
      <c r="T948" s="13"/>
      <c r="U948" s="46"/>
      <c r="V948" s="47"/>
      <c r="W948" s="48">
        <f t="shared" si="146"/>
        <v>0</v>
      </c>
      <c r="X948" s="48">
        <f t="shared" si="147"/>
        <v>0</v>
      </c>
      <c r="Y948" s="48">
        <f t="shared" si="148"/>
        <v>0</v>
      </c>
      <c r="Z948" s="48">
        <f t="shared" si="149"/>
        <v>0</v>
      </c>
      <c r="AA948" s="48"/>
      <c r="AB948" s="48"/>
      <c r="AC948" s="49">
        <f t="shared" si="150"/>
        <v>0</v>
      </c>
      <c r="AD948" s="50">
        <v>0</v>
      </c>
      <c r="AE948" s="47">
        <v>40109</v>
      </c>
      <c r="AF948" s="51" t="s">
        <v>516</v>
      </c>
      <c r="AG948" s="52" t="s">
        <v>517</v>
      </c>
      <c r="AH948" s="53"/>
      <c r="AI948" s="79"/>
      <c r="AJ948" s="80"/>
      <c r="AK948" s="81"/>
      <c r="AL948" s="80"/>
      <c r="AM948" s="80"/>
      <c r="AN948" s="80"/>
      <c r="AO948" s="80"/>
      <c r="AP948" s="80"/>
      <c r="AQ948" s="80"/>
      <c r="AR948" s="80"/>
      <c r="AS948" s="80"/>
      <c r="AT948" s="80"/>
      <c r="AU948" s="80"/>
      <c r="AV948" s="80"/>
      <c r="AW948" s="80"/>
      <c r="AX948" s="80"/>
      <c r="AY948" s="80"/>
      <c r="AZ948" s="80"/>
      <c r="BA948" s="80"/>
      <c r="BB948" s="80"/>
      <c r="BC948" s="80"/>
      <c r="BD948" s="80"/>
      <c r="BE948" s="80"/>
      <c r="BF948" s="80"/>
      <c r="BG948" s="80"/>
      <c r="BH948" s="80"/>
      <c r="BI948" s="80"/>
      <c r="BJ948" s="80"/>
      <c r="BK948" s="80"/>
      <c r="BL948" s="80"/>
      <c r="BM948" s="80"/>
      <c r="BN948" s="80"/>
      <c r="BO948" s="80"/>
      <c r="BP948" s="80"/>
      <c r="BQ948" s="80"/>
      <c r="BR948" s="80"/>
      <c r="BS948" s="80"/>
      <c r="BT948" s="80"/>
      <c r="BU948" s="80"/>
      <c r="BV948" s="80"/>
      <c r="BW948" s="80"/>
      <c r="BX948" s="80"/>
      <c r="BY948" s="80"/>
      <c r="BZ948" s="80"/>
      <c r="CA948" s="80"/>
      <c r="CB948" s="80"/>
      <c r="CC948" s="80"/>
      <c r="CD948" s="80"/>
      <c r="CE948" s="80"/>
      <c r="CF948" s="80"/>
      <c r="CG948" s="80"/>
      <c r="CH948" s="80"/>
      <c r="CI948" s="80"/>
      <c r="CJ948" s="80"/>
      <c r="CK948" s="82"/>
      <c r="CL948" s="12"/>
      <c r="CM948" s="82"/>
      <c r="CN948" s="12"/>
      <c r="CO948" s="82"/>
      <c r="CP948" s="12"/>
      <c r="CQ948" s="83">
        <f t="shared" si="151"/>
        <v>0</v>
      </c>
      <c r="CR948" s="84"/>
      <c r="CS948" s="13"/>
      <c r="CT948" s="85"/>
      <c r="CU948" s="86"/>
      <c r="CV948" s="11"/>
      <c r="CW948" s="86"/>
      <c r="CX948" s="84"/>
      <c r="CY948" s="86"/>
    </row>
    <row r="949" spans="1:103" ht="25.5" x14ac:dyDescent="0.2">
      <c r="A949" s="43">
        <v>40107</v>
      </c>
      <c r="B949" s="44" t="s">
        <v>625</v>
      </c>
      <c r="C949" s="44" t="s">
        <v>237</v>
      </c>
      <c r="D949" s="45" t="s">
        <v>1118</v>
      </c>
      <c r="E949" s="11"/>
      <c r="F949" s="12"/>
      <c r="G949" s="12">
        <v>2</v>
      </c>
      <c r="H949" s="12">
        <v>2</v>
      </c>
      <c r="I949" s="12">
        <v>1</v>
      </c>
      <c r="J949" s="12">
        <v>1</v>
      </c>
      <c r="K949" s="12"/>
      <c r="L949" s="12"/>
      <c r="M949" s="12"/>
      <c r="N949" s="12"/>
      <c r="O949" s="12"/>
      <c r="P949" s="12"/>
      <c r="Q949" s="12"/>
      <c r="R949" s="12"/>
      <c r="S949" s="12"/>
      <c r="T949" s="13"/>
      <c r="U949" s="46"/>
      <c r="V949" s="47"/>
      <c r="W949" s="48">
        <f t="shared" ref="W949:W954" si="152">CQ949</f>
        <v>0</v>
      </c>
      <c r="X949" s="48">
        <f t="shared" ref="X949:X954" si="153">CU949</f>
        <v>0</v>
      </c>
      <c r="Y949" s="48">
        <f t="shared" ref="Y949:Y954" si="154">CW949+CY949</f>
        <v>0</v>
      </c>
      <c r="Z949" s="48">
        <f t="shared" ref="Z949:Z954" si="155">CS949</f>
        <v>0</v>
      </c>
      <c r="AA949" s="48"/>
      <c r="AB949" s="48"/>
      <c r="AC949" s="49">
        <f t="shared" ref="AC949:AC954" si="156">W949+X949+Y949+Z949+AA949+AB949</f>
        <v>0</v>
      </c>
      <c r="AD949" s="50">
        <v>0</v>
      </c>
      <c r="AE949" s="47">
        <v>40112</v>
      </c>
      <c r="AF949" s="51" t="s">
        <v>516</v>
      </c>
      <c r="AG949" s="52" t="s">
        <v>517</v>
      </c>
      <c r="AH949" s="53" t="s">
        <v>317</v>
      </c>
      <c r="AI949" s="79"/>
      <c r="AJ949" s="80"/>
      <c r="AK949" s="81"/>
      <c r="AL949" s="80"/>
      <c r="AM949" s="80"/>
      <c r="AN949" s="80"/>
      <c r="AO949" s="80"/>
      <c r="AP949" s="80"/>
      <c r="AQ949" s="80"/>
      <c r="AR949" s="80"/>
      <c r="AS949" s="80"/>
      <c r="AT949" s="80"/>
      <c r="AU949" s="80"/>
      <c r="AV949" s="80"/>
      <c r="AW949" s="80"/>
      <c r="AX949" s="80"/>
      <c r="AY949" s="80"/>
      <c r="AZ949" s="80"/>
      <c r="BA949" s="80"/>
      <c r="BB949" s="80"/>
      <c r="BC949" s="80"/>
      <c r="BD949" s="80"/>
      <c r="BE949" s="80"/>
      <c r="BF949" s="80"/>
      <c r="BG949" s="80"/>
      <c r="BH949" s="80"/>
      <c r="BI949" s="80"/>
      <c r="BJ949" s="80"/>
      <c r="BK949" s="80"/>
      <c r="BL949" s="80"/>
      <c r="BM949" s="80"/>
      <c r="BN949" s="80"/>
      <c r="BO949" s="80"/>
      <c r="BP949" s="80"/>
      <c r="BQ949" s="80"/>
      <c r="BR949" s="80"/>
      <c r="BS949" s="80"/>
      <c r="BT949" s="80"/>
      <c r="BU949" s="80"/>
      <c r="BV949" s="80"/>
      <c r="BW949" s="80"/>
      <c r="BX949" s="80"/>
      <c r="BY949" s="80"/>
      <c r="BZ949" s="80"/>
      <c r="CA949" s="80"/>
      <c r="CB949" s="80"/>
      <c r="CC949" s="80"/>
      <c r="CD949" s="80"/>
      <c r="CE949" s="80"/>
      <c r="CF949" s="80"/>
      <c r="CG949" s="80"/>
      <c r="CH949" s="80"/>
      <c r="CI949" s="80"/>
      <c r="CJ949" s="80"/>
      <c r="CK949" s="82"/>
      <c r="CL949" s="12"/>
      <c r="CM949" s="82"/>
      <c r="CN949" s="12"/>
      <c r="CO949" s="82"/>
      <c r="CP949" s="12"/>
      <c r="CQ949" s="83">
        <f t="shared" ref="CQ949:CQ954" si="157">AJ949+AL949+AN949+AP949+AR949+AT949+AV949+AX949+AZ949+BB949+BD949+BF949+BH949+BJ949+BL949+BN949+BP949+BR949+BT949+BV949+BX949+BZ949+CB949+CD949+CF949+CH949+CJ949+CL949+CN949+CP949</f>
        <v>0</v>
      </c>
      <c r="CR949" s="84"/>
      <c r="CS949" s="13"/>
      <c r="CT949" s="85"/>
      <c r="CU949" s="86"/>
      <c r="CV949" s="11"/>
      <c r="CW949" s="86"/>
      <c r="CX949" s="84"/>
      <c r="CY949" s="86"/>
    </row>
    <row r="950" spans="1:103" ht="38.25" x14ac:dyDescent="0.2">
      <c r="A950" s="43">
        <v>40109</v>
      </c>
      <c r="B950" s="44" t="s">
        <v>632</v>
      </c>
      <c r="C950" s="44" t="s">
        <v>787</v>
      </c>
      <c r="D950" s="45" t="s">
        <v>1118</v>
      </c>
      <c r="E950" s="11"/>
      <c r="F950" s="12"/>
      <c r="G950" s="12"/>
      <c r="H950" s="12">
        <v>1499</v>
      </c>
      <c r="I950" s="12">
        <v>279</v>
      </c>
      <c r="J950" s="12"/>
      <c r="K950" s="12">
        <v>279</v>
      </c>
      <c r="L950" s="12"/>
      <c r="M950" s="12"/>
      <c r="N950" s="12"/>
      <c r="O950" s="12"/>
      <c r="P950" s="12"/>
      <c r="Q950" s="12"/>
      <c r="R950" s="12"/>
      <c r="S950" s="12"/>
      <c r="T950" s="13"/>
      <c r="U950" s="46"/>
      <c r="V950" s="47"/>
      <c r="W950" s="48">
        <f t="shared" si="152"/>
        <v>0</v>
      </c>
      <c r="X950" s="48">
        <f t="shared" si="153"/>
        <v>0</v>
      </c>
      <c r="Y950" s="48">
        <f t="shared" si="154"/>
        <v>0</v>
      </c>
      <c r="Z950" s="48">
        <f t="shared" si="155"/>
        <v>0</v>
      </c>
      <c r="AA950" s="48"/>
      <c r="AB950" s="48"/>
      <c r="AC950" s="49">
        <f t="shared" si="156"/>
        <v>0</v>
      </c>
      <c r="AD950" s="50">
        <v>0</v>
      </c>
      <c r="AE950" s="47">
        <v>40112</v>
      </c>
      <c r="AF950" s="51" t="s">
        <v>1016</v>
      </c>
      <c r="AG950" s="52" t="s">
        <v>565</v>
      </c>
      <c r="AH950" s="53" t="s">
        <v>791</v>
      </c>
      <c r="AI950" s="79"/>
      <c r="AJ950" s="80"/>
      <c r="AK950" s="81"/>
      <c r="AL950" s="80"/>
      <c r="AM950" s="80"/>
      <c r="AN950" s="80"/>
      <c r="AO950" s="80"/>
      <c r="AP950" s="80"/>
      <c r="AQ950" s="80"/>
      <c r="AR950" s="80"/>
      <c r="AS950" s="80"/>
      <c r="AT950" s="80"/>
      <c r="AU950" s="80"/>
      <c r="AV950" s="80"/>
      <c r="AW950" s="80"/>
      <c r="AX950" s="80"/>
      <c r="AY950" s="80"/>
      <c r="AZ950" s="80"/>
      <c r="BA950" s="80"/>
      <c r="BB950" s="80"/>
      <c r="BC950" s="80"/>
      <c r="BD950" s="80"/>
      <c r="BE950" s="80"/>
      <c r="BF950" s="80"/>
      <c r="BG950" s="80"/>
      <c r="BH950" s="80"/>
      <c r="BI950" s="80"/>
      <c r="BJ950" s="80"/>
      <c r="BK950" s="80"/>
      <c r="BL950" s="80"/>
      <c r="BM950" s="80"/>
      <c r="BN950" s="80"/>
      <c r="BO950" s="80"/>
      <c r="BP950" s="80"/>
      <c r="BQ950" s="80"/>
      <c r="BR950" s="80"/>
      <c r="BS950" s="80"/>
      <c r="BT950" s="80"/>
      <c r="BU950" s="80"/>
      <c r="BV950" s="80"/>
      <c r="BW950" s="80"/>
      <c r="BX950" s="80"/>
      <c r="BY950" s="80"/>
      <c r="BZ950" s="80"/>
      <c r="CA950" s="80"/>
      <c r="CB950" s="80"/>
      <c r="CC950" s="80"/>
      <c r="CD950" s="80"/>
      <c r="CE950" s="80"/>
      <c r="CF950" s="80"/>
      <c r="CG950" s="80"/>
      <c r="CH950" s="80"/>
      <c r="CI950" s="80"/>
      <c r="CJ950" s="80"/>
      <c r="CK950" s="82"/>
      <c r="CL950" s="12"/>
      <c r="CM950" s="82"/>
      <c r="CN950" s="12"/>
      <c r="CO950" s="82"/>
      <c r="CP950" s="12"/>
      <c r="CQ950" s="83">
        <f t="shared" si="157"/>
        <v>0</v>
      </c>
      <c r="CR950" s="84"/>
      <c r="CS950" s="13"/>
      <c r="CT950" s="85"/>
      <c r="CU950" s="86"/>
      <c r="CV950" s="11"/>
      <c r="CW950" s="86"/>
      <c r="CX950" s="84"/>
      <c r="CY950" s="86"/>
    </row>
    <row r="951" spans="1:103" ht="12.75" x14ac:dyDescent="0.2">
      <c r="A951" s="43">
        <v>40109</v>
      </c>
      <c r="B951" s="44" t="s">
        <v>632</v>
      </c>
      <c r="C951" s="44" t="s">
        <v>1243</v>
      </c>
      <c r="D951" s="45" t="s">
        <v>1118</v>
      </c>
      <c r="E951" s="11"/>
      <c r="F951" s="12"/>
      <c r="G951" s="12"/>
      <c r="H951" s="12"/>
      <c r="I951" s="12"/>
      <c r="J951" s="12"/>
      <c r="K951" s="12"/>
      <c r="L951" s="12"/>
      <c r="M951" s="12"/>
      <c r="N951" s="12"/>
      <c r="O951" s="12"/>
      <c r="P951" s="12"/>
      <c r="Q951" s="12"/>
      <c r="R951" s="12"/>
      <c r="S951" s="12"/>
      <c r="T951" s="13"/>
      <c r="U951" s="46"/>
      <c r="V951" s="47"/>
      <c r="W951" s="48">
        <f t="shared" si="152"/>
        <v>0</v>
      </c>
      <c r="X951" s="48">
        <f t="shared" si="153"/>
        <v>0</v>
      </c>
      <c r="Y951" s="48">
        <f t="shared" si="154"/>
        <v>0</v>
      </c>
      <c r="Z951" s="48">
        <f t="shared" si="155"/>
        <v>0</v>
      </c>
      <c r="AA951" s="48"/>
      <c r="AB951" s="48"/>
      <c r="AC951" s="49">
        <f t="shared" si="156"/>
        <v>0</v>
      </c>
      <c r="AD951" s="50">
        <v>0</v>
      </c>
      <c r="AE951" s="47">
        <v>40112</v>
      </c>
      <c r="AF951" s="51" t="s">
        <v>1016</v>
      </c>
      <c r="AG951" s="52" t="s">
        <v>565</v>
      </c>
      <c r="AH951" s="53" t="s">
        <v>788</v>
      </c>
      <c r="AI951" s="79"/>
      <c r="AJ951" s="80"/>
      <c r="AK951" s="81"/>
      <c r="AL951" s="80"/>
      <c r="AM951" s="80"/>
      <c r="AN951" s="80"/>
      <c r="AO951" s="80"/>
      <c r="AP951" s="80"/>
      <c r="AQ951" s="80"/>
      <c r="AR951" s="80"/>
      <c r="AS951" s="80"/>
      <c r="AT951" s="80"/>
      <c r="AU951" s="80"/>
      <c r="AV951" s="80"/>
      <c r="AW951" s="80"/>
      <c r="AX951" s="80"/>
      <c r="AY951" s="80"/>
      <c r="AZ951" s="80"/>
      <c r="BA951" s="80"/>
      <c r="BB951" s="80"/>
      <c r="BC951" s="80"/>
      <c r="BD951" s="80"/>
      <c r="BE951" s="80"/>
      <c r="BF951" s="80"/>
      <c r="BG951" s="80"/>
      <c r="BH951" s="80"/>
      <c r="BI951" s="80"/>
      <c r="BJ951" s="80"/>
      <c r="BK951" s="80"/>
      <c r="BL951" s="80"/>
      <c r="BM951" s="80"/>
      <c r="BN951" s="80"/>
      <c r="BO951" s="80"/>
      <c r="BP951" s="80"/>
      <c r="BQ951" s="80"/>
      <c r="BR951" s="80"/>
      <c r="BS951" s="80"/>
      <c r="BT951" s="80"/>
      <c r="BU951" s="80"/>
      <c r="BV951" s="80"/>
      <c r="BW951" s="80"/>
      <c r="BX951" s="80"/>
      <c r="BY951" s="80"/>
      <c r="BZ951" s="80"/>
      <c r="CA951" s="80"/>
      <c r="CB951" s="80"/>
      <c r="CC951" s="80"/>
      <c r="CD951" s="80"/>
      <c r="CE951" s="80"/>
      <c r="CF951" s="80"/>
      <c r="CG951" s="80"/>
      <c r="CH951" s="80"/>
      <c r="CI951" s="80"/>
      <c r="CJ951" s="80"/>
      <c r="CK951" s="82"/>
      <c r="CL951" s="12"/>
      <c r="CM951" s="82"/>
      <c r="CN951" s="12"/>
      <c r="CO951" s="82"/>
      <c r="CP951" s="12"/>
      <c r="CQ951" s="83">
        <f t="shared" si="157"/>
        <v>0</v>
      </c>
      <c r="CR951" s="84"/>
      <c r="CS951" s="13"/>
      <c r="CT951" s="85"/>
      <c r="CU951" s="86"/>
      <c r="CV951" s="11"/>
      <c r="CW951" s="86"/>
      <c r="CX951" s="84"/>
      <c r="CY951" s="86"/>
    </row>
    <row r="952" spans="1:103" ht="25.5" x14ac:dyDescent="0.2">
      <c r="A952" s="43">
        <v>40109</v>
      </c>
      <c r="B952" s="44" t="s">
        <v>632</v>
      </c>
      <c r="C952" s="44" t="s">
        <v>1231</v>
      </c>
      <c r="D952" s="45" t="s">
        <v>1118</v>
      </c>
      <c r="E952" s="11"/>
      <c r="F952" s="12"/>
      <c r="G952" s="12"/>
      <c r="H952" s="12"/>
      <c r="I952" s="12"/>
      <c r="J952" s="12"/>
      <c r="K952" s="12"/>
      <c r="L952" s="12"/>
      <c r="M952" s="12"/>
      <c r="N952" s="12"/>
      <c r="O952" s="12"/>
      <c r="P952" s="12"/>
      <c r="Q952" s="12"/>
      <c r="R952" s="12"/>
      <c r="S952" s="12"/>
      <c r="T952" s="13"/>
      <c r="U952" s="46"/>
      <c r="V952" s="47">
        <v>40121</v>
      </c>
      <c r="W952" s="48">
        <f t="shared" si="152"/>
        <v>102498160</v>
      </c>
      <c r="X952" s="48">
        <f t="shared" si="153"/>
        <v>87000000</v>
      </c>
      <c r="Y952" s="48">
        <f t="shared" si="154"/>
        <v>0</v>
      </c>
      <c r="Z952" s="48">
        <f t="shared" si="155"/>
        <v>0</v>
      </c>
      <c r="AA952" s="48"/>
      <c r="AB952" s="48"/>
      <c r="AC952" s="49">
        <f t="shared" si="156"/>
        <v>189498160</v>
      </c>
      <c r="AD952" s="50">
        <v>0</v>
      </c>
      <c r="AE952" s="47">
        <v>40112</v>
      </c>
      <c r="AF952" s="51" t="s">
        <v>1016</v>
      </c>
      <c r="AG952" s="52" t="s">
        <v>565</v>
      </c>
      <c r="AH952" s="53" t="s">
        <v>265</v>
      </c>
      <c r="AI952" s="79"/>
      <c r="AJ952" s="80"/>
      <c r="AK952" s="81"/>
      <c r="AL952" s="80"/>
      <c r="AM952" s="80"/>
      <c r="AN952" s="80"/>
      <c r="AO952" s="80"/>
      <c r="AP952" s="80"/>
      <c r="AQ952" s="80"/>
      <c r="AR952" s="80"/>
      <c r="AS952" s="80"/>
      <c r="AT952" s="80"/>
      <c r="AU952" s="80"/>
      <c r="AV952" s="80"/>
      <c r="AW952" s="80"/>
      <c r="AX952" s="80"/>
      <c r="AY952" s="80"/>
      <c r="AZ952" s="80"/>
      <c r="BA952" s="80"/>
      <c r="BB952" s="80"/>
      <c r="BC952" s="80"/>
      <c r="BD952" s="80"/>
      <c r="BE952" s="80"/>
      <c r="BF952" s="80"/>
      <c r="BG952" s="80">
        <v>1000</v>
      </c>
      <c r="BH952" s="80">
        <f>1000*27498.96</f>
        <v>27498960</v>
      </c>
      <c r="BI952" s="80"/>
      <c r="BJ952" s="80"/>
      <c r="BK952" s="80"/>
      <c r="BL952" s="80"/>
      <c r="BM952" s="80"/>
      <c r="BN952" s="80"/>
      <c r="BO952" s="80"/>
      <c r="BP952" s="80"/>
      <c r="BQ952" s="80"/>
      <c r="BR952" s="80"/>
      <c r="BS952" s="80"/>
      <c r="BT952" s="80"/>
      <c r="BU952" s="80"/>
      <c r="BV952" s="80"/>
      <c r="BW952" s="80"/>
      <c r="BX952" s="80"/>
      <c r="BY952" s="80"/>
      <c r="BZ952" s="80"/>
      <c r="CA952" s="80"/>
      <c r="CB952" s="80"/>
      <c r="CC952" s="80"/>
      <c r="CD952" s="80"/>
      <c r="CE952" s="80"/>
      <c r="CF952" s="80"/>
      <c r="CG952" s="80"/>
      <c r="CH952" s="80"/>
      <c r="CI952" s="80"/>
      <c r="CJ952" s="80"/>
      <c r="CK952" s="82">
        <v>1000</v>
      </c>
      <c r="CL952" s="12">
        <f>1000*38999.2</f>
        <v>38999200</v>
      </c>
      <c r="CM952" s="82">
        <v>1000</v>
      </c>
      <c r="CN952" s="12">
        <f>1000*36000</f>
        <v>36000000</v>
      </c>
      <c r="CO952" s="82"/>
      <c r="CP952" s="12"/>
      <c r="CQ952" s="83">
        <f t="shared" si="157"/>
        <v>102498160</v>
      </c>
      <c r="CR952" s="84"/>
      <c r="CS952" s="13"/>
      <c r="CT952" s="85">
        <v>1000</v>
      </c>
      <c r="CU952" s="86">
        <f>1000*87000</f>
        <v>87000000</v>
      </c>
      <c r="CV952" s="11"/>
      <c r="CW952" s="86"/>
      <c r="CX952" s="84"/>
      <c r="CY952" s="86"/>
    </row>
    <row r="953" spans="1:103" ht="25.5" x14ac:dyDescent="0.2">
      <c r="A953" s="43">
        <v>40109</v>
      </c>
      <c r="B953" s="44" t="s">
        <v>1224</v>
      </c>
      <c r="C953" s="44" t="s">
        <v>326</v>
      </c>
      <c r="D953" s="45" t="s">
        <v>1117</v>
      </c>
      <c r="E953" s="11"/>
      <c r="F953" s="12"/>
      <c r="G953" s="12"/>
      <c r="H953" s="12">
        <v>10</v>
      </c>
      <c r="I953" s="12">
        <v>2</v>
      </c>
      <c r="J953" s="12"/>
      <c r="K953" s="12">
        <v>2</v>
      </c>
      <c r="L953" s="12"/>
      <c r="M953" s="12"/>
      <c r="N953" s="12"/>
      <c r="O953" s="12"/>
      <c r="P953" s="12"/>
      <c r="Q953" s="12"/>
      <c r="R953" s="12"/>
      <c r="S953" s="12"/>
      <c r="T953" s="13"/>
      <c r="U953" s="46"/>
      <c r="V953" s="47"/>
      <c r="W953" s="48">
        <f t="shared" si="152"/>
        <v>0</v>
      </c>
      <c r="X953" s="48">
        <f t="shared" si="153"/>
        <v>0</v>
      </c>
      <c r="Y953" s="48">
        <f t="shared" si="154"/>
        <v>0</v>
      </c>
      <c r="Z953" s="48">
        <f t="shared" si="155"/>
        <v>0</v>
      </c>
      <c r="AA953" s="48"/>
      <c r="AB953" s="48"/>
      <c r="AC953" s="49">
        <f t="shared" si="156"/>
        <v>0</v>
      </c>
      <c r="AD953" s="50">
        <v>0</v>
      </c>
      <c r="AE953" s="47">
        <v>40123</v>
      </c>
      <c r="AF953" s="51" t="s">
        <v>516</v>
      </c>
      <c r="AG953" s="52" t="s">
        <v>517</v>
      </c>
      <c r="AH953" s="53" t="s">
        <v>1406</v>
      </c>
      <c r="AI953" s="79"/>
      <c r="AJ953" s="80"/>
      <c r="AK953" s="81"/>
      <c r="AL953" s="80"/>
      <c r="AM953" s="80"/>
      <c r="AN953" s="80"/>
      <c r="AO953" s="80"/>
      <c r="AP953" s="80"/>
      <c r="AQ953" s="80"/>
      <c r="AR953" s="80"/>
      <c r="AS953" s="80"/>
      <c r="AT953" s="80"/>
      <c r="AU953" s="80"/>
      <c r="AV953" s="80"/>
      <c r="AW953" s="80"/>
      <c r="AX953" s="80"/>
      <c r="AY953" s="80"/>
      <c r="AZ953" s="80"/>
      <c r="BA953" s="80"/>
      <c r="BB953" s="80"/>
      <c r="BC953" s="80"/>
      <c r="BD953" s="80"/>
      <c r="BE953" s="80"/>
      <c r="BF953" s="80"/>
      <c r="BG953" s="80"/>
      <c r="BH953" s="80"/>
      <c r="BI953" s="80"/>
      <c r="BJ953" s="80"/>
      <c r="BK953" s="80"/>
      <c r="BL953" s="80"/>
      <c r="BM953" s="80"/>
      <c r="BN953" s="80"/>
      <c r="BO953" s="80"/>
      <c r="BP953" s="80"/>
      <c r="BQ953" s="80"/>
      <c r="BR953" s="80"/>
      <c r="BS953" s="80"/>
      <c r="BT953" s="80"/>
      <c r="BU953" s="80"/>
      <c r="BV953" s="80"/>
      <c r="BW953" s="80"/>
      <c r="BX953" s="80"/>
      <c r="BY953" s="80"/>
      <c r="BZ953" s="80"/>
      <c r="CA953" s="80"/>
      <c r="CB953" s="80"/>
      <c r="CC953" s="80"/>
      <c r="CD953" s="80"/>
      <c r="CE953" s="80"/>
      <c r="CF953" s="80"/>
      <c r="CG953" s="80"/>
      <c r="CH953" s="80"/>
      <c r="CI953" s="80"/>
      <c r="CJ953" s="80"/>
      <c r="CK953" s="82"/>
      <c r="CL953" s="12"/>
      <c r="CM953" s="82"/>
      <c r="CN953" s="12"/>
      <c r="CO953" s="82"/>
      <c r="CP953" s="12"/>
      <c r="CQ953" s="83">
        <f t="shared" si="157"/>
        <v>0</v>
      </c>
      <c r="CR953" s="84"/>
      <c r="CS953" s="13"/>
      <c r="CT953" s="85"/>
      <c r="CU953" s="86"/>
      <c r="CV953" s="11"/>
      <c r="CW953" s="86"/>
      <c r="CX953" s="84"/>
      <c r="CY953" s="86"/>
    </row>
    <row r="954" spans="1:103" ht="25.5" x14ac:dyDescent="0.2">
      <c r="A954" s="43">
        <v>40109</v>
      </c>
      <c r="B954" s="44" t="s">
        <v>1136</v>
      </c>
      <c r="C954" s="44" t="s">
        <v>871</v>
      </c>
      <c r="D954" s="45" t="s">
        <v>1117</v>
      </c>
      <c r="E954" s="11"/>
      <c r="F954" s="12"/>
      <c r="G954" s="12"/>
      <c r="H954" s="12">
        <f>28*5</f>
        <v>140</v>
      </c>
      <c r="I954" s="12">
        <v>28</v>
      </c>
      <c r="J954" s="12"/>
      <c r="K954" s="12">
        <v>28</v>
      </c>
      <c r="L954" s="12"/>
      <c r="M954" s="12"/>
      <c r="N954" s="12"/>
      <c r="O954" s="12"/>
      <c r="P954" s="12"/>
      <c r="Q954" s="12"/>
      <c r="R954" s="12"/>
      <c r="S954" s="12"/>
      <c r="T954" s="13"/>
      <c r="U954" s="46"/>
      <c r="V954" s="47">
        <v>40163</v>
      </c>
      <c r="W954" s="48">
        <f t="shared" si="152"/>
        <v>0</v>
      </c>
      <c r="X954" s="48">
        <f t="shared" si="153"/>
        <v>0</v>
      </c>
      <c r="Y954" s="48">
        <f t="shared" si="154"/>
        <v>3665400</v>
      </c>
      <c r="Z954" s="48">
        <f t="shared" si="155"/>
        <v>0</v>
      </c>
      <c r="AA954" s="48"/>
      <c r="AB954" s="48"/>
      <c r="AC954" s="49">
        <f t="shared" si="156"/>
        <v>3665400</v>
      </c>
      <c r="AD954" s="50">
        <v>0</v>
      </c>
      <c r="AE954" s="47">
        <v>40109</v>
      </c>
      <c r="AF954" s="51" t="s">
        <v>1016</v>
      </c>
      <c r="AG954" s="52" t="s">
        <v>565</v>
      </c>
      <c r="AH954" s="53" t="s">
        <v>317</v>
      </c>
      <c r="AI954" s="79"/>
      <c r="AJ954" s="80"/>
      <c r="AK954" s="81"/>
      <c r="AL954" s="80"/>
      <c r="AM954" s="80"/>
      <c r="AN954" s="80"/>
      <c r="AO954" s="80"/>
      <c r="AP954" s="80"/>
      <c r="AQ954" s="80"/>
      <c r="AR954" s="80"/>
      <c r="AS954" s="80"/>
      <c r="AT954" s="80"/>
      <c r="AU954" s="80"/>
      <c r="AV954" s="80"/>
      <c r="AW954" s="80"/>
      <c r="AX954" s="80"/>
      <c r="AY954" s="80"/>
      <c r="AZ954" s="80"/>
      <c r="BA954" s="80"/>
      <c r="BB954" s="80"/>
      <c r="BC954" s="80"/>
      <c r="BD954" s="80"/>
      <c r="BE954" s="80"/>
      <c r="BF954" s="80"/>
      <c r="BG954" s="80"/>
      <c r="BH954" s="80"/>
      <c r="BI954" s="80"/>
      <c r="BJ954" s="80"/>
      <c r="BK954" s="80"/>
      <c r="BL954" s="80"/>
      <c r="BM954" s="80"/>
      <c r="BN954" s="80"/>
      <c r="BO954" s="80"/>
      <c r="BP954" s="80"/>
      <c r="BQ954" s="80"/>
      <c r="BR954" s="80"/>
      <c r="BS954" s="80"/>
      <c r="BT954" s="80"/>
      <c r="BU954" s="80"/>
      <c r="BV954" s="80"/>
      <c r="BW954" s="80"/>
      <c r="BX954" s="80"/>
      <c r="BY954" s="80"/>
      <c r="BZ954" s="80"/>
      <c r="CA954" s="80"/>
      <c r="CB954" s="80"/>
      <c r="CC954" s="80"/>
      <c r="CD954" s="80"/>
      <c r="CE954" s="80"/>
      <c r="CF954" s="80"/>
      <c r="CG954" s="80"/>
      <c r="CH954" s="80"/>
      <c r="CI954" s="80"/>
      <c r="CJ954" s="80"/>
      <c r="CK954" s="82"/>
      <c r="CL954" s="12"/>
      <c r="CM954" s="82"/>
      <c r="CN954" s="12"/>
      <c r="CO954" s="82"/>
      <c r="CP954" s="12"/>
      <c r="CQ954" s="83">
        <f t="shared" si="157"/>
        <v>0</v>
      </c>
      <c r="CR954" s="84"/>
      <c r="CS954" s="13"/>
      <c r="CT954" s="85"/>
      <c r="CU954" s="86"/>
      <c r="CV954" s="11"/>
      <c r="CW954" s="86"/>
      <c r="CX954" s="84">
        <v>150</v>
      </c>
      <c r="CY954" s="86">
        <f>150*22000+1050*348</f>
        <v>3665400</v>
      </c>
    </row>
    <row r="955" spans="1:103" ht="38.25" x14ac:dyDescent="0.2">
      <c r="A955" s="43">
        <v>40109</v>
      </c>
      <c r="B955" s="44" t="s">
        <v>315</v>
      </c>
      <c r="C955" s="44" t="s">
        <v>240</v>
      </c>
      <c r="D955" s="45" t="s">
        <v>1118</v>
      </c>
      <c r="E955" s="11"/>
      <c r="F955" s="12"/>
      <c r="G955" s="12"/>
      <c r="H955" s="12">
        <f>96*5</f>
        <v>480</v>
      </c>
      <c r="I955" s="12">
        <v>96</v>
      </c>
      <c r="J955" s="12"/>
      <c r="K955" s="12"/>
      <c r="L955" s="12"/>
      <c r="M955" s="12"/>
      <c r="N955" s="12"/>
      <c r="O955" s="12"/>
      <c r="P955" s="12"/>
      <c r="Q955" s="12"/>
      <c r="R955" s="12"/>
      <c r="S955" s="12"/>
      <c r="T955" s="13"/>
      <c r="U955" s="46" t="s">
        <v>597</v>
      </c>
      <c r="V955" s="47"/>
      <c r="W955" s="48">
        <f t="shared" ref="W955:W983" si="158">CQ955</f>
        <v>0</v>
      </c>
      <c r="X955" s="48">
        <f t="shared" ref="X955:X983" si="159">CU955</f>
        <v>0</v>
      </c>
      <c r="Y955" s="48">
        <f t="shared" ref="Y955:Y983" si="160">CW955+CY955</f>
        <v>0</v>
      </c>
      <c r="Z955" s="48">
        <f t="shared" ref="Z955:Z983" si="161">CS955</f>
        <v>0</v>
      </c>
      <c r="AA955" s="48"/>
      <c r="AB955" s="48"/>
      <c r="AC955" s="49">
        <f t="shared" ref="AC955:AC983" si="162">W955+X955+Y955+Z955+AA955+AB955</f>
        <v>0</v>
      </c>
      <c r="AD955" s="50">
        <v>0</v>
      </c>
      <c r="AE955" s="47">
        <v>40137</v>
      </c>
      <c r="AF955" s="51" t="s">
        <v>516</v>
      </c>
      <c r="AG955" s="52" t="s">
        <v>517</v>
      </c>
      <c r="AH955" s="53" t="s">
        <v>910</v>
      </c>
      <c r="AI955" s="79"/>
      <c r="AJ955" s="80"/>
      <c r="AK955" s="81"/>
      <c r="AL955" s="80"/>
      <c r="AM955" s="80"/>
      <c r="AN955" s="80"/>
      <c r="AO955" s="80"/>
      <c r="AP955" s="80"/>
      <c r="AQ955" s="80"/>
      <c r="AR955" s="80"/>
      <c r="AS955" s="80"/>
      <c r="AT955" s="80"/>
      <c r="AU955" s="80"/>
      <c r="AV955" s="80"/>
      <c r="AW955" s="80"/>
      <c r="AX955" s="80"/>
      <c r="AY955" s="80"/>
      <c r="AZ955" s="80"/>
      <c r="BA955" s="80"/>
      <c r="BB955" s="80"/>
      <c r="BC955" s="80"/>
      <c r="BD955" s="80"/>
      <c r="BE955" s="80"/>
      <c r="BF955" s="80"/>
      <c r="BG955" s="80"/>
      <c r="BH955" s="80"/>
      <c r="BI955" s="80"/>
      <c r="BJ955" s="80"/>
      <c r="BK955" s="80"/>
      <c r="BL955" s="80"/>
      <c r="BM955" s="80"/>
      <c r="BN955" s="80"/>
      <c r="BO955" s="80"/>
      <c r="BP955" s="80"/>
      <c r="BQ955" s="80"/>
      <c r="BR955" s="80"/>
      <c r="BS955" s="80"/>
      <c r="BT955" s="80"/>
      <c r="BU955" s="80"/>
      <c r="BV955" s="80"/>
      <c r="BW955" s="80"/>
      <c r="BX955" s="80"/>
      <c r="BY955" s="80"/>
      <c r="BZ955" s="80"/>
      <c r="CA955" s="80"/>
      <c r="CB955" s="80"/>
      <c r="CC955" s="80"/>
      <c r="CD955" s="80"/>
      <c r="CE955" s="80"/>
      <c r="CF955" s="80"/>
      <c r="CG955" s="80"/>
      <c r="CH955" s="80"/>
      <c r="CI955" s="80"/>
      <c r="CJ955" s="80"/>
      <c r="CK955" s="82"/>
      <c r="CL955" s="12"/>
      <c r="CM955" s="82"/>
      <c r="CN955" s="12"/>
      <c r="CO955" s="82"/>
      <c r="CP955" s="12"/>
      <c r="CQ955" s="83">
        <f t="shared" ref="CQ955:CQ983" si="163">AJ955+AL955+AN955+AP955+AR955+AT955+AV955+AX955+AZ955+BB955+BD955+BF955+BH955+BJ955+BL955+BN955+BP955+BR955+BT955+BV955+BX955+BZ955+CB955+CD955+CF955+CH955+CJ955+CL955+CN955+CP955</f>
        <v>0</v>
      </c>
      <c r="CR955" s="84"/>
      <c r="CS955" s="13"/>
      <c r="CT955" s="85"/>
      <c r="CU955" s="86"/>
      <c r="CV955" s="11"/>
      <c r="CW955" s="86"/>
      <c r="CX955" s="84"/>
      <c r="CY955" s="86"/>
    </row>
    <row r="956" spans="1:103" ht="38.25" x14ac:dyDescent="0.2">
      <c r="A956" s="43">
        <v>40110</v>
      </c>
      <c r="B956" s="44" t="s">
        <v>632</v>
      </c>
      <c r="C956" s="44" t="s">
        <v>789</v>
      </c>
      <c r="D956" s="45" t="s">
        <v>1118</v>
      </c>
      <c r="E956" s="11"/>
      <c r="F956" s="12"/>
      <c r="G956" s="12"/>
      <c r="H956" s="12">
        <v>5610</v>
      </c>
      <c r="I956" s="12">
        <v>935</v>
      </c>
      <c r="J956" s="12"/>
      <c r="K956" s="12">
        <v>935</v>
      </c>
      <c r="L956" s="12"/>
      <c r="M956" s="12"/>
      <c r="N956" s="12"/>
      <c r="O956" s="12"/>
      <c r="P956" s="12"/>
      <c r="Q956" s="12"/>
      <c r="R956" s="12"/>
      <c r="S956" s="12"/>
      <c r="T956" s="13"/>
      <c r="U956" s="46"/>
      <c r="V956" s="47"/>
      <c r="W956" s="48">
        <f t="shared" si="158"/>
        <v>0</v>
      </c>
      <c r="X956" s="48">
        <f t="shared" si="159"/>
        <v>0</v>
      </c>
      <c r="Y956" s="48">
        <f t="shared" si="160"/>
        <v>0</v>
      </c>
      <c r="Z956" s="48">
        <f t="shared" si="161"/>
        <v>0</v>
      </c>
      <c r="AA956" s="48"/>
      <c r="AB956" s="48"/>
      <c r="AC956" s="49">
        <f t="shared" si="162"/>
        <v>0</v>
      </c>
      <c r="AD956" s="50">
        <v>0</v>
      </c>
      <c r="AE956" s="47">
        <v>40112</v>
      </c>
      <c r="AF956" s="51" t="s">
        <v>1016</v>
      </c>
      <c r="AG956" s="52" t="s">
        <v>565</v>
      </c>
      <c r="AH956" s="53" t="s">
        <v>790</v>
      </c>
      <c r="AI956" s="79"/>
      <c r="AJ956" s="80"/>
      <c r="AK956" s="81"/>
      <c r="AL956" s="80"/>
      <c r="AM956" s="80"/>
      <c r="AN956" s="80"/>
      <c r="AO956" s="80"/>
      <c r="AP956" s="80"/>
      <c r="AQ956" s="80"/>
      <c r="AR956" s="80"/>
      <c r="AS956" s="80"/>
      <c r="AT956" s="80"/>
      <c r="AU956" s="80"/>
      <c r="AV956" s="80"/>
      <c r="AW956" s="80"/>
      <c r="AX956" s="80"/>
      <c r="AY956" s="80"/>
      <c r="AZ956" s="80"/>
      <c r="BA956" s="80"/>
      <c r="BB956" s="80"/>
      <c r="BC956" s="80"/>
      <c r="BD956" s="80"/>
      <c r="BE956" s="80"/>
      <c r="BF956" s="80"/>
      <c r="BG956" s="80"/>
      <c r="BH956" s="80"/>
      <c r="BI956" s="80"/>
      <c r="BJ956" s="80"/>
      <c r="BK956" s="80"/>
      <c r="BL956" s="80"/>
      <c r="BM956" s="80"/>
      <c r="BN956" s="80"/>
      <c r="BO956" s="80"/>
      <c r="BP956" s="80"/>
      <c r="BQ956" s="80"/>
      <c r="BR956" s="80"/>
      <c r="BS956" s="80"/>
      <c r="BT956" s="80"/>
      <c r="BU956" s="80"/>
      <c r="BV956" s="80"/>
      <c r="BW956" s="80"/>
      <c r="BX956" s="80"/>
      <c r="BY956" s="80"/>
      <c r="BZ956" s="80"/>
      <c r="CA956" s="80"/>
      <c r="CB956" s="80"/>
      <c r="CC956" s="80"/>
      <c r="CD956" s="80"/>
      <c r="CE956" s="80"/>
      <c r="CF956" s="80"/>
      <c r="CG956" s="80"/>
      <c r="CH956" s="80"/>
      <c r="CI956" s="80"/>
      <c r="CJ956" s="80"/>
      <c r="CK956" s="82"/>
      <c r="CL956" s="12"/>
      <c r="CM956" s="82"/>
      <c r="CN956" s="12"/>
      <c r="CO956" s="82"/>
      <c r="CP956" s="12"/>
      <c r="CQ956" s="83">
        <f t="shared" si="163"/>
        <v>0</v>
      </c>
      <c r="CR956" s="84"/>
      <c r="CS956" s="13"/>
      <c r="CT956" s="85"/>
      <c r="CU956" s="86"/>
      <c r="CV956" s="11"/>
      <c r="CW956" s="86"/>
      <c r="CX956" s="84"/>
      <c r="CY956" s="86"/>
    </row>
    <row r="957" spans="1:103" ht="63.75" x14ac:dyDescent="0.2">
      <c r="A957" s="43">
        <v>40110</v>
      </c>
      <c r="B957" s="44" t="s">
        <v>1224</v>
      </c>
      <c r="C957" s="44" t="s">
        <v>902</v>
      </c>
      <c r="D957" s="45" t="s">
        <v>1117</v>
      </c>
      <c r="E957" s="11"/>
      <c r="F957" s="12"/>
      <c r="G957" s="12"/>
      <c r="H957" s="12"/>
      <c r="I957" s="12"/>
      <c r="J957" s="12"/>
      <c r="K957" s="12"/>
      <c r="L957" s="12"/>
      <c r="M957" s="12"/>
      <c r="N957" s="12"/>
      <c r="O957" s="12"/>
      <c r="P957" s="12"/>
      <c r="Q957" s="12"/>
      <c r="R957" s="12"/>
      <c r="S957" s="12"/>
      <c r="T957" s="13"/>
      <c r="U957" s="46" t="s">
        <v>792</v>
      </c>
      <c r="V957" s="47"/>
      <c r="W957" s="48">
        <f t="shared" si="158"/>
        <v>0</v>
      </c>
      <c r="X957" s="48">
        <f t="shared" si="159"/>
        <v>0</v>
      </c>
      <c r="Y957" s="48">
        <f t="shared" si="160"/>
        <v>0</v>
      </c>
      <c r="Z957" s="48">
        <f t="shared" si="161"/>
        <v>0</v>
      </c>
      <c r="AA957" s="48"/>
      <c r="AB957" s="48"/>
      <c r="AC957" s="49">
        <f t="shared" si="162"/>
        <v>0</v>
      </c>
      <c r="AD957" s="50">
        <v>0</v>
      </c>
      <c r="AE957" s="47">
        <v>40112</v>
      </c>
      <c r="AF957" s="51" t="s">
        <v>516</v>
      </c>
      <c r="AG957" s="52" t="s">
        <v>517</v>
      </c>
      <c r="AH957" s="53" t="s">
        <v>793</v>
      </c>
      <c r="AI957" s="79"/>
      <c r="AJ957" s="80"/>
      <c r="AK957" s="81"/>
      <c r="AL957" s="80"/>
      <c r="AM957" s="80"/>
      <c r="AN957" s="80"/>
      <c r="AO957" s="80"/>
      <c r="AP957" s="80"/>
      <c r="AQ957" s="80"/>
      <c r="AR957" s="80"/>
      <c r="AS957" s="80"/>
      <c r="AT957" s="80"/>
      <c r="AU957" s="80"/>
      <c r="AV957" s="80"/>
      <c r="AW957" s="80"/>
      <c r="AX957" s="80"/>
      <c r="AY957" s="80"/>
      <c r="AZ957" s="80"/>
      <c r="BA957" s="80"/>
      <c r="BB957" s="80"/>
      <c r="BC957" s="80"/>
      <c r="BD957" s="80"/>
      <c r="BE957" s="80"/>
      <c r="BF957" s="80"/>
      <c r="BG957" s="80"/>
      <c r="BH957" s="80"/>
      <c r="BI957" s="80"/>
      <c r="BJ957" s="80"/>
      <c r="BK957" s="80"/>
      <c r="BL957" s="80"/>
      <c r="BM957" s="80"/>
      <c r="BN957" s="80"/>
      <c r="BO957" s="80"/>
      <c r="BP957" s="80"/>
      <c r="BQ957" s="80"/>
      <c r="BR957" s="80"/>
      <c r="BS957" s="80"/>
      <c r="BT957" s="80"/>
      <c r="BU957" s="80"/>
      <c r="BV957" s="80"/>
      <c r="BW957" s="80"/>
      <c r="BX957" s="80"/>
      <c r="BY957" s="80"/>
      <c r="BZ957" s="80"/>
      <c r="CA957" s="80"/>
      <c r="CB957" s="80"/>
      <c r="CC957" s="80"/>
      <c r="CD957" s="80"/>
      <c r="CE957" s="80"/>
      <c r="CF957" s="80"/>
      <c r="CG957" s="80"/>
      <c r="CH957" s="80"/>
      <c r="CI957" s="80"/>
      <c r="CJ957" s="80"/>
      <c r="CK957" s="82"/>
      <c r="CL957" s="12"/>
      <c r="CM957" s="82"/>
      <c r="CN957" s="12"/>
      <c r="CO957" s="82"/>
      <c r="CP957" s="12"/>
      <c r="CQ957" s="83">
        <f t="shared" si="163"/>
        <v>0</v>
      </c>
      <c r="CR957" s="84"/>
      <c r="CS957" s="13"/>
      <c r="CT957" s="85"/>
      <c r="CU957" s="86"/>
      <c r="CV957" s="11"/>
      <c r="CW957" s="86"/>
      <c r="CX957" s="84"/>
      <c r="CY957" s="86"/>
    </row>
    <row r="958" spans="1:103" ht="25.5" x14ac:dyDescent="0.2">
      <c r="A958" s="43">
        <v>40110</v>
      </c>
      <c r="B958" s="44" t="s">
        <v>600</v>
      </c>
      <c r="C958" s="44" t="s">
        <v>770</v>
      </c>
      <c r="D958" s="45" t="s">
        <v>1118</v>
      </c>
      <c r="E958" s="11">
        <v>2</v>
      </c>
      <c r="F958" s="12"/>
      <c r="G958" s="12"/>
      <c r="H958" s="12"/>
      <c r="I958" s="12"/>
      <c r="J958" s="12"/>
      <c r="K958" s="12"/>
      <c r="L958" s="12"/>
      <c r="M958" s="12"/>
      <c r="N958" s="12"/>
      <c r="O958" s="12"/>
      <c r="P958" s="12"/>
      <c r="Q958" s="12"/>
      <c r="R958" s="12"/>
      <c r="S958" s="12"/>
      <c r="T958" s="13"/>
      <c r="U958" s="46"/>
      <c r="V958" s="47"/>
      <c r="W958" s="48">
        <f t="shared" si="158"/>
        <v>0</v>
      </c>
      <c r="X958" s="48">
        <f t="shared" si="159"/>
        <v>0</v>
      </c>
      <c r="Y958" s="48">
        <f t="shared" si="160"/>
        <v>0</v>
      </c>
      <c r="Z958" s="48">
        <f t="shared" si="161"/>
        <v>0</v>
      </c>
      <c r="AA958" s="48"/>
      <c r="AB958" s="48"/>
      <c r="AC958" s="49">
        <f t="shared" si="162"/>
        <v>0</v>
      </c>
      <c r="AD958" s="50">
        <v>0</v>
      </c>
      <c r="AE958" s="47">
        <v>40113</v>
      </c>
      <c r="AF958" s="51" t="s">
        <v>516</v>
      </c>
      <c r="AG958" s="52" t="s">
        <v>517</v>
      </c>
      <c r="AH958" s="53" t="s">
        <v>1285</v>
      </c>
      <c r="AI958" s="79"/>
      <c r="AJ958" s="80"/>
      <c r="AK958" s="81"/>
      <c r="AL958" s="80"/>
      <c r="AM958" s="80"/>
      <c r="AN958" s="80"/>
      <c r="AO958" s="80"/>
      <c r="AP958" s="80"/>
      <c r="AQ958" s="80"/>
      <c r="AR958" s="80"/>
      <c r="AS958" s="80"/>
      <c r="AT958" s="80"/>
      <c r="AU958" s="80"/>
      <c r="AV958" s="80"/>
      <c r="AW958" s="80"/>
      <c r="AX958" s="80"/>
      <c r="AY958" s="80"/>
      <c r="AZ958" s="80"/>
      <c r="BA958" s="80"/>
      <c r="BB958" s="80"/>
      <c r="BC958" s="80"/>
      <c r="BD958" s="80"/>
      <c r="BE958" s="80"/>
      <c r="BF958" s="80"/>
      <c r="BG958" s="80"/>
      <c r="BH958" s="80"/>
      <c r="BI958" s="80"/>
      <c r="BJ958" s="80"/>
      <c r="BK958" s="80"/>
      <c r="BL958" s="80"/>
      <c r="BM958" s="80"/>
      <c r="BN958" s="80"/>
      <c r="BO958" s="80"/>
      <c r="BP958" s="80"/>
      <c r="BQ958" s="80"/>
      <c r="BR958" s="80"/>
      <c r="BS958" s="80"/>
      <c r="BT958" s="80"/>
      <c r="BU958" s="80"/>
      <c r="BV958" s="80"/>
      <c r="BW958" s="80"/>
      <c r="BX958" s="80"/>
      <c r="BY958" s="80"/>
      <c r="BZ958" s="80"/>
      <c r="CA958" s="80"/>
      <c r="CB958" s="80"/>
      <c r="CC958" s="80"/>
      <c r="CD958" s="80"/>
      <c r="CE958" s="80"/>
      <c r="CF958" s="80"/>
      <c r="CG958" s="80"/>
      <c r="CH958" s="80"/>
      <c r="CI958" s="80"/>
      <c r="CJ958" s="80"/>
      <c r="CK958" s="82"/>
      <c r="CL958" s="12"/>
      <c r="CM958" s="82"/>
      <c r="CN958" s="12"/>
      <c r="CO958" s="82"/>
      <c r="CP958" s="12"/>
      <c r="CQ958" s="83">
        <f t="shared" si="163"/>
        <v>0</v>
      </c>
      <c r="CR958" s="84"/>
      <c r="CS958" s="13"/>
      <c r="CT958" s="85"/>
      <c r="CU958" s="86"/>
      <c r="CV958" s="11"/>
      <c r="CW958" s="86"/>
      <c r="CX958" s="84"/>
      <c r="CY958" s="86"/>
    </row>
    <row r="959" spans="1:103" ht="38.25" x14ac:dyDescent="0.2">
      <c r="A959" s="43">
        <v>40111</v>
      </c>
      <c r="B959" s="44" t="s">
        <v>625</v>
      </c>
      <c r="C959" s="44" t="s">
        <v>463</v>
      </c>
      <c r="D959" s="45" t="s">
        <v>1116</v>
      </c>
      <c r="E959" s="11">
        <v>3</v>
      </c>
      <c r="F959" s="12"/>
      <c r="G959" s="12"/>
      <c r="H959" s="12">
        <v>5</v>
      </c>
      <c r="I959" s="12">
        <v>1</v>
      </c>
      <c r="J959" s="12">
        <v>1</v>
      </c>
      <c r="K959" s="12"/>
      <c r="L959" s="12"/>
      <c r="M959" s="12"/>
      <c r="N959" s="12"/>
      <c r="O959" s="12"/>
      <c r="P959" s="12"/>
      <c r="Q959" s="12"/>
      <c r="R959" s="12"/>
      <c r="S959" s="12"/>
      <c r="T959" s="13"/>
      <c r="U959" s="46"/>
      <c r="V959" s="47"/>
      <c r="W959" s="48">
        <f t="shared" si="158"/>
        <v>0</v>
      </c>
      <c r="X959" s="48">
        <f t="shared" si="159"/>
        <v>0</v>
      </c>
      <c r="Y959" s="48">
        <f t="shared" si="160"/>
        <v>0</v>
      </c>
      <c r="Z959" s="48">
        <f t="shared" si="161"/>
        <v>0</v>
      </c>
      <c r="AA959" s="48"/>
      <c r="AB959" s="48"/>
      <c r="AC959" s="49">
        <f t="shared" si="162"/>
        <v>0</v>
      </c>
      <c r="AD959" s="50">
        <v>0</v>
      </c>
      <c r="AE959" s="47">
        <v>40113</v>
      </c>
      <c r="AF959" s="51" t="s">
        <v>516</v>
      </c>
      <c r="AG959" s="52" t="s">
        <v>517</v>
      </c>
      <c r="AH959" s="53" t="s">
        <v>1375</v>
      </c>
      <c r="AI959" s="79"/>
      <c r="AJ959" s="80"/>
      <c r="AK959" s="81"/>
      <c r="AL959" s="80"/>
      <c r="AM959" s="80"/>
      <c r="AN959" s="80"/>
      <c r="AO959" s="80"/>
      <c r="AP959" s="80"/>
      <c r="AQ959" s="80"/>
      <c r="AR959" s="80"/>
      <c r="AS959" s="80"/>
      <c r="AT959" s="80"/>
      <c r="AU959" s="80"/>
      <c r="AV959" s="80"/>
      <c r="AW959" s="80"/>
      <c r="AX959" s="80"/>
      <c r="AY959" s="80"/>
      <c r="AZ959" s="80"/>
      <c r="BA959" s="80"/>
      <c r="BB959" s="80"/>
      <c r="BC959" s="80"/>
      <c r="BD959" s="80"/>
      <c r="BE959" s="80"/>
      <c r="BF959" s="80"/>
      <c r="BG959" s="80"/>
      <c r="BH959" s="80"/>
      <c r="BI959" s="80"/>
      <c r="BJ959" s="80"/>
      <c r="BK959" s="80"/>
      <c r="BL959" s="80"/>
      <c r="BM959" s="80"/>
      <c r="BN959" s="80"/>
      <c r="BO959" s="80"/>
      <c r="BP959" s="80"/>
      <c r="BQ959" s="80"/>
      <c r="BR959" s="80"/>
      <c r="BS959" s="80"/>
      <c r="BT959" s="80"/>
      <c r="BU959" s="80"/>
      <c r="BV959" s="80"/>
      <c r="BW959" s="80"/>
      <c r="BX959" s="80"/>
      <c r="BY959" s="80"/>
      <c r="BZ959" s="80"/>
      <c r="CA959" s="80"/>
      <c r="CB959" s="80"/>
      <c r="CC959" s="80"/>
      <c r="CD959" s="80"/>
      <c r="CE959" s="80"/>
      <c r="CF959" s="80"/>
      <c r="CG959" s="80"/>
      <c r="CH959" s="80"/>
      <c r="CI959" s="80"/>
      <c r="CJ959" s="80"/>
      <c r="CK959" s="82"/>
      <c r="CL959" s="12"/>
      <c r="CM959" s="82"/>
      <c r="CN959" s="12"/>
      <c r="CO959" s="82"/>
      <c r="CP959" s="12"/>
      <c r="CQ959" s="83">
        <f t="shared" si="163"/>
        <v>0</v>
      </c>
      <c r="CR959" s="84"/>
      <c r="CS959" s="13"/>
      <c r="CT959" s="85"/>
      <c r="CU959" s="86"/>
      <c r="CV959" s="11"/>
      <c r="CW959" s="86"/>
      <c r="CX959" s="84"/>
      <c r="CY959" s="86"/>
    </row>
    <row r="960" spans="1:103" ht="25.5" x14ac:dyDescent="0.2">
      <c r="A960" s="43">
        <v>40111</v>
      </c>
      <c r="B960" s="44" t="s">
        <v>904</v>
      </c>
      <c r="C960" s="44" t="s">
        <v>214</v>
      </c>
      <c r="D960" s="45" t="s">
        <v>1117</v>
      </c>
      <c r="E960" s="11"/>
      <c r="F960" s="12"/>
      <c r="G960" s="12"/>
      <c r="H960" s="12">
        <v>75</v>
      </c>
      <c r="I960" s="12">
        <v>15</v>
      </c>
      <c r="J960" s="12"/>
      <c r="K960" s="12">
        <v>15</v>
      </c>
      <c r="L960" s="12"/>
      <c r="M960" s="12"/>
      <c r="N960" s="12"/>
      <c r="O960" s="12"/>
      <c r="P960" s="12"/>
      <c r="Q960" s="12"/>
      <c r="R960" s="12"/>
      <c r="S960" s="12"/>
      <c r="T960" s="13"/>
      <c r="U960" s="46"/>
      <c r="V960" s="47"/>
      <c r="W960" s="48">
        <f t="shared" si="158"/>
        <v>0</v>
      </c>
      <c r="X960" s="48">
        <f t="shared" si="159"/>
        <v>0</v>
      </c>
      <c r="Y960" s="48">
        <f t="shared" si="160"/>
        <v>0</v>
      </c>
      <c r="Z960" s="48">
        <f t="shared" si="161"/>
        <v>0</v>
      </c>
      <c r="AA960" s="48"/>
      <c r="AB960" s="48"/>
      <c r="AC960" s="49">
        <f t="shared" si="162"/>
        <v>0</v>
      </c>
      <c r="AD960" s="50">
        <v>0</v>
      </c>
      <c r="AE960" s="47">
        <v>40120</v>
      </c>
      <c r="AF960" s="51" t="s">
        <v>516</v>
      </c>
      <c r="AG960" s="52" t="s">
        <v>517</v>
      </c>
      <c r="AH960" s="53" t="s">
        <v>317</v>
      </c>
      <c r="AI960" s="79"/>
      <c r="AJ960" s="80"/>
      <c r="AK960" s="81"/>
      <c r="AL960" s="80"/>
      <c r="AM960" s="80"/>
      <c r="AN960" s="80"/>
      <c r="AO960" s="80"/>
      <c r="AP960" s="80"/>
      <c r="AQ960" s="80"/>
      <c r="AR960" s="80"/>
      <c r="AS960" s="80"/>
      <c r="AT960" s="80"/>
      <c r="AU960" s="80"/>
      <c r="AV960" s="80"/>
      <c r="AW960" s="80"/>
      <c r="AX960" s="80"/>
      <c r="AY960" s="80"/>
      <c r="AZ960" s="80"/>
      <c r="BA960" s="80"/>
      <c r="BB960" s="80"/>
      <c r="BC960" s="80"/>
      <c r="BD960" s="80"/>
      <c r="BE960" s="80"/>
      <c r="BF960" s="80"/>
      <c r="BG960" s="80"/>
      <c r="BH960" s="80"/>
      <c r="BI960" s="80"/>
      <c r="BJ960" s="80"/>
      <c r="BK960" s="80"/>
      <c r="BL960" s="80"/>
      <c r="BM960" s="80"/>
      <c r="BN960" s="80"/>
      <c r="BO960" s="80"/>
      <c r="BP960" s="80"/>
      <c r="BQ960" s="80"/>
      <c r="BR960" s="80"/>
      <c r="BS960" s="80"/>
      <c r="BT960" s="80"/>
      <c r="BU960" s="80"/>
      <c r="BV960" s="80"/>
      <c r="BW960" s="80"/>
      <c r="BX960" s="80"/>
      <c r="BY960" s="80"/>
      <c r="BZ960" s="80"/>
      <c r="CA960" s="80"/>
      <c r="CB960" s="80"/>
      <c r="CC960" s="80"/>
      <c r="CD960" s="80"/>
      <c r="CE960" s="80"/>
      <c r="CF960" s="80"/>
      <c r="CG960" s="80"/>
      <c r="CH960" s="80"/>
      <c r="CI960" s="80"/>
      <c r="CJ960" s="80"/>
      <c r="CK960" s="82"/>
      <c r="CL960" s="12"/>
      <c r="CM960" s="82"/>
      <c r="CN960" s="12"/>
      <c r="CO960" s="82"/>
      <c r="CP960" s="12"/>
      <c r="CQ960" s="83">
        <f t="shared" si="163"/>
        <v>0</v>
      </c>
      <c r="CR960" s="84"/>
      <c r="CS960" s="13"/>
      <c r="CT960" s="85"/>
      <c r="CU960" s="86"/>
      <c r="CV960" s="11"/>
      <c r="CW960" s="86"/>
      <c r="CX960" s="84"/>
      <c r="CY960" s="86"/>
    </row>
    <row r="961" spans="1:103" ht="25.5" x14ac:dyDescent="0.2">
      <c r="A961" s="43">
        <v>40111</v>
      </c>
      <c r="B961" s="44" t="s">
        <v>600</v>
      </c>
      <c r="C961" s="44" t="s">
        <v>770</v>
      </c>
      <c r="D961" s="45" t="s">
        <v>1118</v>
      </c>
      <c r="E961" s="11">
        <v>2</v>
      </c>
      <c r="F961" s="12"/>
      <c r="G961" s="12"/>
      <c r="H961" s="12"/>
      <c r="I961" s="12"/>
      <c r="J961" s="12"/>
      <c r="K961" s="12"/>
      <c r="L961" s="12"/>
      <c r="M961" s="12"/>
      <c r="N961" s="12"/>
      <c r="O961" s="12"/>
      <c r="P961" s="12"/>
      <c r="Q961" s="12"/>
      <c r="R961" s="12"/>
      <c r="S961" s="12"/>
      <c r="T961" s="13"/>
      <c r="U961" s="46"/>
      <c r="V961" s="47"/>
      <c r="W961" s="48">
        <f t="shared" si="158"/>
        <v>0</v>
      </c>
      <c r="X961" s="48">
        <f t="shared" si="159"/>
        <v>0</v>
      </c>
      <c r="Y961" s="48">
        <f t="shared" si="160"/>
        <v>0</v>
      </c>
      <c r="Z961" s="48">
        <f t="shared" si="161"/>
        <v>0</v>
      </c>
      <c r="AA961" s="48"/>
      <c r="AB961" s="48"/>
      <c r="AC961" s="49">
        <f t="shared" si="162"/>
        <v>0</v>
      </c>
      <c r="AD961" s="50">
        <v>0</v>
      </c>
      <c r="AE961" s="47">
        <v>40123</v>
      </c>
      <c r="AF961" s="51" t="s">
        <v>516</v>
      </c>
      <c r="AG961" s="52" t="s">
        <v>517</v>
      </c>
      <c r="AH961" s="53" t="s">
        <v>1404</v>
      </c>
      <c r="AI961" s="79"/>
      <c r="AJ961" s="80"/>
      <c r="AK961" s="81"/>
      <c r="AL961" s="80"/>
      <c r="AM961" s="80"/>
      <c r="AN961" s="80"/>
      <c r="AO961" s="80"/>
      <c r="AP961" s="80"/>
      <c r="AQ961" s="80"/>
      <c r="AR961" s="80"/>
      <c r="AS961" s="80"/>
      <c r="AT961" s="80"/>
      <c r="AU961" s="80"/>
      <c r="AV961" s="80"/>
      <c r="AW961" s="80"/>
      <c r="AX961" s="80"/>
      <c r="AY961" s="80"/>
      <c r="AZ961" s="80"/>
      <c r="BA961" s="80"/>
      <c r="BB961" s="80"/>
      <c r="BC961" s="80"/>
      <c r="BD961" s="80"/>
      <c r="BE961" s="80"/>
      <c r="BF961" s="80"/>
      <c r="BG961" s="80"/>
      <c r="BH961" s="80"/>
      <c r="BI961" s="80"/>
      <c r="BJ961" s="80"/>
      <c r="BK961" s="80"/>
      <c r="BL961" s="80"/>
      <c r="BM961" s="80"/>
      <c r="BN961" s="80"/>
      <c r="BO961" s="80"/>
      <c r="BP961" s="80"/>
      <c r="BQ961" s="80"/>
      <c r="BR961" s="80"/>
      <c r="BS961" s="80"/>
      <c r="BT961" s="80"/>
      <c r="BU961" s="80"/>
      <c r="BV961" s="80"/>
      <c r="BW961" s="80"/>
      <c r="BX961" s="80"/>
      <c r="BY961" s="80"/>
      <c r="BZ961" s="80"/>
      <c r="CA961" s="80"/>
      <c r="CB961" s="80"/>
      <c r="CC961" s="80"/>
      <c r="CD961" s="80"/>
      <c r="CE961" s="80"/>
      <c r="CF961" s="80"/>
      <c r="CG961" s="80"/>
      <c r="CH961" s="80"/>
      <c r="CI961" s="80"/>
      <c r="CJ961" s="80"/>
      <c r="CK961" s="82"/>
      <c r="CL961" s="12"/>
      <c r="CM961" s="82"/>
      <c r="CN961" s="12"/>
      <c r="CO961" s="82"/>
      <c r="CP961" s="12"/>
      <c r="CQ961" s="83">
        <f t="shared" si="163"/>
        <v>0</v>
      </c>
      <c r="CR961" s="84"/>
      <c r="CS961" s="13"/>
      <c r="CT961" s="85"/>
      <c r="CU961" s="86"/>
      <c r="CV961" s="11"/>
      <c r="CW961" s="86"/>
      <c r="CX961" s="84"/>
      <c r="CY961" s="86"/>
    </row>
    <row r="962" spans="1:103" ht="178.5" x14ac:dyDescent="0.2">
      <c r="A962" s="43">
        <v>40113</v>
      </c>
      <c r="B962" s="44" t="s">
        <v>481</v>
      </c>
      <c r="C962" s="44" t="s">
        <v>1415</v>
      </c>
      <c r="D962" s="45" t="s">
        <v>1117</v>
      </c>
      <c r="E962" s="11"/>
      <c r="F962" s="12"/>
      <c r="G962" s="12"/>
      <c r="H962" s="12">
        <v>90</v>
      </c>
      <c r="I962" s="12">
        <v>18</v>
      </c>
      <c r="J962" s="12"/>
      <c r="K962" s="12">
        <v>18</v>
      </c>
      <c r="L962" s="12"/>
      <c r="M962" s="12"/>
      <c r="N962" s="12"/>
      <c r="O962" s="12"/>
      <c r="P962" s="12"/>
      <c r="Q962" s="12"/>
      <c r="R962" s="12"/>
      <c r="S962" s="12"/>
      <c r="T962" s="13"/>
      <c r="U962" s="46"/>
      <c r="V962" s="47">
        <v>40156</v>
      </c>
      <c r="W962" s="48">
        <f t="shared" si="158"/>
        <v>0</v>
      </c>
      <c r="X962" s="48">
        <f t="shared" si="159"/>
        <v>0</v>
      </c>
      <c r="Y962" s="48">
        <f t="shared" si="160"/>
        <v>22807500</v>
      </c>
      <c r="Z962" s="48">
        <f t="shared" si="161"/>
        <v>0</v>
      </c>
      <c r="AA962" s="48"/>
      <c r="AB962" s="48"/>
      <c r="AC962" s="49">
        <f t="shared" si="162"/>
        <v>22807500</v>
      </c>
      <c r="AD962" s="50">
        <v>0</v>
      </c>
      <c r="AE962" s="47">
        <v>40115</v>
      </c>
      <c r="AF962" s="51" t="s">
        <v>1016</v>
      </c>
      <c r="AG962" s="52" t="s">
        <v>565</v>
      </c>
      <c r="AH962" s="53" t="s">
        <v>202</v>
      </c>
      <c r="AI962" s="79"/>
      <c r="AJ962" s="80"/>
      <c r="AK962" s="81"/>
      <c r="AL962" s="80"/>
      <c r="AM962" s="80"/>
      <c r="AN962" s="80"/>
      <c r="AO962" s="80"/>
      <c r="AP962" s="80"/>
      <c r="AQ962" s="80"/>
      <c r="AR962" s="80"/>
      <c r="AS962" s="80"/>
      <c r="AT962" s="80"/>
      <c r="AU962" s="80"/>
      <c r="AV962" s="80"/>
      <c r="AW962" s="80"/>
      <c r="AX962" s="80"/>
      <c r="AY962" s="80"/>
      <c r="AZ962" s="80"/>
      <c r="BA962" s="80"/>
      <c r="BB962" s="80"/>
      <c r="BC962" s="80"/>
      <c r="BD962" s="80"/>
      <c r="BE962" s="80"/>
      <c r="BF962" s="80"/>
      <c r="BG962" s="80"/>
      <c r="BH962" s="80"/>
      <c r="BI962" s="80"/>
      <c r="BJ962" s="80"/>
      <c r="BK962" s="80"/>
      <c r="BL962" s="80"/>
      <c r="BM962" s="80"/>
      <c r="BN962" s="80"/>
      <c r="BO962" s="80"/>
      <c r="BP962" s="80"/>
      <c r="BQ962" s="80"/>
      <c r="BR962" s="80"/>
      <c r="BS962" s="80"/>
      <c r="BT962" s="80"/>
      <c r="BU962" s="80"/>
      <c r="BV962" s="80"/>
      <c r="BW962" s="80"/>
      <c r="BX962" s="80"/>
      <c r="BY962" s="80"/>
      <c r="BZ962" s="80"/>
      <c r="CA962" s="80"/>
      <c r="CB962" s="80"/>
      <c r="CC962" s="80"/>
      <c r="CD962" s="80"/>
      <c r="CE962" s="80"/>
      <c r="CF962" s="80"/>
      <c r="CG962" s="80"/>
      <c r="CH962" s="80"/>
      <c r="CI962" s="80"/>
      <c r="CJ962" s="80"/>
      <c r="CK962" s="82"/>
      <c r="CL962" s="12"/>
      <c r="CM962" s="82"/>
      <c r="CN962" s="12"/>
      <c r="CO962" s="82"/>
      <c r="CP962" s="12"/>
      <c r="CQ962" s="83">
        <f t="shared" si="163"/>
        <v>0</v>
      </c>
      <c r="CR962" s="84"/>
      <c r="CS962" s="13"/>
      <c r="CT962" s="85"/>
      <c r="CU962" s="86"/>
      <c r="CV962" s="11"/>
      <c r="CW962" s="86"/>
      <c r="CX962" s="84">
        <f>500+364+107</f>
        <v>971</v>
      </c>
      <c r="CY962" s="86">
        <f>500*22000+364*27000+107*18500</f>
        <v>22807500</v>
      </c>
    </row>
    <row r="963" spans="1:103" ht="25.5" x14ac:dyDescent="0.2">
      <c r="A963" s="43">
        <v>40113</v>
      </c>
      <c r="B963" s="44" t="s">
        <v>904</v>
      </c>
      <c r="C963" s="44" t="s">
        <v>216</v>
      </c>
      <c r="D963" s="45" t="s">
        <v>1117</v>
      </c>
      <c r="E963" s="11"/>
      <c r="F963" s="12"/>
      <c r="G963" s="12"/>
      <c r="H963" s="12">
        <v>110</v>
      </c>
      <c r="I963" s="12">
        <v>22</v>
      </c>
      <c r="J963" s="12"/>
      <c r="K963" s="12">
        <v>22</v>
      </c>
      <c r="L963" s="12"/>
      <c r="M963" s="12"/>
      <c r="N963" s="12"/>
      <c r="O963" s="12"/>
      <c r="P963" s="12"/>
      <c r="Q963" s="12"/>
      <c r="R963" s="12"/>
      <c r="S963" s="12"/>
      <c r="T963" s="13"/>
      <c r="U963" s="46"/>
      <c r="V963" s="47"/>
      <c r="W963" s="48">
        <f t="shared" si="158"/>
        <v>0</v>
      </c>
      <c r="X963" s="48">
        <f t="shared" si="159"/>
        <v>0</v>
      </c>
      <c r="Y963" s="48">
        <f t="shared" si="160"/>
        <v>0</v>
      </c>
      <c r="Z963" s="48">
        <f t="shared" si="161"/>
        <v>0</v>
      </c>
      <c r="AA963" s="48"/>
      <c r="AB963" s="48"/>
      <c r="AC963" s="49">
        <f t="shared" si="162"/>
        <v>0</v>
      </c>
      <c r="AD963" s="50">
        <v>0</v>
      </c>
      <c r="AE963" s="47">
        <v>40120</v>
      </c>
      <c r="AF963" s="51" t="s">
        <v>516</v>
      </c>
      <c r="AG963" s="52" t="s">
        <v>517</v>
      </c>
      <c r="AH963" s="53" t="s">
        <v>317</v>
      </c>
      <c r="AI963" s="79"/>
      <c r="AJ963" s="80"/>
      <c r="AK963" s="81"/>
      <c r="AL963" s="80"/>
      <c r="AM963" s="80"/>
      <c r="AN963" s="80"/>
      <c r="AO963" s="80"/>
      <c r="AP963" s="80"/>
      <c r="AQ963" s="80"/>
      <c r="AR963" s="80"/>
      <c r="AS963" s="80"/>
      <c r="AT963" s="80"/>
      <c r="AU963" s="80"/>
      <c r="AV963" s="80"/>
      <c r="AW963" s="80"/>
      <c r="AX963" s="80"/>
      <c r="AY963" s="80"/>
      <c r="AZ963" s="80"/>
      <c r="BA963" s="80"/>
      <c r="BB963" s="80"/>
      <c r="BC963" s="80"/>
      <c r="BD963" s="80"/>
      <c r="BE963" s="80"/>
      <c r="BF963" s="80"/>
      <c r="BG963" s="80"/>
      <c r="BH963" s="80"/>
      <c r="BI963" s="80"/>
      <c r="BJ963" s="80"/>
      <c r="BK963" s="80"/>
      <c r="BL963" s="80"/>
      <c r="BM963" s="80"/>
      <c r="BN963" s="80"/>
      <c r="BO963" s="80"/>
      <c r="BP963" s="80"/>
      <c r="BQ963" s="80"/>
      <c r="BR963" s="80"/>
      <c r="BS963" s="80"/>
      <c r="BT963" s="80"/>
      <c r="BU963" s="80"/>
      <c r="BV963" s="80"/>
      <c r="BW963" s="80"/>
      <c r="BX963" s="80"/>
      <c r="BY963" s="80"/>
      <c r="BZ963" s="80"/>
      <c r="CA963" s="80"/>
      <c r="CB963" s="80"/>
      <c r="CC963" s="80"/>
      <c r="CD963" s="80"/>
      <c r="CE963" s="80"/>
      <c r="CF963" s="80"/>
      <c r="CG963" s="80"/>
      <c r="CH963" s="80"/>
      <c r="CI963" s="80"/>
      <c r="CJ963" s="80"/>
      <c r="CK963" s="82"/>
      <c r="CL963" s="12"/>
      <c r="CM963" s="82"/>
      <c r="CN963" s="12"/>
      <c r="CO963" s="82"/>
      <c r="CP963" s="12"/>
      <c r="CQ963" s="83">
        <f t="shared" si="163"/>
        <v>0</v>
      </c>
      <c r="CR963" s="84"/>
      <c r="CS963" s="13"/>
      <c r="CT963" s="85"/>
      <c r="CU963" s="86"/>
      <c r="CV963" s="11"/>
      <c r="CW963" s="86"/>
      <c r="CX963" s="84"/>
      <c r="CY963" s="86"/>
    </row>
    <row r="964" spans="1:103" ht="12.75" x14ac:dyDescent="0.2">
      <c r="A964" s="43">
        <v>40113</v>
      </c>
      <c r="B964" s="44" t="s">
        <v>1224</v>
      </c>
      <c r="C964" s="44" t="s">
        <v>753</v>
      </c>
      <c r="D964" s="45" t="s">
        <v>1117</v>
      </c>
      <c r="E964" s="11"/>
      <c r="F964" s="12"/>
      <c r="G964" s="12"/>
      <c r="H964" s="12">
        <f>95*5</f>
        <v>475</v>
      </c>
      <c r="I964" s="12">
        <v>95</v>
      </c>
      <c r="J964" s="12"/>
      <c r="K964" s="12">
        <v>95</v>
      </c>
      <c r="L964" s="12"/>
      <c r="M964" s="12"/>
      <c r="N964" s="12"/>
      <c r="O964" s="12"/>
      <c r="P964" s="12"/>
      <c r="Q964" s="12"/>
      <c r="R964" s="12"/>
      <c r="S964" s="12"/>
      <c r="T964" s="13"/>
      <c r="U964" s="46"/>
      <c r="V964" s="47">
        <v>40156</v>
      </c>
      <c r="W964" s="48">
        <f t="shared" si="158"/>
        <v>0</v>
      </c>
      <c r="X964" s="48">
        <f t="shared" si="159"/>
        <v>0</v>
      </c>
      <c r="Y964" s="48">
        <f t="shared" si="160"/>
        <v>17440000</v>
      </c>
      <c r="Z964" s="48">
        <f t="shared" si="161"/>
        <v>0</v>
      </c>
      <c r="AA964" s="48"/>
      <c r="AB964" s="48"/>
      <c r="AC964" s="49">
        <f t="shared" si="162"/>
        <v>17440000</v>
      </c>
      <c r="AD964" s="50">
        <v>0</v>
      </c>
      <c r="AE964" s="47">
        <v>40129</v>
      </c>
      <c r="AF964" s="51" t="s">
        <v>1016</v>
      </c>
      <c r="AG964" s="52" t="s">
        <v>565</v>
      </c>
      <c r="AH964" s="53" t="s">
        <v>1388</v>
      </c>
      <c r="AI964" s="79"/>
      <c r="AJ964" s="80"/>
      <c r="AK964" s="81"/>
      <c r="AL964" s="80"/>
      <c r="AM964" s="80"/>
      <c r="AN964" s="80"/>
      <c r="AO964" s="80"/>
      <c r="AP964" s="80"/>
      <c r="AQ964" s="80"/>
      <c r="AR964" s="80"/>
      <c r="AS964" s="80"/>
      <c r="AT964" s="80"/>
      <c r="AU964" s="80"/>
      <c r="AV964" s="80"/>
      <c r="AW964" s="80"/>
      <c r="AX964" s="80"/>
      <c r="AY964" s="80"/>
      <c r="AZ964" s="80"/>
      <c r="BA964" s="80"/>
      <c r="BB964" s="80"/>
      <c r="BC964" s="80"/>
      <c r="BD964" s="80"/>
      <c r="BE964" s="80"/>
      <c r="BF964" s="80"/>
      <c r="BG964" s="80"/>
      <c r="BH964" s="80"/>
      <c r="BI964" s="80"/>
      <c r="BJ964" s="80"/>
      <c r="BK964" s="80"/>
      <c r="BL964" s="80"/>
      <c r="BM964" s="80"/>
      <c r="BN964" s="80"/>
      <c r="BO964" s="80"/>
      <c r="BP964" s="80"/>
      <c r="BQ964" s="80"/>
      <c r="BR964" s="80"/>
      <c r="BS964" s="80"/>
      <c r="BT964" s="80"/>
      <c r="BU964" s="80"/>
      <c r="BV964" s="80"/>
      <c r="BW964" s="80"/>
      <c r="BX964" s="80"/>
      <c r="BY964" s="80"/>
      <c r="BZ964" s="80"/>
      <c r="CA964" s="80"/>
      <c r="CB964" s="80"/>
      <c r="CC964" s="80"/>
      <c r="CD964" s="80"/>
      <c r="CE964" s="80"/>
      <c r="CF964" s="80"/>
      <c r="CG964" s="80"/>
      <c r="CH964" s="80"/>
      <c r="CI964" s="80"/>
      <c r="CJ964" s="80"/>
      <c r="CK964" s="82"/>
      <c r="CL964" s="12"/>
      <c r="CM964" s="82"/>
      <c r="CN964" s="12"/>
      <c r="CO964" s="82"/>
      <c r="CP964" s="12"/>
      <c r="CQ964" s="83">
        <f t="shared" si="163"/>
        <v>0</v>
      </c>
      <c r="CR964" s="84"/>
      <c r="CS964" s="13"/>
      <c r="CT964" s="85"/>
      <c r="CU964" s="86"/>
      <c r="CV964" s="11"/>
      <c r="CW964" s="86"/>
      <c r="CX964" s="84">
        <v>800</v>
      </c>
      <c r="CY964" s="86">
        <f>800*21000+3200*200</f>
        <v>17440000</v>
      </c>
    </row>
    <row r="965" spans="1:103" ht="25.5" x14ac:dyDescent="0.2">
      <c r="A965" s="43">
        <v>40114</v>
      </c>
      <c r="B965" s="44" t="s">
        <v>904</v>
      </c>
      <c r="C965" s="44" t="s">
        <v>1009</v>
      </c>
      <c r="D965" s="45" t="s">
        <v>1117</v>
      </c>
      <c r="E965" s="11"/>
      <c r="F965" s="12"/>
      <c r="G965" s="12"/>
      <c r="H965" s="12">
        <v>65</v>
      </c>
      <c r="I965" s="12">
        <v>15</v>
      </c>
      <c r="J965" s="12"/>
      <c r="K965" s="12">
        <v>15</v>
      </c>
      <c r="L965" s="12"/>
      <c r="M965" s="12"/>
      <c r="N965" s="12"/>
      <c r="O965" s="12"/>
      <c r="P965" s="12"/>
      <c r="Q965" s="12"/>
      <c r="R965" s="12"/>
      <c r="S965" s="12"/>
      <c r="T965" s="13"/>
      <c r="U965" s="46"/>
      <c r="V965" s="47"/>
      <c r="W965" s="48">
        <f t="shared" si="158"/>
        <v>0</v>
      </c>
      <c r="X965" s="48">
        <f t="shared" si="159"/>
        <v>0</v>
      </c>
      <c r="Y965" s="48">
        <f t="shared" si="160"/>
        <v>0</v>
      </c>
      <c r="Z965" s="48">
        <f t="shared" si="161"/>
        <v>0</v>
      </c>
      <c r="AA965" s="48"/>
      <c r="AB965" s="48"/>
      <c r="AC965" s="49">
        <f t="shared" si="162"/>
        <v>0</v>
      </c>
      <c r="AD965" s="50">
        <v>0</v>
      </c>
      <c r="AE965" s="47">
        <v>40120</v>
      </c>
      <c r="AF965" s="51" t="s">
        <v>516</v>
      </c>
      <c r="AG965" s="52" t="s">
        <v>517</v>
      </c>
      <c r="AH965" s="53" t="s">
        <v>317</v>
      </c>
      <c r="AI965" s="79"/>
      <c r="AJ965" s="80"/>
      <c r="AK965" s="81"/>
      <c r="AL965" s="80"/>
      <c r="AM965" s="80"/>
      <c r="AN965" s="80"/>
      <c r="AO965" s="80"/>
      <c r="AP965" s="80"/>
      <c r="AQ965" s="80"/>
      <c r="AR965" s="80"/>
      <c r="AS965" s="80"/>
      <c r="AT965" s="80"/>
      <c r="AU965" s="80"/>
      <c r="AV965" s="80"/>
      <c r="AW965" s="80"/>
      <c r="AX965" s="80"/>
      <c r="AY965" s="80"/>
      <c r="AZ965" s="80"/>
      <c r="BA965" s="80"/>
      <c r="BB965" s="80"/>
      <c r="BC965" s="80"/>
      <c r="BD965" s="80"/>
      <c r="BE965" s="80"/>
      <c r="BF965" s="80"/>
      <c r="BG965" s="80"/>
      <c r="BH965" s="80"/>
      <c r="BI965" s="80"/>
      <c r="BJ965" s="80"/>
      <c r="BK965" s="80"/>
      <c r="BL965" s="80"/>
      <c r="BM965" s="80"/>
      <c r="BN965" s="80"/>
      <c r="BO965" s="80"/>
      <c r="BP965" s="80"/>
      <c r="BQ965" s="80"/>
      <c r="BR965" s="80"/>
      <c r="BS965" s="80"/>
      <c r="BT965" s="80"/>
      <c r="BU965" s="80"/>
      <c r="BV965" s="80"/>
      <c r="BW965" s="80"/>
      <c r="BX965" s="80"/>
      <c r="BY965" s="80"/>
      <c r="BZ965" s="80"/>
      <c r="CA965" s="80"/>
      <c r="CB965" s="80"/>
      <c r="CC965" s="80"/>
      <c r="CD965" s="80"/>
      <c r="CE965" s="80"/>
      <c r="CF965" s="80"/>
      <c r="CG965" s="80"/>
      <c r="CH965" s="80"/>
      <c r="CI965" s="80"/>
      <c r="CJ965" s="80"/>
      <c r="CK965" s="82"/>
      <c r="CL965" s="12"/>
      <c r="CM965" s="82"/>
      <c r="CN965" s="12"/>
      <c r="CO965" s="82"/>
      <c r="CP965" s="12"/>
      <c r="CQ965" s="83">
        <f t="shared" si="163"/>
        <v>0</v>
      </c>
      <c r="CR965" s="84"/>
      <c r="CS965" s="13"/>
      <c r="CT965" s="85"/>
      <c r="CU965" s="86"/>
      <c r="CV965" s="11"/>
      <c r="CW965" s="86"/>
      <c r="CX965" s="84"/>
      <c r="CY965" s="86"/>
    </row>
    <row r="966" spans="1:103" ht="38.25" x14ac:dyDescent="0.2">
      <c r="A966" s="43">
        <v>40114</v>
      </c>
      <c r="B966" s="44" t="s">
        <v>1091</v>
      </c>
      <c r="C966" s="44" t="s">
        <v>1381</v>
      </c>
      <c r="D966" s="45" t="s">
        <v>1070</v>
      </c>
      <c r="E966" s="11"/>
      <c r="F966" s="12">
        <v>2</v>
      </c>
      <c r="G966" s="12"/>
      <c r="H966" s="12"/>
      <c r="I966" s="12"/>
      <c r="J966" s="12"/>
      <c r="K966" s="12"/>
      <c r="L966" s="12"/>
      <c r="M966" s="12"/>
      <c r="N966" s="12"/>
      <c r="O966" s="12"/>
      <c r="P966" s="12"/>
      <c r="Q966" s="12"/>
      <c r="R966" s="12"/>
      <c r="S966" s="12"/>
      <c r="T966" s="13"/>
      <c r="U966" s="46"/>
      <c r="V966" s="47"/>
      <c r="W966" s="48">
        <f t="shared" si="158"/>
        <v>0</v>
      </c>
      <c r="X966" s="48">
        <f t="shared" si="159"/>
        <v>0</v>
      </c>
      <c r="Y966" s="48">
        <f t="shared" si="160"/>
        <v>0</v>
      </c>
      <c r="Z966" s="48">
        <f t="shared" si="161"/>
        <v>0</v>
      </c>
      <c r="AA966" s="48"/>
      <c r="AB966" s="48"/>
      <c r="AC966" s="49">
        <f t="shared" si="162"/>
        <v>0</v>
      </c>
      <c r="AD966" s="50">
        <v>0</v>
      </c>
      <c r="AE966" s="47">
        <v>40120</v>
      </c>
      <c r="AF966" s="51" t="s">
        <v>516</v>
      </c>
      <c r="AG966" s="52" t="s">
        <v>517</v>
      </c>
      <c r="AH966" s="53" t="s">
        <v>218</v>
      </c>
      <c r="AI966" s="79"/>
      <c r="AJ966" s="80"/>
      <c r="AK966" s="81"/>
      <c r="AL966" s="80"/>
      <c r="AM966" s="80"/>
      <c r="AN966" s="80"/>
      <c r="AO966" s="80"/>
      <c r="AP966" s="80"/>
      <c r="AQ966" s="80"/>
      <c r="AR966" s="80"/>
      <c r="AS966" s="80"/>
      <c r="AT966" s="80"/>
      <c r="AU966" s="80"/>
      <c r="AV966" s="80"/>
      <c r="AW966" s="80"/>
      <c r="AX966" s="80"/>
      <c r="AY966" s="80"/>
      <c r="AZ966" s="80"/>
      <c r="BA966" s="80"/>
      <c r="BB966" s="80"/>
      <c r="BC966" s="80"/>
      <c r="BD966" s="80"/>
      <c r="BE966" s="80"/>
      <c r="BF966" s="80"/>
      <c r="BG966" s="80"/>
      <c r="BH966" s="80"/>
      <c r="BI966" s="80"/>
      <c r="BJ966" s="80"/>
      <c r="BK966" s="80"/>
      <c r="BL966" s="80"/>
      <c r="BM966" s="80"/>
      <c r="BN966" s="80"/>
      <c r="BO966" s="80"/>
      <c r="BP966" s="80"/>
      <c r="BQ966" s="80"/>
      <c r="BR966" s="80"/>
      <c r="BS966" s="80"/>
      <c r="BT966" s="80"/>
      <c r="BU966" s="80"/>
      <c r="BV966" s="80"/>
      <c r="BW966" s="80"/>
      <c r="BX966" s="80"/>
      <c r="BY966" s="80"/>
      <c r="BZ966" s="80"/>
      <c r="CA966" s="80"/>
      <c r="CB966" s="80"/>
      <c r="CC966" s="80"/>
      <c r="CD966" s="80"/>
      <c r="CE966" s="80"/>
      <c r="CF966" s="80"/>
      <c r="CG966" s="80"/>
      <c r="CH966" s="80"/>
      <c r="CI966" s="80"/>
      <c r="CJ966" s="80"/>
      <c r="CK966" s="82"/>
      <c r="CL966" s="12"/>
      <c r="CM966" s="82"/>
      <c r="CN966" s="12"/>
      <c r="CO966" s="82"/>
      <c r="CP966" s="12"/>
      <c r="CQ966" s="83">
        <f t="shared" si="163"/>
        <v>0</v>
      </c>
      <c r="CR966" s="84"/>
      <c r="CS966" s="13"/>
      <c r="CT966" s="85"/>
      <c r="CU966" s="86"/>
      <c r="CV966" s="11"/>
      <c r="CW966" s="86"/>
      <c r="CX966" s="84"/>
      <c r="CY966" s="86"/>
    </row>
    <row r="967" spans="1:103" ht="25.5" x14ac:dyDescent="0.2">
      <c r="A967" s="43">
        <v>40115</v>
      </c>
      <c r="B967" s="44" t="s">
        <v>600</v>
      </c>
      <c r="C967" s="44" t="s">
        <v>278</v>
      </c>
      <c r="D967" s="45" t="s">
        <v>1118</v>
      </c>
      <c r="E967" s="11"/>
      <c r="F967" s="12"/>
      <c r="G967" s="12"/>
      <c r="H967" s="12"/>
      <c r="I967" s="12"/>
      <c r="J967" s="12"/>
      <c r="K967" s="12"/>
      <c r="L967" s="12"/>
      <c r="M967" s="12"/>
      <c r="N967" s="12"/>
      <c r="O967" s="12"/>
      <c r="P967" s="12"/>
      <c r="Q967" s="12"/>
      <c r="R967" s="12"/>
      <c r="S967" s="12"/>
      <c r="T967" s="13"/>
      <c r="U967" s="46"/>
      <c r="V967" s="47"/>
      <c r="W967" s="48">
        <f t="shared" si="158"/>
        <v>0</v>
      </c>
      <c r="X967" s="48">
        <f t="shared" si="159"/>
        <v>0</v>
      </c>
      <c r="Y967" s="48">
        <f t="shared" si="160"/>
        <v>0</v>
      </c>
      <c r="Z967" s="48">
        <f t="shared" si="161"/>
        <v>0</v>
      </c>
      <c r="AA967" s="48"/>
      <c r="AB967" s="48"/>
      <c r="AC967" s="49">
        <f t="shared" si="162"/>
        <v>0</v>
      </c>
      <c r="AD967" s="50">
        <v>0</v>
      </c>
      <c r="AE967" s="47">
        <v>40120</v>
      </c>
      <c r="AF967" s="51" t="s">
        <v>516</v>
      </c>
      <c r="AG967" s="52" t="s">
        <v>517</v>
      </c>
      <c r="AH967" s="53" t="s">
        <v>217</v>
      </c>
      <c r="AI967" s="79"/>
      <c r="AJ967" s="80"/>
      <c r="AK967" s="81"/>
      <c r="AL967" s="80"/>
      <c r="AM967" s="80"/>
      <c r="AN967" s="80"/>
      <c r="AO967" s="80"/>
      <c r="AP967" s="80"/>
      <c r="AQ967" s="80"/>
      <c r="AR967" s="80"/>
      <c r="AS967" s="80"/>
      <c r="AT967" s="80"/>
      <c r="AU967" s="80"/>
      <c r="AV967" s="80"/>
      <c r="AW967" s="80"/>
      <c r="AX967" s="80"/>
      <c r="AY967" s="80"/>
      <c r="AZ967" s="80"/>
      <c r="BA967" s="80"/>
      <c r="BB967" s="80"/>
      <c r="BC967" s="80"/>
      <c r="BD967" s="80"/>
      <c r="BE967" s="80"/>
      <c r="BF967" s="80"/>
      <c r="BG967" s="80"/>
      <c r="BH967" s="80"/>
      <c r="BI967" s="80"/>
      <c r="BJ967" s="80"/>
      <c r="BK967" s="80"/>
      <c r="BL967" s="80"/>
      <c r="BM967" s="80"/>
      <c r="BN967" s="80"/>
      <c r="BO967" s="80"/>
      <c r="BP967" s="80"/>
      <c r="BQ967" s="80"/>
      <c r="BR967" s="80"/>
      <c r="BS967" s="80"/>
      <c r="BT967" s="80"/>
      <c r="BU967" s="80"/>
      <c r="BV967" s="80"/>
      <c r="BW967" s="80"/>
      <c r="BX967" s="80"/>
      <c r="BY967" s="80"/>
      <c r="BZ967" s="80"/>
      <c r="CA967" s="80"/>
      <c r="CB967" s="80"/>
      <c r="CC967" s="80"/>
      <c r="CD967" s="80"/>
      <c r="CE967" s="80"/>
      <c r="CF967" s="80"/>
      <c r="CG967" s="80"/>
      <c r="CH967" s="80"/>
      <c r="CI967" s="80"/>
      <c r="CJ967" s="80"/>
      <c r="CK967" s="82"/>
      <c r="CL967" s="12"/>
      <c r="CM967" s="82"/>
      <c r="CN967" s="12"/>
      <c r="CO967" s="82"/>
      <c r="CP967" s="12"/>
      <c r="CQ967" s="83">
        <f t="shared" si="163"/>
        <v>0</v>
      </c>
      <c r="CR967" s="84"/>
      <c r="CS967" s="13"/>
      <c r="CT967" s="85"/>
      <c r="CU967" s="86"/>
      <c r="CV967" s="11"/>
      <c r="CW967" s="86"/>
      <c r="CX967" s="84"/>
      <c r="CY967" s="86"/>
    </row>
    <row r="968" spans="1:103" ht="25.5" x14ac:dyDescent="0.2">
      <c r="A968" s="43">
        <v>40116</v>
      </c>
      <c r="B968" s="44" t="s">
        <v>904</v>
      </c>
      <c r="C968" s="44" t="s">
        <v>1004</v>
      </c>
      <c r="D968" s="45" t="s">
        <v>1092</v>
      </c>
      <c r="E968" s="11"/>
      <c r="F968" s="12"/>
      <c r="G968" s="12"/>
      <c r="H968" s="12">
        <v>5</v>
      </c>
      <c r="I968" s="12">
        <v>1</v>
      </c>
      <c r="J968" s="12">
        <v>1</v>
      </c>
      <c r="K968" s="12"/>
      <c r="L968" s="12"/>
      <c r="M968" s="12"/>
      <c r="N968" s="12"/>
      <c r="O968" s="12"/>
      <c r="P968" s="12"/>
      <c r="Q968" s="12"/>
      <c r="R968" s="12"/>
      <c r="S968" s="12"/>
      <c r="T968" s="13"/>
      <c r="U968" s="46"/>
      <c r="V968" s="47"/>
      <c r="W968" s="48">
        <f t="shared" si="158"/>
        <v>0</v>
      </c>
      <c r="X968" s="48">
        <f t="shared" si="159"/>
        <v>0</v>
      </c>
      <c r="Y968" s="48">
        <f t="shared" si="160"/>
        <v>0</v>
      </c>
      <c r="Z968" s="48">
        <f t="shared" si="161"/>
        <v>0</v>
      </c>
      <c r="AA968" s="48"/>
      <c r="AB968" s="48"/>
      <c r="AC968" s="49">
        <f t="shared" si="162"/>
        <v>0</v>
      </c>
      <c r="AD968" s="50">
        <v>0</v>
      </c>
      <c r="AE968" s="47">
        <v>40123</v>
      </c>
      <c r="AF968" s="51" t="s">
        <v>516</v>
      </c>
      <c r="AG968" s="52" t="s">
        <v>517</v>
      </c>
      <c r="AH968" s="53" t="s">
        <v>1406</v>
      </c>
      <c r="AI968" s="79"/>
      <c r="AJ968" s="80"/>
      <c r="AK968" s="81"/>
      <c r="AL968" s="80"/>
      <c r="AM968" s="80"/>
      <c r="AN968" s="80"/>
      <c r="AO968" s="80"/>
      <c r="AP968" s="80"/>
      <c r="AQ968" s="80"/>
      <c r="AR968" s="80"/>
      <c r="AS968" s="80"/>
      <c r="AT968" s="80"/>
      <c r="AU968" s="80"/>
      <c r="AV968" s="80"/>
      <c r="AW968" s="80"/>
      <c r="AX968" s="80"/>
      <c r="AY968" s="80"/>
      <c r="AZ968" s="80"/>
      <c r="BA968" s="80"/>
      <c r="BB968" s="80"/>
      <c r="BC968" s="80"/>
      <c r="BD968" s="80"/>
      <c r="BE968" s="80"/>
      <c r="BF968" s="80"/>
      <c r="BG968" s="80"/>
      <c r="BH968" s="80"/>
      <c r="BI968" s="80"/>
      <c r="BJ968" s="80"/>
      <c r="BK968" s="80"/>
      <c r="BL968" s="80"/>
      <c r="BM968" s="80"/>
      <c r="BN968" s="80"/>
      <c r="BO968" s="80"/>
      <c r="BP968" s="80"/>
      <c r="BQ968" s="80"/>
      <c r="BR968" s="80"/>
      <c r="BS968" s="80"/>
      <c r="BT968" s="80"/>
      <c r="BU968" s="80"/>
      <c r="BV968" s="80"/>
      <c r="BW968" s="80"/>
      <c r="BX968" s="80"/>
      <c r="BY968" s="80"/>
      <c r="BZ968" s="80"/>
      <c r="CA968" s="80"/>
      <c r="CB968" s="80"/>
      <c r="CC968" s="80"/>
      <c r="CD968" s="80"/>
      <c r="CE968" s="80"/>
      <c r="CF968" s="80"/>
      <c r="CG968" s="80"/>
      <c r="CH968" s="80"/>
      <c r="CI968" s="80"/>
      <c r="CJ968" s="80"/>
      <c r="CK968" s="82"/>
      <c r="CL968" s="12"/>
      <c r="CM968" s="82"/>
      <c r="CN968" s="12"/>
      <c r="CO968" s="82"/>
      <c r="CP968" s="12"/>
      <c r="CQ968" s="83">
        <f t="shared" si="163"/>
        <v>0</v>
      </c>
      <c r="CR968" s="84"/>
      <c r="CS968" s="13"/>
      <c r="CT968" s="85"/>
      <c r="CU968" s="86"/>
      <c r="CV968" s="11"/>
      <c r="CW968" s="86"/>
      <c r="CX968" s="84"/>
      <c r="CY968" s="86"/>
    </row>
    <row r="969" spans="1:103" ht="25.5" x14ac:dyDescent="0.2">
      <c r="A969" s="43">
        <v>40116</v>
      </c>
      <c r="B969" s="44" t="s">
        <v>1226</v>
      </c>
      <c r="C969" s="44" t="s">
        <v>1045</v>
      </c>
      <c r="D969" s="45" t="s">
        <v>1092</v>
      </c>
      <c r="E969" s="11"/>
      <c r="F969" s="12"/>
      <c r="G969" s="12"/>
      <c r="H969" s="12">
        <v>10</v>
      </c>
      <c r="I969" s="12">
        <v>1</v>
      </c>
      <c r="J969" s="12">
        <v>1</v>
      </c>
      <c r="K969" s="12"/>
      <c r="L969" s="12"/>
      <c r="M969" s="12"/>
      <c r="N969" s="12"/>
      <c r="O969" s="12"/>
      <c r="P969" s="12"/>
      <c r="Q969" s="12"/>
      <c r="R969" s="12"/>
      <c r="S969" s="12"/>
      <c r="T969" s="13"/>
      <c r="U969" s="46"/>
      <c r="V969" s="47"/>
      <c r="W969" s="48">
        <f t="shared" si="158"/>
        <v>0</v>
      </c>
      <c r="X969" s="48">
        <f t="shared" si="159"/>
        <v>0</v>
      </c>
      <c r="Y969" s="48">
        <f t="shared" si="160"/>
        <v>0</v>
      </c>
      <c r="Z969" s="48">
        <f t="shared" si="161"/>
        <v>0</v>
      </c>
      <c r="AA969" s="48"/>
      <c r="AB969" s="48"/>
      <c r="AC969" s="49">
        <f t="shared" si="162"/>
        <v>0</v>
      </c>
      <c r="AD969" s="50">
        <v>0</v>
      </c>
      <c r="AE969" s="47">
        <v>40123</v>
      </c>
      <c r="AF969" s="51" t="s">
        <v>516</v>
      </c>
      <c r="AG969" s="52" t="s">
        <v>517</v>
      </c>
      <c r="AH969" s="53" t="s">
        <v>1406</v>
      </c>
      <c r="AI969" s="79"/>
      <c r="AJ969" s="80"/>
      <c r="AK969" s="81"/>
      <c r="AL969" s="80"/>
      <c r="AM969" s="80"/>
      <c r="AN969" s="80"/>
      <c r="AO969" s="80"/>
      <c r="AP969" s="80"/>
      <c r="AQ969" s="80"/>
      <c r="AR969" s="80"/>
      <c r="AS969" s="80"/>
      <c r="AT969" s="80"/>
      <c r="AU969" s="80"/>
      <c r="AV969" s="80"/>
      <c r="AW969" s="80"/>
      <c r="AX969" s="80"/>
      <c r="AY969" s="80"/>
      <c r="AZ969" s="80"/>
      <c r="BA969" s="80"/>
      <c r="BB969" s="80"/>
      <c r="BC969" s="80"/>
      <c r="BD969" s="80"/>
      <c r="BE969" s="80"/>
      <c r="BF969" s="80"/>
      <c r="BG969" s="80"/>
      <c r="BH969" s="80"/>
      <c r="BI969" s="80"/>
      <c r="BJ969" s="80"/>
      <c r="BK969" s="80"/>
      <c r="BL969" s="80"/>
      <c r="BM969" s="80"/>
      <c r="BN969" s="80"/>
      <c r="BO969" s="80"/>
      <c r="BP969" s="80"/>
      <c r="BQ969" s="80"/>
      <c r="BR969" s="80"/>
      <c r="BS969" s="80"/>
      <c r="BT969" s="80"/>
      <c r="BU969" s="80"/>
      <c r="BV969" s="80"/>
      <c r="BW969" s="80"/>
      <c r="BX969" s="80"/>
      <c r="BY969" s="80"/>
      <c r="BZ969" s="80"/>
      <c r="CA969" s="80"/>
      <c r="CB969" s="80"/>
      <c r="CC969" s="80"/>
      <c r="CD969" s="80"/>
      <c r="CE969" s="80"/>
      <c r="CF969" s="80"/>
      <c r="CG969" s="80"/>
      <c r="CH969" s="80"/>
      <c r="CI969" s="80"/>
      <c r="CJ969" s="80"/>
      <c r="CK969" s="82"/>
      <c r="CL969" s="12"/>
      <c r="CM969" s="82"/>
      <c r="CN969" s="12"/>
      <c r="CO969" s="82"/>
      <c r="CP969" s="12"/>
      <c r="CQ969" s="83">
        <f t="shared" si="163"/>
        <v>0</v>
      </c>
      <c r="CR969" s="84"/>
      <c r="CS969" s="13"/>
      <c r="CT969" s="85"/>
      <c r="CU969" s="86"/>
      <c r="CV969" s="11"/>
      <c r="CW969" s="86"/>
      <c r="CX969" s="84"/>
      <c r="CY969" s="86"/>
    </row>
    <row r="970" spans="1:103" ht="25.5" x14ac:dyDescent="0.2">
      <c r="A970" s="43">
        <v>40117</v>
      </c>
      <c r="B970" s="44" t="s">
        <v>1114</v>
      </c>
      <c r="C970" s="44" t="s">
        <v>560</v>
      </c>
      <c r="D970" s="45" t="s">
        <v>1118</v>
      </c>
      <c r="E970" s="11"/>
      <c r="F970" s="12"/>
      <c r="G970" s="12"/>
      <c r="H970" s="12">
        <v>52</v>
      </c>
      <c r="I970" s="12">
        <v>12</v>
      </c>
      <c r="J970" s="12"/>
      <c r="K970" s="12">
        <v>12</v>
      </c>
      <c r="L970" s="12"/>
      <c r="M970" s="12"/>
      <c r="N970" s="12"/>
      <c r="O970" s="12"/>
      <c r="P970" s="12"/>
      <c r="Q970" s="12"/>
      <c r="R970" s="12"/>
      <c r="S970" s="12"/>
      <c r="T970" s="13"/>
      <c r="U970" s="46"/>
      <c r="V970" s="47"/>
      <c r="W970" s="48">
        <f t="shared" si="158"/>
        <v>0</v>
      </c>
      <c r="X970" s="48">
        <f t="shared" si="159"/>
        <v>0</v>
      </c>
      <c r="Y970" s="48">
        <f t="shared" si="160"/>
        <v>0</v>
      </c>
      <c r="Z970" s="48">
        <f t="shared" si="161"/>
        <v>0</v>
      </c>
      <c r="AA970" s="48"/>
      <c r="AB970" s="48"/>
      <c r="AC970" s="49">
        <f t="shared" si="162"/>
        <v>0</v>
      </c>
      <c r="AD970" s="50">
        <v>0</v>
      </c>
      <c r="AE970" s="47">
        <v>40120</v>
      </c>
      <c r="AF970" s="51" t="s">
        <v>516</v>
      </c>
      <c r="AG970" s="52" t="s">
        <v>517</v>
      </c>
      <c r="AH970" s="53" t="s">
        <v>209</v>
      </c>
      <c r="AI970" s="79"/>
      <c r="AJ970" s="80"/>
      <c r="AK970" s="81"/>
      <c r="AL970" s="80"/>
      <c r="AM970" s="80"/>
      <c r="AN970" s="80"/>
      <c r="AO970" s="80"/>
      <c r="AP970" s="80"/>
      <c r="AQ970" s="80"/>
      <c r="AR970" s="80"/>
      <c r="AS970" s="80"/>
      <c r="AT970" s="80"/>
      <c r="AU970" s="80"/>
      <c r="AV970" s="80"/>
      <c r="AW970" s="80"/>
      <c r="AX970" s="80"/>
      <c r="AY970" s="80"/>
      <c r="AZ970" s="80"/>
      <c r="BA970" s="80"/>
      <c r="BB970" s="80"/>
      <c r="BC970" s="80"/>
      <c r="BD970" s="80"/>
      <c r="BE970" s="80"/>
      <c r="BF970" s="80"/>
      <c r="BG970" s="80"/>
      <c r="BH970" s="80"/>
      <c r="BI970" s="80"/>
      <c r="BJ970" s="80"/>
      <c r="BK970" s="80"/>
      <c r="BL970" s="80"/>
      <c r="BM970" s="80"/>
      <c r="BN970" s="80"/>
      <c r="BO970" s="80"/>
      <c r="BP970" s="80"/>
      <c r="BQ970" s="80"/>
      <c r="BR970" s="80"/>
      <c r="BS970" s="80"/>
      <c r="BT970" s="80"/>
      <c r="BU970" s="80"/>
      <c r="BV970" s="80"/>
      <c r="BW970" s="80"/>
      <c r="BX970" s="80"/>
      <c r="BY970" s="80"/>
      <c r="BZ970" s="80"/>
      <c r="CA970" s="80"/>
      <c r="CB970" s="80"/>
      <c r="CC970" s="80"/>
      <c r="CD970" s="80"/>
      <c r="CE970" s="80"/>
      <c r="CF970" s="80"/>
      <c r="CG970" s="80"/>
      <c r="CH970" s="80"/>
      <c r="CI970" s="80"/>
      <c r="CJ970" s="80"/>
      <c r="CK970" s="82"/>
      <c r="CL970" s="12"/>
      <c r="CM970" s="82"/>
      <c r="CN970" s="12"/>
      <c r="CO970" s="82"/>
      <c r="CP970" s="12"/>
      <c r="CQ970" s="83">
        <f t="shared" si="163"/>
        <v>0</v>
      </c>
      <c r="CR970" s="84"/>
      <c r="CS970" s="13"/>
      <c r="CT970" s="85"/>
      <c r="CU970" s="86"/>
      <c r="CV970" s="11"/>
      <c r="CW970" s="86"/>
      <c r="CX970" s="84"/>
      <c r="CY970" s="86"/>
    </row>
    <row r="971" spans="1:103" ht="38.25" x14ac:dyDescent="0.2">
      <c r="A971" s="43">
        <v>40118</v>
      </c>
      <c r="B971" s="44" t="s">
        <v>1094</v>
      </c>
      <c r="C971" s="44" t="s">
        <v>1477</v>
      </c>
      <c r="D971" s="45" t="s">
        <v>1118</v>
      </c>
      <c r="E971" s="11"/>
      <c r="F971" s="12"/>
      <c r="G971" s="12"/>
      <c r="H971" s="12">
        <v>1935</v>
      </c>
      <c r="I971" s="12">
        <v>387</v>
      </c>
      <c r="J971" s="12"/>
      <c r="K971" s="12">
        <v>361</v>
      </c>
      <c r="L971" s="12"/>
      <c r="M971" s="12"/>
      <c r="N971" s="12"/>
      <c r="O971" s="12"/>
      <c r="P971" s="12"/>
      <c r="Q971" s="12"/>
      <c r="R971" s="12"/>
      <c r="S971" s="12"/>
      <c r="T971" s="13"/>
      <c r="U971" s="46"/>
      <c r="V971" s="47"/>
      <c r="W971" s="48">
        <f t="shared" si="158"/>
        <v>0</v>
      </c>
      <c r="X971" s="48">
        <f t="shared" si="159"/>
        <v>0</v>
      </c>
      <c r="Y971" s="48">
        <f t="shared" si="160"/>
        <v>0</v>
      </c>
      <c r="Z971" s="48">
        <f t="shared" si="161"/>
        <v>0</v>
      </c>
      <c r="AA971" s="48"/>
      <c r="AB971" s="48"/>
      <c r="AC971" s="49">
        <f t="shared" si="162"/>
        <v>0</v>
      </c>
      <c r="AD971" s="50">
        <v>0</v>
      </c>
      <c r="AE971" s="47">
        <v>40120</v>
      </c>
      <c r="AF971" s="51" t="s">
        <v>516</v>
      </c>
      <c r="AG971" s="52" t="s">
        <v>517</v>
      </c>
      <c r="AH971" s="53" t="s">
        <v>199</v>
      </c>
      <c r="AI971" s="79"/>
      <c r="AJ971" s="80"/>
      <c r="AK971" s="81"/>
      <c r="AL971" s="80"/>
      <c r="AM971" s="80"/>
      <c r="AN971" s="80"/>
      <c r="AO971" s="80"/>
      <c r="AP971" s="80"/>
      <c r="AQ971" s="80"/>
      <c r="AR971" s="80"/>
      <c r="AS971" s="80"/>
      <c r="AT971" s="80"/>
      <c r="AU971" s="80"/>
      <c r="AV971" s="80"/>
      <c r="AW971" s="80"/>
      <c r="AX971" s="80"/>
      <c r="AY971" s="80"/>
      <c r="AZ971" s="80"/>
      <c r="BA971" s="80"/>
      <c r="BB971" s="80"/>
      <c r="BC971" s="80"/>
      <c r="BD971" s="80"/>
      <c r="BE971" s="80"/>
      <c r="BF971" s="80"/>
      <c r="BG971" s="80"/>
      <c r="BH971" s="80"/>
      <c r="BI971" s="80"/>
      <c r="BJ971" s="80"/>
      <c r="BK971" s="80"/>
      <c r="BL971" s="80"/>
      <c r="BM971" s="80"/>
      <c r="BN971" s="80"/>
      <c r="BO971" s="80"/>
      <c r="BP971" s="80"/>
      <c r="BQ971" s="80"/>
      <c r="BR971" s="80"/>
      <c r="BS971" s="80"/>
      <c r="BT971" s="80"/>
      <c r="BU971" s="80"/>
      <c r="BV971" s="80"/>
      <c r="BW971" s="80"/>
      <c r="BX971" s="80"/>
      <c r="BY971" s="80"/>
      <c r="BZ971" s="80"/>
      <c r="CA971" s="80"/>
      <c r="CB971" s="80"/>
      <c r="CC971" s="80"/>
      <c r="CD971" s="80"/>
      <c r="CE971" s="80"/>
      <c r="CF971" s="80"/>
      <c r="CG971" s="80"/>
      <c r="CH971" s="80"/>
      <c r="CI971" s="80"/>
      <c r="CJ971" s="80"/>
      <c r="CK971" s="82"/>
      <c r="CL971" s="12"/>
      <c r="CM971" s="82"/>
      <c r="CN971" s="12"/>
      <c r="CO971" s="82"/>
      <c r="CP971" s="12"/>
      <c r="CQ971" s="83">
        <f t="shared" si="163"/>
        <v>0</v>
      </c>
      <c r="CR971" s="84"/>
      <c r="CS971" s="13"/>
      <c r="CT971" s="85"/>
      <c r="CU971" s="86"/>
      <c r="CV971" s="11"/>
      <c r="CW971" s="86"/>
      <c r="CX971" s="84"/>
      <c r="CY971" s="86"/>
    </row>
    <row r="972" spans="1:103" ht="38.25" x14ac:dyDescent="0.2">
      <c r="A972" s="43">
        <v>40118</v>
      </c>
      <c r="B972" s="44" t="s">
        <v>210</v>
      </c>
      <c r="C972" s="44" t="s">
        <v>211</v>
      </c>
      <c r="D972" s="45" t="s">
        <v>72</v>
      </c>
      <c r="E972" s="11">
        <v>1</v>
      </c>
      <c r="F972" s="12">
        <v>2</v>
      </c>
      <c r="G972" s="12"/>
      <c r="H972" s="12"/>
      <c r="I972" s="12"/>
      <c r="J972" s="12"/>
      <c r="K972" s="12"/>
      <c r="L972" s="12"/>
      <c r="M972" s="12"/>
      <c r="N972" s="12"/>
      <c r="O972" s="12"/>
      <c r="P972" s="12"/>
      <c r="Q972" s="12"/>
      <c r="R972" s="12"/>
      <c r="S972" s="12"/>
      <c r="T972" s="13"/>
      <c r="U972" s="46"/>
      <c r="V972" s="47"/>
      <c r="W972" s="48">
        <f t="shared" si="158"/>
        <v>0</v>
      </c>
      <c r="X972" s="48">
        <f t="shared" si="159"/>
        <v>0</v>
      </c>
      <c r="Y972" s="48">
        <f t="shared" si="160"/>
        <v>0</v>
      </c>
      <c r="Z972" s="48">
        <f t="shared" si="161"/>
        <v>0</v>
      </c>
      <c r="AA972" s="48"/>
      <c r="AB972" s="48"/>
      <c r="AC972" s="49">
        <f t="shared" si="162"/>
        <v>0</v>
      </c>
      <c r="AD972" s="50">
        <v>0</v>
      </c>
      <c r="AE972" s="47">
        <v>40120</v>
      </c>
      <c r="AF972" s="51" t="s">
        <v>516</v>
      </c>
      <c r="AG972" s="52" t="s">
        <v>517</v>
      </c>
      <c r="AH972" s="53" t="s">
        <v>212</v>
      </c>
      <c r="AI972" s="79"/>
      <c r="AJ972" s="80"/>
      <c r="AK972" s="81"/>
      <c r="AL972" s="80"/>
      <c r="AM972" s="80"/>
      <c r="AN972" s="80"/>
      <c r="AO972" s="80"/>
      <c r="AP972" s="80"/>
      <c r="AQ972" s="80"/>
      <c r="AR972" s="80"/>
      <c r="AS972" s="80"/>
      <c r="AT972" s="80"/>
      <c r="AU972" s="80"/>
      <c r="AV972" s="80"/>
      <c r="AW972" s="80"/>
      <c r="AX972" s="80"/>
      <c r="AY972" s="80"/>
      <c r="AZ972" s="80"/>
      <c r="BA972" s="80"/>
      <c r="BB972" s="80"/>
      <c r="BC972" s="80"/>
      <c r="BD972" s="80"/>
      <c r="BE972" s="80"/>
      <c r="BF972" s="80"/>
      <c r="BG972" s="80"/>
      <c r="BH972" s="80"/>
      <c r="BI972" s="80"/>
      <c r="BJ972" s="80"/>
      <c r="BK972" s="80"/>
      <c r="BL972" s="80"/>
      <c r="BM972" s="80"/>
      <c r="BN972" s="80"/>
      <c r="BO972" s="80"/>
      <c r="BP972" s="80"/>
      <c r="BQ972" s="80"/>
      <c r="BR972" s="80"/>
      <c r="BS972" s="80"/>
      <c r="BT972" s="80"/>
      <c r="BU972" s="80"/>
      <c r="BV972" s="80"/>
      <c r="BW972" s="80"/>
      <c r="BX972" s="80"/>
      <c r="BY972" s="80"/>
      <c r="BZ972" s="80"/>
      <c r="CA972" s="80"/>
      <c r="CB972" s="80"/>
      <c r="CC972" s="80"/>
      <c r="CD972" s="80"/>
      <c r="CE972" s="80"/>
      <c r="CF972" s="80"/>
      <c r="CG972" s="80"/>
      <c r="CH972" s="80"/>
      <c r="CI972" s="80"/>
      <c r="CJ972" s="80"/>
      <c r="CK972" s="82"/>
      <c r="CL972" s="12"/>
      <c r="CM972" s="82"/>
      <c r="CN972" s="12"/>
      <c r="CO972" s="82"/>
      <c r="CP972" s="12"/>
      <c r="CQ972" s="83">
        <f t="shared" si="163"/>
        <v>0</v>
      </c>
      <c r="CR972" s="84"/>
      <c r="CS972" s="13"/>
      <c r="CT972" s="85"/>
      <c r="CU972" s="86"/>
      <c r="CV972" s="11"/>
      <c r="CW972" s="86"/>
      <c r="CX972" s="84"/>
      <c r="CY972" s="86"/>
    </row>
    <row r="973" spans="1:103" ht="51" x14ac:dyDescent="0.2">
      <c r="A973" s="43">
        <v>40118</v>
      </c>
      <c r="B973" s="44" t="s">
        <v>600</v>
      </c>
      <c r="C973" s="44" t="s">
        <v>607</v>
      </c>
      <c r="D973" s="45" t="s">
        <v>134</v>
      </c>
      <c r="E973" s="11"/>
      <c r="F973" s="12"/>
      <c r="G973" s="12"/>
      <c r="H973" s="12">
        <v>170</v>
      </c>
      <c r="I973" s="12">
        <v>34</v>
      </c>
      <c r="J973" s="12"/>
      <c r="K973" s="12">
        <v>34</v>
      </c>
      <c r="L973" s="12"/>
      <c r="M973" s="12"/>
      <c r="N973" s="12"/>
      <c r="O973" s="12"/>
      <c r="P973" s="12"/>
      <c r="Q973" s="12">
        <v>1</v>
      </c>
      <c r="R973" s="12"/>
      <c r="S973" s="12"/>
      <c r="T973" s="13"/>
      <c r="U973" s="46" t="s">
        <v>597</v>
      </c>
      <c r="V973" s="47"/>
      <c r="W973" s="48">
        <f t="shared" si="158"/>
        <v>0</v>
      </c>
      <c r="X973" s="48">
        <f t="shared" si="159"/>
        <v>0</v>
      </c>
      <c r="Y973" s="48">
        <f t="shared" si="160"/>
        <v>0</v>
      </c>
      <c r="Z973" s="48">
        <f t="shared" si="161"/>
        <v>0</v>
      </c>
      <c r="AA973" s="48"/>
      <c r="AB973" s="48"/>
      <c r="AC973" s="49">
        <f t="shared" si="162"/>
        <v>0</v>
      </c>
      <c r="AD973" s="50">
        <v>0</v>
      </c>
      <c r="AE973" s="47">
        <v>40120</v>
      </c>
      <c r="AF973" s="51" t="s">
        <v>1016</v>
      </c>
      <c r="AG973" s="52" t="s">
        <v>565</v>
      </c>
      <c r="AH973" s="53" t="s">
        <v>204</v>
      </c>
      <c r="AI973" s="79"/>
      <c r="AJ973" s="80"/>
      <c r="AK973" s="81"/>
      <c r="AL973" s="80"/>
      <c r="AM973" s="80"/>
      <c r="AN973" s="80"/>
      <c r="AO973" s="80"/>
      <c r="AP973" s="80"/>
      <c r="AQ973" s="80"/>
      <c r="AR973" s="80"/>
      <c r="AS973" s="80"/>
      <c r="AT973" s="80"/>
      <c r="AU973" s="80"/>
      <c r="AV973" s="80"/>
      <c r="AW973" s="80"/>
      <c r="AX973" s="80"/>
      <c r="AY973" s="80"/>
      <c r="AZ973" s="80"/>
      <c r="BA973" s="80"/>
      <c r="BB973" s="80"/>
      <c r="BC973" s="80"/>
      <c r="BD973" s="80"/>
      <c r="BE973" s="80"/>
      <c r="BF973" s="80"/>
      <c r="BG973" s="80"/>
      <c r="BH973" s="80"/>
      <c r="BI973" s="80"/>
      <c r="BJ973" s="80"/>
      <c r="BK973" s="80"/>
      <c r="BL973" s="80"/>
      <c r="BM973" s="80"/>
      <c r="BN973" s="80"/>
      <c r="BO973" s="80"/>
      <c r="BP973" s="80"/>
      <c r="BQ973" s="80"/>
      <c r="BR973" s="80"/>
      <c r="BS973" s="80"/>
      <c r="BT973" s="80"/>
      <c r="BU973" s="80"/>
      <c r="BV973" s="80"/>
      <c r="BW973" s="80"/>
      <c r="BX973" s="80"/>
      <c r="BY973" s="80"/>
      <c r="BZ973" s="80"/>
      <c r="CA973" s="80"/>
      <c r="CB973" s="80"/>
      <c r="CC973" s="80"/>
      <c r="CD973" s="80"/>
      <c r="CE973" s="80"/>
      <c r="CF973" s="80"/>
      <c r="CG973" s="80"/>
      <c r="CH973" s="80"/>
      <c r="CI973" s="80"/>
      <c r="CJ973" s="80"/>
      <c r="CK973" s="82"/>
      <c r="CL973" s="12"/>
      <c r="CM973" s="82"/>
      <c r="CN973" s="12"/>
      <c r="CO973" s="82"/>
      <c r="CP973" s="12"/>
      <c r="CQ973" s="83">
        <f t="shared" si="163"/>
        <v>0</v>
      </c>
      <c r="CR973" s="84"/>
      <c r="CS973" s="13"/>
      <c r="CT973" s="85"/>
      <c r="CU973" s="86"/>
      <c r="CV973" s="11"/>
      <c r="CW973" s="86"/>
      <c r="CX973" s="84"/>
      <c r="CY973" s="86"/>
    </row>
    <row r="974" spans="1:103" ht="25.5" x14ac:dyDescent="0.2">
      <c r="A974" s="43">
        <v>40119</v>
      </c>
      <c r="B974" s="44" t="s">
        <v>688</v>
      </c>
      <c r="C974" s="44" t="s">
        <v>689</v>
      </c>
      <c r="D974" s="45" t="s">
        <v>1118</v>
      </c>
      <c r="E974" s="11"/>
      <c r="F974" s="12"/>
      <c r="G974" s="12"/>
      <c r="H974" s="12">
        <v>25</v>
      </c>
      <c r="I974" s="12">
        <v>5</v>
      </c>
      <c r="J974" s="12"/>
      <c r="K974" s="12">
        <v>5</v>
      </c>
      <c r="L974" s="12"/>
      <c r="M974" s="12"/>
      <c r="N974" s="12"/>
      <c r="O974" s="12"/>
      <c r="P974" s="12"/>
      <c r="Q974" s="12"/>
      <c r="R974" s="12"/>
      <c r="S974" s="12"/>
      <c r="T974" s="13"/>
      <c r="U974" s="46"/>
      <c r="V974" s="47"/>
      <c r="W974" s="48">
        <f t="shared" si="158"/>
        <v>0</v>
      </c>
      <c r="X974" s="48">
        <f t="shared" si="159"/>
        <v>0</v>
      </c>
      <c r="Y974" s="48">
        <f t="shared" si="160"/>
        <v>0</v>
      </c>
      <c r="Z974" s="48">
        <f t="shared" si="161"/>
        <v>0</v>
      </c>
      <c r="AA974" s="48"/>
      <c r="AB974" s="48"/>
      <c r="AC974" s="49">
        <f t="shared" si="162"/>
        <v>0</v>
      </c>
      <c r="AD974" s="50">
        <v>0</v>
      </c>
      <c r="AE974" s="47">
        <v>40120</v>
      </c>
      <c r="AF974" s="51" t="s">
        <v>516</v>
      </c>
      <c r="AG974" s="52" t="s">
        <v>517</v>
      </c>
      <c r="AH974" s="53" t="s">
        <v>200</v>
      </c>
      <c r="AI974" s="79"/>
      <c r="AJ974" s="80"/>
      <c r="AK974" s="81"/>
      <c r="AL974" s="80"/>
      <c r="AM974" s="80"/>
      <c r="AN974" s="80"/>
      <c r="AO974" s="80"/>
      <c r="AP974" s="80"/>
      <c r="AQ974" s="80"/>
      <c r="AR974" s="80"/>
      <c r="AS974" s="80"/>
      <c r="AT974" s="80"/>
      <c r="AU974" s="80"/>
      <c r="AV974" s="80"/>
      <c r="AW974" s="80"/>
      <c r="AX974" s="80"/>
      <c r="AY974" s="80"/>
      <c r="AZ974" s="80"/>
      <c r="BA974" s="80"/>
      <c r="BB974" s="80"/>
      <c r="BC974" s="80"/>
      <c r="BD974" s="80"/>
      <c r="BE974" s="80"/>
      <c r="BF974" s="80"/>
      <c r="BG974" s="80"/>
      <c r="BH974" s="80"/>
      <c r="BI974" s="80"/>
      <c r="BJ974" s="80"/>
      <c r="BK974" s="80"/>
      <c r="BL974" s="80"/>
      <c r="BM974" s="80"/>
      <c r="BN974" s="80"/>
      <c r="BO974" s="80"/>
      <c r="BP974" s="80"/>
      <c r="BQ974" s="80"/>
      <c r="BR974" s="80"/>
      <c r="BS974" s="80"/>
      <c r="BT974" s="80"/>
      <c r="BU974" s="80"/>
      <c r="BV974" s="80"/>
      <c r="BW974" s="80"/>
      <c r="BX974" s="80"/>
      <c r="BY974" s="80"/>
      <c r="BZ974" s="80"/>
      <c r="CA974" s="80"/>
      <c r="CB974" s="80"/>
      <c r="CC974" s="80"/>
      <c r="CD974" s="80"/>
      <c r="CE974" s="80"/>
      <c r="CF974" s="80"/>
      <c r="CG974" s="80"/>
      <c r="CH974" s="80"/>
      <c r="CI974" s="80"/>
      <c r="CJ974" s="80"/>
      <c r="CK974" s="82"/>
      <c r="CL974" s="12"/>
      <c r="CM974" s="82"/>
      <c r="CN974" s="12"/>
      <c r="CO974" s="82"/>
      <c r="CP974" s="12"/>
      <c r="CQ974" s="83">
        <f t="shared" si="163"/>
        <v>0</v>
      </c>
      <c r="CR974" s="84"/>
      <c r="CS974" s="13"/>
      <c r="CT974" s="85"/>
      <c r="CU974" s="86"/>
      <c r="CV974" s="11"/>
      <c r="CW974" s="86"/>
      <c r="CX974" s="84"/>
      <c r="CY974" s="86"/>
    </row>
    <row r="975" spans="1:103" ht="38.25" x14ac:dyDescent="0.2">
      <c r="A975" s="43">
        <v>40119</v>
      </c>
      <c r="B975" s="44" t="s">
        <v>688</v>
      </c>
      <c r="C975" s="44" t="s">
        <v>201</v>
      </c>
      <c r="D975" s="45" t="s">
        <v>1116</v>
      </c>
      <c r="E975" s="11"/>
      <c r="F975" s="12"/>
      <c r="G975" s="12"/>
      <c r="H975" s="12">
        <v>85</v>
      </c>
      <c r="I975" s="12">
        <v>17</v>
      </c>
      <c r="J975" s="12"/>
      <c r="K975" s="12">
        <v>17</v>
      </c>
      <c r="L975" s="12"/>
      <c r="M975" s="12"/>
      <c r="N975" s="12"/>
      <c r="O975" s="12"/>
      <c r="P975" s="12"/>
      <c r="Q975" s="12"/>
      <c r="R975" s="12"/>
      <c r="S975" s="12"/>
      <c r="T975" s="13"/>
      <c r="U975" s="46"/>
      <c r="V975" s="47">
        <v>40157</v>
      </c>
      <c r="W975" s="48">
        <f t="shared" si="158"/>
        <v>0</v>
      </c>
      <c r="X975" s="48">
        <f t="shared" si="159"/>
        <v>0</v>
      </c>
      <c r="Y975" s="48">
        <f t="shared" si="160"/>
        <v>13711200</v>
      </c>
      <c r="Z975" s="48">
        <f t="shared" si="161"/>
        <v>0</v>
      </c>
      <c r="AA975" s="48"/>
      <c r="AB975" s="48"/>
      <c r="AC975" s="49">
        <f t="shared" si="162"/>
        <v>13711200</v>
      </c>
      <c r="AD975" s="50">
        <v>0</v>
      </c>
      <c r="AE975" s="47">
        <v>40120</v>
      </c>
      <c r="AF975" s="51" t="s">
        <v>1016</v>
      </c>
      <c r="AG975" s="52" t="s">
        <v>565</v>
      </c>
      <c r="AH975" s="53" t="s">
        <v>200</v>
      </c>
      <c r="AI975" s="79"/>
      <c r="AJ975" s="80"/>
      <c r="AK975" s="81"/>
      <c r="AL975" s="80"/>
      <c r="AM975" s="80"/>
      <c r="AN975" s="80"/>
      <c r="AO975" s="80"/>
      <c r="AP975" s="80"/>
      <c r="AQ975" s="80"/>
      <c r="AR975" s="80"/>
      <c r="AS975" s="80"/>
      <c r="AT975" s="80"/>
      <c r="AU975" s="80"/>
      <c r="AV975" s="80"/>
      <c r="AW975" s="80"/>
      <c r="AX975" s="80"/>
      <c r="AY975" s="80"/>
      <c r="AZ975" s="80"/>
      <c r="BA975" s="80"/>
      <c r="BB975" s="80"/>
      <c r="BC975" s="80"/>
      <c r="BD975" s="80"/>
      <c r="BE975" s="80"/>
      <c r="BF975" s="80"/>
      <c r="BG975" s="80"/>
      <c r="BH975" s="80"/>
      <c r="BI975" s="80"/>
      <c r="BJ975" s="80"/>
      <c r="BK975" s="80"/>
      <c r="BL975" s="80"/>
      <c r="BM975" s="80"/>
      <c r="BN975" s="80"/>
      <c r="BO975" s="80"/>
      <c r="BP975" s="80"/>
      <c r="BQ975" s="80"/>
      <c r="BR975" s="80"/>
      <c r="BS975" s="80"/>
      <c r="BT975" s="80"/>
      <c r="BU975" s="80"/>
      <c r="BV975" s="80"/>
      <c r="BW975" s="80"/>
      <c r="BX975" s="80"/>
      <c r="BY975" s="80"/>
      <c r="BZ975" s="80"/>
      <c r="CA975" s="80"/>
      <c r="CB975" s="80"/>
      <c r="CC975" s="80"/>
      <c r="CD975" s="80"/>
      <c r="CE975" s="80"/>
      <c r="CF975" s="80"/>
      <c r="CG975" s="80"/>
      <c r="CH975" s="80"/>
      <c r="CI975" s="80"/>
      <c r="CJ975" s="80"/>
      <c r="CK975" s="82"/>
      <c r="CL975" s="12"/>
      <c r="CM975" s="82"/>
      <c r="CN975" s="12"/>
      <c r="CO975" s="82"/>
      <c r="CP975" s="12"/>
      <c r="CQ975" s="83">
        <f t="shared" si="163"/>
        <v>0</v>
      </c>
      <c r="CR975" s="84"/>
      <c r="CS975" s="13"/>
      <c r="CT975" s="85"/>
      <c r="CU975" s="86"/>
      <c r="CV975" s="11"/>
      <c r="CW975" s="86"/>
      <c r="CX975" s="84">
        <v>600</v>
      </c>
      <c r="CY975" s="86">
        <f>600*22852</f>
        <v>13711200</v>
      </c>
    </row>
    <row r="976" spans="1:103" ht="51" x14ac:dyDescent="0.2">
      <c r="A976" s="43">
        <v>40119</v>
      </c>
      <c r="B976" s="44" t="s">
        <v>765</v>
      </c>
      <c r="C976" s="44" t="s">
        <v>505</v>
      </c>
      <c r="D976" s="45" t="s">
        <v>1117</v>
      </c>
      <c r="E976" s="11"/>
      <c r="F976" s="12"/>
      <c r="G976" s="12"/>
      <c r="H976" s="12">
        <v>2079</v>
      </c>
      <c r="I976" s="12">
        <v>421</v>
      </c>
      <c r="J976" s="12"/>
      <c r="K976" s="12">
        <v>421</v>
      </c>
      <c r="L976" s="12"/>
      <c r="M976" s="12"/>
      <c r="N976" s="12"/>
      <c r="O976" s="12"/>
      <c r="P976" s="12"/>
      <c r="Q976" s="12"/>
      <c r="R976" s="12"/>
      <c r="S976" s="12"/>
      <c r="T976" s="13"/>
      <c r="U976" s="46"/>
      <c r="V976" s="47">
        <v>40129</v>
      </c>
      <c r="W976" s="48">
        <f t="shared" si="158"/>
        <v>12600000</v>
      </c>
      <c r="X976" s="48">
        <f t="shared" si="159"/>
        <v>38250000</v>
      </c>
      <c r="Y976" s="48">
        <f t="shared" si="160"/>
        <v>92707200</v>
      </c>
      <c r="Z976" s="48">
        <f t="shared" si="161"/>
        <v>0</v>
      </c>
      <c r="AA976" s="48">
        <f>7*421080</f>
        <v>2947560</v>
      </c>
      <c r="AB976" s="48"/>
      <c r="AC976" s="49">
        <f t="shared" si="162"/>
        <v>146504760</v>
      </c>
      <c r="AD976" s="50">
        <v>0</v>
      </c>
      <c r="AE976" s="47">
        <v>40126</v>
      </c>
      <c r="AF976" s="51" t="s">
        <v>1016</v>
      </c>
      <c r="AG976" s="52" t="s">
        <v>565</v>
      </c>
      <c r="AH976" s="53" t="s">
        <v>38</v>
      </c>
      <c r="AI976" s="79"/>
      <c r="AJ976" s="80"/>
      <c r="AK976" s="81"/>
      <c r="AL976" s="80"/>
      <c r="AM976" s="80"/>
      <c r="AN976" s="80"/>
      <c r="AO976" s="80"/>
      <c r="AP976" s="80"/>
      <c r="AQ976" s="80"/>
      <c r="AR976" s="80"/>
      <c r="AS976" s="80"/>
      <c r="AT976" s="80"/>
      <c r="AU976" s="80"/>
      <c r="AV976" s="80"/>
      <c r="AW976" s="80"/>
      <c r="AX976" s="80"/>
      <c r="AY976" s="80"/>
      <c r="AZ976" s="80"/>
      <c r="BA976" s="80"/>
      <c r="BB976" s="80"/>
      <c r="BC976" s="80"/>
      <c r="BD976" s="80"/>
      <c r="BE976" s="80"/>
      <c r="BF976" s="80"/>
      <c r="BG976" s="80"/>
      <c r="BH976" s="80"/>
      <c r="BI976" s="80"/>
      <c r="BJ976" s="80"/>
      <c r="BK976" s="80"/>
      <c r="BL976" s="80"/>
      <c r="BM976" s="80"/>
      <c r="BN976" s="80"/>
      <c r="BO976" s="80"/>
      <c r="BP976" s="80"/>
      <c r="BQ976" s="80"/>
      <c r="BR976" s="80"/>
      <c r="BS976" s="80"/>
      <c r="BT976" s="80"/>
      <c r="BU976" s="80"/>
      <c r="BV976" s="80"/>
      <c r="BW976" s="80"/>
      <c r="BX976" s="80"/>
      <c r="BY976" s="80"/>
      <c r="BZ976" s="80"/>
      <c r="CA976" s="80"/>
      <c r="CB976" s="80"/>
      <c r="CC976" s="80"/>
      <c r="CD976" s="80"/>
      <c r="CE976" s="80">
        <v>700</v>
      </c>
      <c r="CF976" s="80">
        <f>700*18000</f>
        <v>12600000</v>
      </c>
      <c r="CG976" s="80"/>
      <c r="CH976" s="80"/>
      <c r="CI976" s="80"/>
      <c r="CJ976" s="80"/>
      <c r="CK976" s="82"/>
      <c r="CL976" s="12"/>
      <c r="CM976" s="82"/>
      <c r="CN976" s="12"/>
      <c r="CO976" s="82"/>
      <c r="CP976" s="12"/>
      <c r="CQ976" s="83">
        <f t="shared" si="163"/>
        <v>12600000</v>
      </c>
      <c r="CR976" s="84"/>
      <c r="CS976" s="13"/>
      <c r="CT976" s="85">
        <v>450</v>
      </c>
      <c r="CU976" s="86">
        <f>450*85000</f>
        <v>38250000</v>
      </c>
      <c r="CV976" s="11"/>
      <c r="CW976" s="86"/>
      <c r="CX976" s="84">
        <f>3000+600</f>
        <v>3600</v>
      </c>
      <c r="CY976" s="86">
        <f>3000*22852+600*40252</f>
        <v>92707200</v>
      </c>
    </row>
    <row r="977" spans="1:103" ht="12.75" x14ac:dyDescent="0.2">
      <c r="A977" s="43">
        <v>40119</v>
      </c>
      <c r="B977" s="44" t="s">
        <v>315</v>
      </c>
      <c r="C977" s="44" t="s">
        <v>353</v>
      </c>
      <c r="D977" s="45" t="s">
        <v>1117</v>
      </c>
      <c r="E977" s="11"/>
      <c r="F977" s="12"/>
      <c r="G977" s="12"/>
      <c r="H977" s="12">
        <f>22*5</f>
        <v>110</v>
      </c>
      <c r="I977" s="12">
        <v>22</v>
      </c>
      <c r="J977" s="12"/>
      <c r="K977" s="12">
        <v>22</v>
      </c>
      <c r="L977" s="12"/>
      <c r="M977" s="12"/>
      <c r="N977" s="12"/>
      <c r="O977" s="12"/>
      <c r="P977" s="12"/>
      <c r="Q977" s="12"/>
      <c r="R977" s="12"/>
      <c r="S977" s="12"/>
      <c r="T977" s="13"/>
      <c r="U977" s="46"/>
      <c r="V977" s="47">
        <v>40197</v>
      </c>
      <c r="W977" s="48">
        <f t="shared" si="158"/>
        <v>0</v>
      </c>
      <c r="X977" s="48">
        <f t="shared" si="159"/>
        <v>0</v>
      </c>
      <c r="Y977" s="48">
        <f t="shared" si="160"/>
        <v>11719000</v>
      </c>
      <c r="Z977" s="48">
        <f t="shared" si="161"/>
        <v>0</v>
      </c>
      <c r="AA977" s="48"/>
      <c r="AB977" s="48"/>
      <c r="AC977" s="49">
        <f t="shared" si="162"/>
        <v>11719000</v>
      </c>
      <c r="AD977" s="50">
        <v>0</v>
      </c>
      <c r="AE977" s="47">
        <v>40169</v>
      </c>
      <c r="AF977" s="51" t="s">
        <v>1016</v>
      </c>
      <c r="AG977" s="52" t="s">
        <v>565</v>
      </c>
      <c r="AH977" s="53" t="s">
        <v>1281</v>
      </c>
      <c r="AI977" s="79"/>
      <c r="AJ977" s="80"/>
      <c r="AK977" s="81"/>
      <c r="AL977" s="80"/>
      <c r="AM977" s="80"/>
      <c r="AN977" s="80"/>
      <c r="AO977" s="80"/>
      <c r="AP977" s="80"/>
      <c r="AQ977" s="80"/>
      <c r="AR977" s="80"/>
      <c r="AS977" s="80"/>
      <c r="AT977" s="80"/>
      <c r="AU977" s="80"/>
      <c r="AV977" s="80"/>
      <c r="AW977" s="80"/>
      <c r="AX977" s="80"/>
      <c r="AY977" s="80"/>
      <c r="AZ977" s="80"/>
      <c r="BA977" s="80"/>
      <c r="BB977" s="80"/>
      <c r="BC977" s="80"/>
      <c r="BD977" s="80"/>
      <c r="BE977" s="80"/>
      <c r="BF977" s="80"/>
      <c r="BG977" s="80"/>
      <c r="BH977" s="80"/>
      <c r="BI977" s="80"/>
      <c r="BJ977" s="80"/>
      <c r="BK977" s="80"/>
      <c r="BL977" s="80"/>
      <c r="BM977" s="80"/>
      <c r="BN977" s="80"/>
      <c r="BO977" s="80"/>
      <c r="BP977" s="80"/>
      <c r="BQ977" s="80"/>
      <c r="BR977" s="80"/>
      <c r="BS977" s="80"/>
      <c r="BT977" s="80"/>
      <c r="BU977" s="80"/>
      <c r="BV977" s="80"/>
      <c r="BW977" s="80"/>
      <c r="BX977" s="80"/>
      <c r="BY977" s="80"/>
      <c r="BZ977" s="80"/>
      <c r="CA977" s="80"/>
      <c r="CB977" s="80"/>
      <c r="CC977" s="80"/>
      <c r="CD977" s="80"/>
      <c r="CE977" s="80"/>
      <c r="CF977" s="80"/>
      <c r="CG977" s="80"/>
      <c r="CH977" s="80"/>
      <c r="CI977" s="80"/>
      <c r="CJ977" s="80"/>
      <c r="CK977" s="82"/>
      <c r="CL977" s="12"/>
      <c r="CM977" s="82"/>
      <c r="CN977" s="12"/>
      <c r="CO977" s="82"/>
      <c r="CP977" s="12"/>
      <c r="CQ977" s="83">
        <f t="shared" si="163"/>
        <v>0</v>
      </c>
      <c r="CR977" s="84"/>
      <c r="CS977" s="13"/>
      <c r="CT977" s="85"/>
      <c r="CU977" s="86"/>
      <c r="CV977" s="11">
        <v>40</v>
      </c>
      <c r="CW977" s="86">
        <f>40*25000</f>
        <v>1000000</v>
      </c>
      <c r="CX977" s="84">
        <v>450</v>
      </c>
      <c r="CY977" s="86">
        <f>450*22500+2700*220</f>
        <v>10719000</v>
      </c>
    </row>
    <row r="978" spans="1:103" ht="25.5" x14ac:dyDescent="0.2">
      <c r="A978" s="43">
        <v>40120</v>
      </c>
      <c r="B978" s="44" t="s">
        <v>1127</v>
      </c>
      <c r="C978" s="44" t="s">
        <v>116</v>
      </c>
      <c r="D978" s="45" t="s">
        <v>1092</v>
      </c>
      <c r="E978" s="11"/>
      <c r="F978" s="12"/>
      <c r="G978" s="12"/>
      <c r="H978" s="12">
        <v>120</v>
      </c>
      <c r="I978" s="12">
        <v>24</v>
      </c>
      <c r="J978" s="12"/>
      <c r="K978" s="12">
        <v>24</v>
      </c>
      <c r="L978" s="12"/>
      <c r="M978" s="12"/>
      <c r="N978" s="12"/>
      <c r="O978" s="12"/>
      <c r="P978" s="12"/>
      <c r="Q978" s="12"/>
      <c r="R978" s="12"/>
      <c r="S978" s="12"/>
      <c r="T978" s="13"/>
      <c r="U978" s="46"/>
      <c r="V978" s="47"/>
      <c r="W978" s="48">
        <f t="shared" si="158"/>
        <v>0</v>
      </c>
      <c r="X978" s="48">
        <f t="shared" si="159"/>
        <v>0</v>
      </c>
      <c r="Y978" s="48">
        <f t="shared" si="160"/>
        <v>0</v>
      </c>
      <c r="Z978" s="48">
        <f t="shared" si="161"/>
        <v>0</v>
      </c>
      <c r="AA978" s="48"/>
      <c r="AB978" s="48"/>
      <c r="AC978" s="49">
        <f t="shared" si="162"/>
        <v>0</v>
      </c>
      <c r="AD978" s="50">
        <v>0</v>
      </c>
      <c r="AE978" s="47">
        <v>40120</v>
      </c>
      <c r="AF978" s="51" t="s">
        <v>516</v>
      </c>
      <c r="AG978" s="52" t="s">
        <v>517</v>
      </c>
      <c r="AH978" s="53" t="s">
        <v>213</v>
      </c>
      <c r="AI978" s="79"/>
      <c r="AJ978" s="80"/>
      <c r="AK978" s="81"/>
      <c r="AL978" s="80"/>
      <c r="AM978" s="80"/>
      <c r="AN978" s="80"/>
      <c r="AO978" s="80"/>
      <c r="AP978" s="80"/>
      <c r="AQ978" s="80"/>
      <c r="AR978" s="80"/>
      <c r="AS978" s="80"/>
      <c r="AT978" s="80"/>
      <c r="AU978" s="80"/>
      <c r="AV978" s="80"/>
      <c r="AW978" s="80"/>
      <c r="AX978" s="80"/>
      <c r="AY978" s="80"/>
      <c r="AZ978" s="80"/>
      <c r="BA978" s="80"/>
      <c r="BB978" s="80"/>
      <c r="BC978" s="80"/>
      <c r="BD978" s="80"/>
      <c r="BE978" s="80"/>
      <c r="BF978" s="80"/>
      <c r="BG978" s="80"/>
      <c r="BH978" s="80"/>
      <c r="BI978" s="80"/>
      <c r="BJ978" s="80"/>
      <c r="BK978" s="80"/>
      <c r="BL978" s="80"/>
      <c r="BM978" s="80"/>
      <c r="BN978" s="80"/>
      <c r="BO978" s="80"/>
      <c r="BP978" s="80"/>
      <c r="BQ978" s="80"/>
      <c r="BR978" s="80"/>
      <c r="BS978" s="80"/>
      <c r="BT978" s="80"/>
      <c r="BU978" s="80"/>
      <c r="BV978" s="80"/>
      <c r="BW978" s="80"/>
      <c r="BX978" s="80"/>
      <c r="BY978" s="80"/>
      <c r="BZ978" s="80"/>
      <c r="CA978" s="80"/>
      <c r="CB978" s="80"/>
      <c r="CC978" s="80"/>
      <c r="CD978" s="80"/>
      <c r="CE978" s="80"/>
      <c r="CF978" s="80"/>
      <c r="CG978" s="80"/>
      <c r="CH978" s="80"/>
      <c r="CI978" s="80"/>
      <c r="CJ978" s="80"/>
      <c r="CK978" s="82"/>
      <c r="CL978" s="12"/>
      <c r="CM978" s="82"/>
      <c r="CN978" s="12"/>
      <c r="CO978" s="82"/>
      <c r="CP978" s="12"/>
      <c r="CQ978" s="83">
        <f t="shared" si="163"/>
        <v>0</v>
      </c>
      <c r="CR978" s="84"/>
      <c r="CS978" s="13"/>
      <c r="CT978" s="85"/>
      <c r="CU978" s="86"/>
      <c r="CV978" s="11"/>
      <c r="CW978" s="86"/>
      <c r="CX978" s="84"/>
      <c r="CY978" s="86"/>
    </row>
    <row r="979" spans="1:103" ht="38.25" x14ac:dyDescent="0.2">
      <c r="A979" s="43">
        <v>40120</v>
      </c>
      <c r="B979" s="44" t="s">
        <v>1091</v>
      </c>
      <c r="C979" s="44" t="s">
        <v>809</v>
      </c>
      <c r="D979" s="45" t="s">
        <v>1118</v>
      </c>
      <c r="E979" s="11">
        <v>2</v>
      </c>
      <c r="F979" s="12"/>
      <c r="G979" s="12"/>
      <c r="H979" s="12">
        <f>200*5</f>
        <v>1000</v>
      </c>
      <c r="I979" s="12">
        <v>200</v>
      </c>
      <c r="J979" s="12"/>
      <c r="K979" s="12">
        <v>200</v>
      </c>
      <c r="L979" s="12"/>
      <c r="M979" s="12">
        <v>1</v>
      </c>
      <c r="N979" s="12"/>
      <c r="O979" s="12"/>
      <c r="P979" s="12"/>
      <c r="Q979" s="12"/>
      <c r="R979" s="12"/>
      <c r="S979" s="12"/>
      <c r="T979" s="13"/>
      <c r="U979" s="46"/>
      <c r="V979" s="47"/>
      <c r="W979" s="48">
        <f t="shared" si="158"/>
        <v>0</v>
      </c>
      <c r="X979" s="48">
        <f t="shared" si="159"/>
        <v>0</v>
      </c>
      <c r="Y979" s="48">
        <f t="shared" si="160"/>
        <v>0</v>
      </c>
      <c r="Z979" s="48">
        <f t="shared" si="161"/>
        <v>0</v>
      </c>
      <c r="AA979" s="48"/>
      <c r="AB979" s="48"/>
      <c r="AC979" s="49">
        <f t="shared" si="162"/>
        <v>0</v>
      </c>
      <c r="AD979" s="50">
        <v>0</v>
      </c>
      <c r="AE979" s="47">
        <v>40120</v>
      </c>
      <c r="AF979" s="51" t="s">
        <v>516</v>
      </c>
      <c r="AG979" s="52" t="s">
        <v>517</v>
      </c>
      <c r="AH979" s="53" t="s">
        <v>203</v>
      </c>
      <c r="AI979" s="79"/>
      <c r="AJ979" s="80"/>
      <c r="AK979" s="81"/>
      <c r="AL979" s="80"/>
      <c r="AM979" s="80"/>
      <c r="AN979" s="80"/>
      <c r="AO979" s="80"/>
      <c r="AP979" s="80"/>
      <c r="AQ979" s="80"/>
      <c r="AR979" s="80"/>
      <c r="AS979" s="80"/>
      <c r="AT979" s="80"/>
      <c r="AU979" s="80"/>
      <c r="AV979" s="80"/>
      <c r="AW979" s="80"/>
      <c r="AX979" s="80"/>
      <c r="AY979" s="80"/>
      <c r="AZ979" s="80"/>
      <c r="BA979" s="80"/>
      <c r="BB979" s="80"/>
      <c r="BC979" s="80"/>
      <c r="BD979" s="80"/>
      <c r="BE979" s="80"/>
      <c r="BF979" s="80"/>
      <c r="BG979" s="80"/>
      <c r="BH979" s="80"/>
      <c r="BI979" s="80"/>
      <c r="BJ979" s="80"/>
      <c r="BK979" s="80"/>
      <c r="BL979" s="80"/>
      <c r="BM979" s="80"/>
      <c r="BN979" s="80"/>
      <c r="BO979" s="80"/>
      <c r="BP979" s="80"/>
      <c r="BQ979" s="80"/>
      <c r="BR979" s="80"/>
      <c r="BS979" s="80"/>
      <c r="BT979" s="80"/>
      <c r="BU979" s="80"/>
      <c r="BV979" s="80"/>
      <c r="BW979" s="80"/>
      <c r="BX979" s="80"/>
      <c r="BY979" s="80"/>
      <c r="BZ979" s="80"/>
      <c r="CA979" s="80"/>
      <c r="CB979" s="80"/>
      <c r="CC979" s="80"/>
      <c r="CD979" s="80"/>
      <c r="CE979" s="80"/>
      <c r="CF979" s="80"/>
      <c r="CG979" s="80"/>
      <c r="CH979" s="80"/>
      <c r="CI979" s="80"/>
      <c r="CJ979" s="80"/>
      <c r="CK979" s="82"/>
      <c r="CL979" s="12"/>
      <c r="CM979" s="82"/>
      <c r="CN979" s="12"/>
      <c r="CO979" s="82"/>
      <c r="CP979" s="12"/>
      <c r="CQ979" s="83">
        <f t="shared" si="163"/>
        <v>0</v>
      </c>
      <c r="CR979" s="84"/>
      <c r="CS979" s="13"/>
      <c r="CT979" s="85"/>
      <c r="CU979" s="86"/>
      <c r="CV979" s="11"/>
      <c r="CW979" s="86"/>
      <c r="CX979" s="84"/>
      <c r="CY979" s="86"/>
    </row>
    <row r="980" spans="1:103" ht="242.25" x14ac:dyDescent="0.2">
      <c r="A980" s="43">
        <v>40120</v>
      </c>
      <c r="B980" s="44" t="s">
        <v>600</v>
      </c>
      <c r="C980" s="44" t="s">
        <v>205</v>
      </c>
      <c r="D980" s="45" t="s">
        <v>134</v>
      </c>
      <c r="E980" s="11"/>
      <c r="F980" s="12"/>
      <c r="G980" s="12"/>
      <c r="H980" s="12">
        <f>60*5</f>
        <v>300</v>
      </c>
      <c r="I980" s="12">
        <f>13+47</f>
        <v>60</v>
      </c>
      <c r="J980" s="12">
        <v>13</v>
      </c>
      <c r="K980" s="12">
        <v>47</v>
      </c>
      <c r="L980" s="12"/>
      <c r="M980" s="12">
        <v>8</v>
      </c>
      <c r="N980" s="12">
        <v>4</v>
      </c>
      <c r="O980" s="12">
        <v>20</v>
      </c>
      <c r="P980" s="12"/>
      <c r="Q980" s="12"/>
      <c r="R980" s="12"/>
      <c r="S980" s="12"/>
      <c r="T980" s="13"/>
      <c r="U980" s="46" t="s">
        <v>986</v>
      </c>
      <c r="V980" s="47">
        <v>40157</v>
      </c>
      <c r="W980" s="48">
        <f t="shared" si="158"/>
        <v>0</v>
      </c>
      <c r="X980" s="48">
        <f t="shared" si="159"/>
        <v>0</v>
      </c>
      <c r="Y980" s="48">
        <f t="shared" si="160"/>
        <v>0</v>
      </c>
      <c r="Z980" s="48">
        <f t="shared" si="161"/>
        <v>0</v>
      </c>
      <c r="AA980" s="48"/>
      <c r="AB980" s="48">
        <v>79999105</v>
      </c>
      <c r="AC980" s="49">
        <f t="shared" si="162"/>
        <v>79999105</v>
      </c>
      <c r="AD980" s="50">
        <v>0</v>
      </c>
      <c r="AE980" s="47">
        <v>40120</v>
      </c>
      <c r="AF980" s="51" t="s">
        <v>1016</v>
      </c>
      <c r="AG980" s="52" t="s">
        <v>565</v>
      </c>
      <c r="AH980" s="53" t="s">
        <v>39</v>
      </c>
      <c r="AI980" s="79"/>
      <c r="AJ980" s="80"/>
      <c r="AK980" s="81"/>
      <c r="AL980" s="80"/>
      <c r="AM980" s="80"/>
      <c r="AN980" s="80"/>
      <c r="AO980" s="80"/>
      <c r="AP980" s="80"/>
      <c r="AQ980" s="80"/>
      <c r="AR980" s="80"/>
      <c r="AS980" s="80"/>
      <c r="AT980" s="80"/>
      <c r="AU980" s="80"/>
      <c r="AV980" s="80"/>
      <c r="AW980" s="80"/>
      <c r="AX980" s="80"/>
      <c r="AY980" s="80"/>
      <c r="AZ980" s="80"/>
      <c r="BA980" s="80"/>
      <c r="BB980" s="80"/>
      <c r="BC980" s="80"/>
      <c r="BD980" s="80"/>
      <c r="BE980" s="80"/>
      <c r="BF980" s="80"/>
      <c r="BG980" s="80"/>
      <c r="BH980" s="80"/>
      <c r="BI980" s="80"/>
      <c r="BJ980" s="80"/>
      <c r="BK980" s="80"/>
      <c r="BL980" s="80"/>
      <c r="BM980" s="80"/>
      <c r="BN980" s="80"/>
      <c r="BO980" s="80"/>
      <c r="BP980" s="80"/>
      <c r="BQ980" s="80"/>
      <c r="BR980" s="80"/>
      <c r="BS980" s="80"/>
      <c r="BT980" s="80"/>
      <c r="BU980" s="80"/>
      <c r="BV980" s="80"/>
      <c r="BW980" s="80"/>
      <c r="BX980" s="80"/>
      <c r="BY980" s="80"/>
      <c r="BZ980" s="80"/>
      <c r="CA980" s="80"/>
      <c r="CB980" s="80"/>
      <c r="CC980" s="80"/>
      <c r="CD980" s="80"/>
      <c r="CE980" s="80"/>
      <c r="CF980" s="80"/>
      <c r="CG980" s="80"/>
      <c r="CH980" s="80"/>
      <c r="CI980" s="80"/>
      <c r="CJ980" s="80"/>
      <c r="CK980" s="82"/>
      <c r="CL980" s="12"/>
      <c r="CM980" s="82"/>
      <c r="CN980" s="12"/>
      <c r="CO980" s="82"/>
      <c r="CP980" s="12"/>
      <c r="CQ980" s="83">
        <f t="shared" si="163"/>
        <v>0</v>
      </c>
      <c r="CR980" s="84"/>
      <c r="CS980" s="13"/>
      <c r="CT980" s="85"/>
      <c r="CU980" s="86"/>
      <c r="CV980" s="11"/>
      <c r="CW980" s="86"/>
      <c r="CX980" s="84"/>
      <c r="CY980" s="86"/>
    </row>
    <row r="981" spans="1:103" ht="38.25" x14ac:dyDescent="0.2">
      <c r="A981" s="43">
        <v>40120</v>
      </c>
      <c r="B981" s="44" t="s">
        <v>600</v>
      </c>
      <c r="C981" s="44" t="s">
        <v>241</v>
      </c>
      <c r="D981" s="45" t="s">
        <v>1118</v>
      </c>
      <c r="E981" s="11"/>
      <c r="F981" s="12"/>
      <c r="G981" s="12"/>
      <c r="H981" s="12"/>
      <c r="I981" s="12"/>
      <c r="J981" s="12"/>
      <c r="K981" s="12"/>
      <c r="L981" s="12"/>
      <c r="M981" s="12"/>
      <c r="N981" s="12"/>
      <c r="O981" s="12"/>
      <c r="P981" s="12"/>
      <c r="Q981" s="12"/>
      <c r="R981" s="12"/>
      <c r="S981" s="12"/>
      <c r="T981" s="13"/>
      <c r="U981" s="46"/>
      <c r="V981" s="47"/>
      <c r="W981" s="48">
        <f t="shared" si="158"/>
        <v>0</v>
      </c>
      <c r="X981" s="48">
        <f t="shared" si="159"/>
        <v>0</v>
      </c>
      <c r="Y981" s="48">
        <f t="shared" si="160"/>
        <v>0</v>
      </c>
      <c r="Z981" s="48">
        <f t="shared" si="161"/>
        <v>0</v>
      </c>
      <c r="AA981" s="48"/>
      <c r="AB981" s="48"/>
      <c r="AC981" s="49">
        <f t="shared" si="162"/>
        <v>0</v>
      </c>
      <c r="AD981" s="50">
        <v>0</v>
      </c>
      <c r="AE981" s="47">
        <v>40120</v>
      </c>
      <c r="AF981" s="51" t="s">
        <v>516</v>
      </c>
      <c r="AG981" s="52" t="s">
        <v>517</v>
      </c>
      <c r="AH981" s="53" t="s">
        <v>206</v>
      </c>
      <c r="AI981" s="79"/>
      <c r="AJ981" s="80"/>
      <c r="AK981" s="81"/>
      <c r="AL981" s="80"/>
      <c r="AM981" s="80"/>
      <c r="AN981" s="80"/>
      <c r="AO981" s="80"/>
      <c r="AP981" s="80"/>
      <c r="AQ981" s="80"/>
      <c r="AR981" s="80"/>
      <c r="AS981" s="80"/>
      <c r="AT981" s="80"/>
      <c r="AU981" s="80"/>
      <c r="AV981" s="80"/>
      <c r="AW981" s="80"/>
      <c r="AX981" s="80"/>
      <c r="AY981" s="80"/>
      <c r="AZ981" s="80"/>
      <c r="BA981" s="80"/>
      <c r="BB981" s="80"/>
      <c r="BC981" s="80"/>
      <c r="BD981" s="80"/>
      <c r="BE981" s="80"/>
      <c r="BF981" s="80"/>
      <c r="BG981" s="80"/>
      <c r="BH981" s="80"/>
      <c r="BI981" s="80"/>
      <c r="BJ981" s="80"/>
      <c r="BK981" s="80"/>
      <c r="BL981" s="80"/>
      <c r="BM981" s="80"/>
      <c r="BN981" s="80"/>
      <c r="BO981" s="80"/>
      <c r="BP981" s="80"/>
      <c r="BQ981" s="80"/>
      <c r="BR981" s="80"/>
      <c r="BS981" s="80"/>
      <c r="BT981" s="80"/>
      <c r="BU981" s="80"/>
      <c r="BV981" s="80"/>
      <c r="BW981" s="80"/>
      <c r="BX981" s="80"/>
      <c r="BY981" s="80"/>
      <c r="BZ981" s="80"/>
      <c r="CA981" s="80"/>
      <c r="CB981" s="80"/>
      <c r="CC981" s="80"/>
      <c r="CD981" s="80"/>
      <c r="CE981" s="80"/>
      <c r="CF981" s="80"/>
      <c r="CG981" s="80"/>
      <c r="CH981" s="80"/>
      <c r="CI981" s="80"/>
      <c r="CJ981" s="80"/>
      <c r="CK981" s="82"/>
      <c r="CL981" s="12"/>
      <c r="CM981" s="82"/>
      <c r="CN981" s="12"/>
      <c r="CO981" s="82"/>
      <c r="CP981" s="12"/>
      <c r="CQ981" s="83">
        <f t="shared" si="163"/>
        <v>0</v>
      </c>
      <c r="CR981" s="84"/>
      <c r="CS981" s="13"/>
      <c r="CT981" s="85"/>
      <c r="CU981" s="86"/>
      <c r="CV981" s="11"/>
      <c r="CW981" s="86"/>
      <c r="CX981" s="84"/>
      <c r="CY981" s="86"/>
    </row>
    <row r="982" spans="1:103" ht="25.5" x14ac:dyDescent="0.2">
      <c r="A982" s="43">
        <v>40120</v>
      </c>
      <c r="B982" s="44" t="s">
        <v>1091</v>
      </c>
      <c r="C982" s="44" t="s">
        <v>80</v>
      </c>
      <c r="D982" s="45" t="s">
        <v>1117</v>
      </c>
      <c r="E982" s="11"/>
      <c r="F982" s="12"/>
      <c r="G982" s="12"/>
      <c r="H982" s="12">
        <v>42</v>
      </c>
      <c r="I982" s="12">
        <v>14</v>
      </c>
      <c r="J982" s="12"/>
      <c r="K982" s="12">
        <v>14</v>
      </c>
      <c r="L982" s="12"/>
      <c r="M982" s="12"/>
      <c r="N982" s="12"/>
      <c r="O982" s="12"/>
      <c r="P982" s="12"/>
      <c r="Q982" s="12"/>
      <c r="R982" s="12"/>
      <c r="S982" s="12"/>
      <c r="T982" s="13"/>
      <c r="U982" s="46"/>
      <c r="V982" s="47"/>
      <c r="W982" s="48">
        <f t="shared" si="158"/>
        <v>0</v>
      </c>
      <c r="X982" s="48">
        <f t="shared" si="159"/>
        <v>0</v>
      </c>
      <c r="Y982" s="48">
        <f t="shared" si="160"/>
        <v>0</v>
      </c>
      <c r="Z982" s="48">
        <f t="shared" si="161"/>
        <v>0</v>
      </c>
      <c r="AA982" s="48"/>
      <c r="AB982" s="48"/>
      <c r="AC982" s="49">
        <f t="shared" si="162"/>
        <v>0</v>
      </c>
      <c r="AD982" s="50">
        <v>0</v>
      </c>
      <c r="AE982" s="47">
        <v>40122</v>
      </c>
      <c r="AF982" s="51" t="s">
        <v>516</v>
      </c>
      <c r="AG982" s="52" t="s">
        <v>517</v>
      </c>
      <c r="AH982" s="53" t="s">
        <v>1374</v>
      </c>
      <c r="AI982" s="79"/>
      <c r="AJ982" s="80"/>
      <c r="AK982" s="81"/>
      <c r="AL982" s="80"/>
      <c r="AM982" s="80"/>
      <c r="AN982" s="80"/>
      <c r="AO982" s="80"/>
      <c r="AP982" s="80"/>
      <c r="AQ982" s="80"/>
      <c r="AR982" s="80"/>
      <c r="AS982" s="80"/>
      <c r="AT982" s="80"/>
      <c r="AU982" s="80"/>
      <c r="AV982" s="80"/>
      <c r="AW982" s="80"/>
      <c r="AX982" s="80"/>
      <c r="AY982" s="80"/>
      <c r="AZ982" s="80"/>
      <c r="BA982" s="80"/>
      <c r="BB982" s="80"/>
      <c r="BC982" s="80"/>
      <c r="BD982" s="80"/>
      <c r="BE982" s="80"/>
      <c r="BF982" s="80"/>
      <c r="BG982" s="80"/>
      <c r="BH982" s="80"/>
      <c r="BI982" s="80"/>
      <c r="BJ982" s="80"/>
      <c r="BK982" s="80"/>
      <c r="BL982" s="80"/>
      <c r="BM982" s="80"/>
      <c r="BN982" s="80"/>
      <c r="BO982" s="80"/>
      <c r="BP982" s="80"/>
      <c r="BQ982" s="80"/>
      <c r="BR982" s="80"/>
      <c r="BS982" s="80"/>
      <c r="BT982" s="80"/>
      <c r="BU982" s="80"/>
      <c r="BV982" s="80"/>
      <c r="BW982" s="80"/>
      <c r="BX982" s="80"/>
      <c r="BY982" s="80"/>
      <c r="BZ982" s="80"/>
      <c r="CA982" s="80"/>
      <c r="CB982" s="80"/>
      <c r="CC982" s="80"/>
      <c r="CD982" s="80"/>
      <c r="CE982" s="80"/>
      <c r="CF982" s="80"/>
      <c r="CG982" s="80"/>
      <c r="CH982" s="80"/>
      <c r="CI982" s="80"/>
      <c r="CJ982" s="80"/>
      <c r="CK982" s="82"/>
      <c r="CL982" s="12"/>
      <c r="CM982" s="82"/>
      <c r="CN982" s="12"/>
      <c r="CO982" s="82"/>
      <c r="CP982" s="12"/>
      <c r="CQ982" s="83">
        <f t="shared" si="163"/>
        <v>0</v>
      </c>
      <c r="CR982" s="84"/>
      <c r="CS982" s="13"/>
      <c r="CT982" s="85"/>
      <c r="CU982" s="86"/>
      <c r="CV982" s="11"/>
      <c r="CW982" s="86"/>
      <c r="CX982" s="84"/>
      <c r="CY982" s="86"/>
    </row>
    <row r="983" spans="1:103" ht="76.5" x14ac:dyDescent="0.2">
      <c r="A983" s="43">
        <v>40120</v>
      </c>
      <c r="B983" s="44" t="s">
        <v>600</v>
      </c>
      <c r="C983" s="44" t="s">
        <v>104</v>
      </c>
      <c r="D983" s="45" t="s">
        <v>134</v>
      </c>
      <c r="E983" s="11"/>
      <c r="F983" s="12"/>
      <c r="G983" s="12"/>
      <c r="H983" s="12">
        <f>32*5</f>
        <v>160</v>
      </c>
      <c r="I983" s="12">
        <v>32</v>
      </c>
      <c r="J983" s="12"/>
      <c r="K983" s="12">
        <v>32</v>
      </c>
      <c r="L983" s="12"/>
      <c r="M983" s="12">
        <v>1</v>
      </c>
      <c r="N983" s="12"/>
      <c r="O983" s="12">
        <v>2</v>
      </c>
      <c r="P983" s="12"/>
      <c r="Q983" s="12"/>
      <c r="R983" s="12"/>
      <c r="S983" s="12"/>
      <c r="T983" s="13">
        <v>63</v>
      </c>
      <c r="U983" s="46" t="s">
        <v>987</v>
      </c>
      <c r="V983" s="47">
        <v>40166</v>
      </c>
      <c r="W983" s="48">
        <f t="shared" si="158"/>
        <v>0</v>
      </c>
      <c r="X983" s="48">
        <f t="shared" si="159"/>
        <v>0</v>
      </c>
      <c r="Y983" s="48">
        <f t="shared" si="160"/>
        <v>0</v>
      </c>
      <c r="Z983" s="48">
        <f t="shared" si="161"/>
        <v>0</v>
      </c>
      <c r="AA983" s="48"/>
      <c r="AB983" s="48">
        <v>79994801</v>
      </c>
      <c r="AC983" s="49">
        <f t="shared" si="162"/>
        <v>79994801</v>
      </c>
      <c r="AD983" s="50">
        <v>0</v>
      </c>
      <c r="AE983" s="47">
        <v>40123</v>
      </c>
      <c r="AF983" s="51" t="s">
        <v>1016</v>
      </c>
      <c r="AG983" s="52" t="s">
        <v>565</v>
      </c>
      <c r="AH983" s="53" t="s">
        <v>40</v>
      </c>
      <c r="AI983" s="79"/>
      <c r="AJ983" s="80"/>
      <c r="AK983" s="81"/>
      <c r="AL983" s="80"/>
      <c r="AM983" s="80"/>
      <c r="AN983" s="80"/>
      <c r="AO983" s="80"/>
      <c r="AP983" s="80"/>
      <c r="AQ983" s="80"/>
      <c r="AR983" s="80"/>
      <c r="AS983" s="80"/>
      <c r="AT983" s="80"/>
      <c r="AU983" s="80"/>
      <c r="AV983" s="80"/>
      <c r="AW983" s="80"/>
      <c r="AX983" s="80"/>
      <c r="AY983" s="80"/>
      <c r="AZ983" s="80"/>
      <c r="BA983" s="80"/>
      <c r="BB983" s="80"/>
      <c r="BC983" s="80"/>
      <c r="BD983" s="80"/>
      <c r="BE983" s="80"/>
      <c r="BF983" s="80"/>
      <c r="BG983" s="80"/>
      <c r="BH983" s="80"/>
      <c r="BI983" s="80"/>
      <c r="BJ983" s="80"/>
      <c r="BK983" s="80"/>
      <c r="BL983" s="80"/>
      <c r="BM983" s="80"/>
      <c r="BN983" s="80"/>
      <c r="BO983" s="80"/>
      <c r="BP983" s="80"/>
      <c r="BQ983" s="80"/>
      <c r="BR983" s="80"/>
      <c r="BS983" s="80"/>
      <c r="BT983" s="80"/>
      <c r="BU983" s="80"/>
      <c r="BV983" s="80"/>
      <c r="BW983" s="80"/>
      <c r="BX983" s="80"/>
      <c r="BY983" s="80"/>
      <c r="BZ983" s="80"/>
      <c r="CA983" s="80"/>
      <c r="CB983" s="80"/>
      <c r="CC983" s="80"/>
      <c r="CD983" s="80"/>
      <c r="CE983" s="80"/>
      <c r="CF983" s="80"/>
      <c r="CG983" s="80"/>
      <c r="CH983" s="80"/>
      <c r="CI983" s="80"/>
      <c r="CJ983" s="80"/>
      <c r="CK983" s="82"/>
      <c r="CL983" s="12"/>
      <c r="CM983" s="82"/>
      <c r="CN983" s="12"/>
      <c r="CO983" s="82"/>
      <c r="CP983" s="12"/>
      <c r="CQ983" s="83">
        <f t="shared" si="163"/>
        <v>0</v>
      </c>
      <c r="CR983" s="84"/>
      <c r="CS983" s="13"/>
      <c r="CT983" s="85"/>
      <c r="CU983" s="86"/>
      <c r="CV983" s="11"/>
      <c r="CW983" s="86"/>
      <c r="CX983" s="84"/>
      <c r="CY983" s="86"/>
    </row>
    <row r="984" spans="1:103" ht="25.5" x14ac:dyDescent="0.2">
      <c r="A984" s="43">
        <v>40120</v>
      </c>
      <c r="B984" s="44" t="s">
        <v>600</v>
      </c>
      <c r="C984" s="44" t="s">
        <v>1454</v>
      </c>
      <c r="D984" s="45" t="s">
        <v>134</v>
      </c>
      <c r="E984" s="11"/>
      <c r="F984" s="12"/>
      <c r="G984" s="12"/>
      <c r="H984" s="12"/>
      <c r="I984" s="12"/>
      <c r="J984" s="12"/>
      <c r="K984" s="12"/>
      <c r="L984" s="12"/>
      <c r="M984" s="12"/>
      <c r="N984" s="12"/>
      <c r="O984" s="12"/>
      <c r="P984" s="12"/>
      <c r="Q984" s="12"/>
      <c r="R984" s="12"/>
      <c r="S984" s="12"/>
      <c r="T984" s="13"/>
      <c r="U984" s="46"/>
      <c r="V984" s="47">
        <v>40165</v>
      </c>
      <c r="W984" s="48">
        <f t="shared" ref="W984:W993" si="164">CQ984</f>
        <v>49200000</v>
      </c>
      <c r="X984" s="48">
        <f t="shared" ref="X984:X993" si="165">CU984</f>
        <v>42500000</v>
      </c>
      <c r="Y984" s="48">
        <f t="shared" ref="Y984:Y993" si="166">CW984+CY984</f>
        <v>10000000</v>
      </c>
      <c r="Z984" s="48">
        <f t="shared" ref="Z984:Z993" si="167">CS984</f>
        <v>0</v>
      </c>
      <c r="AA984" s="48"/>
      <c r="AB984" s="48"/>
      <c r="AC984" s="49">
        <f t="shared" ref="AC984:AC993" si="168">W984+X984+Y984+Z984+AA984+AB984</f>
        <v>101700000</v>
      </c>
      <c r="AD984" s="50">
        <v>0</v>
      </c>
      <c r="AE984" s="47">
        <v>40126</v>
      </c>
      <c r="AF984" s="51" t="s">
        <v>1016</v>
      </c>
      <c r="AG984" s="52" t="s">
        <v>565</v>
      </c>
      <c r="AH984" s="53" t="s">
        <v>988</v>
      </c>
      <c r="AI984" s="79"/>
      <c r="AJ984" s="80"/>
      <c r="AK984" s="81"/>
      <c r="AL984" s="80"/>
      <c r="AM984" s="80"/>
      <c r="AN984" s="80"/>
      <c r="AO984" s="80"/>
      <c r="AP984" s="80"/>
      <c r="AQ984" s="80"/>
      <c r="AR984" s="80"/>
      <c r="AS984" s="80">
        <v>250</v>
      </c>
      <c r="AT984" s="80">
        <f>250*22000</f>
        <v>5500000</v>
      </c>
      <c r="AU984" s="80">
        <v>250</v>
      </c>
      <c r="AV984" s="80">
        <f>250*56000</f>
        <v>14000000</v>
      </c>
      <c r="AW984" s="80"/>
      <c r="AX984" s="80"/>
      <c r="AY984" s="80"/>
      <c r="AZ984" s="80"/>
      <c r="BA984" s="80"/>
      <c r="BB984" s="80"/>
      <c r="BC984" s="80"/>
      <c r="BD984" s="80"/>
      <c r="BE984" s="80"/>
      <c r="BF984" s="80"/>
      <c r="BG984" s="80"/>
      <c r="BH984" s="80"/>
      <c r="BI984" s="80"/>
      <c r="BJ984" s="80"/>
      <c r="BK984" s="80"/>
      <c r="BL984" s="80"/>
      <c r="BM984" s="80"/>
      <c r="BN984" s="80"/>
      <c r="BO984" s="80"/>
      <c r="BP984" s="80"/>
      <c r="BQ984" s="80"/>
      <c r="BR984" s="80"/>
      <c r="BS984" s="80"/>
      <c r="BT984" s="80"/>
      <c r="BU984" s="80">
        <v>10</v>
      </c>
      <c r="BV984" s="80">
        <f>10*530000</f>
        <v>5300000</v>
      </c>
      <c r="BW984" s="80"/>
      <c r="BX984" s="80"/>
      <c r="BY984" s="80"/>
      <c r="BZ984" s="80"/>
      <c r="CA984" s="80"/>
      <c r="CB984" s="80"/>
      <c r="CC984" s="80"/>
      <c r="CD984" s="80"/>
      <c r="CE984" s="80">
        <v>250</v>
      </c>
      <c r="CF984" s="80">
        <f>250*23000</f>
        <v>5750000</v>
      </c>
      <c r="CG984" s="80"/>
      <c r="CH984" s="80"/>
      <c r="CI984" s="80"/>
      <c r="CJ984" s="80"/>
      <c r="CK984" s="82">
        <v>500</v>
      </c>
      <c r="CL984" s="12">
        <f>500*37300</f>
        <v>18650000</v>
      </c>
      <c r="CM984" s="82"/>
      <c r="CN984" s="12"/>
      <c r="CO984" s="82"/>
      <c r="CP984" s="12"/>
      <c r="CQ984" s="83">
        <f t="shared" ref="CQ984:CQ993" si="169">AJ984+AL984+AN984+AP984+AR984+AT984+AV984+AX984+AZ984+BB984+BD984+BF984+BH984+BJ984+BL984+BN984+BP984+BR984+BT984+BV984+BX984+BZ984+CB984+CD984+CF984+CH984+CJ984+CL984+CN984+CP984</f>
        <v>49200000</v>
      </c>
      <c r="CR984" s="84"/>
      <c r="CS984" s="13"/>
      <c r="CT984" s="85">
        <v>500</v>
      </c>
      <c r="CU984" s="86">
        <f>500*85000</f>
        <v>42500000</v>
      </c>
      <c r="CV984" s="11"/>
      <c r="CW984" s="86"/>
      <c r="CX984" s="84">
        <v>500</v>
      </c>
      <c r="CY984" s="86">
        <f>500*20000</f>
        <v>10000000</v>
      </c>
    </row>
    <row r="985" spans="1:103" ht="63.75" x14ac:dyDescent="0.2">
      <c r="A985" s="43">
        <v>40120</v>
      </c>
      <c r="B985" s="44" t="s">
        <v>1453</v>
      </c>
      <c r="C985" s="44" t="s">
        <v>476</v>
      </c>
      <c r="D985" s="45" t="s">
        <v>1118</v>
      </c>
      <c r="E985" s="11"/>
      <c r="F985" s="12"/>
      <c r="G985" s="12"/>
      <c r="H985" s="12"/>
      <c r="I985" s="12"/>
      <c r="J985" s="12"/>
      <c r="K985" s="12"/>
      <c r="L985" s="12">
        <v>1</v>
      </c>
      <c r="M985" s="12"/>
      <c r="N985" s="12"/>
      <c r="O985" s="12"/>
      <c r="P985" s="12"/>
      <c r="Q985" s="12"/>
      <c r="R985" s="12"/>
      <c r="S985" s="12"/>
      <c r="T985" s="13"/>
      <c r="U985" s="46"/>
      <c r="V985" s="47">
        <v>40178</v>
      </c>
      <c r="W985" s="48">
        <f t="shared" si="164"/>
        <v>11200000</v>
      </c>
      <c r="X985" s="48">
        <f t="shared" si="165"/>
        <v>25500000</v>
      </c>
      <c r="Y985" s="48">
        <f t="shared" si="166"/>
        <v>7146000</v>
      </c>
      <c r="Z985" s="48">
        <f t="shared" si="167"/>
        <v>0</v>
      </c>
      <c r="AA985" s="48"/>
      <c r="AB985" s="48">
        <v>200000000</v>
      </c>
      <c r="AC985" s="49">
        <f t="shared" si="168"/>
        <v>243846000</v>
      </c>
      <c r="AD985" s="50">
        <v>0</v>
      </c>
      <c r="AE985" s="47">
        <v>40129</v>
      </c>
      <c r="AF985" s="51" t="s">
        <v>1016</v>
      </c>
      <c r="AG985" s="52" t="s">
        <v>565</v>
      </c>
      <c r="AH985" s="54" t="s">
        <v>679</v>
      </c>
      <c r="AI985" s="79"/>
      <c r="AJ985" s="80"/>
      <c r="AK985" s="81"/>
      <c r="AL985" s="80"/>
      <c r="AM985" s="80"/>
      <c r="AN985" s="80"/>
      <c r="AO985" s="80"/>
      <c r="AP985" s="80"/>
      <c r="AQ985" s="80"/>
      <c r="AR985" s="80"/>
      <c r="AS985" s="80"/>
      <c r="AT985" s="80"/>
      <c r="AU985" s="80">
        <v>200</v>
      </c>
      <c r="AV985" s="80">
        <f>200*56000</f>
        <v>11200000</v>
      </c>
      <c r="AW985" s="80"/>
      <c r="AX985" s="80"/>
      <c r="AY985" s="80"/>
      <c r="AZ985" s="80"/>
      <c r="BA985" s="80"/>
      <c r="BB985" s="80"/>
      <c r="BC985" s="80"/>
      <c r="BD985" s="80"/>
      <c r="BE985" s="80"/>
      <c r="BF985" s="80"/>
      <c r="BG985" s="80"/>
      <c r="BH985" s="80"/>
      <c r="BI985" s="80"/>
      <c r="BJ985" s="80"/>
      <c r="BK985" s="80"/>
      <c r="BL985" s="80"/>
      <c r="BM985" s="80"/>
      <c r="BN985" s="80"/>
      <c r="BO985" s="80"/>
      <c r="BP985" s="80"/>
      <c r="BQ985" s="80"/>
      <c r="BR985" s="80"/>
      <c r="BS985" s="80"/>
      <c r="BT985" s="80"/>
      <c r="BU985" s="80"/>
      <c r="BV985" s="80"/>
      <c r="BW985" s="80"/>
      <c r="BX985" s="80"/>
      <c r="BY985" s="80"/>
      <c r="BZ985" s="80"/>
      <c r="CA985" s="80"/>
      <c r="CB985" s="80"/>
      <c r="CC985" s="80"/>
      <c r="CD985" s="80"/>
      <c r="CE985" s="80"/>
      <c r="CF985" s="80"/>
      <c r="CG985" s="80"/>
      <c r="CH985" s="80"/>
      <c r="CI985" s="80"/>
      <c r="CJ985" s="80"/>
      <c r="CK985" s="82"/>
      <c r="CL985" s="12"/>
      <c r="CM985" s="82"/>
      <c r="CN985" s="12"/>
      <c r="CO985" s="82"/>
      <c r="CP985" s="12"/>
      <c r="CQ985" s="83">
        <f t="shared" si="169"/>
        <v>11200000</v>
      </c>
      <c r="CR985" s="84"/>
      <c r="CS985" s="13"/>
      <c r="CT985" s="85">
        <v>300</v>
      </c>
      <c r="CU985" s="86">
        <f>300*85000</f>
        <v>25500000</v>
      </c>
      <c r="CV985" s="11"/>
      <c r="CW985" s="86"/>
      <c r="CX985" s="84">
        <v>300</v>
      </c>
      <c r="CY985" s="86">
        <f>300*22500+1800*220</f>
        <v>7146000</v>
      </c>
    </row>
    <row r="986" spans="1:103" ht="38.25" x14ac:dyDescent="0.2">
      <c r="A986" s="43">
        <v>40121</v>
      </c>
      <c r="B986" s="44" t="s">
        <v>1091</v>
      </c>
      <c r="C986" s="44" t="s">
        <v>88</v>
      </c>
      <c r="D986" s="45" t="s">
        <v>1118</v>
      </c>
      <c r="E986" s="11"/>
      <c r="F986" s="12"/>
      <c r="G986" s="12"/>
      <c r="H986" s="12"/>
      <c r="I986" s="12"/>
      <c r="J986" s="12"/>
      <c r="K986" s="12"/>
      <c r="L986" s="12"/>
      <c r="M986" s="12"/>
      <c r="N986" s="12"/>
      <c r="O986" s="12">
        <v>1</v>
      </c>
      <c r="P986" s="12"/>
      <c r="Q986" s="12"/>
      <c r="R986" s="12"/>
      <c r="S986" s="12"/>
      <c r="T986" s="13"/>
      <c r="U986" s="46"/>
      <c r="V986" s="47"/>
      <c r="W986" s="48">
        <f t="shared" si="164"/>
        <v>0</v>
      </c>
      <c r="X986" s="48">
        <f t="shared" si="165"/>
        <v>0</v>
      </c>
      <c r="Y986" s="48">
        <f t="shared" si="166"/>
        <v>0</v>
      </c>
      <c r="Z986" s="48">
        <f t="shared" si="167"/>
        <v>0</v>
      </c>
      <c r="AA986" s="48"/>
      <c r="AB986" s="48"/>
      <c r="AC986" s="49">
        <f t="shared" si="168"/>
        <v>0</v>
      </c>
      <c r="AD986" s="50">
        <v>0</v>
      </c>
      <c r="AE986" s="47">
        <v>40122</v>
      </c>
      <c r="AF986" s="51" t="s">
        <v>516</v>
      </c>
      <c r="AG986" s="52" t="s">
        <v>517</v>
      </c>
      <c r="AH986" s="53" t="s">
        <v>89</v>
      </c>
      <c r="AI986" s="79"/>
      <c r="AJ986" s="80"/>
      <c r="AK986" s="81"/>
      <c r="AL986" s="80"/>
      <c r="AM986" s="80"/>
      <c r="AN986" s="80"/>
      <c r="AO986" s="80"/>
      <c r="AP986" s="80"/>
      <c r="AQ986" s="80"/>
      <c r="AR986" s="80"/>
      <c r="AS986" s="80"/>
      <c r="AT986" s="80"/>
      <c r="AU986" s="80"/>
      <c r="AV986" s="80"/>
      <c r="AW986" s="80"/>
      <c r="AX986" s="80"/>
      <c r="AY986" s="80"/>
      <c r="AZ986" s="80"/>
      <c r="BA986" s="80"/>
      <c r="BB986" s="80"/>
      <c r="BC986" s="80"/>
      <c r="BD986" s="80"/>
      <c r="BE986" s="80"/>
      <c r="BF986" s="80"/>
      <c r="BG986" s="80"/>
      <c r="BH986" s="80"/>
      <c r="BI986" s="80"/>
      <c r="BJ986" s="80"/>
      <c r="BK986" s="80"/>
      <c r="BL986" s="80"/>
      <c r="BM986" s="80"/>
      <c r="BN986" s="80"/>
      <c r="BO986" s="80"/>
      <c r="BP986" s="80"/>
      <c r="BQ986" s="80"/>
      <c r="BR986" s="80"/>
      <c r="BS986" s="80"/>
      <c r="BT986" s="80"/>
      <c r="BU986" s="80"/>
      <c r="BV986" s="80"/>
      <c r="BW986" s="80"/>
      <c r="BX986" s="80"/>
      <c r="BY986" s="80"/>
      <c r="BZ986" s="80"/>
      <c r="CA986" s="80"/>
      <c r="CB986" s="80"/>
      <c r="CC986" s="80"/>
      <c r="CD986" s="80"/>
      <c r="CE986" s="80"/>
      <c r="CF986" s="80"/>
      <c r="CG986" s="80"/>
      <c r="CH986" s="80"/>
      <c r="CI986" s="80"/>
      <c r="CJ986" s="80"/>
      <c r="CK986" s="82"/>
      <c r="CL986" s="12"/>
      <c r="CM986" s="82"/>
      <c r="CN986" s="12"/>
      <c r="CO986" s="82"/>
      <c r="CP986" s="12"/>
      <c r="CQ986" s="83">
        <f t="shared" si="169"/>
        <v>0</v>
      </c>
      <c r="CR986" s="84"/>
      <c r="CS986" s="13"/>
      <c r="CT986" s="85"/>
      <c r="CU986" s="86"/>
      <c r="CV986" s="11"/>
      <c r="CW986" s="86"/>
      <c r="CX986" s="84"/>
      <c r="CY986" s="86"/>
    </row>
    <row r="987" spans="1:103" ht="38.25" x14ac:dyDescent="0.2">
      <c r="A987" s="43">
        <v>40121</v>
      </c>
      <c r="B987" s="44" t="s">
        <v>600</v>
      </c>
      <c r="C987" s="44" t="s">
        <v>241</v>
      </c>
      <c r="D987" s="45" t="s">
        <v>1070</v>
      </c>
      <c r="E987" s="11"/>
      <c r="F987" s="12">
        <v>2</v>
      </c>
      <c r="G987" s="12"/>
      <c r="H987" s="12">
        <v>5</v>
      </c>
      <c r="I987" s="12">
        <v>5</v>
      </c>
      <c r="J987" s="12"/>
      <c r="K987" s="12">
        <v>1</v>
      </c>
      <c r="L987" s="12"/>
      <c r="M987" s="12"/>
      <c r="N987" s="12"/>
      <c r="O987" s="12"/>
      <c r="P987" s="12"/>
      <c r="Q987" s="12"/>
      <c r="R987" s="12"/>
      <c r="S987" s="12"/>
      <c r="T987" s="13"/>
      <c r="U987" s="46"/>
      <c r="V987" s="47"/>
      <c r="W987" s="48">
        <f t="shared" si="164"/>
        <v>0</v>
      </c>
      <c r="X987" s="48">
        <f t="shared" si="165"/>
        <v>0</v>
      </c>
      <c r="Y987" s="48">
        <f t="shared" si="166"/>
        <v>0</v>
      </c>
      <c r="Z987" s="48">
        <f t="shared" si="167"/>
        <v>0</v>
      </c>
      <c r="AA987" s="48"/>
      <c r="AB987" s="48"/>
      <c r="AC987" s="49">
        <f t="shared" si="168"/>
        <v>0</v>
      </c>
      <c r="AD987" s="50">
        <v>0</v>
      </c>
      <c r="AE987" s="47">
        <v>40122</v>
      </c>
      <c r="AF987" s="51" t="s">
        <v>516</v>
      </c>
      <c r="AG987" s="52" t="s">
        <v>517</v>
      </c>
      <c r="AH987" s="53" t="s">
        <v>90</v>
      </c>
      <c r="AI987" s="79"/>
      <c r="AJ987" s="80"/>
      <c r="AK987" s="81"/>
      <c r="AL987" s="80"/>
      <c r="AM987" s="80"/>
      <c r="AN987" s="80"/>
      <c r="AO987" s="80"/>
      <c r="AP987" s="80"/>
      <c r="AQ987" s="80"/>
      <c r="AR987" s="80"/>
      <c r="AS987" s="80"/>
      <c r="AT987" s="80"/>
      <c r="AU987" s="80"/>
      <c r="AV987" s="80"/>
      <c r="AW987" s="80"/>
      <c r="AX987" s="80"/>
      <c r="AY987" s="80"/>
      <c r="AZ987" s="80"/>
      <c r="BA987" s="80"/>
      <c r="BB987" s="80"/>
      <c r="BC987" s="80"/>
      <c r="BD987" s="80"/>
      <c r="BE987" s="80"/>
      <c r="BF987" s="80"/>
      <c r="BG987" s="80"/>
      <c r="BH987" s="80"/>
      <c r="BI987" s="80"/>
      <c r="BJ987" s="80"/>
      <c r="BK987" s="80"/>
      <c r="BL987" s="80"/>
      <c r="BM987" s="80"/>
      <c r="BN987" s="80"/>
      <c r="BO987" s="80"/>
      <c r="BP987" s="80"/>
      <c r="BQ987" s="80"/>
      <c r="BR987" s="80"/>
      <c r="BS987" s="80"/>
      <c r="BT987" s="80"/>
      <c r="BU987" s="80"/>
      <c r="BV987" s="80"/>
      <c r="BW987" s="80"/>
      <c r="BX987" s="80"/>
      <c r="BY987" s="80"/>
      <c r="BZ987" s="80"/>
      <c r="CA987" s="80"/>
      <c r="CB987" s="80"/>
      <c r="CC987" s="80"/>
      <c r="CD987" s="80"/>
      <c r="CE987" s="80"/>
      <c r="CF987" s="80"/>
      <c r="CG987" s="80"/>
      <c r="CH987" s="80"/>
      <c r="CI987" s="80"/>
      <c r="CJ987" s="80"/>
      <c r="CK987" s="82"/>
      <c r="CL987" s="12"/>
      <c r="CM987" s="82"/>
      <c r="CN987" s="12"/>
      <c r="CO987" s="82"/>
      <c r="CP987" s="12"/>
      <c r="CQ987" s="83">
        <f t="shared" si="169"/>
        <v>0</v>
      </c>
      <c r="CR987" s="84"/>
      <c r="CS987" s="13"/>
      <c r="CT987" s="85"/>
      <c r="CU987" s="86"/>
      <c r="CV987" s="11"/>
      <c r="CW987" s="86"/>
      <c r="CX987" s="84"/>
      <c r="CY987" s="86"/>
    </row>
    <row r="988" spans="1:103" ht="25.5" x14ac:dyDescent="0.2">
      <c r="A988" s="43">
        <v>40121</v>
      </c>
      <c r="B988" s="44" t="s">
        <v>904</v>
      </c>
      <c r="C988" s="44" t="s">
        <v>216</v>
      </c>
      <c r="D988" s="45" t="s">
        <v>1092</v>
      </c>
      <c r="E988" s="11">
        <v>3</v>
      </c>
      <c r="F988" s="12"/>
      <c r="G988" s="12"/>
      <c r="H988" s="12">
        <v>5</v>
      </c>
      <c r="I988" s="12">
        <v>1</v>
      </c>
      <c r="J988" s="12">
        <v>1</v>
      </c>
      <c r="K988" s="12"/>
      <c r="L988" s="12"/>
      <c r="M988" s="12"/>
      <c r="N988" s="12"/>
      <c r="O988" s="12"/>
      <c r="P988" s="12"/>
      <c r="Q988" s="12"/>
      <c r="R988" s="12"/>
      <c r="S988" s="12"/>
      <c r="T988" s="13"/>
      <c r="U988" s="46"/>
      <c r="V988" s="47"/>
      <c r="W988" s="48">
        <f t="shared" si="164"/>
        <v>0</v>
      </c>
      <c r="X988" s="48">
        <f t="shared" si="165"/>
        <v>0</v>
      </c>
      <c r="Y988" s="48">
        <f t="shared" si="166"/>
        <v>0</v>
      </c>
      <c r="Z988" s="48">
        <f t="shared" si="167"/>
        <v>0</v>
      </c>
      <c r="AA988" s="48"/>
      <c r="AB988" s="48"/>
      <c r="AC988" s="49">
        <f t="shared" si="168"/>
        <v>0</v>
      </c>
      <c r="AD988" s="50">
        <v>0</v>
      </c>
      <c r="AE988" s="47">
        <v>40122</v>
      </c>
      <c r="AF988" s="51" t="s">
        <v>516</v>
      </c>
      <c r="AG988" s="52" t="s">
        <v>517</v>
      </c>
      <c r="AH988" s="53" t="s">
        <v>1372</v>
      </c>
      <c r="AI988" s="79"/>
      <c r="AJ988" s="80"/>
      <c r="AK988" s="81"/>
      <c r="AL988" s="80"/>
      <c r="AM988" s="80"/>
      <c r="AN988" s="80"/>
      <c r="AO988" s="80"/>
      <c r="AP988" s="80"/>
      <c r="AQ988" s="80"/>
      <c r="AR988" s="80"/>
      <c r="AS988" s="80"/>
      <c r="AT988" s="80"/>
      <c r="AU988" s="80"/>
      <c r="AV988" s="80"/>
      <c r="AW988" s="80"/>
      <c r="AX988" s="80"/>
      <c r="AY988" s="80"/>
      <c r="AZ988" s="80"/>
      <c r="BA988" s="80"/>
      <c r="BB988" s="80"/>
      <c r="BC988" s="80"/>
      <c r="BD988" s="80"/>
      <c r="BE988" s="80"/>
      <c r="BF988" s="80"/>
      <c r="BG988" s="80"/>
      <c r="BH988" s="80"/>
      <c r="BI988" s="80"/>
      <c r="BJ988" s="80"/>
      <c r="BK988" s="80"/>
      <c r="BL988" s="80"/>
      <c r="BM988" s="80"/>
      <c r="BN988" s="80"/>
      <c r="BO988" s="80"/>
      <c r="BP988" s="80"/>
      <c r="BQ988" s="80"/>
      <c r="BR988" s="80"/>
      <c r="BS988" s="80"/>
      <c r="BT988" s="80"/>
      <c r="BU988" s="80"/>
      <c r="BV988" s="80"/>
      <c r="BW988" s="80"/>
      <c r="BX988" s="80"/>
      <c r="BY988" s="80"/>
      <c r="BZ988" s="80"/>
      <c r="CA988" s="80"/>
      <c r="CB988" s="80"/>
      <c r="CC988" s="80"/>
      <c r="CD988" s="80"/>
      <c r="CE988" s="80"/>
      <c r="CF988" s="80"/>
      <c r="CG988" s="80"/>
      <c r="CH988" s="80"/>
      <c r="CI988" s="80"/>
      <c r="CJ988" s="80"/>
      <c r="CK988" s="82"/>
      <c r="CL988" s="12"/>
      <c r="CM988" s="82"/>
      <c r="CN988" s="12"/>
      <c r="CO988" s="82"/>
      <c r="CP988" s="12"/>
      <c r="CQ988" s="83">
        <f t="shared" si="169"/>
        <v>0</v>
      </c>
      <c r="CR988" s="84"/>
      <c r="CS988" s="13"/>
      <c r="CT988" s="85"/>
      <c r="CU988" s="86"/>
      <c r="CV988" s="11"/>
      <c r="CW988" s="86"/>
      <c r="CX988" s="84"/>
      <c r="CY988" s="86"/>
    </row>
    <row r="989" spans="1:103" ht="25.5" x14ac:dyDescent="0.2">
      <c r="A989" s="43">
        <v>40121</v>
      </c>
      <c r="B989" s="44" t="s">
        <v>625</v>
      </c>
      <c r="C989" s="44" t="s">
        <v>1399</v>
      </c>
      <c r="D989" s="45" t="s">
        <v>1092</v>
      </c>
      <c r="E989" s="11"/>
      <c r="F989" s="12"/>
      <c r="G989" s="12"/>
      <c r="H989" s="12">
        <v>70</v>
      </c>
      <c r="I989" s="12">
        <v>14</v>
      </c>
      <c r="J989" s="12">
        <v>5</v>
      </c>
      <c r="K989" s="12">
        <v>9</v>
      </c>
      <c r="L989" s="12">
        <v>1</v>
      </c>
      <c r="M989" s="12"/>
      <c r="N989" s="12"/>
      <c r="O989" s="12"/>
      <c r="P989" s="12"/>
      <c r="Q989" s="12"/>
      <c r="R989" s="12"/>
      <c r="S989" s="12"/>
      <c r="T989" s="13"/>
      <c r="U989" s="46"/>
      <c r="V989" s="47"/>
      <c r="W989" s="48">
        <f t="shared" si="164"/>
        <v>0</v>
      </c>
      <c r="X989" s="48">
        <f t="shared" si="165"/>
        <v>0</v>
      </c>
      <c r="Y989" s="48">
        <f t="shared" si="166"/>
        <v>0</v>
      </c>
      <c r="Z989" s="48">
        <f t="shared" si="167"/>
        <v>0</v>
      </c>
      <c r="AA989" s="48"/>
      <c r="AB989" s="48"/>
      <c r="AC989" s="49">
        <f t="shared" si="168"/>
        <v>0</v>
      </c>
      <c r="AD989" s="50">
        <v>0</v>
      </c>
      <c r="AE989" s="47">
        <v>40122</v>
      </c>
      <c r="AF989" s="51" t="s">
        <v>516</v>
      </c>
      <c r="AG989" s="52" t="s">
        <v>517</v>
      </c>
      <c r="AH989" s="53" t="s">
        <v>1373</v>
      </c>
      <c r="AI989" s="79"/>
      <c r="AJ989" s="80"/>
      <c r="AK989" s="81"/>
      <c r="AL989" s="80"/>
      <c r="AM989" s="80"/>
      <c r="AN989" s="80"/>
      <c r="AO989" s="80"/>
      <c r="AP989" s="80"/>
      <c r="AQ989" s="80"/>
      <c r="AR989" s="80"/>
      <c r="AS989" s="80"/>
      <c r="AT989" s="80"/>
      <c r="AU989" s="80"/>
      <c r="AV989" s="80"/>
      <c r="AW989" s="80"/>
      <c r="AX989" s="80"/>
      <c r="AY989" s="80"/>
      <c r="AZ989" s="80"/>
      <c r="BA989" s="80"/>
      <c r="BB989" s="80"/>
      <c r="BC989" s="80"/>
      <c r="BD989" s="80"/>
      <c r="BE989" s="80"/>
      <c r="BF989" s="80"/>
      <c r="BG989" s="80"/>
      <c r="BH989" s="80"/>
      <c r="BI989" s="80"/>
      <c r="BJ989" s="80"/>
      <c r="BK989" s="80"/>
      <c r="BL989" s="80"/>
      <c r="BM989" s="80"/>
      <c r="BN989" s="80"/>
      <c r="BO989" s="80"/>
      <c r="BP989" s="80"/>
      <c r="BQ989" s="80"/>
      <c r="BR989" s="80"/>
      <c r="BS989" s="80"/>
      <c r="BT989" s="80"/>
      <c r="BU989" s="80"/>
      <c r="BV989" s="80"/>
      <c r="BW989" s="80"/>
      <c r="BX989" s="80"/>
      <c r="BY989" s="80"/>
      <c r="BZ989" s="80"/>
      <c r="CA989" s="80"/>
      <c r="CB989" s="80"/>
      <c r="CC989" s="80"/>
      <c r="CD989" s="80"/>
      <c r="CE989" s="80"/>
      <c r="CF989" s="80"/>
      <c r="CG989" s="80"/>
      <c r="CH989" s="80"/>
      <c r="CI989" s="80"/>
      <c r="CJ989" s="80"/>
      <c r="CK989" s="82"/>
      <c r="CL989" s="12"/>
      <c r="CM989" s="82"/>
      <c r="CN989" s="12"/>
      <c r="CO989" s="82"/>
      <c r="CP989" s="12"/>
      <c r="CQ989" s="83">
        <f t="shared" si="169"/>
        <v>0</v>
      </c>
      <c r="CR989" s="84"/>
      <c r="CS989" s="13"/>
      <c r="CT989" s="85"/>
      <c r="CU989" s="86"/>
      <c r="CV989" s="11"/>
      <c r="CW989" s="86"/>
      <c r="CX989" s="84"/>
      <c r="CY989" s="86"/>
    </row>
    <row r="990" spans="1:103" ht="25.5" x14ac:dyDescent="0.2">
      <c r="A990" s="43">
        <v>40121</v>
      </c>
      <c r="B990" s="44" t="s">
        <v>632</v>
      </c>
      <c r="C990" s="44" t="s">
        <v>82</v>
      </c>
      <c r="D990" s="45" t="s">
        <v>1118</v>
      </c>
      <c r="E990" s="11"/>
      <c r="F990" s="12"/>
      <c r="G990" s="12"/>
      <c r="H990" s="12">
        <v>124</v>
      </c>
      <c r="I990" s="12">
        <v>40</v>
      </c>
      <c r="J990" s="12"/>
      <c r="K990" s="12">
        <v>31</v>
      </c>
      <c r="L990" s="12"/>
      <c r="M990" s="12"/>
      <c r="N990" s="12"/>
      <c r="O990" s="12"/>
      <c r="P990" s="12"/>
      <c r="Q990" s="12"/>
      <c r="R990" s="12"/>
      <c r="S990" s="12"/>
      <c r="T990" s="13"/>
      <c r="U990" s="46"/>
      <c r="V990" s="47"/>
      <c r="W990" s="48">
        <f t="shared" si="164"/>
        <v>0</v>
      </c>
      <c r="X990" s="48">
        <f t="shared" si="165"/>
        <v>0</v>
      </c>
      <c r="Y990" s="48">
        <f t="shared" si="166"/>
        <v>0</v>
      </c>
      <c r="Z990" s="48">
        <f t="shared" si="167"/>
        <v>0</v>
      </c>
      <c r="AA990" s="48"/>
      <c r="AB990" s="48"/>
      <c r="AC990" s="49">
        <f t="shared" si="168"/>
        <v>0</v>
      </c>
      <c r="AD990" s="50">
        <v>0</v>
      </c>
      <c r="AE990" s="47">
        <v>40123</v>
      </c>
      <c r="AF990" s="51" t="s">
        <v>516</v>
      </c>
      <c r="AG990" s="52" t="s">
        <v>517</v>
      </c>
      <c r="AH990" s="53" t="s">
        <v>1406</v>
      </c>
      <c r="AI990" s="79"/>
      <c r="AJ990" s="80"/>
      <c r="AK990" s="81"/>
      <c r="AL990" s="80"/>
      <c r="AM990" s="80"/>
      <c r="AN990" s="80"/>
      <c r="AO990" s="80"/>
      <c r="AP990" s="80"/>
      <c r="AQ990" s="80"/>
      <c r="AR990" s="80"/>
      <c r="AS990" s="80"/>
      <c r="AT990" s="80"/>
      <c r="AU990" s="80"/>
      <c r="AV990" s="80"/>
      <c r="AW990" s="80"/>
      <c r="AX990" s="80"/>
      <c r="AY990" s="80"/>
      <c r="AZ990" s="80"/>
      <c r="BA990" s="80"/>
      <c r="BB990" s="80"/>
      <c r="BC990" s="80"/>
      <c r="BD990" s="80"/>
      <c r="BE990" s="80"/>
      <c r="BF990" s="80"/>
      <c r="BG990" s="80"/>
      <c r="BH990" s="80"/>
      <c r="BI990" s="80"/>
      <c r="BJ990" s="80"/>
      <c r="BK990" s="80"/>
      <c r="BL990" s="80"/>
      <c r="BM990" s="80"/>
      <c r="BN990" s="80"/>
      <c r="BO990" s="80"/>
      <c r="BP990" s="80"/>
      <c r="BQ990" s="80"/>
      <c r="BR990" s="80"/>
      <c r="BS990" s="80"/>
      <c r="BT990" s="80"/>
      <c r="BU990" s="80"/>
      <c r="BV990" s="80"/>
      <c r="BW990" s="80"/>
      <c r="BX990" s="80"/>
      <c r="BY990" s="80"/>
      <c r="BZ990" s="80"/>
      <c r="CA990" s="80"/>
      <c r="CB990" s="80"/>
      <c r="CC990" s="80"/>
      <c r="CD990" s="80"/>
      <c r="CE990" s="80"/>
      <c r="CF990" s="80"/>
      <c r="CG990" s="80"/>
      <c r="CH990" s="80"/>
      <c r="CI990" s="80"/>
      <c r="CJ990" s="80"/>
      <c r="CK990" s="82"/>
      <c r="CL990" s="12"/>
      <c r="CM990" s="82"/>
      <c r="CN990" s="12"/>
      <c r="CO990" s="82"/>
      <c r="CP990" s="12"/>
      <c r="CQ990" s="83">
        <f t="shared" si="169"/>
        <v>0</v>
      </c>
      <c r="CR990" s="84"/>
      <c r="CS990" s="13"/>
      <c r="CT990" s="85"/>
      <c r="CU990" s="86"/>
      <c r="CV990" s="11"/>
      <c r="CW990" s="86"/>
      <c r="CX990" s="84"/>
      <c r="CY990" s="86"/>
    </row>
    <row r="991" spans="1:103" ht="102" x14ac:dyDescent="0.2">
      <c r="A991" s="43">
        <v>40121</v>
      </c>
      <c r="B991" s="44" t="s">
        <v>1046</v>
      </c>
      <c r="C991" s="44" t="s">
        <v>1046</v>
      </c>
      <c r="D991" s="45" t="s">
        <v>1117</v>
      </c>
      <c r="E991" s="11"/>
      <c r="F991" s="12"/>
      <c r="G991" s="12"/>
      <c r="H991" s="12"/>
      <c r="I991" s="12"/>
      <c r="J991" s="12"/>
      <c r="K991" s="12"/>
      <c r="L991" s="12"/>
      <c r="M991" s="12"/>
      <c r="N991" s="12"/>
      <c r="O991" s="12"/>
      <c r="P991" s="12"/>
      <c r="Q991" s="12"/>
      <c r="R991" s="12"/>
      <c r="S991" s="12"/>
      <c r="T991" s="13"/>
      <c r="U991" s="46"/>
      <c r="V991" s="47"/>
      <c r="W991" s="48">
        <f t="shared" si="164"/>
        <v>0</v>
      </c>
      <c r="X991" s="48">
        <f t="shared" si="165"/>
        <v>0</v>
      </c>
      <c r="Y991" s="48">
        <f t="shared" si="166"/>
        <v>0</v>
      </c>
      <c r="Z991" s="48">
        <f t="shared" si="167"/>
        <v>0</v>
      </c>
      <c r="AA991" s="48">
        <v>108584762</v>
      </c>
      <c r="AB991" s="48"/>
      <c r="AC991" s="49">
        <f t="shared" si="168"/>
        <v>108584762</v>
      </c>
      <c r="AD991" s="50">
        <v>0</v>
      </c>
      <c r="AE991" s="47">
        <v>40121</v>
      </c>
      <c r="AF991" s="51" t="s">
        <v>1016</v>
      </c>
      <c r="AG991" s="52" t="s">
        <v>565</v>
      </c>
      <c r="AH991" s="53" t="s">
        <v>41</v>
      </c>
      <c r="AI991" s="79"/>
      <c r="AJ991" s="80"/>
      <c r="AK991" s="81"/>
      <c r="AL991" s="80"/>
      <c r="AM991" s="80"/>
      <c r="AN991" s="80"/>
      <c r="AO991" s="80"/>
      <c r="AP991" s="80"/>
      <c r="AQ991" s="80"/>
      <c r="AR991" s="80"/>
      <c r="AS991" s="80"/>
      <c r="AT991" s="80"/>
      <c r="AU991" s="80"/>
      <c r="AV991" s="80"/>
      <c r="AW991" s="80"/>
      <c r="AX991" s="80"/>
      <c r="AY991" s="80"/>
      <c r="AZ991" s="80"/>
      <c r="BA991" s="80"/>
      <c r="BB991" s="80"/>
      <c r="BC991" s="80"/>
      <c r="BD991" s="80"/>
      <c r="BE991" s="80"/>
      <c r="BF991" s="80"/>
      <c r="BG991" s="80"/>
      <c r="BH991" s="80"/>
      <c r="BI991" s="80"/>
      <c r="BJ991" s="80"/>
      <c r="BK991" s="80"/>
      <c r="BL991" s="80"/>
      <c r="BM991" s="80"/>
      <c r="BN991" s="80"/>
      <c r="BO991" s="80"/>
      <c r="BP991" s="80"/>
      <c r="BQ991" s="80"/>
      <c r="BR991" s="80"/>
      <c r="BS991" s="80"/>
      <c r="BT991" s="80"/>
      <c r="BU991" s="80"/>
      <c r="BV991" s="80"/>
      <c r="BW991" s="80"/>
      <c r="BX991" s="80"/>
      <c r="BY991" s="80"/>
      <c r="BZ991" s="80"/>
      <c r="CA991" s="80"/>
      <c r="CB991" s="80"/>
      <c r="CC991" s="80"/>
      <c r="CD991" s="80"/>
      <c r="CE991" s="80"/>
      <c r="CF991" s="80"/>
      <c r="CG991" s="80"/>
      <c r="CH991" s="80"/>
      <c r="CI991" s="80"/>
      <c r="CJ991" s="80"/>
      <c r="CK991" s="82"/>
      <c r="CL991" s="12"/>
      <c r="CM991" s="82"/>
      <c r="CN991" s="12"/>
      <c r="CO991" s="82"/>
      <c r="CP991" s="12"/>
      <c r="CQ991" s="83">
        <f t="shared" si="169"/>
        <v>0</v>
      </c>
      <c r="CR991" s="84"/>
      <c r="CS991" s="13"/>
      <c r="CT991" s="85"/>
      <c r="CU991" s="86"/>
      <c r="CV991" s="11"/>
      <c r="CW991" s="86"/>
      <c r="CX991" s="84"/>
      <c r="CY991" s="86"/>
    </row>
    <row r="992" spans="1:103" ht="25.5" x14ac:dyDescent="0.2">
      <c r="A992" s="43">
        <v>40121</v>
      </c>
      <c r="B992" s="44" t="s">
        <v>413</v>
      </c>
      <c r="C992" s="44" t="s">
        <v>222</v>
      </c>
      <c r="D992" s="45" t="s">
        <v>1118</v>
      </c>
      <c r="E992" s="11"/>
      <c r="F992" s="12"/>
      <c r="G992" s="12"/>
      <c r="H992" s="12">
        <v>300</v>
      </c>
      <c r="I992" s="12">
        <v>60</v>
      </c>
      <c r="J992" s="12"/>
      <c r="K992" s="12"/>
      <c r="L992" s="12"/>
      <c r="M992" s="12"/>
      <c r="N992" s="12"/>
      <c r="O992" s="12"/>
      <c r="P992" s="12"/>
      <c r="Q992" s="12"/>
      <c r="R992" s="12"/>
      <c r="S992" s="12"/>
      <c r="T992" s="13"/>
      <c r="U992" s="46"/>
      <c r="V992" s="47"/>
      <c r="W992" s="48">
        <f t="shared" si="164"/>
        <v>0</v>
      </c>
      <c r="X992" s="48">
        <f t="shared" si="165"/>
        <v>0</v>
      </c>
      <c r="Y992" s="48">
        <f t="shared" si="166"/>
        <v>0</v>
      </c>
      <c r="Z992" s="48">
        <f t="shared" si="167"/>
        <v>0</v>
      </c>
      <c r="AA992" s="48"/>
      <c r="AB992" s="48"/>
      <c r="AC992" s="49">
        <f t="shared" si="168"/>
        <v>0</v>
      </c>
      <c r="AD992" s="50">
        <v>0</v>
      </c>
      <c r="AE992" s="47">
        <v>40129</v>
      </c>
      <c r="AF992" s="51" t="s">
        <v>1016</v>
      </c>
      <c r="AG992" s="52" t="s">
        <v>565</v>
      </c>
      <c r="AH992" s="53"/>
      <c r="AI992" s="79"/>
      <c r="AJ992" s="80"/>
      <c r="AK992" s="81"/>
      <c r="AL992" s="80"/>
      <c r="AM992" s="80"/>
      <c r="AN992" s="80"/>
      <c r="AO992" s="80"/>
      <c r="AP992" s="80"/>
      <c r="AQ992" s="80"/>
      <c r="AR992" s="80"/>
      <c r="AS992" s="80"/>
      <c r="AT992" s="80"/>
      <c r="AU992" s="80"/>
      <c r="AV992" s="80"/>
      <c r="AW992" s="80"/>
      <c r="AX992" s="80"/>
      <c r="AY992" s="80"/>
      <c r="AZ992" s="80"/>
      <c r="BA992" s="80"/>
      <c r="BB992" s="80"/>
      <c r="BC992" s="80"/>
      <c r="BD992" s="80"/>
      <c r="BE992" s="80"/>
      <c r="BF992" s="80"/>
      <c r="BG992" s="80"/>
      <c r="BH992" s="80"/>
      <c r="BI992" s="80"/>
      <c r="BJ992" s="80"/>
      <c r="BK992" s="80"/>
      <c r="BL992" s="80"/>
      <c r="BM992" s="80"/>
      <c r="BN992" s="80"/>
      <c r="BO992" s="80"/>
      <c r="BP992" s="80"/>
      <c r="BQ992" s="80"/>
      <c r="BR992" s="80"/>
      <c r="BS992" s="80"/>
      <c r="BT992" s="80"/>
      <c r="BU992" s="80"/>
      <c r="BV992" s="80"/>
      <c r="BW992" s="80"/>
      <c r="BX992" s="80"/>
      <c r="BY992" s="80"/>
      <c r="BZ992" s="80"/>
      <c r="CA992" s="80"/>
      <c r="CB992" s="80"/>
      <c r="CC992" s="80"/>
      <c r="CD992" s="80"/>
      <c r="CE992" s="80"/>
      <c r="CF992" s="80"/>
      <c r="CG992" s="80"/>
      <c r="CH992" s="80"/>
      <c r="CI992" s="80"/>
      <c r="CJ992" s="80"/>
      <c r="CK992" s="82"/>
      <c r="CL992" s="12"/>
      <c r="CM992" s="82"/>
      <c r="CN992" s="12"/>
      <c r="CO992" s="82"/>
      <c r="CP992" s="12"/>
      <c r="CQ992" s="83">
        <f t="shared" si="169"/>
        <v>0</v>
      </c>
      <c r="CR992" s="84"/>
      <c r="CS992" s="13"/>
      <c r="CT992" s="85"/>
      <c r="CU992" s="86"/>
      <c r="CV992" s="11"/>
      <c r="CW992" s="86"/>
      <c r="CX992" s="84"/>
      <c r="CY992" s="86"/>
    </row>
    <row r="993" spans="1:104" ht="12.75" x14ac:dyDescent="0.2">
      <c r="A993" s="43">
        <v>40121</v>
      </c>
      <c r="B993" s="44" t="s">
        <v>413</v>
      </c>
      <c r="C993" s="44" t="s">
        <v>391</v>
      </c>
      <c r="D993" s="45" t="s">
        <v>1118</v>
      </c>
      <c r="E993" s="11"/>
      <c r="F993" s="12"/>
      <c r="G993" s="12"/>
      <c r="H993" s="12">
        <v>490</v>
      </c>
      <c r="I993" s="12">
        <v>98</v>
      </c>
      <c r="J993" s="12"/>
      <c r="K993" s="12"/>
      <c r="L993" s="12"/>
      <c r="M993" s="12"/>
      <c r="N993" s="12"/>
      <c r="O993" s="12"/>
      <c r="P993" s="12"/>
      <c r="Q993" s="12"/>
      <c r="R993" s="12"/>
      <c r="S993" s="12"/>
      <c r="T993" s="13"/>
      <c r="U993" s="46"/>
      <c r="V993" s="47"/>
      <c r="W993" s="48">
        <f t="shared" si="164"/>
        <v>0</v>
      </c>
      <c r="X993" s="48">
        <f t="shared" si="165"/>
        <v>0</v>
      </c>
      <c r="Y993" s="48">
        <f t="shared" si="166"/>
        <v>0</v>
      </c>
      <c r="Z993" s="48">
        <f t="shared" si="167"/>
        <v>0</v>
      </c>
      <c r="AA993" s="48"/>
      <c r="AB993" s="48"/>
      <c r="AC993" s="49">
        <f t="shared" si="168"/>
        <v>0</v>
      </c>
      <c r="AD993" s="50">
        <v>0</v>
      </c>
      <c r="AE993" s="47">
        <v>40129</v>
      </c>
      <c r="AF993" s="51" t="s">
        <v>1016</v>
      </c>
      <c r="AG993" s="52" t="s">
        <v>565</v>
      </c>
      <c r="AH993" s="53"/>
      <c r="AI993" s="79"/>
      <c r="AJ993" s="80"/>
      <c r="AK993" s="81"/>
      <c r="AL993" s="80"/>
      <c r="AM993" s="80"/>
      <c r="AN993" s="80"/>
      <c r="AO993" s="80"/>
      <c r="AP993" s="80"/>
      <c r="AQ993" s="80"/>
      <c r="AR993" s="80"/>
      <c r="AS993" s="80"/>
      <c r="AT993" s="80"/>
      <c r="AU993" s="80"/>
      <c r="AV993" s="80"/>
      <c r="AW993" s="80"/>
      <c r="AX993" s="80"/>
      <c r="AY993" s="80"/>
      <c r="AZ993" s="80"/>
      <c r="BA993" s="80"/>
      <c r="BB993" s="80"/>
      <c r="BC993" s="80"/>
      <c r="BD993" s="80"/>
      <c r="BE993" s="80"/>
      <c r="BF993" s="80"/>
      <c r="BG993" s="80"/>
      <c r="BH993" s="80"/>
      <c r="BI993" s="80"/>
      <c r="BJ993" s="80"/>
      <c r="BK993" s="80"/>
      <c r="BL993" s="80"/>
      <c r="BM993" s="80"/>
      <c r="BN993" s="80"/>
      <c r="BO993" s="80"/>
      <c r="BP993" s="80"/>
      <c r="BQ993" s="80"/>
      <c r="BR993" s="80"/>
      <c r="BS993" s="80"/>
      <c r="BT993" s="80"/>
      <c r="BU993" s="80"/>
      <c r="BV993" s="80"/>
      <c r="BW993" s="80"/>
      <c r="BX993" s="80"/>
      <c r="BY993" s="80"/>
      <c r="BZ993" s="80"/>
      <c r="CA993" s="80"/>
      <c r="CB993" s="80"/>
      <c r="CC993" s="80"/>
      <c r="CD993" s="80"/>
      <c r="CE993" s="80"/>
      <c r="CF993" s="80"/>
      <c r="CG993" s="80"/>
      <c r="CH993" s="80"/>
      <c r="CI993" s="80"/>
      <c r="CJ993" s="80"/>
      <c r="CK993" s="82"/>
      <c r="CL993" s="12"/>
      <c r="CM993" s="82"/>
      <c r="CN993" s="12"/>
      <c r="CO993" s="82"/>
      <c r="CP993" s="12"/>
      <c r="CQ993" s="83">
        <f t="shared" si="169"/>
        <v>0</v>
      </c>
      <c r="CR993" s="84"/>
      <c r="CS993" s="13"/>
      <c r="CT993" s="85"/>
      <c r="CU993" s="86"/>
      <c r="CV993" s="11"/>
      <c r="CW993" s="86"/>
      <c r="CX993" s="84"/>
      <c r="CY993" s="86"/>
    </row>
    <row r="994" spans="1:104" ht="38.25" x14ac:dyDescent="0.2">
      <c r="A994" s="43">
        <v>40121</v>
      </c>
      <c r="B994" s="44" t="s">
        <v>1224</v>
      </c>
      <c r="C994" s="44" t="s">
        <v>1171</v>
      </c>
      <c r="D994" s="45" t="s">
        <v>1118</v>
      </c>
      <c r="E994" s="11"/>
      <c r="F994" s="12"/>
      <c r="G994" s="12"/>
      <c r="H994" s="12">
        <f>+290*5</f>
        <v>1450</v>
      </c>
      <c r="I994" s="12">
        <v>290</v>
      </c>
      <c r="J994" s="12"/>
      <c r="K994" s="12"/>
      <c r="L994" s="12"/>
      <c r="M994" s="12"/>
      <c r="N994" s="12"/>
      <c r="O994" s="12"/>
      <c r="P994" s="12"/>
      <c r="Q994" s="12"/>
      <c r="R994" s="12"/>
      <c r="S994" s="12"/>
      <c r="T994" s="13"/>
      <c r="U994" s="46"/>
      <c r="V994" s="47">
        <v>40193</v>
      </c>
      <c r="W994" s="48">
        <f t="shared" ref="W994:W1002" si="170">CQ994</f>
        <v>0</v>
      </c>
      <c r="X994" s="48">
        <f t="shared" ref="X994:X1002" si="171">CU994</f>
        <v>76500000</v>
      </c>
      <c r="Y994" s="48">
        <f t="shared" ref="Y994:Y1002" si="172">CW994+CY994</f>
        <v>0</v>
      </c>
      <c r="Z994" s="48">
        <f t="shared" ref="Z994:Z1002" si="173">CS994</f>
        <v>0</v>
      </c>
      <c r="AA994" s="48"/>
      <c r="AB994" s="48"/>
      <c r="AC994" s="49">
        <f t="shared" ref="AC994:AC1002" si="174">W994+X994+Y994+Z994+AA994+AB994</f>
        <v>76500000</v>
      </c>
      <c r="AD994" s="50">
        <v>0</v>
      </c>
      <c r="AE994" s="47">
        <v>40149</v>
      </c>
      <c r="AF994" s="51" t="s">
        <v>1016</v>
      </c>
      <c r="AG994" s="52" t="s">
        <v>565</v>
      </c>
      <c r="AH994" s="53" t="s">
        <v>1174</v>
      </c>
      <c r="AI994" s="79"/>
      <c r="AJ994" s="80"/>
      <c r="AK994" s="81"/>
      <c r="AL994" s="80"/>
      <c r="AM994" s="80"/>
      <c r="AN994" s="80"/>
      <c r="AO994" s="80"/>
      <c r="AP994" s="80"/>
      <c r="AQ994" s="80"/>
      <c r="AR994" s="80"/>
      <c r="AS994" s="80"/>
      <c r="AT994" s="80"/>
      <c r="AU994" s="80"/>
      <c r="AV994" s="80"/>
      <c r="AW994" s="80"/>
      <c r="AX994" s="80"/>
      <c r="AY994" s="80"/>
      <c r="AZ994" s="80"/>
      <c r="BA994" s="80"/>
      <c r="BB994" s="80"/>
      <c r="BC994" s="80"/>
      <c r="BD994" s="80"/>
      <c r="BE994" s="80"/>
      <c r="BF994" s="80"/>
      <c r="BG994" s="80"/>
      <c r="BH994" s="80"/>
      <c r="BI994" s="80"/>
      <c r="BJ994" s="80"/>
      <c r="BK994" s="80"/>
      <c r="BL994" s="80"/>
      <c r="BM994" s="80"/>
      <c r="BN994" s="80"/>
      <c r="BO994" s="80"/>
      <c r="BP994" s="80"/>
      <c r="BQ994" s="80"/>
      <c r="BR994" s="80"/>
      <c r="BS994" s="80"/>
      <c r="BT994" s="80"/>
      <c r="BU994" s="80"/>
      <c r="BV994" s="80"/>
      <c r="BW994" s="80"/>
      <c r="BX994" s="80"/>
      <c r="BY994" s="80"/>
      <c r="BZ994" s="80"/>
      <c r="CA994" s="80"/>
      <c r="CB994" s="80"/>
      <c r="CC994" s="80"/>
      <c r="CD994" s="80"/>
      <c r="CE994" s="80"/>
      <c r="CF994" s="80"/>
      <c r="CG994" s="80"/>
      <c r="CH994" s="80"/>
      <c r="CI994" s="80"/>
      <c r="CJ994" s="80"/>
      <c r="CK994" s="82"/>
      <c r="CL994" s="12"/>
      <c r="CM994" s="82"/>
      <c r="CN994" s="12"/>
      <c r="CO994" s="82"/>
      <c r="CP994" s="12"/>
      <c r="CQ994" s="83">
        <f t="shared" ref="CQ994:CQ1002" si="175">AJ994+AL994+AN994+AP994+AR994+AT994+AV994+AX994+AZ994+BB994+BD994+BF994+BH994+BJ994+BL994+BN994+BP994+BR994+BT994+BV994+BX994+BZ994+CB994+CD994+CF994+CH994+CJ994+CL994+CN994+CP994</f>
        <v>0</v>
      </c>
      <c r="CR994" s="84"/>
      <c r="CS994" s="13"/>
      <c r="CT994" s="85">
        <v>900</v>
      </c>
      <c r="CU994" s="86">
        <f>900*85000</f>
        <v>76500000</v>
      </c>
      <c r="CV994" s="11"/>
      <c r="CW994" s="86"/>
      <c r="CX994" s="84"/>
      <c r="CY994" s="86"/>
    </row>
    <row r="995" spans="1:104" ht="63.75" x14ac:dyDescent="0.2">
      <c r="A995" s="43">
        <v>40122</v>
      </c>
      <c r="B995" s="44" t="s">
        <v>1224</v>
      </c>
      <c r="C995" s="44" t="s">
        <v>193</v>
      </c>
      <c r="D995" s="45" t="s">
        <v>1118</v>
      </c>
      <c r="E995" s="11"/>
      <c r="F995" s="12"/>
      <c r="G995" s="12"/>
      <c r="H995" s="12">
        <v>3158</v>
      </c>
      <c r="I995" s="12">
        <v>646</v>
      </c>
      <c r="J995" s="12">
        <v>17</v>
      </c>
      <c r="K995" s="12">
        <v>170</v>
      </c>
      <c r="L995" s="12"/>
      <c r="M995" s="12"/>
      <c r="N995" s="12"/>
      <c r="O995" s="12"/>
      <c r="P995" s="12"/>
      <c r="Q995" s="12"/>
      <c r="R995" s="12"/>
      <c r="S995" s="12"/>
      <c r="T995" s="13"/>
      <c r="U995" s="46" t="s">
        <v>597</v>
      </c>
      <c r="V995" s="47">
        <v>39046</v>
      </c>
      <c r="W995" s="48">
        <f t="shared" si="170"/>
        <v>0</v>
      </c>
      <c r="X995" s="48">
        <f t="shared" si="171"/>
        <v>110500000</v>
      </c>
      <c r="Y995" s="48">
        <f t="shared" si="172"/>
        <v>0</v>
      </c>
      <c r="Z995" s="48">
        <f t="shared" si="173"/>
        <v>0</v>
      </c>
      <c r="AA995" s="48"/>
      <c r="AB995" s="48"/>
      <c r="AC995" s="49">
        <f t="shared" si="174"/>
        <v>110500000</v>
      </c>
      <c r="AD995" s="50">
        <v>0</v>
      </c>
      <c r="AE995" s="47">
        <v>40123</v>
      </c>
      <c r="AF995" s="51" t="s">
        <v>1016</v>
      </c>
      <c r="AG995" s="52" t="s">
        <v>565</v>
      </c>
      <c r="AH995" s="53" t="s">
        <v>872</v>
      </c>
      <c r="AI995" s="79"/>
      <c r="AJ995" s="80"/>
      <c r="AK995" s="81"/>
      <c r="AL995" s="80"/>
      <c r="AM995" s="80"/>
      <c r="AN995" s="80"/>
      <c r="AO995" s="80"/>
      <c r="AP995" s="80"/>
      <c r="AQ995" s="80"/>
      <c r="AR995" s="80"/>
      <c r="AS995" s="80"/>
      <c r="AT995" s="80"/>
      <c r="AU995" s="80"/>
      <c r="AV995" s="80"/>
      <c r="AW995" s="80"/>
      <c r="AX995" s="80"/>
      <c r="AY995" s="80"/>
      <c r="AZ995" s="80"/>
      <c r="BA995" s="80"/>
      <c r="BB995" s="80"/>
      <c r="BC995" s="80"/>
      <c r="BD995" s="80"/>
      <c r="BE995" s="80"/>
      <c r="BF995" s="80"/>
      <c r="BG995" s="80"/>
      <c r="BH995" s="80"/>
      <c r="BI995" s="80"/>
      <c r="BJ995" s="80"/>
      <c r="BK995" s="80"/>
      <c r="BL995" s="80"/>
      <c r="BM995" s="80"/>
      <c r="BN995" s="80"/>
      <c r="BO995" s="80"/>
      <c r="BP995" s="80"/>
      <c r="BQ995" s="80"/>
      <c r="BR995" s="80"/>
      <c r="BS995" s="80"/>
      <c r="BT995" s="80"/>
      <c r="BU995" s="80"/>
      <c r="BV995" s="80"/>
      <c r="BW995" s="80"/>
      <c r="BX995" s="80"/>
      <c r="BY995" s="80"/>
      <c r="BZ995" s="80"/>
      <c r="CA995" s="80"/>
      <c r="CB995" s="80"/>
      <c r="CC995" s="80"/>
      <c r="CD995" s="80"/>
      <c r="CE995" s="80"/>
      <c r="CF995" s="80"/>
      <c r="CG995" s="80"/>
      <c r="CH995" s="80"/>
      <c r="CI995" s="80"/>
      <c r="CJ995" s="80"/>
      <c r="CK995" s="82"/>
      <c r="CL995" s="12"/>
      <c r="CM995" s="82"/>
      <c r="CN995" s="12"/>
      <c r="CO995" s="82"/>
      <c r="CP995" s="12"/>
      <c r="CQ995" s="83">
        <f t="shared" si="175"/>
        <v>0</v>
      </c>
      <c r="CR995" s="84"/>
      <c r="CS995" s="13"/>
      <c r="CT995" s="85">
        <f>650+650</f>
        <v>1300</v>
      </c>
      <c r="CU995" s="86">
        <f>650*85000+650*85000</f>
        <v>110500000</v>
      </c>
      <c r="CV995" s="11"/>
      <c r="CW995" s="86"/>
      <c r="CX995" s="84"/>
      <c r="CY995" s="86"/>
    </row>
    <row r="996" spans="1:104" ht="25.5" x14ac:dyDescent="0.2">
      <c r="A996" s="43">
        <v>40122</v>
      </c>
      <c r="B996" s="44" t="s">
        <v>904</v>
      </c>
      <c r="C996" s="44" t="s">
        <v>1004</v>
      </c>
      <c r="D996" s="45" t="s">
        <v>1092</v>
      </c>
      <c r="E996" s="11">
        <v>2</v>
      </c>
      <c r="F996" s="12"/>
      <c r="G996" s="12"/>
      <c r="H996" s="12">
        <v>30</v>
      </c>
      <c r="I996" s="12">
        <v>6</v>
      </c>
      <c r="J996" s="12">
        <v>6</v>
      </c>
      <c r="K996" s="12"/>
      <c r="L996" s="12"/>
      <c r="M996" s="12"/>
      <c r="N996" s="12"/>
      <c r="O996" s="12"/>
      <c r="P996" s="12"/>
      <c r="Q996" s="12"/>
      <c r="R996" s="12"/>
      <c r="S996" s="12"/>
      <c r="T996" s="13"/>
      <c r="U996" s="46"/>
      <c r="V996" s="47"/>
      <c r="W996" s="48">
        <f t="shared" si="170"/>
        <v>0</v>
      </c>
      <c r="X996" s="48">
        <f t="shared" si="171"/>
        <v>0</v>
      </c>
      <c r="Y996" s="48">
        <f t="shared" si="172"/>
        <v>0</v>
      </c>
      <c r="Z996" s="48">
        <f t="shared" si="173"/>
        <v>0</v>
      </c>
      <c r="AA996" s="48"/>
      <c r="AB996" s="48"/>
      <c r="AC996" s="49">
        <f t="shared" si="174"/>
        <v>0</v>
      </c>
      <c r="AD996" s="50">
        <v>0</v>
      </c>
      <c r="AE996" s="47">
        <v>40123</v>
      </c>
      <c r="AF996" s="51" t="s">
        <v>516</v>
      </c>
      <c r="AG996" s="52" t="s">
        <v>517</v>
      </c>
      <c r="AH996" s="53" t="s">
        <v>1406</v>
      </c>
      <c r="AI996" s="79"/>
      <c r="AJ996" s="80"/>
      <c r="AK996" s="81"/>
      <c r="AL996" s="80"/>
      <c r="AM996" s="80"/>
      <c r="AN996" s="80"/>
      <c r="AO996" s="80"/>
      <c r="AP996" s="80"/>
      <c r="AQ996" s="80"/>
      <c r="AR996" s="80"/>
      <c r="AS996" s="80"/>
      <c r="AT996" s="80"/>
      <c r="AU996" s="80"/>
      <c r="AV996" s="80"/>
      <c r="AW996" s="80"/>
      <c r="AX996" s="80"/>
      <c r="AY996" s="80"/>
      <c r="AZ996" s="80"/>
      <c r="BA996" s="80"/>
      <c r="BB996" s="80"/>
      <c r="BC996" s="80"/>
      <c r="BD996" s="80"/>
      <c r="BE996" s="80"/>
      <c r="BF996" s="80"/>
      <c r="BG996" s="80"/>
      <c r="BH996" s="80"/>
      <c r="BI996" s="80"/>
      <c r="BJ996" s="80"/>
      <c r="BK996" s="80"/>
      <c r="BL996" s="80"/>
      <c r="BM996" s="80"/>
      <c r="BN996" s="80"/>
      <c r="BO996" s="80"/>
      <c r="BP996" s="80"/>
      <c r="BQ996" s="80"/>
      <c r="BR996" s="80"/>
      <c r="BS996" s="80"/>
      <c r="BT996" s="80"/>
      <c r="BU996" s="80"/>
      <c r="BV996" s="80"/>
      <c r="BW996" s="80"/>
      <c r="BX996" s="80"/>
      <c r="BY996" s="80"/>
      <c r="BZ996" s="80"/>
      <c r="CA996" s="80"/>
      <c r="CB996" s="80"/>
      <c r="CC996" s="80"/>
      <c r="CD996" s="80"/>
      <c r="CE996" s="80"/>
      <c r="CF996" s="80"/>
      <c r="CG996" s="80"/>
      <c r="CH996" s="80"/>
      <c r="CI996" s="80"/>
      <c r="CJ996" s="80"/>
      <c r="CK996" s="82"/>
      <c r="CL996" s="12"/>
      <c r="CM996" s="82"/>
      <c r="CN996" s="12"/>
      <c r="CO996" s="82"/>
      <c r="CP996" s="12"/>
      <c r="CQ996" s="83">
        <f t="shared" si="175"/>
        <v>0</v>
      </c>
      <c r="CR996" s="84"/>
      <c r="CS996" s="13"/>
      <c r="CT996" s="85"/>
      <c r="CU996" s="86"/>
      <c r="CV996" s="11"/>
      <c r="CW996" s="86"/>
      <c r="CX996" s="84"/>
      <c r="CY996" s="86"/>
    </row>
    <row r="997" spans="1:104" ht="25.5" x14ac:dyDescent="0.2">
      <c r="A997" s="43">
        <v>40122</v>
      </c>
      <c r="B997" s="44" t="s">
        <v>688</v>
      </c>
      <c r="C997" s="44" t="s">
        <v>815</v>
      </c>
      <c r="D997" s="45" t="s">
        <v>1118</v>
      </c>
      <c r="E997" s="11"/>
      <c r="F997" s="12"/>
      <c r="G997" s="12"/>
      <c r="H997" s="12">
        <v>50</v>
      </c>
      <c r="I997" s="12">
        <v>10</v>
      </c>
      <c r="J997" s="12"/>
      <c r="K997" s="12">
        <v>10</v>
      </c>
      <c r="L997" s="12"/>
      <c r="M997" s="12"/>
      <c r="N997" s="12"/>
      <c r="O997" s="12"/>
      <c r="P997" s="12"/>
      <c r="Q997" s="12"/>
      <c r="R997" s="12"/>
      <c r="S997" s="12"/>
      <c r="T997" s="13"/>
      <c r="U997" s="46"/>
      <c r="V997" s="47"/>
      <c r="W997" s="48">
        <f t="shared" si="170"/>
        <v>0</v>
      </c>
      <c r="X997" s="48">
        <f t="shared" si="171"/>
        <v>0</v>
      </c>
      <c r="Y997" s="48">
        <f t="shared" si="172"/>
        <v>0</v>
      </c>
      <c r="Z997" s="48">
        <f t="shared" si="173"/>
        <v>0</v>
      </c>
      <c r="AA997" s="48"/>
      <c r="AB997" s="48"/>
      <c r="AC997" s="49">
        <f t="shared" si="174"/>
        <v>0</v>
      </c>
      <c r="AD997" s="50">
        <v>0</v>
      </c>
      <c r="AE997" s="47">
        <v>40126</v>
      </c>
      <c r="AF997" s="51" t="s">
        <v>516</v>
      </c>
      <c r="AG997" s="52" t="s">
        <v>517</v>
      </c>
      <c r="AH997" s="53" t="s">
        <v>982</v>
      </c>
      <c r="AI997" s="79"/>
      <c r="AJ997" s="80"/>
      <c r="AK997" s="81"/>
      <c r="AL997" s="80"/>
      <c r="AM997" s="80"/>
      <c r="AN997" s="80"/>
      <c r="AO997" s="80"/>
      <c r="AP997" s="80"/>
      <c r="AQ997" s="80"/>
      <c r="AR997" s="80"/>
      <c r="AS997" s="80"/>
      <c r="AT997" s="80"/>
      <c r="AU997" s="80"/>
      <c r="AV997" s="80"/>
      <c r="AW997" s="80"/>
      <c r="AX997" s="80"/>
      <c r="AY997" s="80"/>
      <c r="AZ997" s="80"/>
      <c r="BA997" s="80"/>
      <c r="BB997" s="80"/>
      <c r="BC997" s="80"/>
      <c r="BD997" s="80"/>
      <c r="BE997" s="80"/>
      <c r="BF997" s="80"/>
      <c r="BG997" s="80"/>
      <c r="BH997" s="80"/>
      <c r="BI997" s="80"/>
      <c r="BJ997" s="80"/>
      <c r="BK997" s="80"/>
      <c r="BL997" s="80"/>
      <c r="BM997" s="80"/>
      <c r="BN997" s="80"/>
      <c r="BO997" s="80"/>
      <c r="BP997" s="80"/>
      <c r="BQ997" s="80"/>
      <c r="BR997" s="80"/>
      <c r="BS997" s="80"/>
      <c r="BT997" s="80"/>
      <c r="BU997" s="80"/>
      <c r="BV997" s="80"/>
      <c r="BW997" s="80"/>
      <c r="BX997" s="80"/>
      <c r="BY997" s="80"/>
      <c r="BZ997" s="80"/>
      <c r="CA997" s="80"/>
      <c r="CB997" s="80"/>
      <c r="CC997" s="80"/>
      <c r="CD997" s="80"/>
      <c r="CE997" s="80"/>
      <c r="CF997" s="80"/>
      <c r="CG997" s="80"/>
      <c r="CH997" s="80"/>
      <c r="CI997" s="80"/>
      <c r="CJ997" s="80"/>
      <c r="CK997" s="82"/>
      <c r="CL997" s="12"/>
      <c r="CM997" s="82"/>
      <c r="CN997" s="12"/>
      <c r="CO997" s="82"/>
      <c r="CP997" s="12"/>
      <c r="CQ997" s="83">
        <f t="shared" si="175"/>
        <v>0</v>
      </c>
      <c r="CR997" s="84"/>
      <c r="CS997" s="13"/>
      <c r="CT997" s="85"/>
      <c r="CU997" s="86"/>
      <c r="CV997" s="11"/>
      <c r="CW997" s="86"/>
      <c r="CX997" s="84"/>
      <c r="CY997" s="86"/>
    </row>
    <row r="998" spans="1:104" ht="38.25" x14ac:dyDescent="0.2">
      <c r="A998" s="43">
        <v>40123</v>
      </c>
      <c r="B998" s="57" t="s">
        <v>625</v>
      </c>
      <c r="C998" s="44" t="s">
        <v>1405</v>
      </c>
      <c r="D998" s="45" t="s">
        <v>1118</v>
      </c>
      <c r="E998" s="11"/>
      <c r="F998" s="12"/>
      <c r="G998" s="12">
        <v>1</v>
      </c>
      <c r="H998" s="12"/>
      <c r="I998" s="12"/>
      <c r="J998" s="12"/>
      <c r="K998" s="12"/>
      <c r="L998" s="12"/>
      <c r="M998" s="12"/>
      <c r="N998" s="12"/>
      <c r="O998" s="12"/>
      <c r="P998" s="12"/>
      <c r="Q998" s="12"/>
      <c r="R998" s="12"/>
      <c r="S998" s="12"/>
      <c r="T998" s="13"/>
      <c r="U998" s="46"/>
      <c r="V998" s="47"/>
      <c r="W998" s="48">
        <f t="shared" si="170"/>
        <v>0</v>
      </c>
      <c r="X998" s="48">
        <f t="shared" si="171"/>
        <v>0</v>
      </c>
      <c r="Y998" s="48">
        <f t="shared" si="172"/>
        <v>0</v>
      </c>
      <c r="Z998" s="48">
        <f t="shared" si="173"/>
        <v>0</v>
      </c>
      <c r="AA998" s="48"/>
      <c r="AB998" s="48"/>
      <c r="AC998" s="49">
        <f t="shared" si="174"/>
        <v>0</v>
      </c>
      <c r="AD998" s="50">
        <v>0</v>
      </c>
      <c r="AE998" s="47">
        <v>40123</v>
      </c>
      <c r="AF998" s="51" t="s">
        <v>516</v>
      </c>
      <c r="AG998" s="52" t="s">
        <v>517</v>
      </c>
      <c r="AH998" s="53" t="s">
        <v>983</v>
      </c>
      <c r="AI998" s="79"/>
      <c r="AJ998" s="80"/>
      <c r="AK998" s="81"/>
      <c r="AL998" s="80"/>
      <c r="AM998" s="80"/>
      <c r="AN998" s="80"/>
      <c r="AO998" s="80"/>
      <c r="AP998" s="80"/>
      <c r="AQ998" s="80"/>
      <c r="AR998" s="80"/>
      <c r="AS998" s="80"/>
      <c r="AT998" s="80"/>
      <c r="AU998" s="80"/>
      <c r="AV998" s="80"/>
      <c r="AW998" s="80"/>
      <c r="AX998" s="80"/>
      <c r="AY998" s="80"/>
      <c r="AZ998" s="80"/>
      <c r="BA998" s="80"/>
      <c r="BB998" s="80"/>
      <c r="BC998" s="80"/>
      <c r="BD998" s="80"/>
      <c r="BE998" s="80"/>
      <c r="BF998" s="80"/>
      <c r="BG998" s="80"/>
      <c r="BH998" s="80"/>
      <c r="BI998" s="80"/>
      <c r="BJ998" s="80"/>
      <c r="BK998" s="80"/>
      <c r="BL998" s="80"/>
      <c r="BM998" s="80"/>
      <c r="BN998" s="80"/>
      <c r="BO998" s="80"/>
      <c r="BP998" s="80"/>
      <c r="BQ998" s="80"/>
      <c r="BR998" s="80"/>
      <c r="BS998" s="80"/>
      <c r="BT998" s="80"/>
      <c r="BU998" s="80"/>
      <c r="BV998" s="80"/>
      <c r="BW998" s="80"/>
      <c r="BX998" s="80"/>
      <c r="BY998" s="80"/>
      <c r="BZ998" s="80"/>
      <c r="CA998" s="80"/>
      <c r="CB998" s="80"/>
      <c r="CC998" s="80"/>
      <c r="CD998" s="80"/>
      <c r="CE998" s="80"/>
      <c r="CF998" s="80"/>
      <c r="CG998" s="80"/>
      <c r="CH998" s="80"/>
      <c r="CI998" s="80"/>
      <c r="CJ998" s="80"/>
      <c r="CK998" s="82"/>
      <c r="CL998" s="12"/>
      <c r="CM998" s="82"/>
      <c r="CN998" s="12"/>
      <c r="CO998" s="82"/>
      <c r="CP998" s="12"/>
      <c r="CQ998" s="83">
        <f t="shared" si="175"/>
        <v>0</v>
      </c>
      <c r="CR998" s="84"/>
      <c r="CS998" s="13"/>
      <c r="CT998" s="85"/>
      <c r="CU998" s="86"/>
      <c r="CV998" s="11"/>
      <c r="CW998" s="86"/>
      <c r="CX998" s="84"/>
      <c r="CY998" s="86"/>
    </row>
    <row r="999" spans="1:104" ht="25.5" x14ac:dyDescent="0.2">
      <c r="A999" s="43">
        <v>40123</v>
      </c>
      <c r="B999" s="44" t="s">
        <v>1350</v>
      </c>
      <c r="C999" s="44" t="s">
        <v>890</v>
      </c>
      <c r="D999" s="45" t="s">
        <v>134</v>
      </c>
      <c r="E999" s="11">
        <v>1</v>
      </c>
      <c r="F999" s="12"/>
      <c r="G999" s="12"/>
      <c r="H999" s="12"/>
      <c r="I999" s="12"/>
      <c r="J999" s="12"/>
      <c r="K999" s="12"/>
      <c r="L999" s="12"/>
      <c r="M999" s="12"/>
      <c r="N999" s="12"/>
      <c r="O999" s="12"/>
      <c r="P999" s="12"/>
      <c r="Q999" s="12"/>
      <c r="R999" s="12"/>
      <c r="S999" s="12"/>
      <c r="T999" s="13"/>
      <c r="U999" s="46"/>
      <c r="V999" s="47"/>
      <c r="W999" s="48">
        <f t="shared" si="170"/>
        <v>0</v>
      </c>
      <c r="X999" s="48">
        <f t="shared" si="171"/>
        <v>0</v>
      </c>
      <c r="Y999" s="48">
        <f t="shared" si="172"/>
        <v>0</v>
      </c>
      <c r="Z999" s="48">
        <f t="shared" si="173"/>
        <v>0</v>
      </c>
      <c r="AA999" s="48"/>
      <c r="AB999" s="48"/>
      <c r="AC999" s="49">
        <f t="shared" si="174"/>
        <v>0</v>
      </c>
      <c r="AD999" s="50">
        <v>0</v>
      </c>
      <c r="AE999" s="47">
        <v>40126</v>
      </c>
      <c r="AF999" s="51" t="s">
        <v>516</v>
      </c>
      <c r="AG999" s="52" t="s">
        <v>517</v>
      </c>
      <c r="AH999" s="53" t="s">
        <v>984</v>
      </c>
      <c r="AI999" s="79"/>
      <c r="AJ999" s="80"/>
      <c r="AK999" s="81"/>
      <c r="AL999" s="80"/>
      <c r="AM999" s="80"/>
      <c r="AN999" s="80"/>
      <c r="AO999" s="80"/>
      <c r="AP999" s="80"/>
      <c r="AQ999" s="80"/>
      <c r="AR999" s="80"/>
      <c r="AS999" s="80"/>
      <c r="AT999" s="80"/>
      <c r="AU999" s="80"/>
      <c r="AV999" s="80"/>
      <c r="AW999" s="80"/>
      <c r="AX999" s="80"/>
      <c r="AY999" s="80"/>
      <c r="AZ999" s="80"/>
      <c r="BA999" s="80"/>
      <c r="BB999" s="80"/>
      <c r="BC999" s="80"/>
      <c r="BD999" s="80"/>
      <c r="BE999" s="80"/>
      <c r="BF999" s="80"/>
      <c r="BG999" s="80"/>
      <c r="BH999" s="80"/>
      <c r="BI999" s="80"/>
      <c r="BJ999" s="80"/>
      <c r="BK999" s="80"/>
      <c r="BL999" s="80"/>
      <c r="BM999" s="80"/>
      <c r="BN999" s="80"/>
      <c r="BO999" s="80"/>
      <c r="BP999" s="80"/>
      <c r="BQ999" s="80"/>
      <c r="BR999" s="80"/>
      <c r="BS999" s="80"/>
      <c r="BT999" s="80"/>
      <c r="BU999" s="80"/>
      <c r="BV999" s="80"/>
      <c r="BW999" s="80"/>
      <c r="BX999" s="80"/>
      <c r="BY999" s="80"/>
      <c r="BZ999" s="80"/>
      <c r="CA999" s="80"/>
      <c r="CB999" s="80"/>
      <c r="CC999" s="80"/>
      <c r="CD999" s="80"/>
      <c r="CE999" s="80"/>
      <c r="CF999" s="80"/>
      <c r="CG999" s="80"/>
      <c r="CH999" s="80"/>
      <c r="CI999" s="80"/>
      <c r="CJ999" s="80"/>
      <c r="CK999" s="82"/>
      <c r="CL999" s="12"/>
      <c r="CM999" s="82"/>
      <c r="CN999" s="12"/>
      <c r="CO999" s="82"/>
      <c r="CP999" s="12"/>
      <c r="CQ999" s="83">
        <f t="shared" si="175"/>
        <v>0</v>
      </c>
      <c r="CR999" s="84"/>
      <c r="CS999" s="13"/>
      <c r="CT999" s="85"/>
      <c r="CU999" s="86"/>
      <c r="CV999" s="11"/>
      <c r="CW999" s="86"/>
      <c r="CX999" s="84"/>
      <c r="CY999" s="86"/>
    </row>
    <row r="1000" spans="1:104" ht="25.5" x14ac:dyDescent="0.2">
      <c r="A1000" s="43">
        <v>40123</v>
      </c>
      <c r="B1000" s="44" t="s">
        <v>413</v>
      </c>
      <c r="C1000" s="44" t="s">
        <v>1176</v>
      </c>
      <c r="D1000" s="45" t="s">
        <v>1117</v>
      </c>
      <c r="E1000" s="11"/>
      <c r="F1000" s="12"/>
      <c r="G1000" s="12"/>
      <c r="H1000" s="12">
        <v>200</v>
      </c>
      <c r="I1000" s="12">
        <v>40</v>
      </c>
      <c r="J1000" s="12"/>
      <c r="K1000" s="12">
        <v>40</v>
      </c>
      <c r="L1000" s="12"/>
      <c r="M1000" s="12"/>
      <c r="N1000" s="12"/>
      <c r="O1000" s="12"/>
      <c r="P1000" s="12"/>
      <c r="Q1000" s="12"/>
      <c r="R1000" s="12"/>
      <c r="S1000" s="12"/>
      <c r="T1000" s="13"/>
      <c r="U1000" s="46"/>
      <c r="V1000" s="47">
        <v>40193</v>
      </c>
      <c r="W1000" s="48">
        <f t="shared" si="170"/>
        <v>0</v>
      </c>
      <c r="X1000" s="48">
        <f t="shared" si="171"/>
        <v>0</v>
      </c>
      <c r="Y1000" s="48">
        <f t="shared" si="172"/>
        <v>8800000</v>
      </c>
      <c r="Z1000" s="48">
        <f t="shared" si="173"/>
        <v>0</v>
      </c>
      <c r="AA1000" s="48"/>
      <c r="AB1000" s="48"/>
      <c r="AC1000" s="49">
        <f t="shared" si="174"/>
        <v>8800000</v>
      </c>
      <c r="AD1000" s="50">
        <v>0</v>
      </c>
      <c r="AE1000" s="47">
        <v>40147</v>
      </c>
      <c r="AF1000" s="51" t="s">
        <v>1016</v>
      </c>
      <c r="AG1000" s="52" t="s">
        <v>565</v>
      </c>
      <c r="AH1000" s="53" t="s">
        <v>1177</v>
      </c>
      <c r="AI1000" s="79"/>
      <c r="AJ1000" s="80"/>
      <c r="AK1000" s="81"/>
      <c r="AL1000" s="80"/>
      <c r="AM1000" s="80"/>
      <c r="AN1000" s="80"/>
      <c r="AO1000" s="80"/>
      <c r="AP1000" s="80"/>
      <c r="AQ1000" s="80"/>
      <c r="AR1000" s="80"/>
      <c r="AS1000" s="80"/>
      <c r="AT1000" s="80"/>
      <c r="AU1000" s="80"/>
      <c r="AV1000" s="80"/>
      <c r="AW1000" s="80"/>
      <c r="AX1000" s="80"/>
      <c r="AY1000" s="80"/>
      <c r="AZ1000" s="80"/>
      <c r="BA1000" s="80"/>
      <c r="BB1000" s="80"/>
      <c r="BC1000" s="80"/>
      <c r="BD1000" s="80"/>
      <c r="BE1000" s="80"/>
      <c r="BF1000" s="80"/>
      <c r="BG1000" s="80"/>
      <c r="BH1000" s="80"/>
      <c r="BI1000" s="80"/>
      <c r="BJ1000" s="80"/>
      <c r="BK1000" s="80"/>
      <c r="BL1000" s="80"/>
      <c r="BM1000" s="80"/>
      <c r="BN1000" s="80"/>
      <c r="BO1000" s="80"/>
      <c r="BP1000" s="80"/>
      <c r="BQ1000" s="80"/>
      <c r="BR1000" s="80"/>
      <c r="BS1000" s="80"/>
      <c r="BT1000" s="80"/>
      <c r="BU1000" s="80"/>
      <c r="BV1000" s="80"/>
      <c r="BW1000" s="80"/>
      <c r="BX1000" s="80"/>
      <c r="BY1000" s="80"/>
      <c r="BZ1000" s="80"/>
      <c r="CA1000" s="80"/>
      <c r="CB1000" s="80"/>
      <c r="CC1000" s="80"/>
      <c r="CD1000" s="80"/>
      <c r="CE1000" s="80"/>
      <c r="CF1000" s="80"/>
      <c r="CG1000" s="80"/>
      <c r="CH1000" s="80"/>
      <c r="CI1000" s="80"/>
      <c r="CJ1000" s="80"/>
      <c r="CK1000" s="82"/>
      <c r="CL1000" s="12"/>
      <c r="CM1000" s="82"/>
      <c r="CN1000" s="12"/>
      <c r="CO1000" s="82"/>
      <c r="CP1000" s="12"/>
      <c r="CQ1000" s="83">
        <f t="shared" si="175"/>
        <v>0</v>
      </c>
      <c r="CR1000" s="84"/>
      <c r="CS1000" s="13"/>
      <c r="CT1000" s="85"/>
      <c r="CU1000" s="86"/>
      <c r="CV1000" s="11"/>
      <c r="CW1000" s="86"/>
      <c r="CX1000" s="84">
        <v>400</v>
      </c>
      <c r="CY1000" s="86">
        <f>400*22000</f>
        <v>8800000</v>
      </c>
    </row>
    <row r="1001" spans="1:104" ht="25.5" x14ac:dyDescent="0.2">
      <c r="A1001" s="43">
        <v>40124</v>
      </c>
      <c r="B1001" s="44" t="s">
        <v>1453</v>
      </c>
      <c r="C1001" s="44" t="s">
        <v>985</v>
      </c>
      <c r="D1001" s="45" t="s">
        <v>1117</v>
      </c>
      <c r="E1001" s="11"/>
      <c r="F1001" s="12"/>
      <c r="G1001" s="12"/>
      <c r="H1001" s="12">
        <f>13*5</f>
        <v>65</v>
      </c>
      <c r="I1001" s="12">
        <v>13</v>
      </c>
      <c r="J1001" s="12"/>
      <c r="K1001" s="12">
        <v>13</v>
      </c>
      <c r="L1001" s="12"/>
      <c r="M1001" s="12"/>
      <c r="N1001" s="12"/>
      <c r="O1001" s="12"/>
      <c r="P1001" s="12"/>
      <c r="Q1001" s="12"/>
      <c r="R1001" s="12"/>
      <c r="S1001" s="12"/>
      <c r="T1001" s="13"/>
      <c r="U1001" s="46"/>
      <c r="V1001" s="47">
        <v>40156</v>
      </c>
      <c r="W1001" s="48">
        <f t="shared" si="170"/>
        <v>0</v>
      </c>
      <c r="X1001" s="48">
        <f t="shared" si="171"/>
        <v>0</v>
      </c>
      <c r="Y1001" s="48">
        <f t="shared" si="172"/>
        <v>3706000</v>
      </c>
      <c r="Z1001" s="48">
        <f t="shared" si="173"/>
        <v>0</v>
      </c>
      <c r="AA1001" s="48"/>
      <c r="AB1001" s="48"/>
      <c r="AC1001" s="49">
        <f t="shared" si="174"/>
        <v>3706000</v>
      </c>
      <c r="AD1001" s="50">
        <v>0</v>
      </c>
      <c r="AE1001" s="47">
        <v>40126</v>
      </c>
      <c r="AF1001" s="51" t="s">
        <v>1016</v>
      </c>
      <c r="AG1001" s="52" t="s">
        <v>565</v>
      </c>
      <c r="AH1001" s="53" t="s">
        <v>552</v>
      </c>
      <c r="AI1001" s="79"/>
      <c r="AJ1001" s="80"/>
      <c r="AK1001" s="81"/>
      <c r="AL1001" s="80"/>
      <c r="AM1001" s="80"/>
      <c r="AN1001" s="80"/>
      <c r="AO1001" s="80"/>
      <c r="AP1001" s="80"/>
      <c r="AQ1001" s="80"/>
      <c r="AR1001" s="80"/>
      <c r="AS1001" s="80"/>
      <c r="AT1001" s="80"/>
      <c r="AU1001" s="80"/>
      <c r="AV1001" s="80"/>
      <c r="AW1001" s="80"/>
      <c r="AX1001" s="80"/>
      <c r="AY1001" s="80"/>
      <c r="AZ1001" s="80"/>
      <c r="BA1001" s="80"/>
      <c r="BB1001" s="80"/>
      <c r="BC1001" s="80"/>
      <c r="BD1001" s="80"/>
      <c r="BE1001" s="80"/>
      <c r="BF1001" s="80"/>
      <c r="BG1001" s="80"/>
      <c r="BH1001" s="80"/>
      <c r="BI1001" s="80"/>
      <c r="BJ1001" s="80"/>
      <c r="BK1001" s="80"/>
      <c r="BL1001" s="80"/>
      <c r="BM1001" s="80"/>
      <c r="BN1001" s="80"/>
      <c r="BO1001" s="80"/>
      <c r="BP1001" s="80"/>
      <c r="BQ1001" s="80"/>
      <c r="BR1001" s="80"/>
      <c r="BS1001" s="80"/>
      <c r="BT1001" s="80"/>
      <c r="BU1001" s="80"/>
      <c r="BV1001" s="80"/>
      <c r="BW1001" s="80"/>
      <c r="BX1001" s="80"/>
      <c r="BY1001" s="80"/>
      <c r="BZ1001" s="80"/>
      <c r="CA1001" s="80"/>
      <c r="CB1001" s="80"/>
      <c r="CC1001" s="80"/>
      <c r="CD1001" s="80"/>
      <c r="CE1001" s="80"/>
      <c r="CF1001" s="80"/>
      <c r="CG1001" s="80"/>
      <c r="CH1001" s="80"/>
      <c r="CI1001" s="80"/>
      <c r="CJ1001" s="80"/>
      <c r="CK1001" s="82"/>
      <c r="CL1001" s="12"/>
      <c r="CM1001" s="82"/>
      <c r="CN1001" s="12"/>
      <c r="CO1001" s="82"/>
      <c r="CP1001" s="12"/>
      <c r="CQ1001" s="83">
        <f t="shared" si="175"/>
        <v>0</v>
      </c>
      <c r="CR1001" s="84"/>
      <c r="CS1001" s="13"/>
      <c r="CT1001" s="85"/>
      <c r="CU1001" s="86"/>
      <c r="CV1001" s="11"/>
      <c r="CW1001" s="86"/>
      <c r="CX1001" s="84">
        <v>170</v>
      </c>
      <c r="CY1001" s="86">
        <f>170*21000+680*200</f>
        <v>3706000</v>
      </c>
    </row>
    <row r="1002" spans="1:104" ht="25.5" x14ac:dyDescent="0.2">
      <c r="A1002" s="43">
        <v>40124</v>
      </c>
      <c r="B1002" s="44" t="s">
        <v>315</v>
      </c>
      <c r="C1002" s="44" t="s">
        <v>176</v>
      </c>
      <c r="D1002" s="45" t="s">
        <v>1117</v>
      </c>
      <c r="E1002" s="11"/>
      <c r="F1002" s="12"/>
      <c r="G1002" s="12"/>
      <c r="H1002" s="12">
        <f>26*5</f>
        <v>130</v>
      </c>
      <c r="I1002" s="12">
        <v>26</v>
      </c>
      <c r="J1002" s="12"/>
      <c r="K1002" s="12">
        <v>26</v>
      </c>
      <c r="L1002" s="12"/>
      <c r="M1002" s="12"/>
      <c r="N1002" s="12"/>
      <c r="O1002" s="12"/>
      <c r="P1002" s="12"/>
      <c r="Q1002" s="12"/>
      <c r="R1002" s="12"/>
      <c r="S1002" s="12"/>
      <c r="T1002" s="13"/>
      <c r="U1002" s="46"/>
      <c r="V1002" s="47">
        <v>40163</v>
      </c>
      <c r="W1002" s="48">
        <f t="shared" si="170"/>
        <v>0</v>
      </c>
      <c r="X1002" s="48">
        <f t="shared" si="171"/>
        <v>0</v>
      </c>
      <c r="Y1002" s="48">
        <f t="shared" si="172"/>
        <v>13160000</v>
      </c>
      <c r="Z1002" s="48">
        <f t="shared" si="173"/>
        <v>0</v>
      </c>
      <c r="AA1002" s="48"/>
      <c r="AB1002" s="48"/>
      <c r="AC1002" s="49">
        <f t="shared" si="174"/>
        <v>13160000</v>
      </c>
      <c r="AD1002" s="50">
        <v>0</v>
      </c>
      <c r="AE1002" s="47">
        <v>40137</v>
      </c>
      <c r="AF1002" s="51" t="s">
        <v>1016</v>
      </c>
      <c r="AG1002" s="52" t="s">
        <v>565</v>
      </c>
      <c r="AH1002" s="53"/>
      <c r="AI1002" s="79"/>
      <c r="AJ1002" s="80"/>
      <c r="AK1002" s="81"/>
      <c r="AL1002" s="80"/>
      <c r="AM1002" s="80"/>
      <c r="AN1002" s="80"/>
      <c r="AO1002" s="80"/>
      <c r="AP1002" s="80"/>
      <c r="AQ1002" s="80"/>
      <c r="AR1002" s="80"/>
      <c r="AS1002" s="80"/>
      <c r="AT1002" s="80"/>
      <c r="AU1002" s="80"/>
      <c r="AV1002" s="80"/>
      <c r="AW1002" s="80"/>
      <c r="AX1002" s="80"/>
      <c r="AY1002" s="80"/>
      <c r="AZ1002" s="80"/>
      <c r="BA1002" s="80"/>
      <c r="BB1002" s="80"/>
      <c r="BC1002" s="80"/>
      <c r="BD1002" s="80"/>
      <c r="BE1002" s="80"/>
      <c r="BF1002" s="80"/>
      <c r="BG1002" s="80"/>
      <c r="BH1002" s="80"/>
      <c r="BI1002" s="80"/>
      <c r="BJ1002" s="80"/>
      <c r="BK1002" s="80"/>
      <c r="BL1002" s="80"/>
      <c r="BM1002" s="80"/>
      <c r="BN1002" s="80"/>
      <c r="BO1002" s="80"/>
      <c r="BP1002" s="80"/>
      <c r="BQ1002" s="80"/>
      <c r="BR1002" s="80"/>
      <c r="BS1002" s="80"/>
      <c r="BT1002" s="80"/>
      <c r="BU1002" s="80"/>
      <c r="BV1002" s="80"/>
      <c r="BW1002" s="80"/>
      <c r="BX1002" s="80"/>
      <c r="BY1002" s="80"/>
      <c r="BZ1002" s="80"/>
      <c r="CA1002" s="80"/>
      <c r="CB1002" s="80"/>
      <c r="CC1002" s="80"/>
      <c r="CD1002" s="80"/>
      <c r="CE1002" s="80"/>
      <c r="CF1002" s="80"/>
      <c r="CG1002" s="80"/>
      <c r="CH1002" s="80"/>
      <c r="CI1002" s="80"/>
      <c r="CJ1002" s="80"/>
      <c r="CK1002" s="82"/>
      <c r="CL1002" s="12"/>
      <c r="CM1002" s="82"/>
      <c r="CN1002" s="12"/>
      <c r="CO1002" s="82"/>
      <c r="CP1002" s="12"/>
      <c r="CQ1002" s="83">
        <f t="shared" si="175"/>
        <v>0</v>
      </c>
      <c r="CR1002" s="84"/>
      <c r="CS1002" s="13"/>
      <c r="CT1002" s="85"/>
      <c r="CU1002" s="86"/>
      <c r="CV1002" s="11">
        <v>50</v>
      </c>
      <c r="CW1002" s="86">
        <f>50*25000</f>
        <v>1250000</v>
      </c>
      <c r="CX1002" s="84">
        <v>500</v>
      </c>
      <c r="CY1002" s="86">
        <f>500*22500+3000*220</f>
        <v>11910000</v>
      </c>
      <c r="CZ1002" s="9" t="s">
        <v>1313</v>
      </c>
    </row>
    <row r="1003" spans="1:104" ht="76.5" x14ac:dyDescent="0.2">
      <c r="A1003" s="43">
        <v>40125</v>
      </c>
      <c r="B1003" s="44" t="s">
        <v>300</v>
      </c>
      <c r="C1003" s="44" t="s">
        <v>989</v>
      </c>
      <c r="D1003" s="45" t="s">
        <v>133</v>
      </c>
      <c r="E1003" s="11"/>
      <c r="F1003" s="12">
        <v>2</v>
      </c>
      <c r="G1003" s="12"/>
      <c r="H1003" s="12">
        <v>20</v>
      </c>
      <c r="I1003" s="12">
        <v>4</v>
      </c>
      <c r="J1003" s="12"/>
      <c r="K1003" s="12">
        <v>4</v>
      </c>
      <c r="L1003" s="12"/>
      <c r="M1003" s="12"/>
      <c r="N1003" s="12"/>
      <c r="O1003" s="12"/>
      <c r="P1003" s="12"/>
      <c r="Q1003" s="12"/>
      <c r="R1003" s="12"/>
      <c r="S1003" s="12"/>
      <c r="T1003" s="13"/>
      <c r="U1003" s="46"/>
      <c r="V1003" s="47"/>
      <c r="W1003" s="48">
        <f t="shared" ref="W1003:W1008" si="176">CQ1003</f>
        <v>0</v>
      </c>
      <c r="X1003" s="48">
        <f t="shared" ref="X1003:X1008" si="177">CU1003</f>
        <v>0</v>
      </c>
      <c r="Y1003" s="48">
        <f t="shared" ref="Y1003:Y1008" si="178">CW1003+CY1003</f>
        <v>0</v>
      </c>
      <c r="Z1003" s="48">
        <f t="shared" ref="Z1003:Z1008" si="179">CS1003</f>
        <v>0</v>
      </c>
      <c r="AA1003" s="48"/>
      <c r="AB1003" s="48"/>
      <c r="AC1003" s="49">
        <f t="shared" ref="AC1003:AC1008" si="180">W1003+X1003+Y1003+Z1003+AA1003+AB1003</f>
        <v>0</v>
      </c>
      <c r="AD1003" s="50">
        <v>0</v>
      </c>
      <c r="AE1003" s="47">
        <v>40126</v>
      </c>
      <c r="AF1003" s="51" t="s">
        <v>516</v>
      </c>
      <c r="AG1003" s="52" t="s">
        <v>517</v>
      </c>
      <c r="AH1003" s="53" t="s">
        <v>990</v>
      </c>
      <c r="AI1003" s="79"/>
      <c r="AJ1003" s="80"/>
      <c r="AK1003" s="81"/>
      <c r="AL1003" s="80"/>
      <c r="AM1003" s="80"/>
      <c r="AN1003" s="80"/>
      <c r="AO1003" s="80"/>
      <c r="AP1003" s="80"/>
      <c r="AQ1003" s="80"/>
      <c r="AR1003" s="80"/>
      <c r="AS1003" s="80"/>
      <c r="AT1003" s="80"/>
      <c r="AU1003" s="80"/>
      <c r="AV1003" s="80"/>
      <c r="AW1003" s="80"/>
      <c r="AX1003" s="80"/>
      <c r="AY1003" s="80"/>
      <c r="AZ1003" s="80"/>
      <c r="BA1003" s="80"/>
      <c r="BB1003" s="80"/>
      <c r="BC1003" s="80"/>
      <c r="BD1003" s="80"/>
      <c r="BE1003" s="80"/>
      <c r="BF1003" s="80"/>
      <c r="BG1003" s="80"/>
      <c r="BH1003" s="80"/>
      <c r="BI1003" s="80"/>
      <c r="BJ1003" s="80"/>
      <c r="BK1003" s="80"/>
      <c r="BL1003" s="80"/>
      <c r="BM1003" s="80"/>
      <c r="BN1003" s="80"/>
      <c r="BO1003" s="80"/>
      <c r="BP1003" s="80"/>
      <c r="BQ1003" s="80"/>
      <c r="BR1003" s="80"/>
      <c r="BS1003" s="80"/>
      <c r="BT1003" s="80"/>
      <c r="BU1003" s="80"/>
      <c r="BV1003" s="80"/>
      <c r="BW1003" s="80"/>
      <c r="BX1003" s="80"/>
      <c r="BY1003" s="80"/>
      <c r="BZ1003" s="80"/>
      <c r="CA1003" s="80"/>
      <c r="CB1003" s="80"/>
      <c r="CC1003" s="80"/>
      <c r="CD1003" s="80"/>
      <c r="CE1003" s="80"/>
      <c r="CF1003" s="80"/>
      <c r="CG1003" s="80"/>
      <c r="CH1003" s="80"/>
      <c r="CI1003" s="80"/>
      <c r="CJ1003" s="80"/>
      <c r="CK1003" s="82"/>
      <c r="CL1003" s="12"/>
      <c r="CM1003" s="82"/>
      <c r="CN1003" s="12"/>
      <c r="CO1003" s="82"/>
      <c r="CP1003" s="12"/>
      <c r="CQ1003" s="83">
        <f t="shared" ref="CQ1003:CQ1008" si="181">AJ1003+AL1003+AN1003+AP1003+AR1003+AT1003+AV1003+AX1003+AZ1003+BB1003+BD1003+BF1003+BH1003+BJ1003+BL1003+BN1003+BP1003+BR1003+BT1003+BV1003+BX1003+BZ1003+CB1003+CD1003+CF1003+CH1003+CJ1003+CL1003+CN1003+CP1003</f>
        <v>0</v>
      </c>
      <c r="CR1003" s="84"/>
      <c r="CS1003" s="13"/>
      <c r="CT1003" s="85"/>
      <c r="CU1003" s="86"/>
      <c r="CV1003" s="11"/>
      <c r="CW1003" s="86"/>
      <c r="CX1003" s="84"/>
      <c r="CY1003" s="86"/>
    </row>
    <row r="1004" spans="1:104" ht="76.5" x14ac:dyDescent="0.2">
      <c r="A1004" s="43">
        <v>40125</v>
      </c>
      <c r="B1004" s="44" t="s">
        <v>625</v>
      </c>
      <c r="C1004" s="44" t="s">
        <v>470</v>
      </c>
      <c r="D1004" s="45" t="s">
        <v>1118</v>
      </c>
      <c r="E1004" s="11"/>
      <c r="F1004" s="12"/>
      <c r="G1004" s="12"/>
      <c r="H1004" s="12">
        <v>475</v>
      </c>
      <c r="I1004" s="12">
        <v>95</v>
      </c>
      <c r="J1004" s="12"/>
      <c r="K1004" s="12">
        <v>95</v>
      </c>
      <c r="L1004" s="12"/>
      <c r="M1004" s="12"/>
      <c r="N1004" s="12"/>
      <c r="O1004" s="12"/>
      <c r="P1004" s="12"/>
      <c r="Q1004" s="12"/>
      <c r="R1004" s="12"/>
      <c r="S1004" s="12"/>
      <c r="T1004" s="13"/>
      <c r="U1004" s="46"/>
      <c r="V1004" s="47"/>
      <c r="W1004" s="48">
        <f t="shared" si="176"/>
        <v>0</v>
      </c>
      <c r="X1004" s="48">
        <f t="shared" si="177"/>
        <v>0</v>
      </c>
      <c r="Y1004" s="48">
        <f t="shared" si="178"/>
        <v>0</v>
      </c>
      <c r="Z1004" s="48">
        <f t="shared" si="179"/>
        <v>0</v>
      </c>
      <c r="AA1004" s="48"/>
      <c r="AB1004" s="48"/>
      <c r="AC1004" s="49">
        <f t="shared" si="180"/>
        <v>0</v>
      </c>
      <c r="AD1004" s="50">
        <v>0</v>
      </c>
      <c r="AE1004" s="47">
        <v>40126</v>
      </c>
      <c r="AF1004" s="51" t="s">
        <v>516</v>
      </c>
      <c r="AG1004" s="52" t="s">
        <v>517</v>
      </c>
      <c r="AH1004" s="53" t="s">
        <v>1035</v>
      </c>
      <c r="AI1004" s="79"/>
      <c r="AJ1004" s="80"/>
      <c r="AK1004" s="81"/>
      <c r="AL1004" s="80"/>
      <c r="AM1004" s="80"/>
      <c r="AN1004" s="80"/>
      <c r="AO1004" s="80"/>
      <c r="AP1004" s="80"/>
      <c r="AQ1004" s="80"/>
      <c r="AR1004" s="80"/>
      <c r="AS1004" s="80"/>
      <c r="AT1004" s="80"/>
      <c r="AU1004" s="80"/>
      <c r="AV1004" s="80"/>
      <c r="AW1004" s="80"/>
      <c r="AX1004" s="80"/>
      <c r="AY1004" s="80"/>
      <c r="AZ1004" s="80"/>
      <c r="BA1004" s="80"/>
      <c r="BB1004" s="80"/>
      <c r="BC1004" s="80"/>
      <c r="BD1004" s="80"/>
      <c r="BE1004" s="80"/>
      <c r="BF1004" s="80"/>
      <c r="BG1004" s="80"/>
      <c r="BH1004" s="80"/>
      <c r="BI1004" s="80"/>
      <c r="BJ1004" s="80"/>
      <c r="BK1004" s="80"/>
      <c r="BL1004" s="80"/>
      <c r="BM1004" s="80"/>
      <c r="BN1004" s="80"/>
      <c r="BO1004" s="80"/>
      <c r="BP1004" s="80"/>
      <c r="BQ1004" s="80"/>
      <c r="BR1004" s="80"/>
      <c r="BS1004" s="80"/>
      <c r="BT1004" s="80"/>
      <c r="BU1004" s="80"/>
      <c r="BV1004" s="80"/>
      <c r="BW1004" s="80"/>
      <c r="BX1004" s="80"/>
      <c r="BY1004" s="80"/>
      <c r="BZ1004" s="80"/>
      <c r="CA1004" s="80"/>
      <c r="CB1004" s="80"/>
      <c r="CC1004" s="80"/>
      <c r="CD1004" s="80"/>
      <c r="CE1004" s="80"/>
      <c r="CF1004" s="80"/>
      <c r="CG1004" s="80"/>
      <c r="CH1004" s="80"/>
      <c r="CI1004" s="80"/>
      <c r="CJ1004" s="80"/>
      <c r="CK1004" s="82"/>
      <c r="CL1004" s="12"/>
      <c r="CM1004" s="82"/>
      <c r="CN1004" s="12"/>
      <c r="CO1004" s="82"/>
      <c r="CP1004" s="12"/>
      <c r="CQ1004" s="83">
        <f t="shared" si="181"/>
        <v>0</v>
      </c>
      <c r="CR1004" s="84"/>
      <c r="CS1004" s="13"/>
      <c r="CT1004" s="85"/>
      <c r="CU1004" s="86"/>
      <c r="CV1004" s="11"/>
      <c r="CW1004" s="86"/>
      <c r="CX1004" s="84"/>
      <c r="CY1004" s="86"/>
    </row>
    <row r="1005" spans="1:104" ht="38.25" x14ac:dyDescent="0.2">
      <c r="A1005" s="43">
        <v>40125</v>
      </c>
      <c r="B1005" s="44" t="s">
        <v>688</v>
      </c>
      <c r="C1005" s="44" t="s">
        <v>201</v>
      </c>
      <c r="D1005" s="45" t="s">
        <v>1116</v>
      </c>
      <c r="E1005" s="11"/>
      <c r="F1005" s="12"/>
      <c r="G1005" s="12"/>
      <c r="H1005" s="12">
        <v>20</v>
      </c>
      <c r="I1005" s="12">
        <v>4</v>
      </c>
      <c r="J1005" s="12"/>
      <c r="K1005" s="12">
        <v>4</v>
      </c>
      <c r="L1005" s="12"/>
      <c r="M1005" s="12"/>
      <c r="N1005" s="12"/>
      <c r="O1005" s="12"/>
      <c r="P1005" s="12"/>
      <c r="Q1005" s="12"/>
      <c r="R1005" s="12"/>
      <c r="S1005" s="12"/>
      <c r="T1005" s="13"/>
      <c r="U1005" s="46"/>
      <c r="V1005" s="47"/>
      <c r="W1005" s="48">
        <f t="shared" si="176"/>
        <v>0</v>
      </c>
      <c r="X1005" s="48">
        <f t="shared" si="177"/>
        <v>0</v>
      </c>
      <c r="Y1005" s="48">
        <f t="shared" si="178"/>
        <v>0</v>
      </c>
      <c r="Z1005" s="48">
        <f t="shared" si="179"/>
        <v>0</v>
      </c>
      <c r="AA1005" s="48"/>
      <c r="AB1005" s="48"/>
      <c r="AC1005" s="49">
        <f t="shared" si="180"/>
        <v>0</v>
      </c>
      <c r="AD1005" s="50">
        <v>0</v>
      </c>
      <c r="AE1005" s="47">
        <v>40128</v>
      </c>
      <c r="AF1005" s="51" t="s">
        <v>516</v>
      </c>
      <c r="AG1005" s="52" t="s">
        <v>517</v>
      </c>
      <c r="AH1005" s="53" t="s">
        <v>317</v>
      </c>
      <c r="AI1005" s="79"/>
      <c r="AJ1005" s="80"/>
      <c r="AK1005" s="81"/>
      <c r="AL1005" s="80"/>
      <c r="AM1005" s="80"/>
      <c r="AN1005" s="80"/>
      <c r="AO1005" s="80"/>
      <c r="AP1005" s="80"/>
      <c r="AQ1005" s="80"/>
      <c r="AR1005" s="80"/>
      <c r="AS1005" s="80"/>
      <c r="AT1005" s="80"/>
      <c r="AU1005" s="80"/>
      <c r="AV1005" s="80"/>
      <c r="AW1005" s="80"/>
      <c r="AX1005" s="80"/>
      <c r="AY1005" s="80"/>
      <c r="AZ1005" s="80"/>
      <c r="BA1005" s="80"/>
      <c r="BB1005" s="80"/>
      <c r="BC1005" s="80"/>
      <c r="BD1005" s="80"/>
      <c r="BE1005" s="80"/>
      <c r="BF1005" s="80"/>
      <c r="BG1005" s="80"/>
      <c r="BH1005" s="80"/>
      <c r="BI1005" s="80"/>
      <c r="BJ1005" s="80"/>
      <c r="BK1005" s="80"/>
      <c r="BL1005" s="80"/>
      <c r="BM1005" s="80"/>
      <c r="BN1005" s="80"/>
      <c r="BO1005" s="80"/>
      <c r="BP1005" s="80"/>
      <c r="BQ1005" s="80"/>
      <c r="BR1005" s="80"/>
      <c r="BS1005" s="80"/>
      <c r="BT1005" s="80"/>
      <c r="BU1005" s="80"/>
      <c r="BV1005" s="80"/>
      <c r="BW1005" s="80"/>
      <c r="BX1005" s="80"/>
      <c r="BY1005" s="80"/>
      <c r="BZ1005" s="80"/>
      <c r="CA1005" s="80"/>
      <c r="CB1005" s="80"/>
      <c r="CC1005" s="80"/>
      <c r="CD1005" s="80"/>
      <c r="CE1005" s="80"/>
      <c r="CF1005" s="80"/>
      <c r="CG1005" s="80"/>
      <c r="CH1005" s="80"/>
      <c r="CI1005" s="80"/>
      <c r="CJ1005" s="80"/>
      <c r="CK1005" s="82"/>
      <c r="CL1005" s="12"/>
      <c r="CM1005" s="82"/>
      <c r="CN1005" s="12"/>
      <c r="CO1005" s="82"/>
      <c r="CP1005" s="12"/>
      <c r="CQ1005" s="83">
        <f t="shared" si="181"/>
        <v>0</v>
      </c>
      <c r="CR1005" s="84"/>
      <c r="CS1005" s="13"/>
      <c r="CT1005" s="85"/>
      <c r="CU1005" s="86"/>
      <c r="CV1005" s="11"/>
      <c r="CW1005" s="86"/>
      <c r="CX1005" s="84"/>
      <c r="CY1005" s="86"/>
    </row>
    <row r="1006" spans="1:104" ht="25.5" x14ac:dyDescent="0.2">
      <c r="A1006" s="43">
        <v>40125</v>
      </c>
      <c r="B1006" s="44" t="s">
        <v>625</v>
      </c>
      <c r="C1006" s="44" t="s">
        <v>1051</v>
      </c>
      <c r="D1006" s="45" t="s">
        <v>1092</v>
      </c>
      <c r="E1006" s="11"/>
      <c r="F1006" s="12"/>
      <c r="G1006" s="12"/>
      <c r="H1006" s="12">
        <v>23</v>
      </c>
      <c r="I1006" s="12">
        <v>4</v>
      </c>
      <c r="J1006" s="12">
        <v>2</v>
      </c>
      <c r="K1006" s="12">
        <v>2</v>
      </c>
      <c r="L1006" s="12"/>
      <c r="M1006" s="12"/>
      <c r="N1006" s="12"/>
      <c r="O1006" s="12"/>
      <c r="P1006" s="12"/>
      <c r="Q1006" s="12"/>
      <c r="R1006" s="12"/>
      <c r="S1006" s="12"/>
      <c r="T1006" s="13"/>
      <c r="U1006" s="46"/>
      <c r="V1006" s="47"/>
      <c r="W1006" s="48">
        <f t="shared" si="176"/>
        <v>0</v>
      </c>
      <c r="X1006" s="48">
        <f t="shared" si="177"/>
        <v>0</v>
      </c>
      <c r="Y1006" s="48">
        <f t="shared" si="178"/>
        <v>0</v>
      </c>
      <c r="Z1006" s="48">
        <f t="shared" si="179"/>
        <v>0</v>
      </c>
      <c r="AA1006" s="48"/>
      <c r="AB1006" s="48"/>
      <c r="AC1006" s="49">
        <f t="shared" si="180"/>
        <v>0</v>
      </c>
      <c r="AD1006" s="50">
        <v>0</v>
      </c>
      <c r="AE1006" s="47">
        <v>40128</v>
      </c>
      <c r="AF1006" s="51" t="s">
        <v>516</v>
      </c>
      <c r="AG1006" s="52" t="s">
        <v>517</v>
      </c>
      <c r="AH1006" s="53" t="s">
        <v>1281</v>
      </c>
      <c r="AI1006" s="79"/>
      <c r="AJ1006" s="80"/>
      <c r="AK1006" s="81"/>
      <c r="AL1006" s="80"/>
      <c r="AM1006" s="80"/>
      <c r="AN1006" s="80"/>
      <c r="AO1006" s="80"/>
      <c r="AP1006" s="80"/>
      <c r="AQ1006" s="80"/>
      <c r="AR1006" s="80"/>
      <c r="AS1006" s="80"/>
      <c r="AT1006" s="80"/>
      <c r="AU1006" s="80"/>
      <c r="AV1006" s="80"/>
      <c r="AW1006" s="80"/>
      <c r="AX1006" s="80"/>
      <c r="AY1006" s="80"/>
      <c r="AZ1006" s="80"/>
      <c r="BA1006" s="80"/>
      <c r="BB1006" s="80"/>
      <c r="BC1006" s="80"/>
      <c r="BD1006" s="80"/>
      <c r="BE1006" s="80"/>
      <c r="BF1006" s="80"/>
      <c r="BG1006" s="80"/>
      <c r="BH1006" s="80"/>
      <c r="BI1006" s="80"/>
      <c r="BJ1006" s="80"/>
      <c r="BK1006" s="80"/>
      <c r="BL1006" s="80"/>
      <c r="BM1006" s="80"/>
      <c r="BN1006" s="80"/>
      <c r="BO1006" s="80"/>
      <c r="BP1006" s="80"/>
      <c r="BQ1006" s="80"/>
      <c r="BR1006" s="80"/>
      <c r="BS1006" s="80"/>
      <c r="BT1006" s="80"/>
      <c r="BU1006" s="80"/>
      <c r="BV1006" s="80"/>
      <c r="BW1006" s="80"/>
      <c r="BX1006" s="80"/>
      <c r="BY1006" s="80"/>
      <c r="BZ1006" s="80"/>
      <c r="CA1006" s="80"/>
      <c r="CB1006" s="80"/>
      <c r="CC1006" s="80"/>
      <c r="CD1006" s="80"/>
      <c r="CE1006" s="80"/>
      <c r="CF1006" s="80"/>
      <c r="CG1006" s="80"/>
      <c r="CH1006" s="80"/>
      <c r="CI1006" s="80"/>
      <c r="CJ1006" s="80"/>
      <c r="CK1006" s="82"/>
      <c r="CL1006" s="12"/>
      <c r="CM1006" s="82"/>
      <c r="CN1006" s="12"/>
      <c r="CO1006" s="82"/>
      <c r="CP1006" s="12"/>
      <c r="CQ1006" s="83">
        <f t="shared" si="181"/>
        <v>0</v>
      </c>
      <c r="CR1006" s="84"/>
      <c r="CS1006" s="13"/>
      <c r="CT1006" s="85"/>
      <c r="CU1006" s="86"/>
      <c r="CV1006" s="11"/>
      <c r="CW1006" s="86"/>
      <c r="CX1006" s="84"/>
      <c r="CY1006" s="86"/>
    </row>
    <row r="1007" spans="1:104" ht="127.5" x14ac:dyDescent="0.2">
      <c r="A1007" s="43">
        <v>40125</v>
      </c>
      <c r="B1007" s="44" t="s">
        <v>413</v>
      </c>
      <c r="C1007" s="44" t="s">
        <v>470</v>
      </c>
      <c r="D1007" s="45" t="s">
        <v>1092</v>
      </c>
      <c r="E1007" s="11"/>
      <c r="F1007" s="12"/>
      <c r="G1007" s="12"/>
      <c r="H1007" s="12">
        <v>2000</v>
      </c>
      <c r="I1007" s="12">
        <v>400</v>
      </c>
      <c r="J1007" s="12">
        <v>50</v>
      </c>
      <c r="K1007" s="12">
        <v>80</v>
      </c>
      <c r="L1007" s="12">
        <v>15</v>
      </c>
      <c r="M1007" s="12">
        <v>1</v>
      </c>
      <c r="N1007" s="12"/>
      <c r="O1007" s="12">
        <v>6</v>
      </c>
      <c r="P1007" s="12"/>
      <c r="Q1007" s="12"/>
      <c r="R1007" s="12"/>
      <c r="S1007" s="12"/>
      <c r="T1007" s="13"/>
      <c r="U1007" s="46"/>
      <c r="V1007" s="47">
        <v>40136</v>
      </c>
      <c r="W1007" s="48">
        <f t="shared" si="176"/>
        <v>0</v>
      </c>
      <c r="X1007" s="48">
        <f t="shared" si="177"/>
        <v>0</v>
      </c>
      <c r="Y1007" s="48">
        <f t="shared" si="178"/>
        <v>0</v>
      </c>
      <c r="Z1007" s="48">
        <f t="shared" si="179"/>
        <v>0</v>
      </c>
      <c r="AA1007" s="48"/>
      <c r="AB1007" s="48">
        <v>100000000</v>
      </c>
      <c r="AC1007" s="49">
        <f t="shared" si="180"/>
        <v>100000000</v>
      </c>
      <c r="AD1007" s="50">
        <v>0</v>
      </c>
      <c r="AE1007" s="47">
        <v>40128</v>
      </c>
      <c r="AF1007" s="51" t="s">
        <v>1016</v>
      </c>
      <c r="AG1007" s="52" t="s">
        <v>565</v>
      </c>
      <c r="AH1007" s="53" t="s">
        <v>42</v>
      </c>
      <c r="AI1007" s="79"/>
      <c r="AJ1007" s="80"/>
      <c r="AK1007" s="81"/>
      <c r="AL1007" s="80"/>
      <c r="AM1007" s="80"/>
      <c r="AN1007" s="80"/>
      <c r="AO1007" s="80"/>
      <c r="AP1007" s="80"/>
      <c r="AQ1007" s="80"/>
      <c r="AR1007" s="80"/>
      <c r="AS1007" s="80"/>
      <c r="AT1007" s="80"/>
      <c r="AU1007" s="80"/>
      <c r="AV1007" s="80"/>
      <c r="AW1007" s="80"/>
      <c r="AX1007" s="80"/>
      <c r="AY1007" s="80"/>
      <c r="AZ1007" s="80"/>
      <c r="BA1007" s="80"/>
      <c r="BB1007" s="80"/>
      <c r="BC1007" s="80"/>
      <c r="BD1007" s="80"/>
      <c r="BE1007" s="80"/>
      <c r="BF1007" s="80"/>
      <c r="BG1007" s="80"/>
      <c r="BH1007" s="80"/>
      <c r="BI1007" s="80"/>
      <c r="BJ1007" s="80"/>
      <c r="BK1007" s="80"/>
      <c r="BL1007" s="80"/>
      <c r="BM1007" s="80"/>
      <c r="BN1007" s="80"/>
      <c r="BO1007" s="80"/>
      <c r="BP1007" s="80"/>
      <c r="BQ1007" s="80"/>
      <c r="BR1007" s="80"/>
      <c r="BS1007" s="80"/>
      <c r="BT1007" s="80"/>
      <c r="BU1007" s="80"/>
      <c r="BV1007" s="80"/>
      <c r="BW1007" s="80"/>
      <c r="BX1007" s="80"/>
      <c r="BY1007" s="80"/>
      <c r="BZ1007" s="80"/>
      <c r="CA1007" s="80"/>
      <c r="CB1007" s="80"/>
      <c r="CC1007" s="80"/>
      <c r="CD1007" s="80"/>
      <c r="CE1007" s="80"/>
      <c r="CF1007" s="80"/>
      <c r="CG1007" s="80"/>
      <c r="CH1007" s="80"/>
      <c r="CI1007" s="80"/>
      <c r="CJ1007" s="80"/>
      <c r="CK1007" s="82"/>
      <c r="CL1007" s="12"/>
      <c r="CM1007" s="82"/>
      <c r="CN1007" s="12"/>
      <c r="CO1007" s="82"/>
      <c r="CP1007" s="12"/>
      <c r="CQ1007" s="83">
        <f t="shared" si="181"/>
        <v>0</v>
      </c>
      <c r="CR1007" s="84"/>
      <c r="CS1007" s="13"/>
      <c r="CT1007" s="85"/>
      <c r="CU1007" s="86"/>
      <c r="CV1007" s="11"/>
      <c r="CW1007" s="86"/>
      <c r="CX1007" s="84"/>
      <c r="CY1007" s="86"/>
    </row>
    <row r="1008" spans="1:104" ht="25.5" x14ac:dyDescent="0.2">
      <c r="A1008" s="43">
        <v>40125</v>
      </c>
      <c r="B1008" s="44" t="s">
        <v>413</v>
      </c>
      <c r="C1008" s="44" t="s">
        <v>1454</v>
      </c>
      <c r="D1008" s="45" t="s">
        <v>1118</v>
      </c>
      <c r="E1008" s="11"/>
      <c r="F1008" s="12"/>
      <c r="G1008" s="12"/>
      <c r="H1008" s="12"/>
      <c r="I1008" s="12"/>
      <c r="J1008" s="12"/>
      <c r="K1008" s="12"/>
      <c r="L1008" s="12"/>
      <c r="M1008" s="12"/>
      <c r="N1008" s="12"/>
      <c r="O1008" s="12"/>
      <c r="P1008" s="12"/>
      <c r="Q1008" s="12"/>
      <c r="R1008" s="12"/>
      <c r="S1008" s="12"/>
      <c r="T1008" s="13"/>
      <c r="U1008" s="46"/>
      <c r="V1008" s="47">
        <v>40163</v>
      </c>
      <c r="W1008" s="48">
        <f t="shared" si="176"/>
        <v>74999940</v>
      </c>
      <c r="X1008" s="48">
        <f t="shared" si="177"/>
        <v>85000000</v>
      </c>
      <c r="Y1008" s="48">
        <f t="shared" si="178"/>
        <v>0</v>
      </c>
      <c r="Z1008" s="48">
        <f t="shared" si="179"/>
        <v>0</v>
      </c>
      <c r="AA1008" s="48"/>
      <c r="AB1008" s="48"/>
      <c r="AC1008" s="49">
        <f t="shared" si="180"/>
        <v>159999940</v>
      </c>
      <c r="AD1008" s="50">
        <v>0</v>
      </c>
      <c r="AE1008" s="47">
        <v>39764</v>
      </c>
      <c r="AF1008" s="51" t="s">
        <v>1016</v>
      </c>
      <c r="AG1008" s="52" t="s">
        <v>565</v>
      </c>
      <c r="AH1008" s="54" t="s">
        <v>1306</v>
      </c>
      <c r="AI1008" s="79"/>
      <c r="AJ1008" s="80"/>
      <c r="AK1008" s="81"/>
      <c r="AL1008" s="80"/>
      <c r="AM1008" s="80"/>
      <c r="AN1008" s="80"/>
      <c r="AO1008" s="80"/>
      <c r="AP1008" s="80"/>
      <c r="AQ1008" s="80"/>
      <c r="AR1008" s="80"/>
      <c r="AS1008" s="80"/>
      <c r="AT1008" s="80"/>
      <c r="AU1008" s="80"/>
      <c r="AV1008" s="80"/>
      <c r="AW1008" s="80"/>
      <c r="AX1008" s="80"/>
      <c r="AY1008" s="80"/>
      <c r="AZ1008" s="80"/>
      <c r="BA1008" s="80"/>
      <c r="BB1008" s="80"/>
      <c r="BC1008" s="80"/>
      <c r="BD1008" s="80"/>
      <c r="BE1008" s="80"/>
      <c r="BF1008" s="80"/>
      <c r="BG1008" s="80"/>
      <c r="BH1008" s="80"/>
      <c r="BI1008" s="80"/>
      <c r="BJ1008" s="80"/>
      <c r="BK1008" s="80"/>
      <c r="BL1008" s="80"/>
      <c r="BM1008" s="80"/>
      <c r="BN1008" s="80"/>
      <c r="BO1008" s="80"/>
      <c r="BP1008" s="80"/>
      <c r="BQ1008" s="80"/>
      <c r="BR1008" s="80"/>
      <c r="BS1008" s="80"/>
      <c r="BT1008" s="80"/>
      <c r="BU1008" s="80"/>
      <c r="BV1008" s="80"/>
      <c r="BW1008" s="80"/>
      <c r="BX1008" s="80"/>
      <c r="BY1008" s="80"/>
      <c r="BZ1008" s="80"/>
      <c r="CA1008" s="80"/>
      <c r="CB1008" s="80"/>
      <c r="CC1008" s="80"/>
      <c r="CD1008" s="80"/>
      <c r="CE1008" s="80"/>
      <c r="CF1008" s="80"/>
      <c r="CG1008" s="80"/>
      <c r="CH1008" s="80"/>
      <c r="CI1008" s="80"/>
      <c r="CJ1008" s="80"/>
      <c r="CK1008" s="82">
        <v>1000</v>
      </c>
      <c r="CL1008" s="12">
        <f>1000*36999.94</f>
        <v>36999940</v>
      </c>
      <c r="CM1008" s="82">
        <v>1000</v>
      </c>
      <c r="CN1008" s="12">
        <f>1000*38000</f>
        <v>38000000</v>
      </c>
      <c r="CO1008" s="82"/>
      <c r="CP1008" s="12"/>
      <c r="CQ1008" s="83">
        <f t="shared" si="181"/>
        <v>74999940</v>
      </c>
      <c r="CR1008" s="84"/>
      <c r="CS1008" s="13"/>
      <c r="CT1008" s="85">
        <v>1000</v>
      </c>
      <c r="CU1008" s="86">
        <f>1000*85000</f>
        <v>85000000</v>
      </c>
      <c r="CV1008" s="11"/>
      <c r="CW1008" s="86"/>
      <c r="CX1008" s="84"/>
      <c r="CY1008" s="86"/>
    </row>
    <row r="1009" spans="1:103" ht="89.25" x14ac:dyDescent="0.2">
      <c r="A1009" s="43">
        <v>40126</v>
      </c>
      <c r="B1009" s="44" t="s">
        <v>1350</v>
      </c>
      <c r="C1009" s="44" t="s">
        <v>285</v>
      </c>
      <c r="D1009" s="45" t="s">
        <v>1118</v>
      </c>
      <c r="E1009" s="11"/>
      <c r="F1009" s="12"/>
      <c r="G1009" s="12"/>
      <c r="H1009" s="12">
        <v>10</v>
      </c>
      <c r="I1009" s="12">
        <v>2</v>
      </c>
      <c r="J1009" s="12"/>
      <c r="K1009" s="12">
        <v>2</v>
      </c>
      <c r="L1009" s="12">
        <v>1</v>
      </c>
      <c r="M1009" s="12"/>
      <c r="N1009" s="12"/>
      <c r="O1009" s="12"/>
      <c r="P1009" s="12"/>
      <c r="Q1009" s="12"/>
      <c r="R1009" s="12"/>
      <c r="S1009" s="12"/>
      <c r="T1009" s="13"/>
      <c r="U1009" s="46"/>
      <c r="V1009" s="47">
        <v>40190</v>
      </c>
      <c r="W1009" s="48">
        <f t="shared" ref="W1009:W1015" si="182">CQ1009</f>
        <v>0</v>
      </c>
      <c r="X1009" s="48">
        <f t="shared" ref="X1009:X1015" si="183">CU1009</f>
        <v>0</v>
      </c>
      <c r="Y1009" s="48">
        <f t="shared" ref="Y1009:Y1015" si="184">CW1009+CY1009</f>
        <v>0</v>
      </c>
      <c r="Z1009" s="48">
        <f t="shared" ref="Z1009:Z1015" si="185">CS1009</f>
        <v>0</v>
      </c>
      <c r="AA1009" s="48"/>
      <c r="AB1009" s="48">
        <v>91239670</v>
      </c>
      <c r="AC1009" s="49">
        <f t="shared" ref="AC1009:AC1015" si="186">W1009+X1009+Y1009+Z1009+AA1009+AB1009</f>
        <v>91239670</v>
      </c>
      <c r="AD1009" s="50">
        <v>0</v>
      </c>
      <c r="AE1009" s="47">
        <v>40128</v>
      </c>
      <c r="AF1009" s="51" t="s">
        <v>1016</v>
      </c>
      <c r="AG1009" s="52" t="s">
        <v>565</v>
      </c>
      <c r="AH1009" s="53" t="s">
        <v>43</v>
      </c>
      <c r="AI1009" s="79"/>
      <c r="AJ1009" s="80"/>
      <c r="AK1009" s="81"/>
      <c r="AL1009" s="80"/>
      <c r="AM1009" s="80"/>
      <c r="AN1009" s="80"/>
      <c r="AO1009" s="80"/>
      <c r="AP1009" s="80"/>
      <c r="AQ1009" s="80"/>
      <c r="AR1009" s="80"/>
      <c r="AS1009" s="80"/>
      <c r="AT1009" s="80"/>
      <c r="AU1009" s="80"/>
      <c r="AV1009" s="80"/>
      <c r="AW1009" s="80"/>
      <c r="AX1009" s="80"/>
      <c r="AY1009" s="80"/>
      <c r="AZ1009" s="80"/>
      <c r="BA1009" s="80"/>
      <c r="BB1009" s="80"/>
      <c r="BC1009" s="80"/>
      <c r="BD1009" s="80"/>
      <c r="BE1009" s="80"/>
      <c r="BF1009" s="80"/>
      <c r="BG1009" s="80"/>
      <c r="BH1009" s="80"/>
      <c r="BI1009" s="80"/>
      <c r="BJ1009" s="80"/>
      <c r="BK1009" s="80"/>
      <c r="BL1009" s="80"/>
      <c r="BM1009" s="80"/>
      <c r="BN1009" s="80"/>
      <c r="BO1009" s="80"/>
      <c r="BP1009" s="80"/>
      <c r="BQ1009" s="80"/>
      <c r="BR1009" s="80"/>
      <c r="BS1009" s="80"/>
      <c r="BT1009" s="80"/>
      <c r="BU1009" s="80"/>
      <c r="BV1009" s="80"/>
      <c r="BW1009" s="80"/>
      <c r="BX1009" s="80"/>
      <c r="BY1009" s="80"/>
      <c r="BZ1009" s="80"/>
      <c r="CA1009" s="80"/>
      <c r="CB1009" s="80"/>
      <c r="CC1009" s="80"/>
      <c r="CD1009" s="80"/>
      <c r="CE1009" s="80"/>
      <c r="CF1009" s="80"/>
      <c r="CG1009" s="80"/>
      <c r="CH1009" s="80"/>
      <c r="CI1009" s="80"/>
      <c r="CJ1009" s="80"/>
      <c r="CK1009" s="82"/>
      <c r="CL1009" s="12"/>
      <c r="CM1009" s="82"/>
      <c r="CN1009" s="12"/>
      <c r="CO1009" s="82"/>
      <c r="CP1009" s="12"/>
      <c r="CQ1009" s="83">
        <f t="shared" ref="CQ1009:CQ1015" si="187">AJ1009+AL1009+AN1009+AP1009+AR1009+AT1009+AV1009+AX1009+AZ1009+BB1009+BD1009+BF1009+BH1009+BJ1009+BL1009+BN1009+BP1009+BR1009+BT1009+BV1009+BX1009+BZ1009+CB1009+CD1009+CF1009+CH1009+CJ1009+CL1009+CN1009+CP1009</f>
        <v>0</v>
      </c>
      <c r="CR1009" s="84"/>
      <c r="CS1009" s="13"/>
      <c r="CT1009" s="85"/>
      <c r="CU1009" s="86"/>
      <c r="CV1009" s="11"/>
      <c r="CW1009" s="86"/>
      <c r="CX1009" s="84"/>
      <c r="CY1009" s="86"/>
    </row>
    <row r="1010" spans="1:103" ht="38.25" x14ac:dyDescent="0.2">
      <c r="A1010" s="43">
        <v>40127</v>
      </c>
      <c r="B1010" s="44" t="s">
        <v>1350</v>
      </c>
      <c r="C1010" s="44" t="s">
        <v>238</v>
      </c>
      <c r="D1010" s="45" t="s">
        <v>1117</v>
      </c>
      <c r="E1010" s="11"/>
      <c r="F1010" s="12">
        <v>1</v>
      </c>
      <c r="G1010" s="12"/>
      <c r="H1010" s="12">
        <f>26*5</f>
        <v>130</v>
      </c>
      <c r="I1010" s="12">
        <v>26</v>
      </c>
      <c r="J1010" s="12">
        <v>1</v>
      </c>
      <c r="K1010" s="12">
        <v>25</v>
      </c>
      <c r="L1010" s="12"/>
      <c r="M1010" s="12"/>
      <c r="N1010" s="12"/>
      <c r="O1010" s="12"/>
      <c r="P1010" s="12"/>
      <c r="Q1010" s="12"/>
      <c r="R1010" s="12"/>
      <c r="S1010" s="12">
        <v>1</v>
      </c>
      <c r="T1010" s="13"/>
      <c r="U1010" s="46"/>
      <c r="V1010" s="47"/>
      <c r="W1010" s="48">
        <f t="shared" si="182"/>
        <v>0</v>
      </c>
      <c r="X1010" s="48">
        <f t="shared" si="183"/>
        <v>0</v>
      </c>
      <c r="Y1010" s="48">
        <f t="shared" si="184"/>
        <v>0</v>
      </c>
      <c r="Z1010" s="48">
        <f t="shared" si="185"/>
        <v>0</v>
      </c>
      <c r="AA1010" s="48"/>
      <c r="AB1010" s="48"/>
      <c r="AC1010" s="49">
        <f t="shared" si="186"/>
        <v>0</v>
      </c>
      <c r="AD1010" s="50">
        <v>0</v>
      </c>
      <c r="AE1010" s="47">
        <v>40128</v>
      </c>
      <c r="AF1010" s="51" t="s">
        <v>516</v>
      </c>
      <c r="AG1010" s="52" t="s">
        <v>517</v>
      </c>
      <c r="AH1010" s="53" t="s">
        <v>1422</v>
      </c>
      <c r="AI1010" s="79"/>
      <c r="AJ1010" s="80"/>
      <c r="AK1010" s="81"/>
      <c r="AL1010" s="80"/>
      <c r="AM1010" s="80"/>
      <c r="AN1010" s="80"/>
      <c r="AO1010" s="80"/>
      <c r="AP1010" s="80"/>
      <c r="AQ1010" s="80"/>
      <c r="AR1010" s="80"/>
      <c r="AS1010" s="80"/>
      <c r="AT1010" s="80"/>
      <c r="AU1010" s="80"/>
      <c r="AV1010" s="80"/>
      <c r="AW1010" s="80"/>
      <c r="AX1010" s="80"/>
      <c r="AY1010" s="80"/>
      <c r="AZ1010" s="80"/>
      <c r="BA1010" s="80"/>
      <c r="BB1010" s="80"/>
      <c r="BC1010" s="80"/>
      <c r="BD1010" s="80"/>
      <c r="BE1010" s="80"/>
      <c r="BF1010" s="80"/>
      <c r="BG1010" s="80"/>
      <c r="BH1010" s="80"/>
      <c r="BI1010" s="80"/>
      <c r="BJ1010" s="80"/>
      <c r="BK1010" s="80"/>
      <c r="BL1010" s="80"/>
      <c r="BM1010" s="80"/>
      <c r="BN1010" s="80"/>
      <c r="BO1010" s="80"/>
      <c r="BP1010" s="80"/>
      <c r="BQ1010" s="80"/>
      <c r="BR1010" s="80"/>
      <c r="BS1010" s="80"/>
      <c r="BT1010" s="80"/>
      <c r="BU1010" s="80"/>
      <c r="BV1010" s="80"/>
      <c r="BW1010" s="80"/>
      <c r="BX1010" s="80"/>
      <c r="BY1010" s="80"/>
      <c r="BZ1010" s="80"/>
      <c r="CA1010" s="80"/>
      <c r="CB1010" s="80"/>
      <c r="CC1010" s="80"/>
      <c r="CD1010" s="80"/>
      <c r="CE1010" s="80"/>
      <c r="CF1010" s="80"/>
      <c r="CG1010" s="80"/>
      <c r="CH1010" s="80"/>
      <c r="CI1010" s="80"/>
      <c r="CJ1010" s="80"/>
      <c r="CK1010" s="82"/>
      <c r="CL1010" s="12"/>
      <c r="CM1010" s="82"/>
      <c r="CN1010" s="12"/>
      <c r="CO1010" s="82"/>
      <c r="CP1010" s="12"/>
      <c r="CQ1010" s="83">
        <f t="shared" si="187"/>
        <v>0</v>
      </c>
      <c r="CR1010" s="84"/>
      <c r="CS1010" s="13"/>
      <c r="CT1010" s="85"/>
      <c r="CU1010" s="86"/>
      <c r="CV1010" s="11"/>
      <c r="CW1010" s="86"/>
      <c r="CX1010" s="84"/>
      <c r="CY1010" s="86"/>
    </row>
    <row r="1011" spans="1:103" ht="51" x14ac:dyDescent="0.2">
      <c r="A1011" s="43">
        <v>40128</v>
      </c>
      <c r="B1011" s="44" t="s">
        <v>632</v>
      </c>
      <c r="C1011" s="44" t="s">
        <v>1410</v>
      </c>
      <c r="D1011" s="45" t="s">
        <v>1118</v>
      </c>
      <c r="E1011" s="11"/>
      <c r="F1011" s="12"/>
      <c r="G1011" s="12"/>
      <c r="H1011" s="12">
        <f>30*5</f>
        <v>150</v>
      </c>
      <c r="I1011" s="12">
        <v>30</v>
      </c>
      <c r="J1011" s="12"/>
      <c r="K1011" s="12"/>
      <c r="L1011" s="12"/>
      <c r="M1011" s="12"/>
      <c r="N1011" s="12"/>
      <c r="O1011" s="12"/>
      <c r="P1011" s="12"/>
      <c r="Q1011" s="12"/>
      <c r="R1011" s="12"/>
      <c r="S1011" s="12"/>
      <c r="T1011" s="13"/>
      <c r="U1011" s="46" t="s">
        <v>1317</v>
      </c>
      <c r="V1011" s="47"/>
      <c r="W1011" s="48">
        <f t="shared" si="182"/>
        <v>0</v>
      </c>
      <c r="X1011" s="48">
        <f t="shared" si="183"/>
        <v>0</v>
      </c>
      <c r="Y1011" s="48">
        <f t="shared" si="184"/>
        <v>0</v>
      </c>
      <c r="Z1011" s="48">
        <f t="shared" si="185"/>
        <v>0</v>
      </c>
      <c r="AA1011" s="48"/>
      <c r="AB1011" s="48"/>
      <c r="AC1011" s="49">
        <f t="shared" si="186"/>
        <v>0</v>
      </c>
      <c r="AD1011" s="50">
        <v>0</v>
      </c>
      <c r="AE1011" s="47">
        <v>40129</v>
      </c>
      <c r="AF1011" s="51" t="s">
        <v>516</v>
      </c>
      <c r="AG1011" s="52" t="s">
        <v>517</v>
      </c>
      <c r="AH1011" s="53" t="s">
        <v>1411</v>
      </c>
      <c r="AI1011" s="79"/>
      <c r="AJ1011" s="80"/>
      <c r="AK1011" s="81"/>
      <c r="AL1011" s="80"/>
      <c r="AM1011" s="80"/>
      <c r="AN1011" s="80"/>
      <c r="AO1011" s="80"/>
      <c r="AP1011" s="80"/>
      <c r="AQ1011" s="80"/>
      <c r="AR1011" s="80"/>
      <c r="AS1011" s="80"/>
      <c r="AT1011" s="80"/>
      <c r="AU1011" s="80"/>
      <c r="AV1011" s="80"/>
      <c r="AW1011" s="80"/>
      <c r="AX1011" s="80"/>
      <c r="AY1011" s="80"/>
      <c r="AZ1011" s="80"/>
      <c r="BA1011" s="80"/>
      <c r="BB1011" s="80"/>
      <c r="BC1011" s="80"/>
      <c r="BD1011" s="80"/>
      <c r="BE1011" s="80"/>
      <c r="BF1011" s="80"/>
      <c r="BG1011" s="80"/>
      <c r="BH1011" s="80"/>
      <c r="BI1011" s="80"/>
      <c r="BJ1011" s="80"/>
      <c r="BK1011" s="80"/>
      <c r="BL1011" s="80"/>
      <c r="BM1011" s="80"/>
      <c r="BN1011" s="80"/>
      <c r="BO1011" s="80"/>
      <c r="BP1011" s="80"/>
      <c r="BQ1011" s="80"/>
      <c r="BR1011" s="80"/>
      <c r="BS1011" s="80"/>
      <c r="BT1011" s="80"/>
      <c r="BU1011" s="80"/>
      <c r="BV1011" s="80"/>
      <c r="BW1011" s="80"/>
      <c r="BX1011" s="80"/>
      <c r="BY1011" s="80"/>
      <c r="BZ1011" s="80"/>
      <c r="CA1011" s="80"/>
      <c r="CB1011" s="80"/>
      <c r="CC1011" s="80"/>
      <c r="CD1011" s="80"/>
      <c r="CE1011" s="80"/>
      <c r="CF1011" s="80"/>
      <c r="CG1011" s="80"/>
      <c r="CH1011" s="80"/>
      <c r="CI1011" s="80"/>
      <c r="CJ1011" s="80"/>
      <c r="CK1011" s="82"/>
      <c r="CL1011" s="12"/>
      <c r="CM1011" s="82"/>
      <c r="CN1011" s="12"/>
      <c r="CO1011" s="82"/>
      <c r="CP1011" s="12"/>
      <c r="CQ1011" s="83">
        <f t="shared" si="187"/>
        <v>0</v>
      </c>
      <c r="CR1011" s="84"/>
      <c r="CS1011" s="13"/>
      <c r="CT1011" s="85"/>
      <c r="CU1011" s="86"/>
      <c r="CV1011" s="11"/>
      <c r="CW1011" s="86"/>
      <c r="CX1011" s="84"/>
      <c r="CY1011" s="86"/>
    </row>
    <row r="1012" spans="1:103" ht="25.5" x14ac:dyDescent="0.2">
      <c r="A1012" s="43">
        <v>40129</v>
      </c>
      <c r="B1012" s="44" t="s">
        <v>625</v>
      </c>
      <c r="C1012" s="44" t="s">
        <v>1318</v>
      </c>
      <c r="D1012" s="45" t="s">
        <v>1118</v>
      </c>
      <c r="E1012" s="11"/>
      <c r="F1012" s="12"/>
      <c r="G1012" s="12"/>
      <c r="H1012" s="12">
        <v>165</v>
      </c>
      <c r="I1012" s="12">
        <v>43</v>
      </c>
      <c r="J1012" s="12"/>
      <c r="K1012" s="12">
        <v>43</v>
      </c>
      <c r="L1012" s="12"/>
      <c r="M1012" s="12"/>
      <c r="N1012" s="12"/>
      <c r="O1012" s="12"/>
      <c r="P1012" s="12"/>
      <c r="Q1012" s="12"/>
      <c r="R1012" s="12"/>
      <c r="S1012" s="12"/>
      <c r="T1012" s="13"/>
      <c r="U1012" s="46"/>
      <c r="V1012" s="47"/>
      <c r="W1012" s="48">
        <f t="shared" si="182"/>
        <v>0</v>
      </c>
      <c r="X1012" s="48">
        <f t="shared" si="183"/>
        <v>0</v>
      </c>
      <c r="Y1012" s="48">
        <f t="shared" si="184"/>
        <v>0</v>
      </c>
      <c r="Z1012" s="48">
        <f t="shared" si="185"/>
        <v>0</v>
      </c>
      <c r="AA1012" s="48"/>
      <c r="AB1012" s="48"/>
      <c r="AC1012" s="49">
        <f t="shared" si="186"/>
        <v>0</v>
      </c>
      <c r="AD1012" s="50">
        <v>0</v>
      </c>
      <c r="AE1012" s="47">
        <v>40134</v>
      </c>
      <c r="AF1012" s="51" t="s">
        <v>516</v>
      </c>
      <c r="AG1012" s="52" t="s">
        <v>517</v>
      </c>
      <c r="AH1012" s="53" t="s">
        <v>1319</v>
      </c>
      <c r="AI1012" s="79"/>
      <c r="AJ1012" s="80"/>
      <c r="AK1012" s="81"/>
      <c r="AL1012" s="80"/>
      <c r="AM1012" s="80"/>
      <c r="AN1012" s="80"/>
      <c r="AO1012" s="80"/>
      <c r="AP1012" s="80"/>
      <c r="AQ1012" s="80"/>
      <c r="AR1012" s="80"/>
      <c r="AS1012" s="80"/>
      <c r="AT1012" s="80"/>
      <c r="AU1012" s="80"/>
      <c r="AV1012" s="80"/>
      <c r="AW1012" s="80"/>
      <c r="AX1012" s="80"/>
      <c r="AY1012" s="80"/>
      <c r="AZ1012" s="80"/>
      <c r="BA1012" s="80"/>
      <c r="BB1012" s="80"/>
      <c r="BC1012" s="80"/>
      <c r="BD1012" s="80"/>
      <c r="BE1012" s="80"/>
      <c r="BF1012" s="80"/>
      <c r="BG1012" s="80"/>
      <c r="BH1012" s="80"/>
      <c r="BI1012" s="80"/>
      <c r="BJ1012" s="80"/>
      <c r="BK1012" s="80"/>
      <c r="BL1012" s="80"/>
      <c r="BM1012" s="80"/>
      <c r="BN1012" s="80"/>
      <c r="BO1012" s="80"/>
      <c r="BP1012" s="80"/>
      <c r="BQ1012" s="80"/>
      <c r="BR1012" s="80"/>
      <c r="BS1012" s="80"/>
      <c r="BT1012" s="80"/>
      <c r="BU1012" s="80"/>
      <c r="BV1012" s="80"/>
      <c r="BW1012" s="80"/>
      <c r="BX1012" s="80"/>
      <c r="BY1012" s="80"/>
      <c r="BZ1012" s="80"/>
      <c r="CA1012" s="80"/>
      <c r="CB1012" s="80"/>
      <c r="CC1012" s="80"/>
      <c r="CD1012" s="80"/>
      <c r="CE1012" s="80"/>
      <c r="CF1012" s="80"/>
      <c r="CG1012" s="80"/>
      <c r="CH1012" s="80"/>
      <c r="CI1012" s="80"/>
      <c r="CJ1012" s="80"/>
      <c r="CK1012" s="82"/>
      <c r="CL1012" s="12"/>
      <c r="CM1012" s="82"/>
      <c r="CN1012" s="12"/>
      <c r="CO1012" s="82"/>
      <c r="CP1012" s="12"/>
      <c r="CQ1012" s="83">
        <f t="shared" si="187"/>
        <v>0</v>
      </c>
      <c r="CR1012" s="84"/>
      <c r="CS1012" s="13"/>
      <c r="CT1012" s="85"/>
      <c r="CU1012" s="86"/>
      <c r="CV1012" s="11"/>
      <c r="CW1012" s="86"/>
      <c r="CX1012" s="84"/>
      <c r="CY1012" s="86"/>
    </row>
    <row r="1013" spans="1:103" ht="25.5" x14ac:dyDescent="0.2">
      <c r="A1013" s="43">
        <v>40129</v>
      </c>
      <c r="B1013" s="44" t="s">
        <v>632</v>
      </c>
      <c r="C1013" s="44" t="s">
        <v>1172</v>
      </c>
      <c r="D1013" s="45" t="s">
        <v>736</v>
      </c>
      <c r="E1013" s="11"/>
      <c r="F1013" s="12"/>
      <c r="G1013" s="12"/>
      <c r="H1013" s="12">
        <f>300*5</f>
        <v>1500</v>
      </c>
      <c r="I1013" s="12">
        <v>300</v>
      </c>
      <c r="J1013" s="12"/>
      <c r="K1013" s="12"/>
      <c r="L1013" s="12"/>
      <c r="M1013" s="12"/>
      <c r="N1013" s="12"/>
      <c r="O1013" s="12"/>
      <c r="P1013" s="12"/>
      <c r="Q1013" s="12"/>
      <c r="R1013" s="12"/>
      <c r="S1013" s="12"/>
      <c r="T1013" s="13"/>
      <c r="U1013" s="46"/>
      <c r="V1013" s="47">
        <v>40193</v>
      </c>
      <c r="W1013" s="48">
        <f t="shared" si="182"/>
        <v>74999780</v>
      </c>
      <c r="X1013" s="48">
        <f t="shared" si="183"/>
        <v>85000000</v>
      </c>
      <c r="Y1013" s="48">
        <f t="shared" si="184"/>
        <v>0</v>
      </c>
      <c r="Z1013" s="48">
        <f t="shared" si="185"/>
        <v>0</v>
      </c>
      <c r="AA1013" s="48"/>
      <c r="AB1013" s="48"/>
      <c r="AC1013" s="49">
        <f t="shared" si="186"/>
        <v>159999780</v>
      </c>
      <c r="AD1013" s="50">
        <v>0</v>
      </c>
      <c r="AE1013" s="47">
        <v>40149</v>
      </c>
      <c r="AF1013" s="51" t="s">
        <v>1016</v>
      </c>
      <c r="AG1013" s="52" t="s">
        <v>565</v>
      </c>
      <c r="AH1013" s="53" t="s">
        <v>1173</v>
      </c>
      <c r="AI1013" s="79"/>
      <c r="AJ1013" s="80"/>
      <c r="AK1013" s="81"/>
      <c r="AL1013" s="80"/>
      <c r="AM1013" s="80"/>
      <c r="AN1013" s="80"/>
      <c r="AO1013" s="80"/>
      <c r="AP1013" s="80"/>
      <c r="AQ1013" s="80"/>
      <c r="AR1013" s="80"/>
      <c r="AS1013" s="80"/>
      <c r="AT1013" s="80"/>
      <c r="AU1013" s="80"/>
      <c r="AV1013" s="80"/>
      <c r="AW1013" s="80"/>
      <c r="AX1013" s="80"/>
      <c r="AY1013" s="80"/>
      <c r="AZ1013" s="80"/>
      <c r="BA1013" s="80"/>
      <c r="BB1013" s="80"/>
      <c r="BC1013" s="80"/>
      <c r="BD1013" s="80"/>
      <c r="BE1013" s="80"/>
      <c r="BF1013" s="80"/>
      <c r="BG1013" s="80"/>
      <c r="BH1013" s="80"/>
      <c r="BI1013" s="80"/>
      <c r="BJ1013" s="80"/>
      <c r="BK1013" s="80"/>
      <c r="BL1013" s="80"/>
      <c r="BM1013" s="80"/>
      <c r="BN1013" s="80"/>
      <c r="BO1013" s="80"/>
      <c r="BP1013" s="80"/>
      <c r="BQ1013" s="80"/>
      <c r="BR1013" s="80"/>
      <c r="BS1013" s="80"/>
      <c r="BT1013" s="80"/>
      <c r="BU1013" s="80"/>
      <c r="BV1013" s="80"/>
      <c r="BW1013" s="80"/>
      <c r="BX1013" s="80"/>
      <c r="BY1013" s="80"/>
      <c r="BZ1013" s="80"/>
      <c r="CA1013" s="80"/>
      <c r="CB1013" s="80"/>
      <c r="CC1013" s="80"/>
      <c r="CD1013" s="80"/>
      <c r="CE1013" s="80"/>
      <c r="CF1013" s="80"/>
      <c r="CG1013" s="80"/>
      <c r="CH1013" s="80"/>
      <c r="CI1013" s="80"/>
      <c r="CJ1013" s="80"/>
      <c r="CK1013" s="82">
        <v>1000</v>
      </c>
      <c r="CL1013" s="12">
        <f>1000*38999.78</f>
        <v>38999780</v>
      </c>
      <c r="CM1013" s="82">
        <v>1000</v>
      </c>
      <c r="CN1013" s="12">
        <f>1000*36000</f>
        <v>36000000</v>
      </c>
      <c r="CO1013" s="82"/>
      <c r="CP1013" s="12"/>
      <c r="CQ1013" s="83">
        <f t="shared" si="187"/>
        <v>74999780</v>
      </c>
      <c r="CR1013" s="84"/>
      <c r="CS1013" s="13"/>
      <c r="CT1013" s="85">
        <v>1000</v>
      </c>
      <c r="CU1013" s="86">
        <f>1000*85000</f>
        <v>85000000</v>
      </c>
      <c r="CV1013" s="11"/>
      <c r="CW1013" s="86"/>
      <c r="CX1013" s="84"/>
      <c r="CY1013" s="86"/>
    </row>
    <row r="1014" spans="1:103" ht="12.75" x14ac:dyDescent="0.2">
      <c r="A1014" s="43">
        <v>40129</v>
      </c>
      <c r="B1014" s="44" t="s">
        <v>1091</v>
      </c>
      <c r="C1014" s="44" t="s">
        <v>1311</v>
      </c>
      <c r="D1014" s="45" t="s">
        <v>1118</v>
      </c>
      <c r="E1014" s="11"/>
      <c r="F1014" s="12"/>
      <c r="G1014" s="12"/>
      <c r="H1014" s="12">
        <f>128*5</f>
        <v>640</v>
      </c>
      <c r="I1014" s="12">
        <v>128</v>
      </c>
      <c r="J1014" s="12"/>
      <c r="K1014" s="12"/>
      <c r="L1014" s="12"/>
      <c r="M1014" s="12"/>
      <c r="N1014" s="12"/>
      <c r="O1014" s="12"/>
      <c r="P1014" s="12"/>
      <c r="Q1014" s="12"/>
      <c r="R1014" s="12"/>
      <c r="S1014" s="12"/>
      <c r="T1014" s="13"/>
      <c r="U1014" s="46"/>
      <c r="V1014" s="47"/>
      <c r="W1014" s="48">
        <f t="shared" si="182"/>
        <v>26336000</v>
      </c>
      <c r="X1014" s="48">
        <f t="shared" si="183"/>
        <v>10880000</v>
      </c>
      <c r="Y1014" s="48">
        <f t="shared" si="184"/>
        <v>0</v>
      </c>
      <c r="Z1014" s="48">
        <f t="shared" si="185"/>
        <v>0</v>
      </c>
      <c r="AA1014" s="48"/>
      <c r="AB1014" s="48"/>
      <c r="AC1014" s="49">
        <f t="shared" si="186"/>
        <v>37216000</v>
      </c>
      <c r="AD1014" s="50">
        <v>0</v>
      </c>
      <c r="AE1014" s="47">
        <v>40162</v>
      </c>
      <c r="AF1014" s="51" t="s">
        <v>1016</v>
      </c>
      <c r="AG1014" s="52" t="s">
        <v>565</v>
      </c>
      <c r="AH1014" s="53"/>
      <c r="AI1014" s="79"/>
      <c r="AJ1014" s="80"/>
      <c r="AK1014" s="81"/>
      <c r="AL1014" s="80"/>
      <c r="AM1014" s="80"/>
      <c r="AN1014" s="80"/>
      <c r="AO1014" s="80"/>
      <c r="AP1014" s="80"/>
      <c r="AQ1014" s="80"/>
      <c r="AR1014" s="80"/>
      <c r="AS1014" s="80"/>
      <c r="AT1014" s="80"/>
      <c r="AU1014" s="80">
        <v>300</v>
      </c>
      <c r="AV1014" s="80">
        <f>300*56000</f>
        <v>16800000</v>
      </c>
      <c r="AW1014" s="80"/>
      <c r="AX1014" s="80"/>
      <c r="AY1014" s="80"/>
      <c r="AZ1014" s="80"/>
      <c r="BA1014" s="80"/>
      <c r="BB1014" s="80"/>
      <c r="BC1014" s="80"/>
      <c r="BD1014" s="80"/>
      <c r="BE1014" s="80"/>
      <c r="BF1014" s="80"/>
      <c r="BG1014" s="80"/>
      <c r="BH1014" s="80"/>
      <c r="BI1014" s="80"/>
      <c r="BJ1014" s="80"/>
      <c r="BK1014" s="80"/>
      <c r="BL1014" s="80"/>
      <c r="BM1014" s="80"/>
      <c r="BN1014" s="80"/>
      <c r="BO1014" s="80"/>
      <c r="BP1014" s="80"/>
      <c r="BQ1014" s="80"/>
      <c r="BR1014" s="80"/>
      <c r="BS1014" s="80"/>
      <c r="BT1014" s="80"/>
      <c r="BU1014" s="80"/>
      <c r="BV1014" s="80"/>
      <c r="BW1014" s="80"/>
      <c r="BX1014" s="80"/>
      <c r="BY1014" s="80"/>
      <c r="BZ1014" s="80"/>
      <c r="CA1014" s="80"/>
      <c r="CB1014" s="80"/>
      <c r="CC1014" s="80"/>
      <c r="CD1014" s="80"/>
      <c r="CE1014" s="80"/>
      <c r="CF1014" s="80"/>
      <c r="CG1014" s="80"/>
      <c r="CH1014" s="80"/>
      <c r="CI1014" s="80"/>
      <c r="CJ1014" s="80"/>
      <c r="CK1014" s="82">
        <v>128</v>
      </c>
      <c r="CL1014" s="12">
        <f>128*38500</f>
        <v>4928000</v>
      </c>
      <c r="CM1014" s="82">
        <v>128</v>
      </c>
      <c r="CN1014" s="12">
        <f>128*36000</f>
        <v>4608000</v>
      </c>
      <c r="CO1014" s="82"/>
      <c r="CP1014" s="12"/>
      <c r="CQ1014" s="83">
        <f t="shared" si="187"/>
        <v>26336000</v>
      </c>
      <c r="CR1014" s="84"/>
      <c r="CS1014" s="13"/>
      <c r="CT1014" s="85">
        <v>128</v>
      </c>
      <c r="CU1014" s="86">
        <f>128*85000</f>
        <v>10880000</v>
      </c>
      <c r="CV1014" s="11"/>
      <c r="CW1014" s="86"/>
      <c r="CX1014" s="84"/>
      <c r="CY1014" s="86"/>
    </row>
    <row r="1015" spans="1:103" ht="51" x14ac:dyDescent="0.2">
      <c r="A1015" s="43">
        <v>40132</v>
      </c>
      <c r="B1015" s="44" t="s">
        <v>625</v>
      </c>
      <c r="C1015" s="44" t="s">
        <v>1030</v>
      </c>
      <c r="D1015" s="45" t="s">
        <v>1118</v>
      </c>
      <c r="E1015" s="11"/>
      <c r="F1015" s="12"/>
      <c r="G1015" s="12"/>
      <c r="H1015" s="12">
        <v>30</v>
      </c>
      <c r="I1015" s="12">
        <v>6</v>
      </c>
      <c r="J1015" s="12"/>
      <c r="K1015" s="12">
        <v>6</v>
      </c>
      <c r="L1015" s="12"/>
      <c r="M1015" s="12"/>
      <c r="N1015" s="12"/>
      <c r="O1015" s="12"/>
      <c r="P1015" s="12"/>
      <c r="Q1015" s="12"/>
      <c r="R1015" s="12"/>
      <c r="S1015" s="12"/>
      <c r="T1015" s="13"/>
      <c r="U1015" s="46" t="s">
        <v>1032</v>
      </c>
      <c r="V1015" s="47"/>
      <c r="W1015" s="48">
        <f t="shared" si="182"/>
        <v>0</v>
      </c>
      <c r="X1015" s="48">
        <f t="shared" si="183"/>
        <v>0</v>
      </c>
      <c r="Y1015" s="48">
        <f t="shared" si="184"/>
        <v>0</v>
      </c>
      <c r="Z1015" s="48">
        <f t="shared" si="185"/>
        <v>0</v>
      </c>
      <c r="AA1015" s="48"/>
      <c r="AB1015" s="48"/>
      <c r="AC1015" s="49">
        <f t="shared" si="186"/>
        <v>0</v>
      </c>
      <c r="AD1015" s="50">
        <v>0</v>
      </c>
      <c r="AE1015" s="47">
        <v>40134</v>
      </c>
      <c r="AF1015" s="51" t="s">
        <v>516</v>
      </c>
      <c r="AG1015" s="52" t="s">
        <v>517</v>
      </c>
      <c r="AH1015" s="53" t="s">
        <v>1031</v>
      </c>
      <c r="AI1015" s="79"/>
      <c r="AJ1015" s="80"/>
      <c r="AK1015" s="81"/>
      <c r="AL1015" s="80"/>
      <c r="AM1015" s="80"/>
      <c r="AN1015" s="80"/>
      <c r="AO1015" s="80"/>
      <c r="AP1015" s="80"/>
      <c r="AQ1015" s="80"/>
      <c r="AR1015" s="80"/>
      <c r="AS1015" s="80"/>
      <c r="AT1015" s="80"/>
      <c r="AU1015" s="80"/>
      <c r="AV1015" s="80"/>
      <c r="AW1015" s="80"/>
      <c r="AX1015" s="80"/>
      <c r="AY1015" s="80"/>
      <c r="AZ1015" s="80"/>
      <c r="BA1015" s="80"/>
      <c r="BB1015" s="80"/>
      <c r="BC1015" s="80"/>
      <c r="BD1015" s="80"/>
      <c r="BE1015" s="80"/>
      <c r="BF1015" s="80"/>
      <c r="BG1015" s="80"/>
      <c r="BH1015" s="80"/>
      <c r="BI1015" s="80"/>
      <c r="BJ1015" s="80"/>
      <c r="BK1015" s="80"/>
      <c r="BL1015" s="80"/>
      <c r="BM1015" s="80"/>
      <c r="BN1015" s="80"/>
      <c r="BO1015" s="80"/>
      <c r="BP1015" s="80"/>
      <c r="BQ1015" s="80"/>
      <c r="BR1015" s="80"/>
      <c r="BS1015" s="80"/>
      <c r="BT1015" s="80"/>
      <c r="BU1015" s="80"/>
      <c r="BV1015" s="80"/>
      <c r="BW1015" s="80"/>
      <c r="BX1015" s="80"/>
      <c r="BY1015" s="80"/>
      <c r="BZ1015" s="80"/>
      <c r="CA1015" s="80"/>
      <c r="CB1015" s="80"/>
      <c r="CC1015" s="80"/>
      <c r="CD1015" s="80"/>
      <c r="CE1015" s="80"/>
      <c r="CF1015" s="80"/>
      <c r="CG1015" s="80"/>
      <c r="CH1015" s="80"/>
      <c r="CI1015" s="80"/>
      <c r="CJ1015" s="80"/>
      <c r="CK1015" s="82"/>
      <c r="CL1015" s="12"/>
      <c r="CM1015" s="82"/>
      <c r="CN1015" s="12"/>
      <c r="CO1015" s="82"/>
      <c r="CP1015" s="12"/>
      <c r="CQ1015" s="83">
        <f t="shared" si="187"/>
        <v>0</v>
      </c>
      <c r="CR1015" s="84"/>
      <c r="CS1015" s="13"/>
      <c r="CT1015" s="85"/>
      <c r="CU1015" s="86"/>
      <c r="CV1015" s="11"/>
      <c r="CW1015" s="86"/>
      <c r="CX1015" s="84"/>
      <c r="CY1015" s="86"/>
    </row>
    <row r="1016" spans="1:103" ht="25.5" x14ac:dyDescent="0.2">
      <c r="A1016" s="43">
        <v>40133</v>
      </c>
      <c r="B1016" s="44" t="s">
        <v>625</v>
      </c>
      <c r="C1016" s="44" t="s">
        <v>1051</v>
      </c>
      <c r="D1016" s="45" t="s">
        <v>1118</v>
      </c>
      <c r="E1016" s="11"/>
      <c r="F1016" s="12"/>
      <c r="G1016" s="12">
        <v>1</v>
      </c>
      <c r="H1016" s="12">
        <v>25</v>
      </c>
      <c r="I1016" s="12">
        <v>5</v>
      </c>
      <c r="J1016" s="12"/>
      <c r="K1016" s="12">
        <v>5</v>
      </c>
      <c r="L1016" s="12"/>
      <c r="M1016" s="12"/>
      <c r="N1016" s="12"/>
      <c r="O1016" s="12"/>
      <c r="P1016" s="12"/>
      <c r="Q1016" s="12"/>
      <c r="R1016" s="12"/>
      <c r="S1016" s="12"/>
      <c r="T1016" s="13"/>
      <c r="U1016" s="46"/>
      <c r="V1016" s="47"/>
      <c r="W1016" s="48">
        <f t="shared" ref="W1016:W1023" si="188">CQ1016</f>
        <v>0</v>
      </c>
      <c r="X1016" s="48">
        <f t="shared" ref="X1016:X1023" si="189">CU1016</f>
        <v>0</v>
      </c>
      <c r="Y1016" s="48">
        <f t="shared" ref="Y1016:Y1023" si="190">CW1016+CY1016</f>
        <v>0</v>
      </c>
      <c r="Z1016" s="48">
        <f t="shared" ref="Z1016:Z1023" si="191">CS1016</f>
        <v>0</v>
      </c>
      <c r="AA1016" s="48"/>
      <c r="AB1016" s="48"/>
      <c r="AC1016" s="49">
        <f t="shared" ref="AC1016:AC1023" si="192">W1016+X1016+Y1016+Z1016+AA1016+AB1016</f>
        <v>0</v>
      </c>
      <c r="AD1016" s="50">
        <v>0</v>
      </c>
      <c r="AE1016" s="47">
        <v>40134</v>
      </c>
      <c r="AF1016" s="51" t="s">
        <v>516</v>
      </c>
      <c r="AG1016" s="52" t="s">
        <v>517</v>
      </c>
      <c r="AH1016" s="53" t="s">
        <v>364</v>
      </c>
      <c r="AI1016" s="79"/>
      <c r="AJ1016" s="80"/>
      <c r="AK1016" s="81"/>
      <c r="AL1016" s="80"/>
      <c r="AM1016" s="80"/>
      <c r="AN1016" s="80"/>
      <c r="AO1016" s="80"/>
      <c r="AP1016" s="80"/>
      <c r="AQ1016" s="80"/>
      <c r="AR1016" s="80"/>
      <c r="AS1016" s="80"/>
      <c r="AT1016" s="80"/>
      <c r="AU1016" s="80"/>
      <c r="AV1016" s="80"/>
      <c r="AW1016" s="80"/>
      <c r="AX1016" s="80"/>
      <c r="AY1016" s="80"/>
      <c r="AZ1016" s="80"/>
      <c r="BA1016" s="80"/>
      <c r="BB1016" s="80"/>
      <c r="BC1016" s="80"/>
      <c r="BD1016" s="80"/>
      <c r="BE1016" s="80"/>
      <c r="BF1016" s="80"/>
      <c r="BG1016" s="80"/>
      <c r="BH1016" s="80"/>
      <c r="BI1016" s="80"/>
      <c r="BJ1016" s="80"/>
      <c r="BK1016" s="80"/>
      <c r="BL1016" s="80"/>
      <c r="BM1016" s="80"/>
      <c r="BN1016" s="80"/>
      <c r="BO1016" s="80"/>
      <c r="BP1016" s="80"/>
      <c r="BQ1016" s="80"/>
      <c r="BR1016" s="80"/>
      <c r="BS1016" s="80"/>
      <c r="BT1016" s="80"/>
      <c r="BU1016" s="80"/>
      <c r="BV1016" s="80"/>
      <c r="BW1016" s="80"/>
      <c r="BX1016" s="80"/>
      <c r="BY1016" s="80"/>
      <c r="BZ1016" s="80"/>
      <c r="CA1016" s="80"/>
      <c r="CB1016" s="80"/>
      <c r="CC1016" s="80"/>
      <c r="CD1016" s="80"/>
      <c r="CE1016" s="80"/>
      <c r="CF1016" s="80"/>
      <c r="CG1016" s="80"/>
      <c r="CH1016" s="80"/>
      <c r="CI1016" s="80"/>
      <c r="CJ1016" s="80"/>
      <c r="CK1016" s="82"/>
      <c r="CL1016" s="12"/>
      <c r="CM1016" s="82"/>
      <c r="CN1016" s="12"/>
      <c r="CO1016" s="82"/>
      <c r="CP1016" s="12"/>
      <c r="CQ1016" s="83">
        <f t="shared" ref="CQ1016:CQ1023" si="193">AJ1016+AL1016+AN1016+AP1016+AR1016+AT1016+AV1016+AX1016+AZ1016+BB1016+BD1016+BF1016+BH1016+BJ1016+BL1016+BN1016+BP1016+BR1016+BT1016+BV1016+BX1016+BZ1016+CB1016+CD1016+CF1016+CH1016+CJ1016+CL1016+CN1016+CP1016</f>
        <v>0</v>
      </c>
      <c r="CR1016" s="84"/>
      <c r="CS1016" s="13"/>
      <c r="CT1016" s="85"/>
      <c r="CU1016" s="86"/>
      <c r="CV1016" s="11"/>
      <c r="CW1016" s="86"/>
      <c r="CX1016" s="84"/>
      <c r="CY1016" s="86"/>
    </row>
    <row r="1017" spans="1:103" ht="25.5" x14ac:dyDescent="0.2">
      <c r="A1017" s="43">
        <v>40133</v>
      </c>
      <c r="B1017" s="44" t="s">
        <v>600</v>
      </c>
      <c r="C1017" s="44" t="s">
        <v>109</v>
      </c>
      <c r="D1017" s="45" t="s">
        <v>1117</v>
      </c>
      <c r="E1017" s="11"/>
      <c r="F1017" s="12"/>
      <c r="G1017" s="12"/>
      <c r="H1017" s="12">
        <v>340</v>
      </c>
      <c r="I1017" s="12">
        <v>68</v>
      </c>
      <c r="J1017" s="12"/>
      <c r="K1017" s="12">
        <v>68</v>
      </c>
      <c r="L1017" s="12"/>
      <c r="M1017" s="12"/>
      <c r="N1017" s="12"/>
      <c r="O1017" s="12"/>
      <c r="P1017" s="12"/>
      <c r="Q1017" s="12"/>
      <c r="R1017" s="12"/>
      <c r="S1017" s="12"/>
      <c r="T1017" s="13"/>
      <c r="U1017" s="46"/>
      <c r="V1017" s="47"/>
      <c r="W1017" s="48">
        <f t="shared" si="188"/>
        <v>0</v>
      </c>
      <c r="X1017" s="48">
        <f t="shared" si="189"/>
        <v>0</v>
      </c>
      <c r="Y1017" s="48">
        <f t="shared" si="190"/>
        <v>0</v>
      </c>
      <c r="Z1017" s="48">
        <f t="shared" si="191"/>
        <v>0</v>
      </c>
      <c r="AA1017" s="48"/>
      <c r="AB1017" s="48"/>
      <c r="AC1017" s="49">
        <f t="shared" si="192"/>
        <v>0</v>
      </c>
      <c r="AD1017" s="50">
        <v>0</v>
      </c>
      <c r="AE1017" s="47">
        <v>40134</v>
      </c>
      <c r="AF1017" s="51" t="s">
        <v>516</v>
      </c>
      <c r="AG1017" s="52" t="s">
        <v>517</v>
      </c>
      <c r="AH1017" s="53" t="s">
        <v>1028</v>
      </c>
      <c r="AI1017" s="79"/>
      <c r="AJ1017" s="80"/>
      <c r="AK1017" s="81"/>
      <c r="AL1017" s="80"/>
      <c r="AM1017" s="80"/>
      <c r="AN1017" s="80"/>
      <c r="AO1017" s="80"/>
      <c r="AP1017" s="80"/>
      <c r="AQ1017" s="80"/>
      <c r="AR1017" s="80"/>
      <c r="AS1017" s="80"/>
      <c r="AT1017" s="80"/>
      <c r="AU1017" s="80"/>
      <c r="AV1017" s="80"/>
      <c r="AW1017" s="80"/>
      <c r="AX1017" s="80"/>
      <c r="AY1017" s="80"/>
      <c r="AZ1017" s="80"/>
      <c r="BA1017" s="80"/>
      <c r="BB1017" s="80"/>
      <c r="BC1017" s="80"/>
      <c r="BD1017" s="80"/>
      <c r="BE1017" s="80"/>
      <c r="BF1017" s="80"/>
      <c r="BG1017" s="80"/>
      <c r="BH1017" s="80"/>
      <c r="BI1017" s="80"/>
      <c r="BJ1017" s="80"/>
      <c r="BK1017" s="80"/>
      <c r="BL1017" s="80"/>
      <c r="BM1017" s="80"/>
      <c r="BN1017" s="80"/>
      <c r="BO1017" s="80"/>
      <c r="BP1017" s="80"/>
      <c r="BQ1017" s="80"/>
      <c r="BR1017" s="80"/>
      <c r="BS1017" s="80"/>
      <c r="BT1017" s="80"/>
      <c r="BU1017" s="80"/>
      <c r="BV1017" s="80"/>
      <c r="BW1017" s="80"/>
      <c r="BX1017" s="80"/>
      <c r="BY1017" s="80"/>
      <c r="BZ1017" s="80"/>
      <c r="CA1017" s="80"/>
      <c r="CB1017" s="80"/>
      <c r="CC1017" s="80"/>
      <c r="CD1017" s="80"/>
      <c r="CE1017" s="80"/>
      <c r="CF1017" s="80"/>
      <c r="CG1017" s="80"/>
      <c r="CH1017" s="80"/>
      <c r="CI1017" s="80"/>
      <c r="CJ1017" s="80"/>
      <c r="CK1017" s="82"/>
      <c r="CL1017" s="12"/>
      <c r="CM1017" s="82"/>
      <c r="CN1017" s="12"/>
      <c r="CO1017" s="82"/>
      <c r="CP1017" s="12"/>
      <c r="CQ1017" s="83">
        <f t="shared" si="193"/>
        <v>0</v>
      </c>
      <c r="CR1017" s="84"/>
      <c r="CS1017" s="13"/>
      <c r="CT1017" s="85"/>
      <c r="CU1017" s="86"/>
      <c r="CV1017" s="11"/>
      <c r="CW1017" s="86"/>
      <c r="CX1017" s="84"/>
      <c r="CY1017" s="86"/>
    </row>
    <row r="1018" spans="1:103" ht="51" x14ac:dyDescent="0.2">
      <c r="A1018" s="43">
        <v>40133</v>
      </c>
      <c r="B1018" s="44" t="s">
        <v>688</v>
      </c>
      <c r="C1018" s="44" t="s">
        <v>670</v>
      </c>
      <c r="D1018" s="45" t="s">
        <v>1118</v>
      </c>
      <c r="E1018" s="11"/>
      <c r="F1018" s="12"/>
      <c r="G1018" s="12"/>
      <c r="H1018" s="12">
        <f>1100+65+100</f>
        <v>1265</v>
      </c>
      <c r="I1018" s="12">
        <f>220+13+20</f>
        <v>253</v>
      </c>
      <c r="J1018" s="12"/>
      <c r="K1018" s="12">
        <f>220+13+20</f>
        <v>253</v>
      </c>
      <c r="L1018" s="12"/>
      <c r="M1018" s="12"/>
      <c r="N1018" s="12"/>
      <c r="O1018" s="12"/>
      <c r="P1018" s="12"/>
      <c r="Q1018" s="12"/>
      <c r="R1018" s="12"/>
      <c r="S1018" s="12"/>
      <c r="T1018" s="13"/>
      <c r="U1018" s="46"/>
      <c r="V1018" s="47"/>
      <c r="W1018" s="48">
        <f t="shared" si="188"/>
        <v>0</v>
      </c>
      <c r="X1018" s="48">
        <f t="shared" si="189"/>
        <v>0</v>
      </c>
      <c r="Y1018" s="48">
        <f t="shared" si="190"/>
        <v>0</v>
      </c>
      <c r="Z1018" s="48">
        <f t="shared" si="191"/>
        <v>0</v>
      </c>
      <c r="AA1018" s="48"/>
      <c r="AB1018" s="48"/>
      <c r="AC1018" s="49">
        <f t="shared" si="192"/>
        <v>0</v>
      </c>
      <c r="AD1018" s="50">
        <v>0</v>
      </c>
      <c r="AE1018" s="47">
        <v>40134</v>
      </c>
      <c r="AF1018" s="51" t="s">
        <v>516</v>
      </c>
      <c r="AG1018" s="52" t="s">
        <v>517</v>
      </c>
      <c r="AH1018" s="53" t="s">
        <v>171</v>
      </c>
      <c r="AI1018" s="79"/>
      <c r="AJ1018" s="80"/>
      <c r="AK1018" s="81"/>
      <c r="AL1018" s="80"/>
      <c r="AM1018" s="80"/>
      <c r="AN1018" s="80"/>
      <c r="AO1018" s="80"/>
      <c r="AP1018" s="80"/>
      <c r="AQ1018" s="80"/>
      <c r="AR1018" s="80"/>
      <c r="AS1018" s="80"/>
      <c r="AT1018" s="80"/>
      <c r="AU1018" s="80"/>
      <c r="AV1018" s="80"/>
      <c r="AW1018" s="80"/>
      <c r="AX1018" s="80"/>
      <c r="AY1018" s="80"/>
      <c r="AZ1018" s="80"/>
      <c r="BA1018" s="80"/>
      <c r="BB1018" s="80"/>
      <c r="BC1018" s="80"/>
      <c r="BD1018" s="80"/>
      <c r="BE1018" s="80"/>
      <c r="BF1018" s="80"/>
      <c r="BG1018" s="80"/>
      <c r="BH1018" s="80"/>
      <c r="BI1018" s="80"/>
      <c r="BJ1018" s="80"/>
      <c r="BK1018" s="80"/>
      <c r="BL1018" s="80"/>
      <c r="BM1018" s="80"/>
      <c r="BN1018" s="80"/>
      <c r="BO1018" s="80"/>
      <c r="BP1018" s="80"/>
      <c r="BQ1018" s="80"/>
      <c r="BR1018" s="80"/>
      <c r="BS1018" s="80"/>
      <c r="BT1018" s="80"/>
      <c r="BU1018" s="80"/>
      <c r="BV1018" s="80"/>
      <c r="BW1018" s="80"/>
      <c r="BX1018" s="80"/>
      <c r="BY1018" s="80"/>
      <c r="BZ1018" s="80"/>
      <c r="CA1018" s="80"/>
      <c r="CB1018" s="80"/>
      <c r="CC1018" s="80"/>
      <c r="CD1018" s="80"/>
      <c r="CE1018" s="80"/>
      <c r="CF1018" s="80"/>
      <c r="CG1018" s="80"/>
      <c r="CH1018" s="80"/>
      <c r="CI1018" s="80"/>
      <c r="CJ1018" s="80"/>
      <c r="CK1018" s="82"/>
      <c r="CL1018" s="12"/>
      <c r="CM1018" s="82"/>
      <c r="CN1018" s="12"/>
      <c r="CO1018" s="82"/>
      <c r="CP1018" s="12"/>
      <c r="CQ1018" s="83">
        <f t="shared" si="193"/>
        <v>0</v>
      </c>
      <c r="CR1018" s="84"/>
      <c r="CS1018" s="13"/>
      <c r="CT1018" s="85"/>
      <c r="CU1018" s="86"/>
      <c r="CV1018" s="11"/>
      <c r="CW1018" s="86"/>
      <c r="CX1018" s="84"/>
      <c r="CY1018" s="86"/>
    </row>
    <row r="1019" spans="1:103" ht="25.5" x14ac:dyDescent="0.2">
      <c r="A1019" s="43">
        <v>40133</v>
      </c>
      <c r="B1019" s="44" t="s">
        <v>625</v>
      </c>
      <c r="C1019" s="44" t="s">
        <v>463</v>
      </c>
      <c r="D1019" s="45" t="s">
        <v>1118</v>
      </c>
      <c r="E1019" s="11"/>
      <c r="F1019" s="12"/>
      <c r="G1019" s="12"/>
      <c r="H1019" s="12">
        <v>200</v>
      </c>
      <c r="I1019" s="12">
        <v>40</v>
      </c>
      <c r="J1019" s="12"/>
      <c r="K1019" s="12">
        <v>40</v>
      </c>
      <c r="L1019" s="12"/>
      <c r="M1019" s="12"/>
      <c r="N1019" s="12"/>
      <c r="O1019" s="12"/>
      <c r="P1019" s="12"/>
      <c r="Q1019" s="12"/>
      <c r="R1019" s="12"/>
      <c r="S1019" s="12"/>
      <c r="T1019" s="13"/>
      <c r="U1019" s="46"/>
      <c r="V1019" s="47"/>
      <c r="W1019" s="48">
        <f t="shared" si="188"/>
        <v>0</v>
      </c>
      <c r="X1019" s="48">
        <f t="shared" si="189"/>
        <v>0</v>
      </c>
      <c r="Y1019" s="48">
        <f t="shared" si="190"/>
        <v>0</v>
      </c>
      <c r="Z1019" s="48">
        <f t="shared" si="191"/>
        <v>0</v>
      </c>
      <c r="AA1019" s="48"/>
      <c r="AB1019" s="48"/>
      <c r="AC1019" s="49">
        <f t="shared" si="192"/>
        <v>0</v>
      </c>
      <c r="AD1019" s="50">
        <v>0</v>
      </c>
      <c r="AE1019" s="47">
        <v>40134</v>
      </c>
      <c r="AF1019" s="51" t="s">
        <v>516</v>
      </c>
      <c r="AG1019" s="52" t="s">
        <v>517</v>
      </c>
      <c r="AH1019" s="53" t="s">
        <v>1320</v>
      </c>
      <c r="AI1019" s="79"/>
      <c r="AJ1019" s="80"/>
      <c r="AK1019" s="81"/>
      <c r="AL1019" s="80"/>
      <c r="AM1019" s="80"/>
      <c r="AN1019" s="80"/>
      <c r="AO1019" s="80"/>
      <c r="AP1019" s="80"/>
      <c r="AQ1019" s="80"/>
      <c r="AR1019" s="80"/>
      <c r="AS1019" s="80"/>
      <c r="AT1019" s="80"/>
      <c r="AU1019" s="80"/>
      <c r="AV1019" s="80"/>
      <c r="AW1019" s="80"/>
      <c r="AX1019" s="80"/>
      <c r="AY1019" s="80"/>
      <c r="AZ1019" s="80"/>
      <c r="BA1019" s="80"/>
      <c r="BB1019" s="80"/>
      <c r="BC1019" s="80"/>
      <c r="BD1019" s="80"/>
      <c r="BE1019" s="80"/>
      <c r="BF1019" s="80"/>
      <c r="BG1019" s="80"/>
      <c r="BH1019" s="80"/>
      <c r="BI1019" s="80"/>
      <c r="BJ1019" s="80"/>
      <c r="BK1019" s="80"/>
      <c r="BL1019" s="80"/>
      <c r="BM1019" s="80"/>
      <c r="BN1019" s="80"/>
      <c r="BO1019" s="80"/>
      <c r="BP1019" s="80"/>
      <c r="BQ1019" s="80"/>
      <c r="BR1019" s="80"/>
      <c r="BS1019" s="80"/>
      <c r="BT1019" s="80"/>
      <c r="BU1019" s="80"/>
      <c r="BV1019" s="80"/>
      <c r="BW1019" s="80"/>
      <c r="BX1019" s="80"/>
      <c r="BY1019" s="80"/>
      <c r="BZ1019" s="80"/>
      <c r="CA1019" s="80"/>
      <c r="CB1019" s="80"/>
      <c r="CC1019" s="80"/>
      <c r="CD1019" s="80"/>
      <c r="CE1019" s="80"/>
      <c r="CF1019" s="80"/>
      <c r="CG1019" s="80"/>
      <c r="CH1019" s="80"/>
      <c r="CI1019" s="80"/>
      <c r="CJ1019" s="80"/>
      <c r="CK1019" s="82"/>
      <c r="CL1019" s="12"/>
      <c r="CM1019" s="82"/>
      <c r="CN1019" s="12"/>
      <c r="CO1019" s="82"/>
      <c r="CP1019" s="12"/>
      <c r="CQ1019" s="83">
        <f t="shared" si="193"/>
        <v>0</v>
      </c>
      <c r="CR1019" s="84"/>
      <c r="CS1019" s="13"/>
      <c r="CT1019" s="85"/>
      <c r="CU1019" s="86"/>
      <c r="CV1019" s="11"/>
      <c r="CW1019" s="86"/>
      <c r="CX1019" s="84"/>
      <c r="CY1019" s="86"/>
    </row>
    <row r="1020" spans="1:103" ht="38.25" x14ac:dyDescent="0.2">
      <c r="A1020" s="43">
        <v>40133</v>
      </c>
      <c r="B1020" s="44" t="s">
        <v>1127</v>
      </c>
      <c r="C1020" s="44" t="s">
        <v>47</v>
      </c>
      <c r="D1020" s="45" t="s">
        <v>1116</v>
      </c>
      <c r="E1020" s="11"/>
      <c r="F1020" s="12"/>
      <c r="G1020" s="12"/>
      <c r="H1020" s="12">
        <v>4</v>
      </c>
      <c r="I1020" s="12">
        <v>1</v>
      </c>
      <c r="J1020" s="12"/>
      <c r="K1020" s="12">
        <v>1</v>
      </c>
      <c r="L1020" s="12"/>
      <c r="M1020" s="12"/>
      <c r="N1020" s="12"/>
      <c r="O1020" s="12"/>
      <c r="P1020" s="12"/>
      <c r="Q1020" s="12"/>
      <c r="R1020" s="12"/>
      <c r="S1020" s="12"/>
      <c r="T1020" s="13"/>
      <c r="U1020" s="46"/>
      <c r="V1020" s="47"/>
      <c r="W1020" s="48">
        <f t="shared" si="188"/>
        <v>0</v>
      </c>
      <c r="X1020" s="48">
        <f t="shared" si="189"/>
        <v>0</v>
      </c>
      <c r="Y1020" s="48">
        <f t="shared" si="190"/>
        <v>0</v>
      </c>
      <c r="Z1020" s="48">
        <f t="shared" si="191"/>
        <v>0</v>
      </c>
      <c r="AA1020" s="48"/>
      <c r="AB1020" s="48"/>
      <c r="AC1020" s="49">
        <f t="shared" si="192"/>
        <v>0</v>
      </c>
      <c r="AD1020" s="50">
        <v>0</v>
      </c>
      <c r="AE1020" s="47">
        <v>40134</v>
      </c>
      <c r="AF1020" s="51" t="s">
        <v>516</v>
      </c>
      <c r="AG1020" s="52" t="s">
        <v>517</v>
      </c>
      <c r="AH1020" s="53" t="s">
        <v>758</v>
      </c>
      <c r="AI1020" s="79"/>
      <c r="AJ1020" s="80"/>
      <c r="AK1020" s="81"/>
      <c r="AL1020" s="80"/>
      <c r="AM1020" s="80"/>
      <c r="AN1020" s="80"/>
      <c r="AO1020" s="80"/>
      <c r="AP1020" s="80"/>
      <c r="AQ1020" s="80"/>
      <c r="AR1020" s="80"/>
      <c r="AS1020" s="80"/>
      <c r="AT1020" s="80"/>
      <c r="AU1020" s="80"/>
      <c r="AV1020" s="80"/>
      <c r="AW1020" s="80"/>
      <c r="AX1020" s="80"/>
      <c r="AY1020" s="80"/>
      <c r="AZ1020" s="80"/>
      <c r="BA1020" s="80"/>
      <c r="BB1020" s="80"/>
      <c r="BC1020" s="80"/>
      <c r="BD1020" s="80"/>
      <c r="BE1020" s="80"/>
      <c r="BF1020" s="80"/>
      <c r="BG1020" s="80"/>
      <c r="BH1020" s="80"/>
      <c r="BI1020" s="80"/>
      <c r="BJ1020" s="80"/>
      <c r="BK1020" s="80"/>
      <c r="BL1020" s="80"/>
      <c r="BM1020" s="80"/>
      <c r="BN1020" s="80"/>
      <c r="BO1020" s="80"/>
      <c r="BP1020" s="80"/>
      <c r="BQ1020" s="80"/>
      <c r="BR1020" s="80"/>
      <c r="BS1020" s="80"/>
      <c r="BT1020" s="80"/>
      <c r="BU1020" s="80"/>
      <c r="BV1020" s="80"/>
      <c r="BW1020" s="80"/>
      <c r="BX1020" s="80"/>
      <c r="BY1020" s="80"/>
      <c r="BZ1020" s="80"/>
      <c r="CA1020" s="80"/>
      <c r="CB1020" s="80"/>
      <c r="CC1020" s="80"/>
      <c r="CD1020" s="80"/>
      <c r="CE1020" s="80"/>
      <c r="CF1020" s="80"/>
      <c r="CG1020" s="80"/>
      <c r="CH1020" s="80"/>
      <c r="CI1020" s="80"/>
      <c r="CJ1020" s="80"/>
      <c r="CK1020" s="82"/>
      <c r="CL1020" s="12"/>
      <c r="CM1020" s="82"/>
      <c r="CN1020" s="12"/>
      <c r="CO1020" s="82"/>
      <c r="CP1020" s="12"/>
      <c r="CQ1020" s="83">
        <f t="shared" si="193"/>
        <v>0</v>
      </c>
      <c r="CR1020" s="84"/>
      <c r="CS1020" s="13"/>
      <c r="CT1020" s="85"/>
      <c r="CU1020" s="86"/>
      <c r="CV1020" s="11"/>
      <c r="CW1020" s="86"/>
      <c r="CX1020" s="84"/>
      <c r="CY1020" s="86"/>
    </row>
    <row r="1021" spans="1:103" ht="51" x14ac:dyDescent="0.2">
      <c r="A1021" s="43">
        <v>40133</v>
      </c>
      <c r="B1021" s="44" t="s">
        <v>688</v>
      </c>
      <c r="C1021" s="44" t="s">
        <v>1321</v>
      </c>
      <c r="D1021" s="45" t="s">
        <v>1118</v>
      </c>
      <c r="E1021" s="11"/>
      <c r="F1021" s="12"/>
      <c r="G1021" s="12"/>
      <c r="H1021" s="12">
        <v>40</v>
      </c>
      <c r="I1021" s="12">
        <v>8</v>
      </c>
      <c r="J1021" s="12"/>
      <c r="K1021" s="12">
        <v>8</v>
      </c>
      <c r="L1021" s="12"/>
      <c r="M1021" s="12"/>
      <c r="N1021" s="12"/>
      <c r="O1021" s="12"/>
      <c r="P1021" s="12"/>
      <c r="Q1021" s="12"/>
      <c r="R1021" s="12"/>
      <c r="S1021" s="12"/>
      <c r="T1021" s="13">
        <v>50</v>
      </c>
      <c r="U1021" s="46" t="s">
        <v>1322</v>
      </c>
      <c r="V1021" s="47"/>
      <c r="W1021" s="48">
        <f t="shared" si="188"/>
        <v>0</v>
      </c>
      <c r="X1021" s="48">
        <f t="shared" si="189"/>
        <v>0</v>
      </c>
      <c r="Y1021" s="48">
        <f t="shared" si="190"/>
        <v>0</v>
      </c>
      <c r="Z1021" s="48">
        <f t="shared" si="191"/>
        <v>0</v>
      </c>
      <c r="AA1021" s="48"/>
      <c r="AB1021" s="48"/>
      <c r="AC1021" s="49">
        <f t="shared" si="192"/>
        <v>0</v>
      </c>
      <c r="AD1021" s="50">
        <v>0</v>
      </c>
      <c r="AE1021" s="47">
        <v>40134</v>
      </c>
      <c r="AF1021" s="51" t="s">
        <v>516</v>
      </c>
      <c r="AG1021" s="52" t="s">
        <v>517</v>
      </c>
      <c r="AH1021" s="53" t="s">
        <v>1323</v>
      </c>
      <c r="AI1021" s="79"/>
      <c r="AJ1021" s="80"/>
      <c r="AK1021" s="81"/>
      <c r="AL1021" s="80"/>
      <c r="AM1021" s="80"/>
      <c r="AN1021" s="80"/>
      <c r="AO1021" s="80"/>
      <c r="AP1021" s="80"/>
      <c r="AQ1021" s="80"/>
      <c r="AR1021" s="80"/>
      <c r="AS1021" s="80"/>
      <c r="AT1021" s="80"/>
      <c r="AU1021" s="80"/>
      <c r="AV1021" s="80"/>
      <c r="AW1021" s="80"/>
      <c r="AX1021" s="80"/>
      <c r="AY1021" s="80"/>
      <c r="AZ1021" s="80"/>
      <c r="BA1021" s="80"/>
      <c r="BB1021" s="80"/>
      <c r="BC1021" s="80"/>
      <c r="BD1021" s="80"/>
      <c r="BE1021" s="80"/>
      <c r="BF1021" s="80"/>
      <c r="BG1021" s="80"/>
      <c r="BH1021" s="80"/>
      <c r="BI1021" s="80"/>
      <c r="BJ1021" s="80"/>
      <c r="BK1021" s="80"/>
      <c r="BL1021" s="80"/>
      <c r="BM1021" s="80"/>
      <c r="BN1021" s="80"/>
      <c r="BO1021" s="80"/>
      <c r="BP1021" s="80"/>
      <c r="BQ1021" s="80"/>
      <c r="BR1021" s="80"/>
      <c r="BS1021" s="80"/>
      <c r="BT1021" s="80"/>
      <c r="BU1021" s="80"/>
      <c r="BV1021" s="80"/>
      <c r="BW1021" s="80"/>
      <c r="BX1021" s="80"/>
      <c r="BY1021" s="80"/>
      <c r="BZ1021" s="80"/>
      <c r="CA1021" s="80"/>
      <c r="CB1021" s="80"/>
      <c r="CC1021" s="80"/>
      <c r="CD1021" s="80"/>
      <c r="CE1021" s="80"/>
      <c r="CF1021" s="80"/>
      <c r="CG1021" s="80"/>
      <c r="CH1021" s="80"/>
      <c r="CI1021" s="80"/>
      <c r="CJ1021" s="80"/>
      <c r="CK1021" s="82"/>
      <c r="CL1021" s="12"/>
      <c r="CM1021" s="82"/>
      <c r="CN1021" s="12"/>
      <c r="CO1021" s="82"/>
      <c r="CP1021" s="12"/>
      <c r="CQ1021" s="83">
        <f t="shared" si="193"/>
        <v>0</v>
      </c>
      <c r="CR1021" s="84"/>
      <c r="CS1021" s="13"/>
      <c r="CT1021" s="85"/>
      <c r="CU1021" s="86"/>
      <c r="CV1021" s="11"/>
      <c r="CW1021" s="86"/>
      <c r="CX1021" s="84"/>
      <c r="CY1021" s="86"/>
    </row>
    <row r="1022" spans="1:103" ht="25.5" x14ac:dyDescent="0.2">
      <c r="A1022" s="43">
        <v>40133</v>
      </c>
      <c r="B1022" s="44" t="s">
        <v>600</v>
      </c>
      <c r="C1022" s="44" t="s">
        <v>376</v>
      </c>
      <c r="D1022" s="45" t="s">
        <v>1117</v>
      </c>
      <c r="E1022" s="11"/>
      <c r="F1022" s="12"/>
      <c r="G1022" s="12"/>
      <c r="H1022" s="12">
        <v>40</v>
      </c>
      <c r="I1022" s="12">
        <v>8</v>
      </c>
      <c r="J1022" s="12"/>
      <c r="K1022" s="12">
        <v>8</v>
      </c>
      <c r="L1022" s="12"/>
      <c r="M1022" s="12"/>
      <c r="N1022" s="12"/>
      <c r="O1022" s="12"/>
      <c r="P1022" s="12"/>
      <c r="Q1022" s="12"/>
      <c r="R1022" s="12"/>
      <c r="S1022" s="12"/>
      <c r="T1022" s="13"/>
      <c r="U1022" s="46"/>
      <c r="V1022" s="47"/>
      <c r="W1022" s="48">
        <f t="shared" si="188"/>
        <v>0</v>
      </c>
      <c r="X1022" s="48">
        <f t="shared" si="189"/>
        <v>0</v>
      </c>
      <c r="Y1022" s="48">
        <f t="shared" si="190"/>
        <v>0</v>
      </c>
      <c r="Z1022" s="48">
        <f t="shared" si="191"/>
        <v>0</v>
      </c>
      <c r="AA1022" s="48"/>
      <c r="AB1022" s="48"/>
      <c r="AC1022" s="49">
        <f t="shared" si="192"/>
        <v>0</v>
      </c>
      <c r="AD1022" s="50">
        <v>0</v>
      </c>
      <c r="AE1022" s="47">
        <v>40134</v>
      </c>
      <c r="AF1022" s="51" t="s">
        <v>516</v>
      </c>
      <c r="AG1022" s="52" t="s">
        <v>517</v>
      </c>
      <c r="AH1022" s="53"/>
      <c r="AI1022" s="79"/>
      <c r="AJ1022" s="80"/>
      <c r="AK1022" s="81"/>
      <c r="AL1022" s="80"/>
      <c r="AM1022" s="80"/>
      <c r="AN1022" s="80"/>
      <c r="AO1022" s="80"/>
      <c r="AP1022" s="80"/>
      <c r="AQ1022" s="80"/>
      <c r="AR1022" s="80"/>
      <c r="AS1022" s="80"/>
      <c r="AT1022" s="80"/>
      <c r="AU1022" s="80"/>
      <c r="AV1022" s="80"/>
      <c r="AW1022" s="80"/>
      <c r="AX1022" s="80"/>
      <c r="AY1022" s="80"/>
      <c r="AZ1022" s="80"/>
      <c r="BA1022" s="80"/>
      <c r="BB1022" s="80"/>
      <c r="BC1022" s="80"/>
      <c r="BD1022" s="80"/>
      <c r="BE1022" s="80"/>
      <c r="BF1022" s="80"/>
      <c r="BG1022" s="80"/>
      <c r="BH1022" s="80"/>
      <c r="BI1022" s="80"/>
      <c r="BJ1022" s="80"/>
      <c r="BK1022" s="80"/>
      <c r="BL1022" s="80"/>
      <c r="BM1022" s="80"/>
      <c r="BN1022" s="80"/>
      <c r="BO1022" s="80"/>
      <c r="BP1022" s="80"/>
      <c r="BQ1022" s="80"/>
      <c r="BR1022" s="80"/>
      <c r="BS1022" s="80"/>
      <c r="BT1022" s="80"/>
      <c r="BU1022" s="80"/>
      <c r="BV1022" s="80"/>
      <c r="BW1022" s="80"/>
      <c r="BX1022" s="80"/>
      <c r="BY1022" s="80"/>
      <c r="BZ1022" s="80"/>
      <c r="CA1022" s="80"/>
      <c r="CB1022" s="80"/>
      <c r="CC1022" s="80"/>
      <c r="CD1022" s="80"/>
      <c r="CE1022" s="80"/>
      <c r="CF1022" s="80"/>
      <c r="CG1022" s="80"/>
      <c r="CH1022" s="80"/>
      <c r="CI1022" s="80"/>
      <c r="CJ1022" s="80"/>
      <c r="CK1022" s="82"/>
      <c r="CL1022" s="12"/>
      <c r="CM1022" s="82"/>
      <c r="CN1022" s="12"/>
      <c r="CO1022" s="82"/>
      <c r="CP1022" s="12"/>
      <c r="CQ1022" s="83">
        <f t="shared" si="193"/>
        <v>0</v>
      </c>
      <c r="CR1022" s="84"/>
      <c r="CS1022" s="13"/>
      <c r="CT1022" s="85"/>
      <c r="CU1022" s="86"/>
      <c r="CV1022" s="11"/>
      <c r="CW1022" s="86"/>
      <c r="CX1022" s="84"/>
      <c r="CY1022" s="86"/>
    </row>
    <row r="1023" spans="1:103" ht="25.5" x14ac:dyDescent="0.2">
      <c r="A1023" s="43">
        <v>40133</v>
      </c>
      <c r="B1023" s="44" t="s">
        <v>600</v>
      </c>
      <c r="C1023" s="44" t="s">
        <v>614</v>
      </c>
      <c r="D1023" s="45" t="s">
        <v>1117</v>
      </c>
      <c r="E1023" s="11"/>
      <c r="F1023" s="12"/>
      <c r="G1023" s="12"/>
      <c r="H1023" s="12">
        <v>45</v>
      </c>
      <c r="I1023" s="12">
        <v>9</v>
      </c>
      <c r="J1023" s="12"/>
      <c r="K1023" s="12">
        <v>9</v>
      </c>
      <c r="L1023" s="12"/>
      <c r="M1023" s="12"/>
      <c r="N1023" s="12"/>
      <c r="O1023" s="12"/>
      <c r="P1023" s="12"/>
      <c r="Q1023" s="12"/>
      <c r="R1023" s="12"/>
      <c r="S1023" s="12"/>
      <c r="T1023" s="13"/>
      <c r="U1023" s="46"/>
      <c r="V1023" s="47"/>
      <c r="W1023" s="48">
        <f t="shared" si="188"/>
        <v>0</v>
      </c>
      <c r="X1023" s="48">
        <f t="shared" si="189"/>
        <v>0</v>
      </c>
      <c r="Y1023" s="48">
        <f t="shared" si="190"/>
        <v>0</v>
      </c>
      <c r="Z1023" s="48">
        <f t="shared" si="191"/>
        <v>0</v>
      </c>
      <c r="AA1023" s="48"/>
      <c r="AB1023" s="48"/>
      <c r="AC1023" s="49">
        <f t="shared" si="192"/>
        <v>0</v>
      </c>
      <c r="AD1023" s="50">
        <v>0</v>
      </c>
      <c r="AE1023" s="47">
        <v>40134</v>
      </c>
      <c r="AF1023" s="51" t="s">
        <v>516</v>
      </c>
      <c r="AG1023" s="52" t="s">
        <v>517</v>
      </c>
      <c r="AH1023" s="53" t="s">
        <v>1029</v>
      </c>
      <c r="AI1023" s="79"/>
      <c r="AJ1023" s="80"/>
      <c r="AK1023" s="81"/>
      <c r="AL1023" s="80"/>
      <c r="AM1023" s="80"/>
      <c r="AN1023" s="80"/>
      <c r="AO1023" s="80"/>
      <c r="AP1023" s="80"/>
      <c r="AQ1023" s="80"/>
      <c r="AR1023" s="80"/>
      <c r="AS1023" s="80"/>
      <c r="AT1023" s="80"/>
      <c r="AU1023" s="80"/>
      <c r="AV1023" s="80"/>
      <c r="AW1023" s="80"/>
      <c r="AX1023" s="80"/>
      <c r="AY1023" s="80"/>
      <c r="AZ1023" s="80"/>
      <c r="BA1023" s="80"/>
      <c r="BB1023" s="80"/>
      <c r="BC1023" s="80"/>
      <c r="BD1023" s="80"/>
      <c r="BE1023" s="80"/>
      <c r="BF1023" s="80"/>
      <c r="BG1023" s="80"/>
      <c r="BH1023" s="80"/>
      <c r="BI1023" s="80"/>
      <c r="BJ1023" s="80"/>
      <c r="BK1023" s="80"/>
      <c r="BL1023" s="80"/>
      <c r="BM1023" s="80"/>
      <c r="BN1023" s="80"/>
      <c r="BO1023" s="80"/>
      <c r="BP1023" s="80"/>
      <c r="BQ1023" s="80"/>
      <c r="BR1023" s="80"/>
      <c r="BS1023" s="80"/>
      <c r="BT1023" s="80"/>
      <c r="BU1023" s="80"/>
      <c r="BV1023" s="80"/>
      <c r="BW1023" s="80"/>
      <c r="BX1023" s="80"/>
      <c r="BY1023" s="80"/>
      <c r="BZ1023" s="80"/>
      <c r="CA1023" s="80"/>
      <c r="CB1023" s="80"/>
      <c r="CC1023" s="80"/>
      <c r="CD1023" s="80"/>
      <c r="CE1023" s="80"/>
      <c r="CF1023" s="80"/>
      <c r="CG1023" s="80"/>
      <c r="CH1023" s="80"/>
      <c r="CI1023" s="80"/>
      <c r="CJ1023" s="80"/>
      <c r="CK1023" s="82"/>
      <c r="CL1023" s="12"/>
      <c r="CM1023" s="82"/>
      <c r="CN1023" s="12"/>
      <c r="CO1023" s="82"/>
      <c r="CP1023" s="12"/>
      <c r="CQ1023" s="83">
        <f t="shared" si="193"/>
        <v>0</v>
      </c>
      <c r="CR1023" s="84"/>
      <c r="CS1023" s="13"/>
      <c r="CT1023" s="85"/>
      <c r="CU1023" s="86"/>
      <c r="CV1023" s="11"/>
      <c r="CW1023" s="86"/>
      <c r="CX1023" s="84"/>
      <c r="CY1023" s="86"/>
    </row>
    <row r="1024" spans="1:103" ht="25.5" x14ac:dyDescent="0.2">
      <c r="A1024" s="43">
        <v>40133</v>
      </c>
      <c r="B1024" s="44" t="s">
        <v>625</v>
      </c>
      <c r="C1024" s="44" t="s">
        <v>693</v>
      </c>
      <c r="D1024" s="45" t="s">
        <v>1118</v>
      </c>
      <c r="E1024" s="11"/>
      <c r="F1024" s="12"/>
      <c r="G1024" s="12"/>
      <c r="H1024" s="12">
        <v>90</v>
      </c>
      <c r="I1024" s="12">
        <v>18</v>
      </c>
      <c r="J1024" s="12"/>
      <c r="K1024" s="12">
        <v>18</v>
      </c>
      <c r="L1024" s="12"/>
      <c r="M1024" s="12">
        <v>2</v>
      </c>
      <c r="N1024" s="12">
        <v>2</v>
      </c>
      <c r="O1024" s="12"/>
      <c r="P1024" s="12"/>
      <c r="Q1024" s="12"/>
      <c r="R1024" s="12">
        <v>1</v>
      </c>
      <c r="S1024" s="12"/>
      <c r="T1024" s="13"/>
      <c r="U1024" s="46"/>
      <c r="V1024" s="47"/>
      <c r="W1024" s="48">
        <f t="shared" ref="W1024:W1029" si="194">CQ1024</f>
        <v>0</v>
      </c>
      <c r="X1024" s="48">
        <f t="shared" ref="X1024:X1029" si="195">CU1024</f>
        <v>0</v>
      </c>
      <c r="Y1024" s="48">
        <f t="shared" ref="Y1024:Y1029" si="196">CW1024+CY1024</f>
        <v>0</v>
      </c>
      <c r="Z1024" s="48">
        <f t="shared" ref="Z1024:Z1029" si="197">CS1024</f>
        <v>0</v>
      </c>
      <c r="AA1024" s="48"/>
      <c r="AB1024" s="48"/>
      <c r="AC1024" s="49">
        <f t="shared" ref="AC1024:AC1029" si="198">W1024+X1024+Y1024+Z1024+AA1024+AB1024</f>
        <v>0</v>
      </c>
      <c r="AD1024" s="50">
        <v>0</v>
      </c>
      <c r="AE1024" s="47">
        <v>40134</v>
      </c>
      <c r="AF1024" s="51" t="s">
        <v>516</v>
      </c>
      <c r="AG1024" s="52" t="s">
        <v>517</v>
      </c>
      <c r="AH1024" s="53" t="s">
        <v>1213</v>
      </c>
      <c r="AI1024" s="79"/>
      <c r="AJ1024" s="80"/>
      <c r="AK1024" s="81"/>
      <c r="AL1024" s="80"/>
      <c r="AM1024" s="80"/>
      <c r="AN1024" s="80"/>
      <c r="AO1024" s="80"/>
      <c r="AP1024" s="80"/>
      <c r="AQ1024" s="80"/>
      <c r="AR1024" s="80"/>
      <c r="AS1024" s="80"/>
      <c r="AT1024" s="80"/>
      <c r="AU1024" s="80"/>
      <c r="AV1024" s="80"/>
      <c r="AW1024" s="80"/>
      <c r="AX1024" s="80"/>
      <c r="AY1024" s="80"/>
      <c r="AZ1024" s="80"/>
      <c r="BA1024" s="80"/>
      <c r="BB1024" s="80"/>
      <c r="BC1024" s="80"/>
      <c r="BD1024" s="80"/>
      <c r="BE1024" s="80"/>
      <c r="BF1024" s="80"/>
      <c r="BG1024" s="80"/>
      <c r="BH1024" s="80"/>
      <c r="BI1024" s="80"/>
      <c r="BJ1024" s="80"/>
      <c r="BK1024" s="80"/>
      <c r="BL1024" s="80"/>
      <c r="BM1024" s="80"/>
      <c r="BN1024" s="80"/>
      <c r="BO1024" s="80"/>
      <c r="BP1024" s="80"/>
      <c r="BQ1024" s="80"/>
      <c r="BR1024" s="80"/>
      <c r="BS1024" s="80"/>
      <c r="BT1024" s="80"/>
      <c r="BU1024" s="80"/>
      <c r="BV1024" s="80"/>
      <c r="BW1024" s="80"/>
      <c r="BX1024" s="80"/>
      <c r="BY1024" s="80"/>
      <c r="BZ1024" s="80"/>
      <c r="CA1024" s="80"/>
      <c r="CB1024" s="80"/>
      <c r="CC1024" s="80"/>
      <c r="CD1024" s="80"/>
      <c r="CE1024" s="80"/>
      <c r="CF1024" s="80"/>
      <c r="CG1024" s="80"/>
      <c r="CH1024" s="80"/>
      <c r="CI1024" s="80"/>
      <c r="CJ1024" s="80"/>
      <c r="CK1024" s="82"/>
      <c r="CL1024" s="12"/>
      <c r="CM1024" s="82"/>
      <c r="CN1024" s="12"/>
      <c r="CO1024" s="82"/>
      <c r="CP1024" s="12"/>
      <c r="CQ1024" s="83">
        <f t="shared" ref="CQ1024:CQ1029" si="199">AJ1024+AL1024+AN1024+AP1024+AR1024+AT1024+AV1024+AX1024+AZ1024+BB1024+BD1024+BF1024+BH1024+BJ1024+BL1024+BN1024+BP1024+BR1024+BT1024+BV1024+BX1024+BZ1024+CB1024+CD1024+CF1024+CH1024+CJ1024+CL1024+CN1024+CP1024</f>
        <v>0</v>
      </c>
      <c r="CR1024" s="84"/>
      <c r="CS1024" s="13"/>
      <c r="CT1024" s="85"/>
      <c r="CU1024" s="86"/>
      <c r="CV1024" s="11"/>
      <c r="CW1024" s="86"/>
      <c r="CX1024" s="84"/>
      <c r="CY1024" s="86"/>
    </row>
    <row r="1025" spans="1:103" ht="51" x14ac:dyDescent="0.2">
      <c r="A1025" s="43">
        <v>40133</v>
      </c>
      <c r="B1025" s="44" t="s">
        <v>1226</v>
      </c>
      <c r="C1025" s="44" t="s">
        <v>92</v>
      </c>
      <c r="D1025" s="45" t="s">
        <v>1117</v>
      </c>
      <c r="E1025" s="11"/>
      <c r="F1025" s="12"/>
      <c r="G1025" s="12"/>
      <c r="H1025" s="12">
        <f>37*5</f>
        <v>185</v>
      </c>
      <c r="I1025" s="12">
        <v>37</v>
      </c>
      <c r="J1025" s="12"/>
      <c r="K1025" s="12">
        <v>37</v>
      </c>
      <c r="L1025" s="12"/>
      <c r="M1025" s="12"/>
      <c r="N1025" s="12"/>
      <c r="O1025" s="12"/>
      <c r="P1025" s="12"/>
      <c r="Q1025" s="12"/>
      <c r="R1025" s="12"/>
      <c r="S1025" s="12"/>
      <c r="T1025" s="13"/>
      <c r="U1025" s="46"/>
      <c r="V1025" s="47">
        <v>40164</v>
      </c>
      <c r="W1025" s="48">
        <f t="shared" si="194"/>
        <v>18650000</v>
      </c>
      <c r="X1025" s="48">
        <f t="shared" si="195"/>
        <v>8500000</v>
      </c>
      <c r="Y1025" s="48">
        <f t="shared" si="196"/>
        <v>33000000</v>
      </c>
      <c r="Z1025" s="48">
        <f t="shared" si="197"/>
        <v>0</v>
      </c>
      <c r="AA1025" s="48"/>
      <c r="AB1025" s="48"/>
      <c r="AC1025" s="49">
        <f t="shared" si="198"/>
        <v>60150000</v>
      </c>
      <c r="AD1025" s="50">
        <v>0</v>
      </c>
      <c r="AE1025" s="47">
        <v>40142</v>
      </c>
      <c r="AF1025" s="51" t="s">
        <v>1016</v>
      </c>
      <c r="AG1025" s="52" t="s">
        <v>565</v>
      </c>
      <c r="AH1025" s="53" t="s">
        <v>375</v>
      </c>
      <c r="AI1025" s="79"/>
      <c r="AJ1025" s="80"/>
      <c r="AK1025" s="81"/>
      <c r="AL1025" s="80"/>
      <c r="AM1025" s="80"/>
      <c r="AN1025" s="80"/>
      <c r="AO1025" s="80"/>
      <c r="AP1025" s="80"/>
      <c r="AQ1025" s="80"/>
      <c r="AR1025" s="80"/>
      <c r="AS1025" s="80"/>
      <c r="AT1025" s="80"/>
      <c r="AU1025" s="80">
        <v>200</v>
      </c>
      <c r="AV1025" s="80">
        <f>200*56000</f>
        <v>11200000</v>
      </c>
      <c r="AW1025" s="80"/>
      <c r="AX1025" s="80"/>
      <c r="AY1025" s="80"/>
      <c r="AZ1025" s="80"/>
      <c r="BA1025" s="80"/>
      <c r="BB1025" s="80"/>
      <c r="BC1025" s="80"/>
      <c r="BD1025" s="80"/>
      <c r="BE1025" s="80"/>
      <c r="BF1025" s="80"/>
      <c r="BG1025" s="80"/>
      <c r="BH1025" s="80"/>
      <c r="BI1025" s="80"/>
      <c r="BJ1025" s="80"/>
      <c r="BK1025" s="80"/>
      <c r="BL1025" s="80"/>
      <c r="BM1025" s="80"/>
      <c r="BN1025" s="80"/>
      <c r="BO1025" s="80"/>
      <c r="BP1025" s="80"/>
      <c r="BQ1025" s="80"/>
      <c r="BR1025" s="80"/>
      <c r="BS1025" s="80"/>
      <c r="BT1025" s="80"/>
      <c r="BU1025" s="80"/>
      <c r="BV1025" s="80"/>
      <c r="BW1025" s="80"/>
      <c r="BX1025" s="80"/>
      <c r="BY1025" s="80"/>
      <c r="BZ1025" s="80"/>
      <c r="CA1025" s="80"/>
      <c r="CB1025" s="80"/>
      <c r="CC1025" s="80"/>
      <c r="CD1025" s="80"/>
      <c r="CE1025" s="80"/>
      <c r="CF1025" s="80"/>
      <c r="CG1025" s="80"/>
      <c r="CH1025" s="80"/>
      <c r="CI1025" s="80"/>
      <c r="CJ1025" s="80"/>
      <c r="CK1025" s="82">
        <v>100</v>
      </c>
      <c r="CL1025" s="12">
        <f>100*38500</f>
        <v>3850000</v>
      </c>
      <c r="CM1025" s="82">
        <v>100</v>
      </c>
      <c r="CN1025" s="12">
        <f>100*36000</f>
        <v>3600000</v>
      </c>
      <c r="CO1025" s="82"/>
      <c r="CP1025" s="12"/>
      <c r="CQ1025" s="83">
        <f t="shared" si="199"/>
        <v>18650000</v>
      </c>
      <c r="CR1025" s="84"/>
      <c r="CS1025" s="13"/>
      <c r="CT1025" s="85">
        <v>100</v>
      </c>
      <c r="CU1025" s="86">
        <f>100*85000</f>
        <v>8500000</v>
      </c>
      <c r="CV1025" s="11"/>
      <c r="CW1025" s="86"/>
      <c r="CX1025" s="84">
        <v>1500</v>
      </c>
      <c r="CY1025" s="86">
        <f>1500*22000</f>
        <v>33000000</v>
      </c>
    </row>
    <row r="1026" spans="1:103" ht="25.5" x14ac:dyDescent="0.2">
      <c r="A1026" s="43">
        <v>40133</v>
      </c>
      <c r="B1026" s="44" t="s">
        <v>625</v>
      </c>
      <c r="C1026" s="44" t="s">
        <v>412</v>
      </c>
      <c r="D1026" s="45" t="s">
        <v>1118</v>
      </c>
      <c r="E1026" s="11"/>
      <c r="F1026" s="12"/>
      <c r="G1026" s="12"/>
      <c r="H1026" s="12">
        <v>125</v>
      </c>
      <c r="I1026" s="12">
        <v>25</v>
      </c>
      <c r="J1026" s="12"/>
      <c r="K1026" s="12">
        <v>25</v>
      </c>
      <c r="L1026" s="12"/>
      <c r="M1026" s="12"/>
      <c r="N1026" s="12"/>
      <c r="O1026" s="12"/>
      <c r="P1026" s="12"/>
      <c r="Q1026" s="12"/>
      <c r="R1026" s="12"/>
      <c r="S1026" s="12"/>
      <c r="T1026" s="13"/>
      <c r="U1026" s="46"/>
      <c r="V1026" s="47"/>
      <c r="W1026" s="48">
        <f t="shared" si="194"/>
        <v>0</v>
      </c>
      <c r="X1026" s="48">
        <f t="shared" si="195"/>
        <v>0</v>
      </c>
      <c r="Y1026" s="48">
        <f t="shared" si="196"/>
        <v>0</v>
      </c>
      <c r="Z1026" s="48">
        <f t="shared" si="197"/>
        <v>0</v>
      </c>
      <c r="AA1026" s="48"/>
      <c r="AB1026" s="48"/>
      <c r="AC1026" s="49">
        <f t="shared" si="198"/>
        <v>0</v>
      </c>
      <c r="AD1026" s="50">
        <v>0</v>
      </c>
      <c r="AE1026" s="47">
        <v>40136</v>
      </c>
      <c r="AF1026" s="51" t="s">
        <v>516</v>
      </c>
      <c r="AG1026" s="52" t="s">
        <v>517</v>
      </c>
      <c r="AH1026" s="53" t="s">
        <v>317</v>
      </c>
      <c r="AI1026" s="79"/>
      <c r="AJ1026" s="80"/>
      <c r="AK1026" s="81"/>
      <c r="AL1026" s="80"/>
      <c r="AM1026" s="80"/>
      <c r="AN1026" s="80"/>
      <c r="AO1026" s="80"/>
      <c r="AP1026" s="80"/>
      <c r="AQ1026" s="80"/>
      <c r="AR1026" s="80"/>
      <c r="AS1026" s="80"/>
      <c r="AT1026" s="80"/>
      <c r="AU1026" s="80"/>
      <c r="AV1026" s="80"/>
      <c r="AW1026" s="80"/>
      <c r="AX1026" s="80"/>
      <c r="AY1026" s="80"/>
      <c r="AZ1026" s="80"/>
      <c r="BA1026" s="80"/>
      <c r="BB1026" s="80"/>
      <c r="BC1026" s="80"/>
      <c r="BD1026" s="80"/>
      <c r="BE1026" s="80"/>
      <c r="BF1026" s="80"/>
      <c r="BG1026" s="80"/>
      <c r="BH1026" s="80"/>
      <c r="BI1026" s="80"/>
      <c r="BJ1026" s="80"/>
      <c r="BK1026" s="80"/>
      <c r="BL1026" s="80"/>
      <c r="BM1026" s="80"/>
      <c r="BN1026" s="80"/>
      <c r="BO1026" s="80"/>
      <c r="BP1026" s="80"/>
      <c r="BQ1026" s="80"/>
      <c r="BR1026" s="80"/>
      <c r="BS1026" s="80"/>
      <c r="BT1026" s="80"/>
      <c r="BU1026" s="80"/>
      <c r="BV1026" s="80"/>
      <c r="BW1026" s="80"/>
      <c r="BX1026" s="80"/>
      <c r="BY1026" s="80"/>
      <c r="BZ1026" s="80"/>
      <c r="CA1026" s="80"/>
      <c r="CB1026" s="80"/>
      <c r="CC1026" s="80"/>
      <c r="CD1026" s="80"/>
      <c r="CE1026" s="80"/>
      <c r="CF1026" s="80"/>
      <c r="CG1026" s="80"/>
      <c r="CH1026" s="80"/>
      <c r="CI1026" s="80"/>
      <c r="CJ1026" s="80"/>
      <c r="CK1026" s="82"/>
      <c r="CL1026" s="12"/>
      <c r="CM1026" s="82"/>
      <c r="CN1026" s="12"/>
      <c r="CO1026" s="82"/>
      <c r="CP1026" s="12"/>
      <c r="CQ1026" s="83">
        <f t="shared" si="199"/>
        <v>0</v>
      </c>
      <c r="CR1026" s="84"/>
      <c r="CS1026" s="13"/>
      <c r="CT1026" s="85"/>
      <c r="CU1026" s="86"/>
      <c r="CV1026" s="11"/>
      <c r="CW1026" s="86"/>
      <c r="CX1026" s="84"/>
      <c r="CY1026" s="86"/>
    </row>
    <row r="1027" spans="1:103" ht="178.5" x14ac:dyDescent="0.2">
      <c r="A1027" s="43">
        <v>40133</v>
      </c>
      <c r="B1027" s="44" t="s">
        <v>1453</v>
      </c>
      <c r="C1027" s="44" t="s">
        <v>1453</v>
      </c>
      <c r="D1027" s="45" t="s">
        <v>1135</v>
      </c>
      <c r="E1027" s="11"/>
      <c r="F1027" s="12"/>
      <c r="G1027" s="12"/>
      <c r="H1027" s="12"/>
      <c r="I1027" s="12"/>
      <c r="J1027" s="12"/>
      <c r="K1027" s="12"/>
      <c r="L1027" s="12"/>
      <c r="M1027" s="12"/>
      <c r="N1027" s="12"/>
      <c r="O1027" s="12"/>
      <c r="P1027" s="12"/>
      <c r="Q1027" s="12"/>
      <c r="R1027" s="12"/>
      <c r="S1027" s="12"/>
      <c r="T1027" s="13"/>
      <c r="U1027" s="46"/>
      <c r="V1027" s="47">
        <v>40176</v>
      </c>
      <c r="W1027" s="48">
        <f t="shared" si="194"/>
        <v>0</v>
      </c>
      <c r="X1027" s="48">
        <f t="shared" si="195"/>
        <v>0</v>
      </c>
      <c r="Y1027" s="48">
        <f t="shared" si="196"/>
        <v>0</v>
      </c>
      <c r="Z1027" s="48">
        <f t="shared" si="197"/>
        <v>0</v>
      </c>
      <c r="AA1027" s="48"/>
      <c r="AB1027" s="48">
        <v>20000000</v>
      </c>
      <c r="AC1027" s="49">
        <f t="shared" si="198"/>
        <v>20000000</v>
      </c>
      <c r="AD1027" s="50">
        <v>0</v>
      </c>
      <c r="AE1027" s="47">
        <v>40163</v>
      </c>
      <c r="AF1027" s="51" t="s">
        <v>1016</v>
      </c>
      <c r="AG1027" s="52" t="s">
        <v>565</v>
      </c>
      <c r="AH1027" s="53" t="s">
        <v>44</v>
      </c>
      <c r="AI1027" s="79"/>
      <c r="AJ1027" s="80"/>
      <c r="AK1027" s="81"/>
      <c r="AL1027" s="80"/>
      <c r="AM1027" s="80"/>
      <c r="AN1027" s="80"/>
      <c r="AO1027" s="80"/>
      <c r="AP1027" s="80"/>
      <c r="AQ1027" s="80"/>
      <c r="AR1027" s="80"/>
      <c r="AS1027" s="80"/>
      <c r="AT1027" s="80"/>
      <c r="AU1027" s="80"/>
      <c r="AV1027" s="80"/>
      <c r="AW1027" s="80"/>
      <c r="AX1027" s="80"/>
      <c r="AY1027" s="80"/>
      <c r="AZ1027" s="80"/>
      <c r="BA1027" s="80"/>
      <c r="BB1027" s="80"/>
      <c r="BC1027" s="80"/>
      <c r="BD1027" s="80"/>
      <c r="BE1027" s="80"/>
      <c r="BF1027" s="80"/>
      <c r="BG1027" s="80"/>
      <c r="BH1027" s="80"/>
      <c r="BI1027" s="80"/>
      <c r="BJ1027" s="80"/>
      <c r="BK1027" s="80"/>
      <c r="BL1027" s="80"/>
      <c r="BM1027" s="80"/>
      <c r="BN1027" s="80"/>
      <c r="BO1027" s="80"/>
      <c r="BP1027" s="80"/>
      <c r="BQ1027" s="80"/>
      <c r="BR1027" s="80"/>
      <c r="BS1027" s="80"/>
      <c r="BT1027" s="80"/>
      <c r="BU1027" s="80"/>
      <c r="BV1027" s="80"/>
      <c r="BW1027" s="80"/>
      <c r="BX1027" s="80"/>
      <c r="BY1027" s="80"/>
      <c r="BZ1027" s="80"/>
      <c r="CA1027" s="80"/>
      <c r="CB1027" s="80"/>
      <c r="CC1027" s="80"/>
      <c r="CD1027" s="80"/>
      <c r="CE1027" s="80"/>
      <c r="CF1027" s="80"/>
      <c r="CG1027" s="80"/>
      <c r="CH1027" s="80"/>
      <c r="CI1027" s="80"/>
      <c r="CJ1027" s="80"/>
      <c r="CK1027" s="82"/>
      <c r="CL1027" s="12"/>
      <c r="CM1027" s="82"/>
      <c r="CN1027" s="12"/>
      <c r="CO1027" s="82"/>
      <c r="CP1027" s="12"/>
      <c r="CQ1027" s="83">
        <f t="shared" si="199"/>
        <v>0</v>
      </c>
      <c r="CR1027" s="84"/>
      <c r="CS1027" s="13"/>
      <c r="CT1027" s="85"/>
      <c r="CU1027" s="86"/>
      <c r="CV1027" s="11"/>
      <c r="CW1027" s="86"/>
      <c r="CX1027" s="84"/>
      <c r="CY1027" s="86"/>
    </row>
    <row r="1028" spans="1:103" ht="38.25" x14ac:dyDescent="0.2">
      <c r="A1028" s="43">
        <v>40134</v>
      </c>
      <c r="B1028" s="44" t="s">
        <v>625</v>
      </c>
      <c r="C1028" s="44" t="s">
        <v>463</v>
      </c>
      <c r="D1028" s="45" t="s">
        <v>1118</v>
      </c>
      <c r="E1028" s="11"/>
      <c r="F1028" s="12"/>
      <c r="G1028" s="12"/>
      <c r="H1028" s="12">
        <v>390</v>
      </c>
      <c r="I1028" s="12">
        <v>78</v>
      </c>
      <c r="J1028" s="12"/>
      <c r="K1028" s="12">
        <v>78</v>
      </c>
      <c r="L1028" s="12"/>
      <c r="M1028" s="12"/>
      <c r="N1028" s="12"/>
      <c r="O1028" s="12"/>
      <c r="P1028" s="12"/>
      <c r="Q1028" s="12"/>
      <c r="R1028" s="12"/>
      <c r="S1028" s="12"/>
      <c r="T1028" s="13"/>
      <c r="U1028" s="46"/>
      <c r="V1028" s="47"/>
      <c r="W1028" s="48">
        <f t="shared" si="194"/>
        <v>0</v>
      </c>
      <c r="X1028" s="48">
        <f t="shared" si="195"/>
        <v>0</v>
      </c>
      <c r="Y1028" s="48">
        <f t="shared" si="196"/>
        <v>0</v>
      </c>
      <c r="Z1028" s="48">
        <f t="shared" si="197"/>
        <v>0</v>
      </c>
      <c r="AA1028" s="48"/>
      <c r="AB1028" s="48"/>
      <c r="AC1028" s="49">
        <f t="shared" si="198"/>
        <v>0</v>
      </c>
      <c r="AD1028" s="50">
        <v>0</v>
      </c>
      <c r="AE1028" s="47">
        <v>40134</v>
      </c>
      <c r="AF1028" s="51" t="s">
        <v>516</v>
      </c>
      <c r="AG1028" s="52" t="s">
        <v>517</v>
      </c>
      <c r="AH1028" s="53" t="s">
        <v>1316</v>
      </c>
      <c r="AI1028" s="79"/>
      <c r="AJ1028" s="80"/>
      <c r="AK1028" s="81"/>
      <c r="AL1028" s="80"/>
      <c r="AM1028" s="80"/>
      <c r="AN1028" s="80"/>
      <c r="AO1028" s="80"/>
      <c r="AP1028" s="80"/>
      <c r="AQ1028" s="80"/>
      <c r="AR1028" s="80"/>
      <c r="AS1028" s="80"/>
      <c r="AT1028" s="80"/>
      <c r="AU1028" s="80"/>
      <c r="AV1028" s="80"/>
      <c r="AW1028" s="80"/>
      <c r="AX1028" s="80"/>
      <c r="AY1028" s="80"/>
      <c r="AZ1028" s="80"/>
      <c r="BA1028" s="80"/>
      <c r="BB1028" s="80"/>
      <c r="BC1028" s="80"/>
      <c r="BD1028" s="80"/>
      <c r="BE1028" s="80"/>
      <c r="BF1028" s="80"/>
      <c r="BG1028" s="80"/>
      <c r="BH1028" s="80"/>
      <c r="BI1028" s="80"/>
      <c r="BJ1028" s="80"/>
      <c r="BK1028" s="80"/>
      <c r="BL1028" s="80"/>
      <c r="BM1028" s="80"/>
      <c r="BN1028" s="80"/>
      <c r="BO1028" s="80"/>
      <c r="BP1028" s="80"/>
      <c r="BQ1028" s="80"/>
      <c r="BR1028" s="80"/>
      <c r="BS1028" s="80"/>
      <c r="BT1028" s="80"/>
      <c r="BU1028" s="80"/>
      <c r="BV1028" s="80"/>
      <c r="BW1028" s="80"/>
      <c r="BX1028" s="80"/>
      <c r="BY1028" s="80"/>
      <c r="BZ1028" s="80"/>
      <c r="CA1028" s="80"/>
      <c r="CB1028" s="80"/>
      <c r="CC1028" s="80"/>
      <c r="CD1028" s="80"/>
      <c r="CE1028" s="80"/>
      <c r="CF1028" s="80"/>
      <c r="CG1028" s="80"/>
      <c r="CH1028" s="80"/>
      <c r="CI1028" s="80"/>
      <c r="CJ1028" s="80"/>
      <c r="CK1028" s="82"/>
      <c r="CL1028" s="12"/>
      <c r="CM1028" s="82"/>
      <c r="CN1028" s="12"/>
      <c r="CO1028" s="82"/>
      <c r="CP1028" s="12"/>
      <c r="CQ1028" s="83">
        <f t="shared" si="199"/>
        <v>0</v>
      </c>
      <c r="CR1028" s="84"/>
      <c r="CS1028" s="13"/>
      <c r="CT1028" s="85"/>
      <c r="CU1028" s="86"/>
      <c r="CV1028" s="11"/>
      <c r="CW1028" s="86"/>
      <c r="CX1028" s="84"/>
      <c r="CY1028" s="86"/>
    </row>
    <row r="1029" spans="1:103" ht="38.25" x14ac:dyDescent="0.2">
      <c r="A1029" s="43">
        <v>40134</v>
      </c>
      <c r="B1029" s="44" t="s">
        <v>765</v>
      </c>
      <c r="C1029" s="44" t="s">
        <v>504</v>
      </c>
      <c r="D1029" s="45" t="s">
        <v>1116</v>
      </c>
      <c r="E1029" s="11"/>
      <c r="F1029" s="12"/>
      <c r="G1029" s="12"/>
      <c r="H1029" s="12">
        <f>25*5</f>
        <v>125</v>
      </c>
      <c r="I1029" s="12">
        <v>25</v>
      </c>
      <c r="J1029" s="12">
        <v>25</v>
      </c>
      <c r="K1029" s="12"/>
      <c r="L1029" s="12"/>
      <c r="M1029" s="12"/>
      <c r="N1029" s="12"/>
      <c r="O1029" s="12"/>
      <c r="P1029" s="12"/>
      <c r="Q1029" s="12"/>
      <c r="R1029" s="12"/>
      <c r="S1029" s="12"/>
      <c r="T1029" s="13"/>
      <c r="U1029" s="46"/>
      <c r="V1029" s="47"/>
      <c r="W1029" s="48">
        <f t="shared" si="194"/>
        <v>0</v>
      </c>
      <c r="X1029" s="48">
        <f t="shared" si="195"/>
        <v>0</v>
      </c>
      <c r="Y1029" s="48">
        <f t="shared" si="196"/>
        <v>0</v>
      </c>
      <c r="Z1029" s="48">
        <f t="shared" si="197"/>
        <v>0</v>
      </c>
      <c r="AA1029" s="48"/>
      <c r="AB1029" s="48"/>
      <c r="AC1029" s="49">
        <f t="shared" si="198"/>
        <v>0</v>
      </c>
      <c r="AD1029" s="50">
        <v>0</v>
      </c>
      <c r="AE1029" s="47">
        <v>40134</v>
      </c>
      <c r="AF1029" s="51" t="s">
        <v>516</v>
      </c>
      <c r="AG1029" s="52" t="s">
        <v>517</v>
      </c>
      <c r="AH1029" s="53" t="s">
        <v>1033</v>
      </c>
      <c r="AI1029" s="79"/>
      <c r="AJ1029" s="80"/>
      <c r="AK1029" s="81"/>
      <c r="AL1029" s="80"/>
      <c r="AM1029" s="80"/>
      <c r="AN1029" s="80"/>
      <c r="AO1029" s="80"/>
      <c r="AP1029" s="80"/>
      <c r="AQ1029" s="80"/>
      <c r="AR1029" s="80"/>
      <c r="AS1029" s="80"/>
      <c r="AT1029" s="80"/>
      <c r="AU1029" s="80"/>
      <c r="AV1029" s="80"/>
      <c r="AW1029" s="80"/>
      <c r="AX1029" s="80"/>
      <c r="AY1029" s="80"/>
      <c r="AZ1029" s="80"/>
      <c r="BA1029" s="80"/>
      <c r="BB1029" s="80"/>
      <c r="BC1029" s="80"/>
      <c r="BD1029" s="80"/>
      <c r="BE1029" s="80"/>
      <c r="BF1029" s="80"/>
      <c r="BG1029" s="80"/>
      <c r="BH1029" s="80"/>
      <c r="BI1029" s="80"/>
      <c r="BJ1029" s="80"/>
      <c r="BK1029" s="80"/>
      <c r="BL1029" s="80"/>
      <c r="BM1029" s="80"/>
      <c r="BN1029" s="80"/>
      <c r="BO1029" s="80"/>
      <c r="BP1029" s="80"/>
      <c r="BQ1029" s="80"/>
      <c r="BR1029" s="80"/>
      <c r="BS1029" s="80"/>
      <c r="BT1029" s="80"/>
      <c r="BU1029" s="80"/>
      <c r="BV1029" s="80"/>
      <c r="BW1029" s="80"/>
      <c r="BX1029" s="80"/>
      <c r="BY1029" s="80"/>
      <c r="BZ1029" s="80"/>
      <c r="CA1029" s="80"/>
      <c r="CB1029" s="80"/>
      <c r="CC1029" s="80"/>
      <c r="CD1029" s="80"/>
      <c r="CE1029" s="80"/>
      <c r="CF1029" s="80"/>
      <c r="CG1029" s="80"/>
      <c r="CH1029" s="80"/>
      <c r="CI1029" s="80"/>
      <c r="CJ1029" s="80"/>
      <c r="CK1029" s="82"/>
      <c r="CL1029" s="12"/>
      <c r="CM1029" s="82"/>
      <c r="CN1029" s="12"/>
      <c r="CO1029" s="82"/>
      <c r="CP1029" s="12"/>
      <c r="CQ1029" s="83">
        <f t="shared" si="199"/>
        <v>0</v>
      </c>
      <c r="CR1029" s="84"/>
      <c r="CS1029" s="13"/>
      <c r="CT1029" s="85"/>
      <c r="CU1029" s="86"/>
      <c r="CV1029" s="11"/>
      <c r="CW1029" s="86"/>
      <c r="CX1029" s="84"/>
      <c r="CY1029" s="86"/>
    </row>
    <row r="1030" spans="1:103" ht="63.75" x14ac:dyDescent="0.2">
      <c r="A1030" s="43">
        <v>40135</v>
      </c>
      <c r="B1030" s="44" t="s">
        <v>1127</v>
      </c>
      <c r="C1030" s="44" t="s">
        <v>116</v>
      </c>
      <c r="D1030" s="45" t="s">
        <v>1118</v>
      </c>
      <c r="E1030" s="11"/>
      <c r="F1030" s="12"/>
      <c r="G1030" s="12"/>
      <c r="H1030" s="12"/>
      <c r="I1030" s="12"/>
      <c r="J1030" s="12"/>
      <c r="K1030" s="12"/>
      <c r="L1030" s="12"/>
      <c r="M1030" s="12"/>
      <c r="N1030" s="12"/>
      <c r="O1030" s="12"/>
      <c r="P1030" s="12"/>
      <c r="Q1030" s="12"/>
      <c r="R1030" s="12"/>
      <c r="S1030" s="12"/>
      <c r="T1030" s="13"/>
      <c r="U1030" s="46" t="s">
        <v>619</v>
      </c>
      <c r="V1030" s="47"/>
      <c r="W1030" s="48">
        <f t="shared" ref="W1030:W1040" si="200">CQ1030</f>
        <v>0</v>
      </c>
      <c r="X1030" s="48">
        <f t="shared" ref="X1030:X1040" si="201">CU1030</f>
        <v>0</v>
      </c>
      <c r="Y1030" s="48">
        <f t="shared" ref="Y1030:Y1040" si="202">CW1030+CY1030</f>
        <v>0</v>
      </c>
      <c r="Z1030" s="48">
        <f t="shared" ref="Z1030:Z1040" si="203">CS1030</f>
        <v>0</v>
      </c>
      <c r="AA1030" s="48"/>
      <c r="AB1030" s="48"/>
      <c r="AC1030" s="49">
        <f t="shared" ref="AC1030:AC1040" si="204">W1030+X1030+Y1030+Z1030+AA1030+AB1030</f>
        <v>0</v>
      </c>
      <c r="AD1030" s="50">
        <v>0</v>
      </c>
      <c r="AE1030" s="47">
        <v>40136</v>
      </c>
      <c r="AF1030" s="51" t="s">
        <v>516</v>
      </c>
      <c r="AG1030" s="52" t="s">
        <v>517</v>
      </c>
      <c r="AH1030" s="53" t="s">
        <v>620</v>
      </c>
      <c r="AI1030" s="79"/>
      <c r="AJ1030" s="80"/>
      <c r="AK1030" s="81"/>
      <c r="AL1030" s="80"/>
      <c r="AM1030" s="80"/>
      <c r="AN1030" s="80"/>
      <c r="AO1030" s="80"/>
      <c r="AP1030" s="80"/>
      <c r="AQ1030" s="80"/>
      <c r="AR1030" s="80"/>
      <c r="AS1030" s="80"/>
      <c r="AT1030" s="80"/>
      <c r="AU1030" s="80"/>
      <c r="AV1030" s="80"/>
      <c r="AW1030" s="80"/>
      <c r="AX1030" s="80"/>
      <c r="AY1030" s="80"/>
      <c r="AZ1030" s="80"/>
      <c r="BA1030" s="80"/>
      <c r="BB1030" s="80"/>
      <c r="BC1030" s="80"/>
      <c r="BD1030" s="80"/>
      <c r="BE1030" s="80"/>
      <c r="BF1030" s="80"/>
      <c r="BG1030" s="80"/>
      <c r="BH1030" s="80"/>
      <c r="BI1030" s="80"/>
      <c r="BJ1030" s="80"/>
      <c r="BK1030" s="80"/>
      <c r="BL1030" s="80"/>
      <c r="BM1030" s="80"/>
      <c r="BN1030" s="80"/>
      <c r="BO1030" s="80"/>
      <c r="BP1030" s="80"/>
      <c r="BQ1030" s="80"/>
      <c r="BR1030" s="80"/>
      <c r="BS1030" s="80"/>
      <c r="BT1030" s="80"/>
      <c r="BU1030" s="80"/>
      <c r="BV1030" s="80"/>
      <c r="BW1030" s="80"/>
      <c r="BX1030" s="80"/>
      <c r="BY1030" s="80"/>
      <c r="BZ1030" s="80"/>
      <c r="CA1030" s="80"/>
      <c r="CB1030" s="80"/>
      <c r="CC1030" s="80"/>
      <c r="CD1030" s="80"/>
      <c r="CE1030" s="80"/>
      <c r="CF1030" s="80"/>
      <c r="CG1030" s="80"/>
      <c r="CH1030" s="80"/>
      <c r="CI1030" s="80"/>
      <c r="CJ1030" s="80"/>
      <c r="CK1030" s="82"/>
      <c r="CL1030" s="12"/>
      <c r="CM1030" s="82"/>
      <c r="CN1030" s="12"/>
      <c r="CO1030" s="82"/>
      <c r="CP1030" s="12"/>
      <c r="CQ1030" s="83">
        <f t="shared" ref="CQ1030:CQ1040" si="205">AJ1030+AL1030+AN1030+AP1030+AR1030+AT1030+AV1030+AX1030+AZ1030+BB1030+BD1030+BF1030+BH1030+BJ1030+BL1030+BN1030+BP1030+BR1030+BT1030+BV1030+BX1030+BZ1030+CB1030+CD1030+CF1030+CH1030+CJ1030+CL1030+CN1030+CP1030</f>
        <v>0</v>
      </c>
      <c r="CR1030" s="84"/>
      <c r="CS1030" s="13"/>
      <c r="CT1030" s="85"/>
      <c r="CU1030" s="86"/>
      <c r="CV1030" s="11"/>
      <c r="CW1030" s="86"/>
      <c r="CX1030" s="84"/>
      <c r="CY1030" s="86"/>
    </row>
    <row r="1031" spans="1:103" ht="51" x14ac:dyDescent="0.2">
      <c r="A1031" s="43">
        <v>40135</v>
      </c>
      <c r="B1031" s="44" t="s">
        <v>1127</v>
      </c>
      <c r="C1031" s="44" t="s">
        <v>800</v>
      </c>
      <c r="D1031" s="45" t="s">
        <v>1118</v>
      </c>
      <c r="E1031" s="11"/>
      <c r="F1031" s="12"/>
      <c r="G1031" s="12"/>
      <c r="H1031" s="12">
        <v>349</v>
      </c>
      <c r="I1031" s="12">
        <v>80</v>
      </c>
      <c r="J1031" s="12">
        <v>2</v>
      </c>
      <c r="K1031" s="12">
        <v>78</v>
      </c>
      <c r="L1031" s="12"/>
      <c r="M1031" s="12"/>
      <c r="N1031" s="12"/>
      <c r="O1031" s="12"/>
      <c r="P1031" s="12"/>
      <c r="Q1031" s="12"/>
      <c r="R1031" s="12"/>
      <c r="S1031" s="12"/>
      <c r="T1031" s="13"/>
      <c r="U1031" s="46"/>
      <c r="V1031" s="47"/>
      <c r="W1031" s="48">
        <f t="shared" si="200"/>
        <v>0</v>
      </c>
      <c r="X1031" s="48">
        <f t="shared" si="201"/>
        <v>0</v>
      </c>
      <c r="Y1031" s="48">
        <f t="shared" si="202"/>
        <v>0</v>
      </c>
      <c r="Z1031" s="48">
        <f t="shared" si="203"/>
        <v>0</v>
      </c>
      <c r="AA1031" s="48"/>
      <c r="AB1031" s="48"/>
      <c r="AC1031" s="49">
        <f t="shared" si="204"/>
        <v>0</v>
      </c>
      <c r="AD1031" s="50">
        <v>0</v>
      </c>
      <c r="AE1031" s="47">
        <v>40136</v>
      </c>
      <c r="AF1031" s="51" t="s">
        <v>516</v>
      </c>
      <c r="AG1031" s="52" t="s">
        <v>517</v>
      </c>
      <c r="AH1031" s="53" t="s">
        <v>621</v>
      </c>
      <c r="AI1031" s="79"/>
      <c r="AJ1031" s="80"/>
      <c r="AK1031" s="81"/>
      <c r="AL1031" s="80"/>
      <c r="AM1031" s="80"/>
      <c r="AN1031" s="80"/>
      <c r="AO1031" s="80"/>
      <c r="AP1031" s="80"/>
      <c r="AQ1031" s="80"/>
      <c r="AR1031" s="80"/>
      <c r="AS1031" s="80"/>
      <c r="AT1031" s="80"/>
      <c r="AU1031" s="80"/>
      <c r="AV1031" s="80"/>
      <c r="AW1031" s="80"/>
      <c r="AX1031" s="80"/>
      <c r="AY1031" s="80"/>
      <c r="AZ1031" s="80"/>
      <c r="BA1031" s="80"/>
      <c r="BB1031" s="80"/>
      <c r="BC1031" s="80"/>
      <c r="BD1031" s="80"/>
      <c r="BE1031" s="80"/>
      <c r="BF1031" s="80"/>
      <c r="BG1031" s="80"/>
      <c r="BH1031" s="80"/>
      <c r="BI1031" s="80"/>
      <c r="BJ1031" s="80"/>
      <c r="BK1031" s="80"/>
      <c r="BL1031" s="80"/>
      <c r="BM1031" s="80"/>
      <c r="BN1031" s="80"/>
      <c r="BO1031" s="80"/>
      <c r="BP1031" s="80"/>
      <c r="BQ1031" s="80"/>
      <c r="BR1031" s="80"/>
      <c r="BS1031" s="80"/>
      <c r="BT1031" s="80"/>
      <c r="BU1031" s="80"/>
      <c r="BV1031" s="80"/>
      <c r="BW1031" s="80"/>
      <c r="BX1031" s="80"/>
      <c r="BY1031" s="80"/>
      <c r="BZ1031" s="80"/>
      <c r="CA1031" s="80"/>
      <c r="CB1031" s="80"/>
      <c r="CC1031" s="80"/>
      <c r="CD1031" s="80"/>
      <c r="CE1031" s="80"/>
      <c r="CF1031" s="80"/>
      <c r="CG1031" s="80"/>
      <c r="CH1031" s="80"/>
      <c r="CI1031" s="80"/>
      <c r="CJ1031" s="80"/>
      <c r="CK1031" s="82"/>
      <c r="CL1031" s="12"/>
      <c r="CM1031" s="82"/>
      <c r="CN1031" s="12"/>
      <c r="CO1031" s="82"/>
      <c r="CP1031" s="12"/>
      <c r="CQ1031" s="83">
        <f t="shared" si="205"/>
        <v>0</v>
      </c>
      <c r="CR1031" s="84"/>
      <c r="CS1031" s="13"/>
      <c r="CT1031" s="85"/>
      <c r="CU1031" s="86"/>
      <c r="CV1031" s="11"/>
      <c r="CW1031" s="86"/>
      <c r="CX1031" s="84"/>
      <c r="CY1031" s="86"/>
    </row>
    <row r="1032" spans="1:103" ht="25.5" x14ac:dyDescent="0.2">
      <c r="A1032" s="43">
        <v>40135</v>
      </c>
      <c r="B1032" s="44" t="s">
        <v>1066</v>
      </c>
      <c r="C1032" s="44" t="s">
        <v>622</v>
      </c>
      <c r="D1032" s="45" t="s">
        <v>1095</v>
      </c>
      <c r="E1032" s="11">
        <v>1</v>
      </c>
      <c r="F1032" s="12">
        <v>1</v>
      </c>
      <c r="G1032" s="12"/>
      <c r="H1032" s="12">
        <v>5</v>
      </c>
      <c r="I1032" s="12">
        <v>1</v>
      </c>
      <c r="J1032" s="12">
        <v>1</v>
      </c>
      <c r="K1032" s="12"/>
      <c r="L1032" s="12"/>
      <c r="M1032" s="12"/>
      <c r="N1032" s="12"/>
      <c r="O1032" s="12"/>
      <c r="P1032" s="12"/>
      <c r="Q1032" s="12"/>
      <c r="R1032" s="12"/>
      <c r="S1032" s="12"/>
      <c r="T1032" s="13"/>
      <c r="U1032" s="46"/>
      <c r="V1032" s="47"/>
      <c r="W1032" s="48">
        <f t="shared" si="200"/>
        <v>0</v>
      </c>
      <c r="X1032" s="48">
        <f t="shared" si="201"/>
        <v>0</v>
      </c>
      <c r="Y1032" s="48">
        <f t="shared" si="202"/>
        <v>0</v>
      </c>
      <c r="Z1032" s="48">
        <f t="shared" si="203"/>
        <v>0</v>
      </c>
      <c r="AA1032" s="48"/>
      <c r="AB1032" s="48"/>
      <c r="AC1032" s="49">
        <f t="shared" si="204"/>
        <v>0</v>
      </c>
      <c r="AD1032" s="50">
        <v>0</v>
      </c>
      <c r="AE1032" s="47">
        <v>40136</v>
      </c>
      <c r="AF1032" s="51" t="s">
        <v>516</v>
      </c>
      <c r="AG1032" s="52" t="s">
        <v>517</v>
      </c>
      <c r="AH1032" s="53" t="s">
        <v>623</v>
      </c>
      <c r="AI1032" s="79"/>
      <c r="AJ1032" s="80"/>
      <c r="AK1032" s="81"/>
      <c r="AL1032" s="80"/>
      <c r="AM1032" s="80"/>
      <c r="AN1032" s="80"/>
      <c r="AO1032" s="80"/>
      <c r="AP1032" s="80"/>
      <c r="AQ1032" s="80"/>
      <c r="AR1032" s="80"/>
      <c r="AS1032" s="80"/>
      <c r="AT1032" s="80"/>
      <c r="AU1032" s="80"/>
      <c r="AV1032" s="80"/>
      <c r="AW1032" s="80"/>
      <c r="AX1032" s="80"/>
      <c r="AY1032" s="80"/>
      <c r="AZ1032" s="80"/>
      <c r="BA1032" s="80"/>
      <c r="BB1032" s="80"/>
      <c r="BC1032" s="80"/>
      <c r="BD1032" s="80"/>
      <c r="BE1032" s="80"/>
      <c r="BF1032" s="80"/>
      <c r="BG1032" s="80"/>
      <c r="BH1032" s="80"/>
      <c r="BI1032" s="80"/>
      <c r="BJ1032" s="80"/>
      <c r="BK1032" s="80"/>
      <c r="BL1032" s="80"/>
      <c r="BM1032" s="80"/>
      <c r="BN1032" s="80"/>
      <c r="BO1032" s="80"/>
      <c r="BP1032" s="80"/>
      <c r="BQ1032" s="80"/>
      <c r="BR1032" s="80"/>
      <c r="BS1032" s="80"/>
      <c r="BT1032" s="80"/>
      <c r="BU1032" s="80"/>
      <c r="BV1032" s="80"/>
      <c r="BW1032" s="80"/>
      <c r="BX1032" s="80"/>
      <c r="BY1032" s="80"/>
      <c r="BZ1032" s="80"/>
      <c r="CA1032" s="80"/>
      <c r="CB1032" s="80"/>
      <c r="CC1032" s="80"/>
      <c r="CD1032" s="80"/>
      <c r="CE1032" s="80"/>
      <c r="CF1032" s="80"/>
      <c r="CG1032" s="80"/>
      <c r="CH1032" s="80"/>
      <c r="CI1032" s="80"/>
      <c r="CJ1032" s="80"/>
      <c r="CK1032" s="82"/>
      <c r="CL1032" s="12"/>
      <c r="CM1032" s="82"/>
      <c r="CN1032" s="12"/>
      <c r="CO1032" s="82"/>
      <c r="CP1032" s="12"/>
      <c r="CQ1032" s="83">
        <f t="shared" si="205"/>
        <v>0</v>
      </c>
      <c r="CR1032" s="84"/>
      <c r="CS1032" s="13"/>
      <c r="CT1032" s="85"/>
      <c r="CU1032" s="86"/>
      <c r="CV1032" s="11"/>
      <c r="CW1032" s="86"/>
      <c r="CX1032" s="84"/>
      <c r="CY1032" s="86"/>
    </row>
    <row r="1033" spans="1:103" ht="51" x14ac:dyDescent="0.2">
      <c r="A1033" s="43">
        <v>40135</v>
      </c>
      <c r="B1033" s="44" t="s">
        <v>625</v>
      </c>
      <c r="C1033" s="44" t="s">
        <v>734</v>
      </c>
      <c r="D1033" s="45" t="s">
        <v>1118</v>
      </c>
      <c r="E1033" s="11"/>
      <c r="F1033" s="12"/>
      <c r="G1033" s="12"/>
      <c r="H1033" s="12">
        <v>500</v>
      </c>
      <c r="I1033" s="12">
        <v>100</v>
      </c>
      <c r="J1033" s="12"/>
      <c r="K1033" s="12">
        <v>100</v>
      </c>
      <c r="L1033" s="12"/>
      <c r="M1033" s="12"/>
      <c r="N1033" s="12"/>
      <c r="O1033" s="12"/>
      <c r="P1033" s="12"/>
      <c r="Q1033" s="12"/>
      <c r="R1033" s="12"/>
      <c r="S1033" s="12"/>
      <c r="T1033" s="13"/>
      <c r="U1033" s="46"/>
      <c r="V1033" s="47"/>
      <c r="W1033" s="48">
        <f t="shared" si="200"/>
        <v>0</v>
      </c>
      <c r="X1033" s="48">
        <f t="shared" si="201"/>
        <v>0</v>
      </c>
      <c r="Y1033" s="48">
        <f t="shared" si="202"/>
        <v>0</v>
      </c>
      <c r="Z1033" s="48">
        <f t="shared" si="203"/>
        <v>0</v>
      </c>
      <c r="AA1033" s="48"/>
      <c r="AB1033" s="48"/>
      <c r="AC1033" s="49">
        <f t="shared" si="204"/>
        <v>0</v>
      </c>
      <c r="AD1033" s="50">
        <v>0</v>
      </c>
      <c r="AE1033" s="47">
        <v>40136</v>
      </c>
      <c r="AF1033" s="51" t="s">
        <v>516</v>
      </c>
      <c r="AG1033" s="52" t="s">
        <v>517</v>
      </c>
      <c r="AH1033" s="53" t="s">
        <v>624</v>
      </c>
      <c r="AI1033" s="79"/>
      <c r="AJ1033" s="80"/>
      <c r="AK1033" s="81"/>
      <c r="AL1033" s="80"/>
      <c r="AM1033" s="80"/>
      <c r="AN1033" s="80"/>
      <c r="AO1033" s="80"/>
      <c r="AP1033" s="80"/>
      <c r="AQ1033" s="80"/>
      <c r="AR1033" s="80"/>
      <c r="AS1033" s="80"/>
      <c r="AT1033" s="80"/>
      <c r="AU1033" s="80"/>
      <c r="AV1033" s="80"/>
      <c r="AW1033" s="80"/>
      <c r="AX1033" s="80"/>
      <c r="AY1033" s="80"/>
      <c r="AZ1033" s="80"/>
      <c r="BA1033" s="80"/>
      <c r="BB1033" s="80"/>
      <c r="BC1033" s="80"/>
      <c r="BD1033" s="80"/>
      <c r="BE1033" s="80"/>
      <c r="BF1033" s="80"/>
      <c r="BG1033" s="80"/>
      <c r="BH1033" s="80"/>
      <c r="BI1033" s="80"/>
      <c r="BJ1033" s="80"/>
      <c r="BK1033" s="80"/>
      <c r="BL1033" s="80"/>
      <c r="BM1033" s="80"/>
      <c r="BN1033" s="80"/>
      <c r="BO1033" s="80"/>
      <c r="BP1033" s="80"/>
      <c r="BQ1033" s="80"/>
      <c r="BR1033" s="80"/>
      <c r="BS1033" s="80"/>
      <c r="BT1033" s="80"/>
      <c r="BU1033" s="80"/>
      <c r="BV1033" s="80"/>
      <c r="BW1033" s="80"/>
      <c r="BX1033" s="80"/>
      <c r="BY1033" s="80"/>
      <c r="BZ1033" s="80"/>
      <c r="CA1033" s="80"/>
      <c r="CB1033" s="80"/>
      <c r="CC1033" s="80"/>
      <c r="CD1033" s="80"/>
      <c r="CE1033" s="80"/>
      <c r="CF1033" s="80"/>
      <c r="CG1033" s="80"/>
      <c r="CH1033" s="80"/>
      <c r="CI1033" s="80"/>
      <c r="CJ1033" s="80"/>
      <c r="CK1033" s="82"/>
      <c r="CL1033" s="12"/>
      <c r="CM1033" s="82"/>
      <c r="CN1033" s="12"/>
      <c r="CO1033" s="82"/>
      <c r="CP1033" s="12"/>
      <c r="CQ1033" s="83">
        <f t="shared" si="205"/>
        <v>0</v>
      </c>
      <c r="CR1033" s="84"/>
      <c r="CS1033" s="13"/>
      <c r="CT1033" s="85"/>
      <c r="CU1033" s="86"/>
      <c r="CV1033" s="11"/>
      <c r="CW1033" s="86"/>
      <c r="CX1033" s="84"/>
      <c r="CY1033" s="86"/>
    </row>
    <row r="1034" spans="1:103" ht="51" x14ac:dyDescent="0.2">
      <c r="A1034" s="43">
        <v>40135</v>
      </c>
      <c r="B1034" s="44" t="s">
        <v>625</v>
      </c>
      <c r="C1034" s="44" t="s">
        <v>904</v>
      </c>
      <c r="D1034" s="45" t="s">
        <v>1118</v>
      </c>
      <c r="E1034" s="11"/>
      <c r="F1034" s="12"/>
      <c r="G1034" s="12"/>
      <c r="H1034" s="12">
        <f>25+15</f>
        <v>40</v>
      </c>
      <c r="I1034" s="12">
        <v>8</v>
      </c>
      <c r="J1034" s="12"/>
      <c r="K1034" s="12">
        <v>8</v>
      </c>
      <c r="L1034" s="12"/>
      <c r="M1034" s="12"/>
      <c r="N1034" s="12"/>
      <c r="O1034" s="12"/>
      <c r="P1034" s="12"/>
      <c r="Q1034" s="12"/>
      <c r="R1034" s="12"/>
      <c r="S1034" s="12"/>
      <c r="T1034" s="13"/>
      <c r="U1034" s="46"/>
      <c r="V1034" s="47"/>
      <c r="W1034" s="48">
        <f t="shared" si="200"/>
        <v>0</v>
      </c>
      <c r="X1034" s="48">
        <f t="shared" si="201"/>
        <v>0</v>
      </c>
      <c r="Y1034" s="48">
        <f t="shared" si="202"/>
        <v>0</v>
      </c>
      <c r="Z1034" s="48">
        <f t="shared" si="203"/>
        <v>0</v>
      </c>
      <c r="AA1034" s="48"/>
      <c r="AB1034" s="48"/>
      <c r="AC1034" s="49">
        <f t="shared" si="204"/>
        <v>0</v>
      </c>
      <c r="AD1034" s="50">
        <v>0</v>
      </c>
      <c r="AE1034" s="47">
        <v>40137</v>
      </c>
      <c r="AF1034" s="51" t="s">
        <v>516</v>
      </c>
      <c r="AG1034" s="52" t="s">
        <v>517</v>
      </c>
      <c r="AH1034" s="53" t="s">
        <v>172</v>
      </c>
      <c r="AI1034" s="79"/>
      <c r="AJ1034" s="80"/>
      <c r="AK1034" s="81"/>
      <c r="AL1034" s="80"/>
      <c r="AM1034" s="80"/>
      <c r="AN1034" s="80"/>
      <c r="AO1034" s="80"/>
      <c r="AP1034" s="80"/>
      <c r="AQ1034" s="80"/>
      <c r="AR1034" s="80"/>
      <c r="AS1034" s="80"/>
      <c r="AT1034" s="80"/>
      <c r="AU1034" s="80"/>
      <c r="AV1034" s="80"/>
      <c r="AW1034" s="80"/>
      <c r="AX1034" s="80"/>
      <c r="AY1034" s="80"/>
      <c r="AZ1034" s="80"/>
      <c r="BA1034" s="80"/>
      <c r="BB1034" s="80"/>
      <c r="BC1034" s="80"/>
      <c r="BD1034" s="80"/>
      <c r="BE1034" s="80"/>
      <c r="BF1034" s="80"/>
      <c r="BG1034" s="80"/>
      <c r="BH1034" s="80"/>
      <c r="BI1034" s="80"/>
      <c r="BJ1034" s="80"/>
      <c r="BK1034" s="80"/>
      <c r="BL1034" s="80"/>
      <c r="BM1034" s="80"/>
      <c r="BN1034" s="80"/>
      <c r="BO1034" s="80"/>
      <c r="BP1034" s="80"/>
      <c r="BQ1034" s="80"/>
      <c r="BR1034" s="80"/>
      <c r="BS1034" s="80"/>
      <c r="BT1034" s="80"/>
      <c r="BU1034" s="80"/>
      <c r="BV1034" s="80"/>
      <c r="BW1034" s="80"/>
      <c r="BX1034" s="80"/>
      <c r="BY1034" s="80"/>
      <c r="BZ1034" s="80"/>
      <c r="CA1034" s="80"/>
      <c r="CB1034" s="80"/>
      <c r="CC1034" s="80"/>
      <c r="CD1034" s="80"/>
      <c r="CE1034" s="80"/>
      <c r="CF1034" s="80"/>
      <c r="CG1034" s="80"/>
      <c r="CH1034" s="80"/>
      <c r="CI1034" s="80"/>
      <c r="CJ1034" s="80"/>
      <c r="CK1034" s="82"/>
      <c r="CL1034" s="12"/>
      <c r="CM1034" s="82"/>
      <c r="CN1034" s="12"/>
      <c r="CO1034" s="82"/>
      <c r="CP1034" s="12"/>
      <c r="CQ1034" s="83">
        <f t="shared" si="205"/>
        <v>0</v>
      </c>
      <c r="CR1034" s="84"/>
      <c r="CS1034" s="13"/>
      <c r="CT1034" s="85"/>
      <c r="CU1034" s="86"/>
      <c r="CV1034" s="11"/>
      <c r="CW1034" s="86"/>
      <c r="CX1034" s="84"/>
      <c r="CY1034" s="86"/>
    </row>
    <row r="1035" spans="1:103" ht="38.25" x14ac:dyDescent="0.2">
      <c r="A1035" s="43">
        <v>40136</v>
      </c>
      <c r="B1035" s="44" t="s">
        <v>1127</v>
      </c>
      <c r="C1035" s="44" t="s">
        <v>173</v>
      </c>
      <c r="D1035" s="45" t="s">
        <v>1070</v>
      </c>
      <c r="E1035" s="11"/>
      <c r="F1035" s="12"/>
      <c r="G1035" s="12">
        <v>2</v>
      </c>
      <c r="H1035" s="12"/>
      <c r="I1035" s="12"/>
      <c r="J1035" s="12"/>
      <c r="K1035" s="12"/>
      <c r="L1035" s="12"/>
      <c r="M1035" s="12"/>
      <c r="N1035" s="12"/>
      <c r="O1035" s="12"/>
      <c r="P1035" s="12"/>
      <c r="Q1035" s="12"/>
      <c r="R1035" s="12"/>
      <c r="S1035" s="12"/>
      <c r="T1035" s="13"/>
      <c r="U1035" s="46"/>
      <c r="V1035" s="47"/>
      <c r="W1035" s="48">
        <f t="shared" si="200"/>
        <v>0</v>
      </c>
      <c r="X1035" s="48">
        <f t="shared" si="201"/>
        <v>0</v>
      </c>
      <c r="Y1035" s="48">
        <f t="shared" si="202"/>
        <v>0</v>
      </c>
      <c r="Z1035" s="48">
        <f t="shared" si="203"/>
        <v>0</v>
      </c>
      <c r="AA1035" s="48"/>
      <c r="AB1035" s="48"/>
      <c r="AC1035" s="49">
        <f t="shared" si="204"/>
        <v>0</v>
      </c>
      <c r="AD1035" s="50">
        <v>0</v>
      </c>
      <c r="AE1035" s="47">
        <v>40137</v>
      </c>
      <c r="AF1035" s="51" t="s">
        <v>516</v>
      </c>
      <c r="AG1035" s="52" t="s">
        <v>517</v>
      </c>
      <c r="AH1035" s="53" t="s">
        <v>174</v>
      </c>
      <c r="AI1035" s="79"/>
      <c r="AJ1035" s="80"/>
      <c r="AK1035" s="81"/>
      <c r="AL1035" s="80"/>
      <c r="AM1035" s="80"/>
      <c r="AN1035" s="80"/>
      <c r="AO1035" s="80"/>
      <c r="AP1035" s="80"/>
      <c r="AQ1035" s="80"/>
      <c r="AR1035" s="80"/>
      <c r="AS1035" s="80"/>
      <c r="AT1035" s="80"/>
      <c r="AU1035" s="80"/>
      <c r="AV1035" s="80"/>
      <c r="AW1035" s="80"/>
      <c r="AX1035" s="80"/>
      <c r="AY1035" s="80"/>
      <c r="AZ1035" s="80"/>
      <c r="BA1035" s="80"/>
      <c r="BB1035" s="80"/>
      <c r="BC1035" s="80"/>
      <c r="BD1035" s="80"/>
      <c r="BE1035" s="80"/>
      <c r="BF1035" s="80"/>
      <c r="BG1035" s="80"/>
      <c r="BH1035" s="80"/>
      <c r="BI1035" s="80"/>
      <c r="BJ1035" s="80"/>
      <c r="BK1035" s="80"/>
      <c r="BL1035" s="80"/>
      <c r="BM1035" s="80"/>
      <c r="BN1035" s="80"/>
      <c r="BO1035" s="80"/>
      <c r="BP1035" s="80"/>
      <c r="BQ1035" s="80"/>
      <c r="BR1035" s="80"/>
      <c r="BS1035" s="80"/>
      <c r="BT1035" s="80"/>
      <c r="BU1035" s="80"/>
      <c r="BV1035" s="80"/>
      <c r="BW1035" s="80"/>
      <c r="BX1035" s="80"/>
      <c r="BY1035" s="80"/>
      <c r="BZ1035" s="80"/>
      <c r="CA1035" s="80"/>
      <c r="CB1035" s="80"/>
      <c r="CC1035" s="80"/>
      <c r="CD1035" s="80"/>
      <c r="CE1035" s="80"/>
      <c r="CF1035" s="80"/>
      <c r="CG1035" s="80"/>
      <c r="CH1035" s="80"/>
      <c r="CI1035" s="80"/>
      <c r="CJ1035" s="80"/>
      <c r="CK1035" s="82"/>
      <c r="CL1035" s="12"/>
      <c r="CM1035" s="82"/>
      <c r="CN1035" s="12"/>
      <c r="CO1035" s="82"/>
      <c r="CP1035" s="12"/>
      <c r="CQ1035" s="83">
        <f t="shared" si="205"/>
        <v>0</v>
      </c>
      <c r="CR1035" s="84"/>
      <c r="CS1035" s="13"/>
      <c r="CT1035" s="85"/>
      <c r="CU1035" s="86"/>
      <c r="CV1035" s="11"/>
      <c r="CW1035" s="86"/>
      <c r="CX1035" s="84"/>
      <c r="CY1035" s="86"/>
    </row>
    <row r="1036" spans="1:103" ht="25.5" x14ac:dyDescent="0.2">
      <c r="A1036" s="43">
        <v>40136</v>
      </c>
      <c r="B1036" s="44" t="s">
        <v>1097</v>
      </c>
      <c r="C1036" s="44" t="s">
        <v>125</v>
      </c>
      <c r="D1036" s="45" t="s">
        <v>1118</v>
      </c>
      <c r="E1036" s="11"/>
      <c r="F1036" s="12"/>
      <c r="G1036" s="12"/>
      <c r="H1036" s="12">
        <v>20</v>
      </c>
      <c r="I1036" s="12">
        <v>4</v>
      </c>
      <c r="J1036" s="12"/>
      <c r="K1036" s="12">
        <v>4</v>
      </c>
      <c r="L1036" s="12"/>
      <c r="M1036" s="12"/>
      <c r="N1036" s="12"/>
      <c r="O1036" s="12"/>
      <c r="P1036" s="12"/>
      <c r="Q1036" s="12"/>
      <c r="R1036" s="12"/>
      <c r="S1036" s="12"/>
      <c r="T1036" s="13"/>
      <c r="U1036" s="46"/>
      <c r="V1036" s="47"/>
      <c r="W1036" s="48">
        <f t="shared" si="200"/>
        <v>0</v>
      </c>
      <c r="X1036" s="48">
        <f t="shared" si="201"/>
        <v>0</v>
      </c>
      <c r="Y1036" s="48">
        <f t="shared" si="202"/>
        <v>0</v>
      </c>
      <c r="Z1036" s="48">
        <f t="shared" si="203"/>
        <v>0</v>
      </c>
      <c r="AA1036" s="48"/>
      <c r="AB1036" s="48"/>
      <c r="AC1036" s="49">
        <f t="shared" si="204"/>
        <v>0</v>
      </c>
      <c r="AD1036" s="50">
        <v>0</v>
      </c>
      <c r="AE1036" s="47">
        <v>40137</v>
      </c>
      <c r="AF1036" s="51" t="s">
        <v>516</v>
      </c>
      <c r="AG1036" s="52" t="s">
        <v>517</v>
      </c>
      <c r="AH1036" s="53" t="s">
        <v>175</v>
      </c>
      <c r="AI1036" s="79"/>
      <c r="AJ1036" s="80"/>
      <c r="AK1036" s="81"/>
      <c r="AL1036" s="80"/>
      <c r="AM1036" s="80"/>
      <c r="AN1036" s="80"/>
      <c r="AO1036" s="80"/>
      <c r="AP1036" s="80"/>
      <c r="AQ1036" s="80"/>
      <c r="AR1036" s="80"/>
      <c r="AS1036" s="80"/>
      <c r="AT1036" s="80"/>
      <c r="AU1036" s="80"/>
      <c r="AV1036" s="80"/>
      <c r="AW1036" s="80"/>
      <c r="AX1036" s="80"/>
      <c r="AY1036" s="80"/>
      <c r="AZ1036" s="80"/>
      <c r="BA1036" s="80"/>
      <c r="BB1036" s="80"/>
      <c r="BC1036" s="80"/>
      <c r="BD1036" s="80"/>
      <c r="BE1036" s="80"/>
      <c r="BF1036" s="80"/>
      <c r="BG1036" s="80"/>
      <c r="BH1036" s="80"/>
      <c r="BI1036" s="80"/>
      <c r="BJ1036" s="80"/>
      <c r="BK1036" s="80"/>
      <c r="BL1036" s="80"/>
      <c r="BM1036" s="80"/>
      <c r="BN1036" s="80"/>
      <c r="BO1036" s="80"/>
      <c r="BP1036" s="80"/>
      <c r="BQ1036" s="80"/>
      <c r="BR1036" s="80"/>
      <c r="BS1036" s="80"/>
      <c r="BT1036" s="80"/>
      <c r="BU1036" s="80"/>
      <c r="BV1036" s="80"/>
      <c r="BW1036" s="80"/>
      <c r="BX1036" s="80"/>
      <c r="BY1036" s="80"/>
      <c r="BZ1036" s="80"/>
      <c r="CA1036" s="80"/>
      <c r="CB1036" s="80"/>
      <c r="CC1036" s="80"/>
      <c r="CD1036" s="80"/>
      <c r="CE1036" s="80"/>
      <c r="CF1036" s="80"/>
      <c r="CG1036" s="80"/>
      <c r="CH1036" s="80"/>
      <c r="CI1036" s="80"/>
      <c r="CJ1036" s="80"/>
      <c r="CK1036" s="82"/>
      <c r="CL1036" s="12"/>
      <c r="CM1036" s="82"/>
      <c r="CN1036" s="12"/>
      <c r="CO1036" s="82"/>
      <c r="CP1036" s="12"/>
      <c r="CQ1036" s="83">
        <f t="shared" si="205"/>
        <v>0</v>
      </c>
      <c r="CR1036" s="84"/>
      <c r="CS1036" s="13"/>
      <c r="CT1036" s="85"/>
      <c r="CU1036" s="86"/>
      <c r="CV1036" s="11"/>
      <c r="CW1036" s="86"/>
      <c r="CX1036" s="84"/>
      <c r="CY1036" s="86"/>
    </row>
    <row r="1037" spans="1:103" ht="25.5" x14ac:dyDescent="0.2">
      <c r="A1037" s="43">
        <v>40137</v>
      </c>
      <c r="B1037" s="44" t="s">
        <v>1136</v>
      </c>
      <c r="C1037" s="44" t="s">
        <v>1187</v>
      </c>
      <c r="D1037" s="45" t="s">
        <v>1118</v>
      </c>
      <c r="E1037" s="11"/>
      <c r="F1037" s="12"/>
      <c r="G1037" s="12"/>
      <c r="H1037" s="12">
        <v>500</v>
      </c>
      <c r="I1037" s="12">
        <v>100</v>
      </c>
      <c r="J1037" s="12"/>
      <c r="K1037" s="12">
        <v>100</v>
      </c>
      <c r="L1037" s="12"/>
      <c r="M1037" s="12"/>
      <c r="N1037" s="12"/>
      <c r="O1037" s="12"/>
      <c r="P1037" s="12"/>
      <c r="Q1037" s="12"/>
      <c r="R1037" s="12"/>
      <c r="S1037" s="12"/>
      <c r="T1037" s="13"/>
      <c r="U1037" s="46"/>
      <c r="V1037" s="47">
        <v>40163</v>
      </c>
      <c r="W1037" s="48">
        <f t="shared" si="200"/>
        <v>0</v>
      </c>
      <c r="X1037" s="48">
        <f t="shared" si="201"/>
        <v>0</v>
      </c>
      <c r="Y1037" s="48">
        <f t="shared" si="202"/>
        <v>6165400</v>
      </c>
      <c r="Z1037" s="48">
        <f t="shared" si="203"/>
        <v>0</v>
      </c>
      <c r="AA1037" s="48"/>
      <c r="AB1037" s="48"/>
      <c r="AC1037" s="49">
        <f t="shared" si="204"/>
        <v>6165400</v>
      </c>
      <c r="AD1037" s="50">
        <v>0</v>
      </c>
      <c r="AE1037" s="47">
        <v>40137</v>
      </c>
      <c r="AF1037" s="51" t="s">
        <v>1016</v>
      </c>
      <c r="AG1037" s="52" t="s">
        <v>565</v>
      </c>
      <c r="AH1037" s="53" t="s">
        <v>317</v>
      </c>
      <c r="AI1037" s="79"/>
      <c r="AJ1037" s="80"/>
      <c r="AK1037" s="81"/>
      <c r="AL1037" s="80"/>
      <c r="AM1037" s="80"/>
      <c r="AN1037" s="80"/>
      <c r="AO1037" s="80"/>
      <c r="AP1037" s="80"/>
      <c r="AQ1037" s="80"/>
      <c r="AR1037" s="80"/>
      <c r="AS1037" s="80"/>
      <c r="AT1037" s="80"/>
      <c r="AU1037" s="80"/>
      <c r="AV1037" s="80"/>
      <c r="AW1037" s="80"/>
      <c r="AX1037" s="80"/>
      <c r="AY1037" s="80"/>
      <c r="AZ1037" s="80"/>
      <c r="BA1037" s="80"/>
      <c r="BB1037" s="80"/>
      <c r="BC1037" s="80"/>
      <c r="BD1037" s="80"/>
      <c r="BE1037" s="80"/>
      <c r="BF1037" s="80"/>
      <c r="BG1037" s="80"/>
      <c r="BH1037" s="80"/>
      <c r="BI1037" s="80"/>
      <c r="BJ1037" s="80"/>
      <c r="BK1037" s="80"/>
      <c r="BL1037" s="80"/>
      <c r="BM1037" s="80"/>
      <c r="BN1037" s="80"/>
      <c r="BO1037" s="80"/>
      <c r="BP1037" s="80"/>
      <c r="BQ1037" s="80"/>
      <c r="BR1037" s="80"/>
      <c r="BS1037" s="80"/>
      <c r="BT1037" s="80"/>
      <c r="BU1037" s="80"/>
      <c r="BV1037" s="80"/>
      <c r="BW1037" s="80"/>
      <c r="BX1037" s="80"/>
      <c r="BY1037" s="80"/>
      <c r="BZ1037" s="80"/>
      <c r="CA1037" s="80"/>
      <c r="CB1037" s="80"/>
      <c r="CC1037" s="80"/>
      <c r="CD1037" s="80"/>
      <c r="CE1037" s="80"/>
      <c r="CF1037" s="80"/>
      <c r="CG1037" s="80"/>
      <c r="CH1037" s="80"/>
      <c r="CI1037" s="80"/>
      <c r="CJ1037" s="80"/>
      <c r="CK1037" s="82"/>
      <c r="CL1037" s="12"/>
      <c r="CM1037" s="82"/>
      <c r="CN1037" s="12"/>
      <c r="CO1037" s="82"/>
      <c r="CP1037" s="12"/>
      <c r="CQ1037" s="83">
        <f t="shared" si="205"/>
        <v>0</v>
      </c>
      <c r="CR1037" s="84"/>
      <c r="CS1037" s="13"/>
      <c r="CT1037" s="85"/>
      <c r="CU1037" s="86"/>
      <c r="CV1037" s="11">
        <v>100</v>
      </c>
      <c r="CW1037" s="86">
        <f>100*25000</f>
        <v>2500000</v>
      </c>
      <c r="CX1037" s="84">
        <v>150</v>
      </c>
      <c r="CY1037" s="86">
        <f>150*22000+1050*348</f>
        <v>3665400</v>
      </c>
    </row>
    <row r="1038" spans="1:103" ht="25.5" x14ac:dyDescent="0.2">
      <c r="A1038" s="43">
        <v>40140</v>
      </c>
      <c r="B1038" s="44" t="s">
        <v>1224</v>
      </c>
      <c r="C1038" s="44" t="s">
        <v>1454</v>
      </c>
      <c r="D1038" s="45" t="s">
        <v>1118</v>
      </c>
      <c r="E1038" s="11"/>
      <c r="F1038" s="12"/>
      <c r="G1038" s="12"/>
      <c r="H1038" s="12"/>
      <c r="I1038" s="12"/>
      <c r="J1038" s="12"/>
      <c r="K1038" s="12"/>
      <c r="L1038" s="12"/>
      <c r="M1038" s="12"/>
      <c r="N1038" s="12"/>
      <c r="O1038" s="12"/>
      <c r="P1038" s="12"/>
      <c r="Q1038" s="12"/>
      <c r="R1038" s="12"/>
      <c r="S1038" s="12"/>
      <c r="T1038" s="13"/>
      <c r="U1038" s="46"/>
      <c r="V1038" s="47">
        <v>40156</v>
      </c>
      <c r="W1038" s="48">
        <f t="shared" si="200"/>
        <v>36476000</v>
      </c>
      <c r="X1038" s="48">
        <f t="shared" si="201"/>
        <v>97750000</v>
      </c>
      <c r="Y1038" s="48">
        <f t="shared" si="202"/>
        <v>0</v>
      </c>
      <c r="Z1038" s="48">
        <f t="shared" si="203"/>
        <v>0</v>
      </c>
      <c r="AA1038" s="48"/>
      <c r="AB1038" s="48"/>
      <c r="AC1038" s="49">
        <f t="shared" si="204"/>
        <v>134226000</v>
      </c>
      <c r="AD1038" s="50">
        <v>0</v>
      </c>
      <c r="AE1038" s="47">
        <v>40140</v>
      </c>
      <c r="AF1038" s="51" t="s">
        <v>1016</v>
      </c>
      <c r="AG1038" s="52" t="s">
        <v>565</v>
      </c>
      <c r="AH1038" s="53" t="s">
        <v>1190</v>
      </c>
      <c r="AI1038" s="79"/>
      <c r="AJ1038" s="80"/>
      <c r="AK1038" s="81"/>
      <c r="AL1038" s="80"/>
      <c r="AM1038" s="80"/>
      <c r="AN1038" s="80"/>
      <c r="AO1038" s="80"/>
      <c r="AP1038" s="80"/>
      <c r="AQ1038" s="80"/>
      <c r="AR1038" s="80"/>
      <c r="AS1038" s="80"/>
      <c r="AT1038" s="80"/>
      <c r="AU1038" s="80"/>
      <c r="AV1038" s="80"/>
      <c r="AW1038" s="80"/>
      <c r="AX1038" s="80"/>
      <c r="AY1038" s="80"/>
      <c r="AZ1038" s="80"/>
      <c r="BA1038" s="80"/>
      <c r="BB1038" s="80"/>
      <c r="BC1038" s="80"/>
      <c r="BD1038" s="80"/>
      <c r="BE1038" s="80"/>
      <c r="BF1038" s="80"/>
      <c r="BG1038" s="80"/>
      <c r="BH1038" s="80"/>
      <c r="BI1038" s="80"/>
      <c r="BJ1038" s="80"/>
      <c r="BK1038" s="80"/>
      <c r="BL1038" s="80"/>
      <c r="BM1038" s="80"/>
      <c r="BN1038" s="80"/>
      <c r="BO1038" s="80"/>
      <c r="BP1038" s="80"/>
      <c r="BQ1038" s="80"/>
      <c r="BR1038" s="80"/>
      <c r="BS1038" s="80"/>
      <c r="BT1038" s="80"/>
      <c r="BU1038" s="80"/>
      <c r="BV1038" s="80"/>
      <c r="BW1038" s="80"/>
      <c r="BX1038" s="80"/>
      <c r="BY1038" s="80"/>
      <c r="BZ1038" s="80"/>
      <c r="CA1038" s="80"/>
      <c r="CB1038" s="80"/>
      <c r="CC1038" s="80"/>
      <c r="CD1038" s="80"/>
      <c r="CE1038" s="80"/>
      <c r="CF1038" s="80"/>
      <c r="CG1038" s="80"/>
      <c r="CH1038" s="80"/>
      <c r="CI1038" s="80"/>
      <c r="CJ1038" s="80"/>
      <c r="CK1038" s="82">
        <v>500</v>
      </c>
      <c r="CL1038" s="12">
        <f>500*36952</f>
        <v>18476000</v>
      </c>
      <c r="CM1038" s="82">
        <v>500</v>
      </c>
      <c r="CN1038" s="12">
        <f>500*36000</f>
        <v>18000000</v>
      </c>
      <c r="CO1038" s="82"/>
      <c r="CP1038" s="12"/>
      <c r="CQ1038" s="83">
        <f t="shared" si="205"/>
        <v>36476000</v>
      </c>
      <c r="CR1038" s="84"/>
      <c r="CS1038" s="13"/>
      <c r="CT1038" s="85">
        <v>1150</v>
      </c>
      <c r="CU1038" s="86">
        <f>1150*85000</f>
        <v>97750000</v>
      </c>
      <c r="CV1038" s="11"/>
      <c r="CW1038" s="86"/>
      <c r="CX1038" s="84"/>
      <c r="CY1038" s="86"/>
    </row>
    <row r="1039" spans="1:103" ht="38.25" x14ac:dyDescent="0.2">
      <c r="A1039" s="43">
        <v>40143</v>
      </c>
      <c r="B1039" s="44" t="s">
        <v>1127</v>
      </c>
      <c r="C1039" s="44" t="s">
        <v>116</v>
      </c>
      <c r="D1039" s="45" t="s">
        <v>1116</v>
      </c>
      <c r="E1039" s="11"/>
      <c r="F1039" s="12">
        <v>1</v>
      </c>
      <c r="G1039" s="12"/>
      <c r="H1039" s="12"/>
      <c r="I1039" s="12"/>
      <c r="J1039" s="12"/>
      <c r="K1039" s="12"/>
      <c r="L1039" s="12"/>
      <c r="M1039" s="12"/>
      <c r="N1039" s="12"/>
      <c r="O1039" s="12"/>
      <c r="P1039" s="12"/>
      <c r="Q1039" s="12"/>
      <c r="R1039" s="12"/>
      <c r="S1039" s="12"/>
      <c r="T1039" s="13"/>
      <c r="U1039" s="46"/>
      <c r="V1039" s="47"/>
      <c r="W1039" s="48">
        <f t="shared" si="200"/>
        <v>0</v>
      </c>
      <c r="X1039" s="48">
        <f t="shared" si="201"/>
        <v>0</v>
      </c>
      <c r="Y1039" s="48">
        <f t="shared" si="202"/>
        <v>0</v>
      </c>
      <c r="Z1039" s="48">
        <f t="shared" si="203"/>
        <v>0</v>
      </c>
      <c r="AA1039" s="48"/>
      <c r="AB1039" s="48"/>
      <c r="AC1039" s="49">
        <f t="shared" si="204"/>
        <v>0</v>
      </c>
      <c r="AD1039" s="50">
        <v>0</v>
      </c>
      <c r="AE1039" s="47">
        <v>40147</v>
      </c>
      <c r="AF1039" s="51" t="s">
        <v>516</v>
      </c>
      <c r="AG1039" s="52" t="s">
        <v>517</v>
      </c>
      <c r="AH1039" s="53" t="s">
        <v>906</v>
      </c>
      <c r="AI1039" s="79"/>
      <c r="AJ1039" s="80"/>
      <c r="AK1039" s="81"/>
      <c r="AL1039" s="80"/>
      <c r="AM1039" s="80"/>
      <c r="AN1039" s="80"/>
      <c r="AO1039" s="80"/>
      <c r="AP1039" s="80"/>
      <c r="AQ1039" s="80"/>
      <c r="AR1039" s="80"/>
      <c r="AS1039" s="80"/>
      <c r="AT1039" s="80"/>
      <c r="AU1039" s="80"/>
      <c r="AV1039" s="80"/>
      <c r="AW1039" s="80"/>
      <c r="AX1039" s="80"/>
      <c r="AY1039" s="80"/>
      <c r="AZ1039" s="80"/>
      <c r="BA1039" s="80"/>
      <c r="BB1039" s="80"/>
      <c r="BC1039" s="80"/>
      <c r="BD1039" s="80"/>
      <c r="BE1039" s="80"/>
      <c r="BF1039" s="80"/>
      <c r="BG1039" s="80"/>
      <c r="BH1039" s="80"/>
      <c r="BI1039" s="80"/>
      <c r="BJ1039" s="80"/>
      <c r="BK1039" s="80"/>
      <c r="BL1039" s="80"/>
      <c r="BM1039" s="80"/>
      <c r="BN1039" s="80"/>
      <c r="BO1039" s="80"/>
      <c r="BP1039" s="80"/>
      <c r="BQ1039" s="80"/>
      <c r="BR1039" s="80"/>
      <c r="BS1039" s="80"/>
      <c r="BT1039" s="80"/>
      <c r="BU1039" s="80"/>
      <c r="BV1039" s="80"/>
      <c r="BW1039" s="80"/>
      <c r="BX1039" s="80"/>
      <c r="BY1039" s="80"/>
      <c r="BZ1039" s="80"/>
      <c r="CA1039" s="80"/>
      <c r="CB1039" s="80"/>
      <c r="CC1039" s="80"/>
      <c r="CD1039" s="80"/>
      <c r="CE1039" s="80"/>
      <c r="CF1039" s="80"/>
      <c r="CG1039" s="80"/>
      <c r="CH1039" s="80"/>
      <c r="CI1039" s="80"/>
      <c r="CJ1039" s="80"/>
      <c r="CK1039" s="82"/>
      <c r="CL1039" s="12"/>
      <c r="CM1039" s="82"/>
      <c r="CN1039" s="12"/>
      <c r="CO1039" s="82"/>
      <c r="CP1039" s="12"/>
      <c r="CQ1039" s="83">
        <f t="shared" si="205"/>
        <v>0</v>
      </c>
      <c r="CR1039" s="84"/>
      <c r="CS1039" s="13"/>
      <c r="CT1039" s="85"/>
      <c r="CU1039" s="86"/>
      <c r="CV1039" s="11"/>
      <c r="CW1039" s="86"/>
      <c r="CX1039" s="84"/>
      <c r="CY1039" s="86"/>
    </row>
    <row r="1040" spans="1:103" ht="25.5" x14ac:dyDescent="0.2">
      <c r="A1040" s="43">
        <v>40144</v>
      </c>
      <c r="B1040" s="44" t="s">
        <v>1350</v>
      </c>
      <c r="C1040" s="44" t="s">
        <v>756</v>
      </c>
      <c r="D1040" s="45" t="s">
        <v>1118</v>
      </c>
      <c r="E1040" s="11"/>
      <c r="F1040" s="12"/>
      <c r="G1040" s="12"/>
      <c r="H1040" s="12">
        <v>16</v>
      </c>
      <c r="I1040" s="12">
        <v>4</v>
      </c>
      <c r="J1040" s="12"/>
      <c r="K1040" s="12">
        <v>4</v>
      </c>
      <c r="L1040" s="12"/>
      <c r="M1040" s="12"/>
      <c r="N1040" s="12"/>
      <c r="O1040" s="12"/>
      <c r="P1040" s="12"/>
      <c r="Q1040" s="12"/>
      <c r="R1040" s="12"/>
      <c r="S1040" s="12"/>
      <c r="T1040" s="13"/>
      <c r="U1040" s="46"/>
      <c r="V1040" s="47"/>
      <c r="W1040" s="48">
        <f t="shared" si="200"/>
        <v>0</v>
      </c>
      <c r="X1040" s="48">
        <f t="shared" si="201"/>
        <v>0</v>
      </c>
      <c r="Y1040" s="48">
        <f t="shared" si="202"/>
        <v>0</v>
      </c>
      <c r="Z1040" s="48">
        <f t="shared" si="203"/>
        <v>0</v>
      </c>
      <c r="AA1040" s="48"/>
      <c r="AB1040" s="48"/>
      <c r="AC1040" s="49">
        <f t="shared" si="204"/>
        <v>0</v>
      </c>
      <c r="AD1040" s="50">
        <v>0</v>
      </c>
      <c r="AE1040" s="47">
        <v>40147</v>
      </c>
      <c r="AF1040" s="51" t="s">
        <v>516</v>
      </c>
      <c r="AG1040" s="52" t="s">
        <v>517</v>
      </c>
      <c r="AH1040" s="53" t="s">
        <v>907</v>
      </c>
      <c r="AI1040" s="79"/>
      <c r="AJ1040" s="80"/>
      <c r="AK1040" s="81"/>
      <c r="AL1040" s="80"/>
      <c r="AM1040" s="80"/>
      <c r="AN1040" s="80"/>
      <c r="AO1040" s="80"/>
      <c r="AP1040" s="80"/>
      <c r="AQ1040" s="80"/>
      <c r="AR1040" s="80"/>
      <c r="AS1040" s="80"/>
      <c r="AT1040" s="80"/>
      <c r="AU1040" s="80"/>
      <c r="AV1040" s="80"/>
      <c r="AW1040" s="80"/>
      <c r="AX1040" s="80"/>
      <c r="AY1040" s="80"/>
      <c r="AZ1040" s="80"/>
      <c r="BA1040" s="80"/>
      <c r="BB1040" s="80"/>
      <c r="BC1040" s="80"/>
      <c r="BD1040" s="80"/>
      <c r="BE1040" s="80"/>
      <c r="BF1040" s="80"/>
      <c r="BG1040" s="80"/>
      <c r="BH1040" s="80"/>
      <c r="BI1040" s="80"/>
      <c r="BJ1040" s="80"/>
      <c r="BK1040" s="80"/>
      <c r="BL1040" s="80"/>
      <c r="BM1040" s="80"/>
      <c r="BN1040" s="80"/>
      <c r="BO1040" s="80"/>
      <c r="BP1040" s="80"/>
      <c r="BQ1040" s="80"/>
      <c r="BR1040" s="80"/>
      <c r="BS1040" s="80"/>
      <c r="BT1040" s="80"/>
      <c r="BU1040" s="80"/>
      <c r="BV1040" s="80"/>
      <c r="BW1040" s="80"/>
      <c r="BX1040" s="80"/>
      <c r="BY1040" s="80"/>
      <c r="BZ1040" s="80"/>
      <c r="CA1040" s="80"/>
      <c r="CB1040" s="80"/>
      <c r="CC1040" s="80"/>
      <c r="CD1040" s="80"/>
      <c r="CE1040" s="80"/>
      <c r="CF1040" s="80"/>
      <c r="CG1040" s="80"/>
      <c r="CH1040" s="80"/>
      <c r="CI1040" s="80"/>
      <c r="CJ1040" s="80"/>
      <c r="CK1040" s="82"/>
      <c r="CL1040" s="12"/>
      <c r="CM1040" s="82"/>
      <c r="CN1040" s="12"/>
      <c r="CO1040" s="82"/>
      <c r="CP1040" s="12"/>
      <c r="CQ1040" s="83">
        <f t="shared" si="205"/>
        <v>0</v>
      </c>
      <c r="CR1040" s="84"/>
      <c r="CS1040" s="13"/>
      <c r="CT1040" s="85"/>
      <c r="CU1040" s="86"/>
      <c r="CV1040" s="11"/>
      <c r="CW1040" s="86"/>
      <c r="CX1040" s="84"/>
      <c r="CY1040" s="86"/>
    </row>
    <row r="1041" spans="1:103" ht="25.5" x14ac:dyDescent="0.2">
      <c r="A1041" s="43">
        <v>40144</v>
      </c>
      <c r="B1041" s="44" t="s">
        <v>1094</v>
      </c>
      <c r="C1041" s="44" t="s">
        <v>506</v>
      </c>
      <c r="D1041" s="45" t="s">
        <v>1118</v>
      </c>
      <c r="E1041" s="11"/>
      <c r="F1041" s="12"/>
      <c r="G1041" s="12"/>
      <c r="H1041" s="12">
        <v>506</v>
      </c>
      <c r="I1041" s="12">
        <v>101</v>
      </c>
      <c r="J1041" s="12"/>
      <c r="K1041" s="12">
        <v>101</v>
      </c>
      <c r="L1041" s="12"/>
      <c r="M1041" s="12"/>
      <c r="N1041" s="12"/>
      <c r="O1041" s="12"/>
      <c r="P1041" s="12"/>
      <c r="Q1041" s="12"/>
      <c r="R1041" s="12"/>
      <c r="S1041" s="12"/>
      <c r="T1041" s="13"/>
      <c r="U1041" s="46"/>
      <c r="V1041" s="47"/>
      <c r="W1041" s="48">
        <f t="shared" ref="W1041:W1058" si="206">CQ1041</f>
        <v>0</v>
      </c>
      <c r="X1041" s="48">
        <f t="shared" ref="X1041:X1058" si="207">CU1041</f>
        <v>0</v>
      </c>
      <c r="Y1041" s="48">
        <f t="shared" ref="Y1041:Y1058" si="208">CW1041+CY1041</f>
        <v>0</v>
      </c>
      <c r="Z1041" s="48">
        <f t="shared" ref="Z1041:Z1058" si="209">CS1041</f>
        <v>0</v>
      </c>
      <c r="AA1041" s="48"/>
      <c r="AB1041" s="48"/>
      <c r="AC1041" s="49">
        <f t="shared" ref="AC1041:AC1058" si="210">W1041+X1041+Y1041+Z1041+AA1041+AB1041</f>
        <v>0</v>
      </c>
      <c r="AD1041" s="50">
        <v>0</v>
      </c>
      <c r="AE1041" s="47">
        <v>40147</v>
      </c>
      <c r="AF1041" s="51" t="s">
        <v>516</v>
      </c>
      <c r="AG1041" s="52" t="s">
        <v>517</v>
      </c>
      <c r="AH1041" s="53" t="s">
        <v>908</v>
      </c>
      <c r="AI1041" s="79"/>
      <c r="AJ1041" s="80"/>
      <c r="AK1041" s="81"/>
      <c r="AL1041" s="80"/>
      <c r="AM1041" s="80"/>
      <c r="AN1041" s="80"/>
      <c r="AO1041" s="80"/>
      <c r="AP1041" s="80"/>
      <c r="AQ1041" s="80"/>
      <c r="AR1041" s="80"/>
      <c r="AS1041" s="80"/>
      <c r="AT1041" s="80"/>
      <c r="AU1041" s="80"/>
      <c r="AV1041" s="80"/>
      <c r="AW1041" s="80"/>
      <c r="AX1041" s="80"/>
      <c r="AY1041" s="80"/>
      <c r="AZ1041" s="80"/>
      <c r="BA1041" s="80"/>
      <c r="BB1041" s="80"/>
      <c r="BC1041" s="80"/>
      <c r="BD1041" s="80"/>
      <c r="BE1041" s="80"/>
      <c r="BF1041" s="80"/>
      <c r="BG1041" s="80"/>
      <c r="BH1041" s="80"/>
      <c r="BI1041" s="80"/>
      <c r="BJ1041" s="80"/>
      <c r="BK1041" s="80"/>
      <c r="BL1041" s="80"/>
      <c r="BM1041" s="80"/>
      <c r="BN1041" s="80"/>
      <c r="BO1041" s="80"/>
      <c r="BP1041" s="80"/>
      <c r="BQ1041" s="80"/>
      <c r="BR1041" s="80"/>
      <c r="BS1041" s="80"/>
      <c r="BT1041" s="80"/>
      <c r="BU1041" s="80"/>
      <c r="BV1041" s="80"/>
      <c r="BW1041" s="80"/>
      <c r="BX1041" s="80"/>
      <c r="BY1041" s="80"/>
      <c r="BZ1041" s="80"/>
      <c r="CA1041" s="80"/>
      <c r="CB1041" s="80"/>
      <c r="CC1041" s="80"/>
      <c r="CD1041" s="80"/>
      <c r="CE1041" s="80"/>
      <c r="CF1041" s="80"/>
      <c r="CG1041" s="80"/>
      <c r="CH1041" s="80"/>
      <c r="CI1041" s="80"/>
      <c r="CJ1041" s="80"/>
      <c r="CK1041" s="82"/>
      <c r="CL1041" s="12"/>
      <c r="CM1041" s="82"/>
      <c r="CN1041" s="12"/>
      <c r="CO1041" s="82"/>
      <c r="CP1041" s="12"/>
      <c r="CQ1041" s="83">
        <f t="shared" ref="CQ1041:CQ1058" si="211">AJ1041+AL1041+AN1041+AP1041+AR1041+AT1041+AV1041+AX1041+AZ1041+BB1041+BD1041+BF1041+BH1041+BJ1041+BL1041+BN1041+BP1041+BR1041+BT1041+BV1041+BX1041+BZ1041+CB1041+CD1041+CF1041+CH1041+CJ1041+CL1041+CN1041+CP1041</f>
        <v>0</v>
      </c>
      <c r="CR1041" s="84"/>
      <c r="CS1041" s="13"/>
      <c r="CT1041" s="85"/>
      <c r="CU1041" s="86"/>
      <c r="CV1041" s="11"/>
      <c r="CW1041" s="86"/>
      <c r="CX1041" s="84"/>
      <c r="CY1041" s="86"/>
    </row>
    <row r="1042" spans="1:103" ht="25.5" x14ac:dyDescent="0.2">
      <c r="A1042" s="43">
        <v>40144</v>
      </c>
      <c r="B1042" s="44" t="s">
        <v>1114</v>
      </c>
      <c r="C1042" s="44" t="s">
        <v>560</v>
      </c>
      <c r="D1042" s="45" t="s">
        <v>1117</v>
      </c>
      <c r="E1042" s="11"/>
      <c r="F1042" s="12"/>
      <c r="G1042" s="12"/>
      <c r="H1042" s="12">
        <v>25</v>
      </c>
      <c r="I1042" s="12">
        <v>5</v>
      </c>
      <c r="J1042" s="12"/>
      <c r="K1042" s="12">
        <v>5</v>
      </c>
      <c r="L1042" s="12"/>
      <c r="M1042" s="12"/>
      <c r="N1042" s="12"/>
      <c r="O1042" s="12"/>
      <c r="P1042" s="12"/>
      <c r="Q1042" s="12"/>
      <c r="R1042" s="12"/>
      <c r="S1042" s="12"/>
      <c r="T1042" s="13"/>
      <c r="U1042" s="46"/>
      <c r="V1042" s="47"/>
      <c r="W1042" s="48">
        <f t="shared" si="206"/>
        <v>0</v>
      </c>
      <c r="X1042" s="48">
        <f t="shared" si="207"/>
        <v>0</v>
      </c>
      <c r="Y1042" s="48">
        <f t="shared" si="208"/>
        <v>0</v>
      </c>
      <c r="Z1042" s="48">
        <f t="shared" si="209"/>
        <v>0</v>
      </c>
      <c r="AA1042" s="48"/>
      <c r="AB1042" s="48"/>
      <c r="AC1042" s="49">
        <f t="shared" si="210"/>
        <v>0</v>
      </c>
      <c r="AD1042" s="50">
        <v>0</v>
      </c>
      <c r="AE1042" s="47">
        <v>40147</v>
      </c>
      <c r="AF1042" s="51" t="s">
        <v>516</v>
      </c>
      <c r="AG1042" s="52" t="s">
        <v>517</v>
      </c>
      <c r="AH1042" s="53" t="s">
        <v>909</v>
      </c>
      <c r="AI1042" s="79"/>
      <c r="AJ1042" s="80"/>
      <c r="AK1042" s="81"/>
      <c r="AL1042" s="80"/>
      <c r="AM1042" s="80"/>
      <c r="AN1042" s="80"/>
      <c r="AO1042" s="80"/>
      <c r="AP1042" s="80"/>
      <c r="AQ1042" s="80"/>
      <c r="AR1042" s="80"/>
      <c r="AS1042" s="80"/>
      <c r="AT1042" s="80"/>
      <c r="AU1042" s="80"/>
      <c r="AV1042" s="80"/>
      <c r="AW1042" s="80"/>
      <c r="AX1042" s="80"/>
      <c r="AY1042" s="80"/>
      <c r="AZ1042" s="80"/>
      <c r="BA1042" s="80"/>
      <c r="BB1042" s="80"/>
      <c r="BC1042" s="80"/>
      <c r="BD1042" s="80"/>
      <c r="BE1042" s="80"/>
      <c r="BF1042" s="80"/>
      <c r="BG1042" s="80"/>
      <c r="BH1042" s="80"/>
      <c r="BI1042" s="80"/>
      <c r="BJ1042" s="80"/>
      <c r="BK1042" s="80"/>
      <c r="BL1042" s="80"/>
      <c r="BM1042" s="80"/>
      <c r="BN1042" s="80"/>
      <c r="BO1042" s="80"/>
      <c r="BP1042" s="80"/>
      <c r="BQ1042" s="80"/>
      <c r="BR1042" s="80"/>
      <c r="BS1042" s="80"/>
      <c r="BT1042" s="80"/>
      <c r="BU1042" s="80"/>
      <c r="BV1042" s="80"/>
      <c r="BW1042" s="80"/>
      <c r="BX1042" s="80"/>
      <c r="BY1042" s="80"/>
      <c r="BZ1042" s="80"/>
      <c r="CA1042" s="80"/>
      <c r="CB1042" s="80"/>
      <c r="CC1042" s="80"/>
      <c r="CD1042" s="80"/>
      <c r="CE1042" s="80"/>
      <c r="CF1042" s="80"/>
      <c r="CG1042" s="80"/>
      <c r="CH1042" s="80"/>
      <c r="CI1042" s="80"/>
      <c r="CJ1042" s="80"/>
      <c r="CK1042" s="82"/>
      <c r="CL1042" s="12"/>
      <c r="CM1042" s="82"/>
      <c r="CN1042" s="12"/>
      <c r="CO1042" s="82"/>
      <c r="CP1042" s="12"/>
      <c r="CQ1042" s="83">
        <f t="shared" si="211"/>
        <v>0</v>
      </c>
      <c r="CR1042" s="84"/>
      <c r="CS1042" s="13"/>
      <c r="CT1042" s="85"/>
      <c r="CU1042" s="86"/>
      <c r="CV1042" s="11"/>
      <c r="CW1042" s="86"/>
      <c r="CX1042" s="84"/>
      <c r="CY1042" s="86"/>
    </row>
    <row r="1043" spans="1:103" ht="89.25" x14ac:dyDescent="0.2">
      <c r="A1043" s="43">
        <v>40148</v>
      </c>
      <c r="B1043" s="44" t="s">
        <v>625</v>
      </c>
      <c r="C1043" s="44" t="s">
        <v>948</v>
      </c>
      <c r="D1043" s="45" t="s">
        <v>1118</v>
      </c>
      <c r="E1043" s="11"/>
      <c r="F1043" s="12"/>
      <c r="G1043" s="12"/>
      <c r="H1043" s="12">
        <f>19*5</f>
        <v>95</v>
      </c>
      <c r="I1043" s="12">
        <v>19</v>
      </c>
      <c r="J1043" s="12">
        <v>19</v>
      </c>
      <c r="K1043" s="12"/>
      <c r="L1043" s="12"/>
      <c r="M1043" s="12"/>
      <c r="N1043" s="12"/>
      <c r="O1043" s="12"/>
      <c r="P1043" s="12"/>
      <c r="Q1043" s="12"/>
      <c r="R1043" s="12"/>
      <c r="S1043" s="12"/>
      <c r="T1043" s="13"/>
      <c r="U1043" s="46"/>
      <c r="V1043" s="47">
        <v>40175</v>
      </c>
      <c r="W1043" s="48">
        <f t="shared" si="206"/>
        <v>0</v>
      </c>
      <c r="X1043" s="48">
        <f t="shared" si="207"/>
        <v>0</v>
      </c>
      <c r="Y1043" s="48">
        <f t="shared" si="208"/>
        <v>0</v>
      </c>
      <c r="Z1043" s="48">
        <f t="shared" si="209"/>
        <v>0</v>
      </c>
      <c r="AA1043" s="48"/>
      <c r="AB1043" s="48">
        <v>40780900</v>
      </c>
      <c r="AC1043" s="49">
        <f t="shared" si="210"/>
        <v>40780900</v>
      </c>
      <c r="AD1043" s="50">
        <v>0</v>
      </c>
      <c r="AE1043" s="47">
        <v>40170</v>
      </c>
      <c r="AF1043" s="51" t="s">
        <v>1016</v>
      </c>
      <c r="AG1043" s="52" t="s">
        <v>565</v>
      </c>
      <c r="AH1043" s="54" t="s">
        <v>1206</v>
      </c>
      <c r="AI1043" s="79"/>
      <c r="AJ1043" s="80"/>
      <c r="AK1043" s="81"/>
      <c r="AL1043" s="80"/>
      <c r="AM1043" s="80"/>
      <c r="AN1043" s="80"/>
      <c r="AO1043" s="80"/>
      <c r="AP1043" s="80"/>
      <c r="AQ1043" s="80"/>
      <c r="AR1043" s="80"/>
      <c r="AS1043" s="80"/>
      <c r="AT1043" s="80"/>
      <c r="AU1043" s="80"/>
      <c r="AV1043" s="80"/>
      <c r="AW1043" s="80"/>
      <c r="AX1043" s="80"/>
      <c r="AY1043" s="80"/>
      <c r="AZ1043" s="80"/>
      <c r="BA1043" s="80"/>
      <c r="BB1043" s="80"/>
      <c r="BC1043" s="80"/>
      <c r="BD1043" s="80"/>
      <c r="BE1043" s="80"/>
      <c r="BF1043" s="80"/>
      <c r="BG1043" s="80"/>
      <c r="BH1043" s="80"/>
      <c r="BI1043" s="80"/>
      <c r="BJ1043" s="80"/>
      <c r="BK1043" s="80"/>
      <c r="BL1043" s="80"/>
      <c r="BM1043" s="80"/>
      <c r="BN1043" s="80"/>
      <c r="BO1043" s="80"/>
      <c r="BP1043" s="80"/>
      <c r="BQ1043" s="80"/>
      <c r="BR1043" s="80"/>
      <c r="BS1043" s="80"/>
      <c r="BT1043" s="80"/>
      <c r="BU1043" s="80"/>
      <c r="BV1043" s="80"/>
      <c r="BW1043" s="80"/>
      <c r="BX1043" s="80"/>
      <c r="BY1043" s="80"/>
      <c r="BZ1043" s="80"/>
      <c r="CA1043" s="80"/>
      <c r="CB1043" s="80"/>
      <c r="CC1043" s="80"/>
      <c r="CD1043" s="80"/>
      <c r="CE1043" s="80"/>
      <c r="CF1043" s="80"/>
      <c r="CG1043" s="80"/>
      <c r="CH1043" s="80"/>
      <c r="CI1043" s="80"/>
      <c r="CJ1043" s="80"/>
      <c r="CK1043" s="82"/>
      <c r="CL1043" s="12"/>
      <c r="CM1043" s="82"/>
      <c r="CN1043" s="12"/>
      <c r="CO1043" s="82"/>
      <c r="CP1043" s="12"/>
      <c r="CQ1043" s="83">
        <f t="shared" si="211"/>
        <v>0</v>
      </c>
      <c r="CR1043" s="84"/>
      <c r="CS1043" s="13"/>
      <c r="CT1043" s="85"/>
      <c r="CU1043" s="86"/>
      <c r="CV1043" s="11"/>
      <c r="CW1043" s="86"/>
      <c r="CX1043" s="84"/>
      <c r="CY1043" s="86"/>
    </row>
    <row r="1044" spans="1:103" ht="25.5" x14ac:dyDescent="0.2">
      <c r="A1044" s="43">
        <v>40151</v>
      </c>
      <c r="B1044" s="44" t="s">
        <v>1224</v>
      </c>
      <c r="C1044" s="44" t="s">
        <v>1447</v>
      </c>
      <c r="D1044" s="45" t="s">
        <v>1092</v>
      </c>
      <c r="E1044" s="11"/>
      <c r="F1044" s="12"/>
      <c r="G1044" s="12"/>
      <c r="H1044" s="12">
        <v>7</v>
      </c>
      <c r="I1044" s="12">
        <v>2</v>
      </c>
      <c r="J1044" s="12">
        <v>2</v>
      </c>
      <c r="K1044" s="12"/>
      <c r="L1044" s="12"/>
      <c r="M1044" s="12"/>
      <c r="N1044" s="12"/>
      <c r="O1044" s="12"/>
      <c r="P1044" s="12"/>
      <c r="Q1044" s="12"/>
      <c r="R1044" s="12"/>
      <c r="S1044" s="12"/>
      <c r="T1044" s="13"/>
      <c r="U1044" s="46"/>
      <c r="V1044" s="47"/>
      <c r="W1044" s="48">
        <f t="shared" si="206"/>
        <v>0</v>
      </c>
      <c r="X1044" s="48">
        <f t="shared" si="207"/>
        <v>0</v>
      </c>
      <c r="Y1044" s="48">
        <f t="shared" si="208"/>
        <v>0</v>
      </c>
      <c r="Z1044" s="48">
        <f t="shared" si="209"/>
        <v>0</v>
      </c>
      <c r="AA1044" s="48"/>
      <c r="AB1044" s="48"/>
      <c r="AC1044" s="49">
        <f t="shared" si="210"/>
        <v>0</v>
      </c>
      <c r="AD1044" s="50">
        <v>0</v>
      </c>
      <c r="AE1044" s="47">
        <v>40157</v>
      </c>
      <c r="AF1044" s="51" t="s">
        <v>516</v>
      </c>
      <c r="AG1044" s="52" t="s">
        <v>517</v>
      </c>
      <c r="AH1044" s="53" t="s">
        <v>367</v>
      </c>
      <c r="AI1044" s="79"/>
      <c r="AJ1044" s="80"/>
      <c r="AK1044" s="81"/>
      <c r="AL1044" s="80"/>
      <c r="AM1044" s="80"/>
      <c r="AN1044" s="80"/>
      <c r="AO1044" s="80"/>
      <c r="AP1044" s="80"/>
      <c r="AQ1044" s="80"/>
      <c r="AR1044" s="80"/>
      <c r="AS1044" s="80"/>
      <c r="AT1044" s="80"/>
      <c r="AU1044" s="80"/>
      <c r="AV1044" s="80"/>
      <c r="AW1044" s="80"/>
      <c r="AX1044" s="80"/>
      <c r="AY1044" s="80"/>
      <c r="AZ1044" s="80"/>
      <c r="BA1044" s="80"/>
      <c r="BB1044" s="80"/>
      <c r="BC1044" s="80"/>
      <c r="BD1044" s="80"/>
      <c r="BE1044" s="80"/>
      <c r="BF1044" s="80"/>
      <c r="BG1044" s="80"/>
      <c r="BH1044" s="80"/>
      <c r="BI1044" s="80"/>
      <c r="BJ1044" s="80"/>
      <c r="BK1044" s="80"/>
      <c r="BL1044" s="80"/>
      <c r="BM1044" s="80"/>
      <c r="BN1044" s="80"/>
      <c r="BO1044" s="80"/>
      <c r="BP1044" s="80"/>
      <c r="BQ1044" s="80"/>
      <c r="BR1044" s="80"/>
      <c r="BS1044" s="80"/>
      <c r="BT1044" s="80"/>
      <c r="BU1044" s="80"/>
      <c r="BV1044" s="80"/>
      <c r="BW1044" s="80"/>
      <c r="BX1044" s="80"/>
      <c r="BY1044" s="80"/>
      <c r="BZ1044" s="80"/>
      <c r="CA1044" s="80"/>
      <c r="CB1044" s="80"/>
      <c r="CC1044" s="80"/>
      <c r="CD1044" s="80"/>
      <c r="CE1044" s="80"/>
      <c r="CF1044" s="80"/>
      <c r="CG1044" s="80"/>
      <c r="CH1044" s="80"/>
      <c r="CI1044" s="80"/>
      <c r="CJ1044" s="80"/>
      <c r="CK1044" s="82"/>
      <c r="CL1044" s="12"/>
      <c r="CM1044" s="82"/>
      <c r="CN1044" s="12"/>
      <c r="CO1044" s="82"/>
      <c r="CP1044" s="12"/>
      <c r="CQ1044" s="83">
        <f t="shared" si="211"/>
        <v>0</v>
      </c>
      <c r="CR1044" s="84"/>
      <c r="CS1044" s="13"/>
      <c r="CT1044" s="85"/>
      <c r="CU1044" s="86"/>
      <c r="CV1044" s="11"/>
      <c r="CW1044" s="86"/>
      <c r="CX1044" s="84"/>
      <c r="CY1044" s="86"/>
    </row>
    <row r="1045" spans="1:103" ht="25.5" x14ac:dyDescent="0.2">
      <c r="A1045" s="43">
        <v>40152</v>
      </c>
      <c r="B1045" s="44" t="s">
        <v>1350</v>
      </c>
      <c r="C1045" s="44" t="s">
        <v>660</v>
      </c>
      <c r="D1045" s="45" t="s">
        <v>1092</v>
      </c>
      <c r="E1045" s="11"/>
      <c r="F1045" s="12"/>
      <c r="G1045" s="12"/>
      <c r="H1045" s="12">
        <v>35</v>
      </c>
      <c r="I1045" s="12">
        <v>7</v>
      </c>
      <c r="J1045" s="12">
        <v>4</v>
      </c>
      <c r="K1045" s="12">
        <v>3</v>
      </c>
      <c r="L1045" s="12"/>
      <c r="M1045" s="12"/>
      <c r="N1045" s="12"/>
      <c r="O1045" s="12"/>
      <c r="P1045" s="12"/>
      <c r="Q1045" s="12"/>
      <c r="R1045" s="12"/>
      <c r="S1045" s="12"/>
      <c r="T1045" s="13"/>
      <c r="U1045" s="46"/>
      <c r="V1045" s="47"/>
      <c r="W1045" s="48">
        <f t="shared" si="206"/>
        <v>0</v>
      </c>
      <c r="X1045" s="48">
        <f t="shared" si="207"/>
        <v>0</v>
      </c>
      <c r="Y1045" s="48">
        <f t="shared" si="208"/>
        <v>0</v>
      </c>
      <c r="Z1045" s="48">
        <f t="shared" si="209"/>
        <v>0</v>
      </c>
      <c r="AA1045" s="48"/>
      <c r="AB1045" s="48"/>
      <c r="AC1045" s="49">
        <f t="shared" si="210"/>
        <v>0</v>
      </c>
      <c r="AD1045" s="50">
        <v>0</v>
      </c>
      <c r="AE1045" s="47">
        <v>40152</v>
      </c>
      <c r="AF1045" s="51" t="s">
        <v>516</v>
      </c>
      <c r="AG1045" s="52" t="s">
        <v>517</v>
      </c>
      <c r="AH1045" s="53" t="s">
        <v>1482</v>
      </c>
      <c r="AI1045" s="79"/>
      <c r="AJ1045" s="80"/>
      <c r="AK1045" s="81"/>
      <c r="AL1045" s="80"/>
      <c r="AM1045" s="80"/>
      <c r="AN1045" s="80"/>
      <c r="AO1045" s="80"/>
      <c r="AP1045" s="80"/>
      <c r="AQ1045" s="80"/>
      <c r="AR1045" s="80"/>
      <c r="AS1045" s="80"/>
      <c r="AT1045" s="80"/>
      <c r="AU1045" s="80"/>
      <c r="AV1045" s="80"/>
      <c r="AW1045" s="80"/>
      <c r="AX1045" s="80"/>
      <c r="AY1045" s="80"/>
      <c r="AZ1045" s="80"/>
      <c r="BA1045" s="80"/>
      <c r="BB1045" s="80"/>
      <c r="BC1045" s="80"/>
      <c r="BD1045" s="80"/>
      <c r="BE1045" s="80"/>
      <c r="BF1045" s="80"/>
      <c r="BG1045" s="80"/>
      <c r="BH1045" s="80"/>
      <c r="BI1045" s="80"/>
      <c r="BJ1045" s="80"/>
      <c r="BK1045" s="80"/>
      <c r="BL1045" s="80"/>
      <c r="BM1045" s="80"/>
      <c r="BN1045" s="80"/>
      <c r="BO1045" s="80"/>
      <c r="BP1045" s="80"/>
      <c r="BQ1045" s="80"/>
      <c r="BR1045" s="80"/>
      <c r="BS1045" s="80"/>
      <c r="BT1045" s="80"/>
      <c r="BU1045" s="80"/>
      <c r="BV1045" s="80"/>
      <c r="BW1045" s="80"/>
      <c r="BX1045" s="80"/>
      <c r="BY1045" s="80"/>
      <c r="BZ1045" s="80"/>
      <c r="CA1045" s="80"/>
      <c r="CB1045" s="80"/>
      <c r="CC1045" s="80"/>
      <c r="CD1045" s="80"/>
      <c r="CE1045" s="80"/>
      <c r="CF1045" s="80"/>
      <c r="CG1045" s="80"/>
      <c r="CH1045" s="80"/>
      <c r="CI1045" s="80"/>
      <c r="CJ1045" s="80"/>
      <c r="CK1045" s="82"/>
      <c r="CL1045" s="12"/>
      <c r="CM1045" s="82"/>
      <c r="CN1045" s="12"/>
      <c r="CO1045" s="82"/>
      <c r="CP1045" s="12"/>
      <c r="CQ1045" s="83">
        <f t="shared" si="211"/>
        <v>0</v>
      </c>
      <c r="CR1045" s="84"/>
      <c r="CS1045" s="13"/>
      <c r="CT1045" s="85"/>
      <c r="CU1045" s="86"/>
      <c r="CV1045" s="11"/>
      <c r="CW1045" s="86"/>
      <c r="CX1045" s="84"/>
      <c r="CY1045" s="86"/>
    </row>
    <row r="1046" spans="1:103" ht="25.5" x14ac:dyDescent="0.2">
      <c r="A1046" s="43">
        <v>40153</v>
      </c>
      <c r="B1046" s="44" t="s">
        <v>765</v>
      </c>
      <c r="C1046" s="44" t="s">
        <v>744</v>
      </c>
      <c r="D1046" s="45" t="s">
        <v>1117</v>
      </c>
      <c r="E1046" s="11"/>
      <c r="F1046" s="12"/>
      <c r="G1046" s="12"/>
      <c r="H1046" s="12">
        <v>100</v>
      </c>
      <c r="I1046" s="12">
        <v>20</v>
      </c>
      <c r="J1046" s="12"/>
      <c r="K1046" s="12">
        <v>20</v>
      </c>
      <c r="L1046" s="12"/>
      <c r="M1046" s="12"/>
      <c r="N1046" s="12"/>
      <c r="O1046" s="12"/>
      <c r="P1046" s="12"/>
      <c r="Q1046" s="12">
        <v>1</v>
      </c>
      <c r="R1046" s="12">
        <v>2</v>
      </c>
      <c r="S1046" s="12">
        <v>4</v>
      </c>
      <c r="T1046" s="13"/>
      <c r="U1046" s="46"/>
      <c r="V1046" s="47"/>
      <c r="W1046" s="48">
        <f t="shared" si="206"/>
        <v>0</v>
      </c>
      <c r="X1046" s="48">
        <f t="shared" si="207"/>
        <v>0</v>
      </c>
      <c r="Y1046" s="48">
        <f t="shared" si="208"/>
        <v>0</v>
      </c>
      <c r="Z1046" s="48">
        <f t="shared" si="209"/>
        <v>0</v>
      </c>
      <c r="AA1046" s="48"/>
      <c r="AB1046" s="48"/>
      <c r="AC1046" s="49">
        <f t="shared" si="210"/>
        <v>0</v>
      </c>
      <c r="AD1046" s="50">
        <v>0</v>
      </c>
      <c r="AE1046" s="47">
        <v>40165</v>
      </c>
      <c r="AF1046" s="51" t="s">
        <v>516</v>
      </c>
      <c r="AG1046" s="52" t="s">
        <v>517</v>
      </c>
      <c r="AH1046" s="53" t="s">
        <v>317</v>
      </c>
      <c r="AI1046" s="79"/>
      <c r="AJ1046" s="80"/>
      <c r="AK1046" s="81"/>
      <c r="AL1046" s="80"/>
      <c r="AM1046" s="80"/>
      <c r="AN1046" s="80"/>
      <c r="AO1046" s="80"/>
      <c r="AP1046" s="80"/>
      <c r="AQ1046" s="80"/>
      <c r="AR1046" s="80"/>
      <c r="AS1046" s="80"/>
      <c r="AT1046" s="80"/>
      <c r="AU1046" s="80"/>
      <c r="AV1046" s="80"/>
      <c r="AW1046" s="80"/>
      <c r="AX1046" s="80"/>
      <c r="AY1046" s="80"/>
      <c r="AZ1046" s="80"/>
      <c r="BA1046" s="80"/>
      <c r="BB1046" s="80"/>
      <c r="BC1046" s="80"/>
      <c r="BD1046" s="80"/>
      <c r="BE1046" s="80"/>
      <c r="BF1046" s="80"/>
      <c r="BG1046" s="80"/>
      <c r="BH1046" s="80"/>
      <c r="BI1046" s="80"/>
      <c r="BJ1046" s="80"/>
      <c r="BK1046" s="80"/>
      <c r="BL1046" s="80"/>
      <c r="BM1046" s="80"/>
      <c r="BN1046" s="80"/>
      <c r="BO1046" s="80"/>
      <c r="BP1046" s="80"/>
      <c r="BQ1046" s="80"/>
      <c r="BR1046" s="80"/>
      <c r="BS1046" s="80"/>
      <c r="BT1046" s="80"/>
      <c r="BU1046" s="80"/>
      <c r="BV1046" s="80"/>
      <c r="BW1046" s="80"/>
      <c r="BX1046" s="80"/>
      <c r="BY1046" s="80"/>
      <c r="BZ1046" s="80"/>
      <c r="CA1046" s="80"/>
      <c r="CB1046" s="80"/>
      <c r="CC1046" s="80"/>
      <c r="CD1046" s="80"/>
      <c r="CE1046" s="80"/>
      <c r="CF1046" s="80"/>
      <c r="CG1046" s="80"/>
      <c r="CH1046" s="80"/>
      <c r="CI1046" s="80"/>
      <c r="CJ1046" s="80"/>
      <c r="CK1046" s="82"/>
      <c r="CL1046" s="12"/>
      <c r="CM1046" s="82"/>
      <c r="CN1046" s="12"/>
      <c r="CO1046" s="82"/>
      <c r="CP1046" s="12"/>
      <c r="CQ1046" s="83">
        <f t="shared" si="211"/>
        <v>0</v>
      </c>
      <c r="CR1046" s="84"/>
      <c r="CS1046" s="13"/>
      <c r="CT1046" s="85"/>
      <c r="CU1046" s="86"/>
      <c r="CV1046" s="11"/>
      <c r="CW1046" s="86"/>
      <c r="CX1046" s="84"/>
      <c r="CY1046" s="86"/>
    </row>
    <row r="1047" spans="1:103" ht="38.25" x14ac:dyDescent="0.2">
      <c r="A1047" s="43">
        <v>40154</v>
      </c>
      <c r="B1047" s="44" t="s">
        <v>904</v>
      </c>
      <c r="C1047" s="44" t="s">
        <v>1004</v>
      </c>
      <c r="D1047" s="45" t="s">
        <v>1116</v>
      </c>
      <c r="E1047" s="11"/>
      <c r="F1047" s="12"/>
      <c r="G1047" s="12"/>
      <c r="H1047" s="12">
        <v>9</v>
      </c>
      <c r="I1047" s="12">
        <v>1</v>
      </c>
      <c r="J1047" s="12">
        <v>1</v>
      </c>
      <c r="K1047" s="12"/>
      <c r="L1047" s="12"/>
      <c r="M1047" s="12"/>
      <c r="N1047" s="12"/>
      <c r="O1047" s="12"/>
      <c r="P1047" s="12"/>
      <c r="Q1047" s="12"/>
      <c r="R1047" s="12"/>
      <c r="S1047" s="12"/>
      <c r="T1047" s="13"/>
      <c r="U1047" s="46"/>
      <c r="V1047" s="47"/>
      <c r="W1047" s="48">
        <f t="shared" si="206"/>
        <v>0</v>
      </c>
      <c r="X1047" s="48">
        <f t="shared" si="207"/>
        <v>0</v>
      </c>
      <c r="Y1047" s="48">
        <f t="shared" si="208"/>
        <v>0</v>
      </c>
      <c r="Z1047" s="48">
        <f t="shared" si="209"/>
        <v>0</v>
      </c>
      <c r="AA1047" s="48"/>
      <c r="AB1047" s="48"/>
      <c r="AC1047" s="49">
        <f t="shared" si="210"/>
        <v>0</v>
      </c>
      <c r="AD1047" s="50">
        <v>0</v>
      </c>
      <c r="AE1047" s="47">
        <v>40157</v>
      </c>
      <c r="AF1047" s="51" t="s">
        <v>516</v>
      </c>
      <c r="AG1047" s="52" t="s">
        <v>517</v>
      </c>
      <c r="AH1047" s="53" t="s">
        <v>1343</v>
      </c>
      <c r="AI1047" s="79"/>
      <c r="AJ1047" s="80"/>
      <c r="AK1047" s="81"/>
      <c r="AL1047" s="80"/>
      <c r="AM1047" s="80"/>
      <c r="AN1047" s="80"/>
      <c r="AO1047" s="80"/>
      <c r="AP1047" s="80"/>
      <c r="AQ1047" s="80"/>
      <c r="AR1047" s="80"/>
      <c r="AS1047" s="80"/>
      <c r="AT1047" s="80"/>
      <c r="AU1047" s="80"/>
      <c r="AV1047" s="80"/>
      <c r="AW1047" s="80"/>
      <c r="AX1047" s="80"/>
      <c r="AY1047" s="80"/>
      <c r="AZ1047" s="80"/>
      <c r="BA1047" s="80"/>
      <c r="BB1047" s="80"/>
      <c r="BC1047" s="80"/>
      <c r="BD1047" s="80"/>
      <c r="BE1047" s="80"/>
      <c r="BF1047" s="80"/>
      <c r="BG1047" s="80"/>
      <c r="BH1047" s="80"/>
      <c r="BI1047" s="80"/>
      <c r="BJ1047" s="80"/>
      <c r="BK1047" s="80"/>
      <c r="BL1047" s="80"/>
      <c r="BM1047" s="80"/>
      <c r="BN1047" s="80"/>
      <c r="BO1047" s="80"/>
      <c r="BP1047" s="80"/>
      <c r="BQ1047" s="80"/>
      <c r="BR1047" s="80"/>
      <c r="BS1047" s="80"/>
      <c r="BT1047" s="80"/>
      <c r="BU1047" s="80"/>
      <c r="BV1047" s="80"/>
      <c r="BW1047" s="80"/>
      <c r="BX1047" s="80"/>
      <c r="BY1047" s="80"/>
      <c r="BZ1047" s="80"/>
      <c r="CA1047" s="80"/>
      <c r="CB1047" s="80"/>
      <c r="CC1047" s="80"/>
      <c r="CD1047" s="80"/>
      <c r="CE1047" s="80"/>
      <c r="CF1047" s="80"/>
      <c r="CG1047" s="80"/>
      <c r="CH1047" s="80"/>
      <c r="CI1047" s="80"/>
      <c r="CJ1047" s="80"/>
      <c r="CK1047" s="82"/>
      <c r="CL1047" s="12"/>
      <c r="CM1047" s="82"/>
      <c r="CN1047" s="12"/>
      <c r="CO1047" s="82"/>
      <c r="CP1047" s="12"/>
      <c r="CQ1047" s="83">
        <f t="shared" si="211"/>
        <v>0</v>
      </c>
      <c r="CR1047" s="84"/>
      <c r="CS1047" s="13"/>
      <c r="CT1047" s="85"/>
      <c r="CU1047" s="86"/>
      <c r="CV1047" s="11"/>
      <c r="CW1047" s="86"/>
      <c r="CX1047" s="84"/>
      <c r="CY1047" s="86"/>
    </row>
    <row r="1048" spans="1:103" ht="25.5" x14ac:dyDescent="0.2">
      <c r="A1048" s="43">
        <v>40156</v>
      </c>
      <c r="B1048" s="44" t="s">
        <v>625</v>
      </c>
      <c r="C1048" s="44" t="s">
        <v>1051</v>
      </c>
      <c r="D1048" s="45" t="s">
        <v>1092</v>
      </c>
      <c r="E1048" s="11"/>
      <c r="F1048" s="12">
        <v>1</v>
      </c>
      <c r="G1048" s="12"/>
      <c r="H1048" s="12">
        <v>15</v>
      </c>
      <c r="I1048" s="12">
        <v>3</v>
      </c>
      <c r="J1048" s="12">
        <v>1</v>
      </c>
      <c r="K1048" s="12">
        <v>2</v>
      </c>
      <c r="L1048" s="12"/>
      <c r="M1048" s="12"/>
      <c r="N1048" s="12"/>
      <c r="O1048" s="12"/>
      <c r="P1048" s="12"/>
      <c r="Q1048" s="12"/>
      <c r="R1048" s="12"/>
      <c r="S1048" s="12"/>
      <c r="T1048" s="13"/>
      <c r="U1048" s="46"/>
      <c r="V1048" s="47"/>
      <c r="W1048" s="48">
        <f t="shared" si="206"/>
        <v>0</v>
      </c>
      <c r="X1048" s="48">
        <f t="shared" si="207"/>
        <v>0</v>
      </c>
      <c r="Y1048" s="48">
        <f t="shared" si="208"/>
        <v>0</v>
      </c>
      <c r="Z1048" s="48">
        <f t="shared" si="209"/>
        <v>0</v>
      </c>
      <c r="AA1048" s="48"/>
      <c r="AB1048" s="48"/>
      <c r="AC1048" s="49">
        <f t="shared" si="210"/>
        <v>0</v>
      </c>
      <c r="AD1048" s="50">
        <v>0</v>
      </c>
      <c r="AE1048" s="47">
        <v>40157</v>
      </c>
      <c r="AF1048" s="51" t="s">
        <v>516</v>
      </c>
      <c r="AG1048" s="52" t="s">
        <v>517</v>
      </c>
      <c r="AH1048" s="53" t="s">
        <v>1181</v>
      </c>
      <c r="AI1048" s="79"/>
      <c r="AJ1048" s="80"/>
      <c r="AK1048" s="81"/>
      <c r="AL1048" s="80"/>
      <c r="AM1048" s="80"/>
      <c r="AN1048" s="80"/>
      <c r="AO1048" s="80"/>
      <c r="AP1048" s="80"/>
      <c r="AQ1048" s="80"/>
      <c r="AR1048" s="80"/>
      <c r="AS1048" s="80"/>
      <c r="AT1048" s="80"/>
      <c r="AU1048" s="80"/>
      <c r="AV1048" s="80"/>
      <c r="AW1048" s="80"/>
      <c r="AX1048" s="80"/>
      <c r="AY1048" s="80"/>
      <c r="AZ1048" s="80"/>
      <c r="BA1048" s="80"/>
      <c r="BB1048" s="80"/>
      <c r="BC1048" s="80"/>
      <c r="BD1048" s="80"/>
      <c r="BE1048" s="80"/>
      <c r="BF1048" s="80"/>
      <c r="BG1048" s="80"/>
      <c r="BH1048" s="80"/>
      <c r="BI1048" s="80"/>
      <c r="BJ1048" s="80"/>
      <c r="BK1048" s="80"/>
      <c r="BL1048" s="80"/>
      <c r="BM1048" s="80"/>
      <c r="BN1048" s="80"/>
      <c r="BO1048" s="80"/>
      <c r="BP1048" s="80"/>
      <c r="BQ1048" s="80"/>
      <c r="BR1048" s="80"/>
      <c r="BS1048" s="80"/>
      <c r="BT1048" s="80"/>
      <c r="BU1048" s="80"/>
      <c r="BV1048" s="80"/>
      <c r="BW1048" s="80"/>
      <c r="BX1048" s="80"/>
      <c r="BY1048" s="80"/>
      <c r="BZ1048" s="80"/>
      <c r="CA1048" s="80"/>
      <c r="CB1048" s="80"/>
      <c r="CC1048" s="80"/>
      <c r="CD1048" s="80"/>
      <c r="CE1048" s="80"/>
      <c r="CF1048" s="80"/>
      <c r="CG1048" s="80"/>
      <c r="CH1048" s="80"/>
      <c r="CI1048" s="80"/>
      <c r="CJ1048" s="80"/>
      <c r="CK1048" s="82"/>
      <c r="CL1048" s="12"/>
      <c r="CM1048" s="82"/>
      <c r="CN1048" s="12"/>
      <c r="CO1048" s="82"/>
      <c r="CP1048" s="12"/>
      <c r="CQ1048" s="83">
        <f t="shared" si="211"/>
        <v>0</v>
      </c>
      <c r="CR1048" s="84"/>
      <c r="CS1048" s="13"/>
      <c r="CT1048" s="85"/>
      <c r="CU1048" s="86"/>
      <c r="CV1048" s="11"/>
      <c r="CW1048" s="86"/>
      <c r="CX1048" s="84"/>
      <c r="CY1048" s="86"/>
    </row>
    <row r="1049" spans="1:103" ht="63.75" x14ac:dyDescent="0.2">
      <c r="A1049" s="43">
        <v>40158</v>
      </c>
      <c r="B1049" s="44" t="s">
        <v>1224</v>
      </c>
      <c r="C1049" s="44" t="s">
        <v>1274</v>
      </c>
      <c r="D1049" s="45" t="s">
        <v>1117</v>
      </c>
      <c r="E1049" s="11"/>
      <c r="F1049" s="12"/>
      <c r="G1049" s="12"/>
      <c r="H1049" s="12">
        <f>158*5</f>
        <v>790</v>
      </c>
      <c r="I1049" s="12">
        <v>158</v>
      </c>
      <c r="J1049" s="12"/>
      <c r="K1049" s="12">
        <v>158</v>
      </c>
      <c r="L1049" s="12"/>
      <c r="M1049" s="12"/>
      <c r="N1049" s="12"/>
      <c r="O1049" s="12"/>
      <c r="P1049" s="12"/>
      <c r="Q1049" s="12"/>
      <c r="R1049" s="12"/>
      <c r="S1049" s="12"/>
      <c r="T1049" s="13"/>
      <c r="U1049" s="46"/>
      <c r="V1049" s="47"/>
      <c r="W1049" s="48">
        <f t="shared" si="206"/>
        <v>0</v>
      </c>
      <c r="X1049" s="48">
        <f t="shared" si="207"/>
        <v>0</v>
      </c>
      <c r="Y1049" s="48">
        <f t="shared" si="208"/>
        <v>0</v>
      </c>
      <c r="Z1049" s="48">
        <f t="shared" si="209"/>
        <v>0</v>
      </c>
      <c r="AA1049" s="48"/>
      <c r="AB1049" s="48"/>
      <c r="AC1049" s="49">
        <f t="shared" si="210"/>
        <v>0</v>
      </c>
      <c r="AD1049" s="50">
        <v>0</v>
      </c>
      <c r="AE1049" s="47">
        <v>40182</v>
      </c>
      <c r="AF1049" s="51" t="s">
        <v>1016</v>
      </c>
      <c r="AG1049" s="52" t="s">
        <v>565</v>
      </c>
      <c r="AH1049" s="53" t="s">
        <v>740</v>
      </c>
      <c r="AI1049" s="79"/>
      <c r="AJ1049" s="80"/>
      <c r="AK1049" s="81"/>
      <c r="AL1049" s="80"/>
      <c r="AM1049" s="80"/>
      <c r="AN1049" s="80"/>
      <c r="AO1049" s="80"/>
      <c r="AP1049" s="80"/>
      <c r="AQ1049" s="80"/>
      <c r="AR1049" s="80"/>
      <c r="AS1049" s="80"/>
      <c r="AT1049" s="80"/>
      <c r="AU1049" s="80"/>
      <c r="AV1049" s="80"/>
      <c r="AW1049" s="80"/>
      <c r="AX1049" s="80"/>
      <c r="AY1049" s="80"/>
      <c r="AZ1049" s="80"/>
      <c r="BA1049" s="80"/>
      <c r="BB1049" s="80"/>
      <c r="BC1049" s="80"/>
      <c r="BD1049" s="80"/>
      <c r="BE1049" s="80"/>
      <c r="BF1049" s="80"/>
      <c r="BG1049" s="80"/>
      <c r="BH1049" s="80"/>
      <c r="BI1049" s="80"/>
      <c r="BJ1049" s="80"/>
      <c r="BK1049" s="80"/>
      <c r="BL1049" s="80"/>
      <c r="BM1049" s="80"/>
      <c r="BN1049" s="80"/>
      <c r="BO1049" s="80"/>
      <c r="BP1049" s="80"/>
      <c r="BQ1049" s="80"/>
      <c r="BR1049" s="80"/>
      <c r="BS1049" s="80"/>
      <c r="BT1049" s="80"/>
      <c r="BU1049" s="80"/>
      <c r="BV1049" s="80"/>
      <c r="BW1049" s="80"/>
      <c r="BX1049" s="80"/>
      <c r="BY1049" s="80"/>
      <c r="BZ1049" s="80"/>
      <c r="CA1049" s="80"/>
      <c r="CB1049" s="80"/>
      <c r="CC1049" s="80"/>
      <c r="CD1049" s="80"/>
      <c r="CE1049" s="80"/>
      <c r="CF1049" s="80"/>
      <c r="CG1049" s="80"/>
      <c r="CH1049" s="80"/>
      <c r="CI1049" s="80"/>
      <c r="CJ1049" s="80"/>
      <c r="CK1049" s="82"/>
      <c r="CL1049" s="12"/>
      <c r="CM1049" s="82"/>
      <c r="CN1049" s="12"/>
      <c r="CO1049" s="82"/>
      <c r="CP1049" s="12"/>
      <c r="CQ1049" s="83">
        <f t="shared" si="211"/>
        <v>0</v>
      </c>
      <c r="CR1049" s="84"/>
      <c r="CS1049" s="13"/>
      <c r="CT1049" s="85"/>
      <c r="CU1049" s="86"/>
      <c r="CV1049" s="11"/>
      <c r="CW1049" s="86"/>
      <c r="CX1049" s="84"/>
      <c r="CY1049" s="86"/>
    </row>
    <row r="1050" spans="1:103" ht="76.5" x14ac:dyDescent="0.2">
      <c r="A1050" s="43">
        <v>40159</v>
      </c>
      <c r="B1050" s="44" t="s">
        <v>600</v>
      </c>
      <c r="C1050" s="44" t="s">
        <v>1443</v>
      </c>
      <c r="D1050" s="45" t="s">
        <v>1117</v>
      </c>
      <c r="E1050" s="11"/>
      <c r="F1050" s="12"/>
      <c r="G1050" s="12"/>
      <c r="H1050" s="12">
        <v>130</v>
      </c>
      <c r="I1050" s="12">
        <v>26</v>
      </c>
      <c r="J1050" s="12"/>
      <c r="K1050" s="12">
        <v>26</v>
      </c>
      <c r="L1050" s="12"/>
      <c r="M1050" s="12"/>
      <c r="N1050" s="12"/>
      <c r="O1050" s="12"/>
      <c r="P1050" s="12"/>
      <c r="Q1050" s="12"/>
      <c r="R1050" s="12"/>
      <c r="S1050" s="12"/>
      <c r="T1050" s="13"/>
      <c r="U1050" s="46" t="s">
        <v>1444</v>
      </c>
      <c r="V1050" s="47"/>
      <c r="W1050" s="48">
        <f t="shared" si="206"/>
        <v>0</v>
      </c>
      <c r="X1050" s="48">
        <f t="shared" si="207"/>
        <v>0</v>
      </c>
      <c r="Y1050" s="48">
        <f t="shared" si="208"/>
        <v>0</v>
      </c>
      <c r="Z1050" s="48">
        <f t="shared" si="209"/>
        <v>0</v>
      </c>
      <c r="AA1050" s="48"/>
      <c r="AB1050" s="48"/>
      <c r="AC1050" s="49">
        <f t="shared" si="210"/>
        <v>0</v>
      </c>
      <c r="AD1050" s="50">
        <v>0</v>
      </c>
      <c r="AE1050" s="47">
        <v>40162</v>
      </c>
      <c r="AF1050" s="51" t="s">
        <v>516</v>
      </c>
      <c r="AG1050" s="52" t="s">
        <v>517</v>
      </c>
      <c r="AH1050" s="53" t="s">
        <v>1445</v>
      </c>
      <c r="AI1050" s="79"/>
      <c r="AJ1050" s="80"/>
      <c r="AK1050" s="81"/>
      <c r="AL1050" s="80"/>
      <c r="AM1050" s="80"/>
      <c r="AN1050" s="80"/>
      <c r="AO1050" s="80"/>
      <c r="AP1050" s="80"/>
      <c r="AQ1050" s="80"/>
      <c r="AR1050" s="80"/>
      <c r="AS1050" s="80"/>
      <c r="AT1050" s="80"/>
      <c r="AU1050" s="80"/>
      <c r="AV1050" s="80"/>
      <c r="AW1050" s="80"/>
      <c r="AX1050" s="80"/>
      <c r="AY1050" s="80"/>
      <c r="AZ1050" s="80"/>
      <c r="BA1050" s="80"/>
      <c r="BB1050" s="80"/>
      <c r="BC1050" s="80"/>
      <c r="BD1050" s="80"/>
      <c r="BE1050" s="80"/>
      <c r="BF1050" s="80"/>
      <c r="BG1050" s="80"/>
      <c r="BH1050" s="80"/>
      <c r="BI1050" s="80"/>
      <c r="BJ1050" s="80"/>
      <c r="BK1050" s="80"/>
      <c r="BL1050" s="80"/>
      <c r="BM1050" s="80"/>
      <c r="BN1050" s="80"/>
      <c r="BO1050" s="80"/>
      <c r="BP1050" s="80"/>
      <c r="BQ1050" s="80"/>
      <c r="BR1050" s="80"/>
      <c r="BS1050" s="80"/>
      <c r="BT1050" s="80"/>
      <c r="BU1050" s="80"/>
      <c r="BV1050" s="80"/>
      <c r="BW1050" s="80"/>
      <c r="BX1050" s="80"/>
      <c r="BY1050" s="80"/>
      <c r="BZ1050" s="80"/>
      <c r="CA1050" s="80"/>
      <c r="CB1050" s="80"/>
      <c r="CC1050" s="80"/>
      <c r="CD1050" s="80"/>
      <c r="CE1050" s="80"/>
      <c r="CF1050" s="80"/>
      <c r="CG1050" s="80"/>
      <c r="CH1050" s="80"/>
      <c r="CI1050" s="80"/>
      <c r="CJ1050" s="80"/>
      <c r="CK1050" s="82"/>
      <c r="CL1050" s="12"/>
      <c r="CM1050" s="82"/>
      <c r="CN1050" s="12"/>
      <c r="CO1050" s="82"/>
      <c r="CP1050" s="12"/>
      <c r="CQ1050" s="83">
        <f t="shared" si="211"/>
        <v>0</v>
      </c>
      <c r="CR1050" s="84"/>
      <c r="CS1050" s="13"/>
      <c r="CT1050" s="85"/>
      <c r="CU1050" s="86"/>
      <c r="CV1050" s="11"/>
      <c r="CW1050" s="86"/>
      <c r="CX1050" s="84"/>
      <c r="CY1050" s="86"/>
    </row>
    <row r="1051" spans="1:103" ht="38.25" x14ac:dyDescent="0.2">
      <c r="A1051" s="43">
        <v>40161</v>
      </c>
      <c r="B1051" s="44" t="s">
        <v>1226</v>
      </c>
      <c r="C1051" s="44" t="s">
        <v>1454</v>
      </c>
      <c r="D1051" s="45" t="s">
        <v>1068</v>
      </c>
      <c r="E1051" s="11"/>
      <c r="F1051" s="12"/>
      <c r="G1051" s="12"/>
      <c r="H1051" s="12"/>
      <c r="I1051" s="12"/>
      <c r="J1051" s="12"/>
      <c r="K1051" s="12"/>
      <c r="L1051" s="12"/>
      <c r="M1051" s="12"/>
      <c r="N1051" s="12"/>
      <c r="O1051" s="12"/>
      <c r="P1051" s="12"/>
      <c r="Q1051" s="12"/>
      <c r="R1051" s="12"/>
      <c r="S1051" s="12"/>
      <c r="T1051" s="13"/>
      <c r="U1051" s="46"/>
      <c r="V1051" s="47"/>
      <c r="W1051" s="48">
        <f t="shared" si="206"/>
        <v>0</v>
      </c>
      <c r="X1051" s="48">
        <f t="shared" si="207"/>
        <v>0</v>
      </c>
      <c r="Y1051" s="48">
        <f t="shared" si="208"/>
        <v>0</v>
      </c>
      <c r="Z1051" s="48">
        <f t="shared" si="209"/>
        <v>0</v>
      </c>
      <c r="AA1051" s="48">
        <f>500*22500</f>
        <v>11250000</v>
      </c>
      <c r="AB1051" s="48"/>
      <c r="AC1051" s="49">
        <f t="shared" si="210"/>
        <v>11250000</v>
      </c>
      <c r="AD1051" s="50">
        <v>0</v>
      </c>
      <c r="AE1051" s="47">
        <v>40193</v>
      </c>
      <c r="AF1051" s="51" t="s">
        <v>1016</v>
      </c>
      <c r="AG1051" s="52" t="s">
        <v>565</v>
      </c>
      <c r="AH1051" s="53" t="s">
        <v>136</v>
      </c>
      <c r="AI1051" s="79"/>
      <c r="AJ1051" s="80"/>
      <c r="AK1051" s="81"/>
      <c r="AL1051" s="80"/>
      <c r="AM1051" s="80"/>
      <c r="AN1051" s="80"/>
      <c r="AO1051" s="80"/>
      <c r="AP1051" s="80"/>
      <c r="AQ1051" s="80"/>
      <c r="AR1051" s="80"/>
      <c r="AS1051" s="80"/>
      <c r="AT1051" s="80"/>
      <c r="AU1051" s="80"/>
      <c r="AV1051" s="80"/>
      <c r="AW1051" s="80"/>
      <c r="AX1051" s="80"/>
      <c r="AY1051" s="80"/>
      <c r="AZ1051" s="80"/>
      <c r="BA1051" s="80"/>
      <c r="BB1051" s="80"/>
      <c r="BC1051" s="80"/>
      <c r="BD1051" s="80"/>
      <c r="BE1051" s="80"/>
      <c r="BF1051" s="80"/>
      <c r="BG1051" s="80"/>
      <c r="BH1051" s="80"/>
      <c r="BI1051" s="80"/>
      <c r="BJ1051" s="80"/>
      <c r="BK1051" s="80"/>
      <c r="BL1051" s="80"/>
      <c r="BM1051" s="80"/>
      <c r="BN1051" s="80"/>
      <c r="BO1051" s="80"/>
      <c r="BP1051" s="80"/>
      <c r="BQ1051" s="80"/>
      <c r="BR1051" s="80"/>
      <c r="BS1051" s="80"/>
      <c r="BT1051" s="80"/>
      <c r="BU1051" s="80"/>
      <c r="BV1051" s="80"/>
      <c r="BW1051" s="80"/>
      <c r="BX1051" s="80"/>
      <c r="BY1051" s="80"/>
      <c r="BZ1051" s="80"/>
      <c r="CA1051" s="80"/>
      <c r="CB1051" s="80"/>
      <c r="CC1051" s="80"/>
      <c r="CD1051" s="80"/>
      <c r="CE1051" s="80"/>
      <c r="CF1051" s="80"/>
      <c r="CG1051" s="80"/>
      <c r="CH1051" s="80"/>
      <c r="CI1051" s="80"/>
      <c r="CJ1051" s="80"/>
      <c r="CK1051" s="82"/>
      <c r="CL1051" s="12"/>
      <c r="CM1051" s="82"/>
      <c r="CN1051" s="12"/>
      <c r="CO1051" s="82"/>
      <c r="CP1051" s="12"/>
      <c r="CQ1051" s="83">
        <f t="shared" si="211"/>
        <v>0</v>
      </c>
      <c r="CR1051" s="84"/>
      <c r="CS1051" s="13"/>
      <c r="CT1051" s="85"/>
      <c r="CU1051" s="86"/>
      <c r="CV1051" s="11"/>
      <c r="CW1051" s="86"/>
      <c r="CX1051" s="84"/>
      <c r="CY1051" s="86"/>
    </row>
    <row r="1052" spans="1:103" ht="114.75" x14ac:dyDescent="0.2">
      <c r="A1052" s="43">
        <v>40162</v>
      </c>
      <c r="B1052" s="44" t="s">
        <v>1066</v>
      </c>
      <c r="C1052" s="44" t="s">
        <v>598</v>
      </c>
      <c r="D1052" s="45" t="s">
        <v>736</v>
      </c>
      <c r="E1052" s="11"/>
      <c r="F1052" s="12"/>
      <c r="G1052" s="12"/>
      <c r="H1052" s="12">
        <f>1863*5</f>
        <v>9315</v>
      </c>
      <c r="I1052" s="12">
        <v>1863</v>
      </c>
      <c r="J1052" s="12"/>
      <c r="K1052" s="12"/>
      <c r="L1052" s="12"/>
      <c r="M1052" s="12"/>
      <c r="N1052" s="12"/>
      <c r="O1052" s="12"/>
      <c r="P1052" s="12"/>
      <c r="Q1052" s="12"/>
      <c r="R1052" s="12"/>
      <c r="S1052" s="12"/>
      <c r="T1052" s="13">
        <v>1960</v>
      </c>
      <c r="U1052" s="46" t="s">
        <v>1307</v>
      </c>
      <c r="V1052" s="47">
        <v>40197</v>
      </c>
      <c r="W1052" s="48">
        <f t="shared" si="206"/>
        <v>68841576</v>
      </c>
      <c r="X1052" s="48">
        <f t="shared" si="207"/>
        <v>158355000</v>
      </c>
      <c r="Y1052" s="48">
        <f t="shared" si="208"/>
        <v>0</v>
      </c>
      <c r="Z1052" s="48">
        <f t="shared" si="209"/>
        <v>0</v>
      </c>
      <c r="AA1052" s="48"/>
      <c r="AB1052" s="48"/>
      <c r="AC1052" s="49">
        <f t="shared" si="210"/>
        <v>227196576</v>
      </c>
      <c r="AD1052" s="50">
        <v>0</v>
      </c>
      <c r="AE1052" s="47">
        <v>40163</v>
      </c>
      <c r="AF1052" s="51" t="s">
        <v>1016</v>
      </c>
      <c r="AG1052" s="52" t="s">
        <v>565</v>
      </c>
      <c r="AH1052" s="53" t="s">
        <v>1308</v>
      </c>
      <c r="AI1052" s="79"/>
      <c r="AJ1052" s="80"/>
      <c r="AK1052" s="81"/>
      <c r="AL1052" s="80"/>
      <c r="AM1052" s="80"/>
      <c r="AN1052" s="80"/>
      <c r="AO1052" s="80"/>
      <c r="AP1052" s="80"/>
      <c r="AQ1052" s="80"/>
      <c r="AR1052" s="80"/>
      <c r="AS1052" s="80"/>
      <c r="AT1052" s="80"/>
      <c r="AU1052" s="80"/>
      <c r="AV1052" s="80"/>
      <c r="AW1052" s="80"/>
      <c r="AX1052" s="80"/>
      <c r="AY1052" s="80"/>
      <c r="AZ1052" s="80"/>
      <c r="BA1052" s="80"/>
      <c r="BB1052" s="80"/>
      <c r="BC1052" s="80"/>
      <c r="BD1052" s="80"/>
      <c r="BE1052" s="80"/>
      <c r="BF1052" s="80"/>
      <c r="BG1052" s="80"/>
      <c r="BH1052" s="80"/>
      <c r="BI1052" s="80"/>
      <c r="BJ1052" s="80"/>
      <c r="BK1052" s="80"/>
      <c r="BL1052" s="80"/>
      <c r="BM1052" s="80"/>
      <c r="BN1052" s="80"/>
      <c r="BO1052" s="80"/>
      <c r="BP1052" s="80"/>
      <c r="BQ1052" s="80"/>
      <c r="BR1052" s="80"/>
      <c r="BS1052" s="80"/>
      <c r="BT1052" s="80"/>
      <c r="BU1052" s="80"/>
      <c r="BV1052" s="80"/>
      <c r="BW1052" s="80"/>
      <c r="BX1052" s="80"/>
      <c r="BY1052" s="80"/>
      <c r="BZ1052" s="80"/>
      <c r="CA1052" s="80"/>
      <c r="CB1052" s="80"/>
      <c r="CC1052" s="80"/>
      <c r="CD1052" s="80"/>
      <c r="CE1052" s="80"/>
      <c r="CF1052" s="80"/>
      <c r="CG1052" s="80"/>
      <c r="CH1052" s="80"/>
      <c r="CI1052" s="80"/>
      <c r="CJ1052" s="80"/>
      <c r="CK1052" s="82">
        <f>931+932</f>
        <v>1863</v>
      </c>
      <c r="CL1052" s="12">
        <f>931*36952+932*36952</f>
        <v>68841576</v>
      </c>
      <c r="CM1052" s="82"/>
      <c r="CN1052" s="12"/>
      <c r="CO1052" s="82"/>
      <c r="CP1052" s="12"/>
      <c r="CQ1052" s="83">
        <f t="shared" si="211"/>
        <v>68841576</v>
      </c>
      <c r="CR1052" s="84"/>
      <c r="CS1052" s="13"/>
      <c r="CT1052" s="85">
        <f>931+932</f>
        <v>1863</v>
      </c>
      <c r="CU1052" s="86">
        <f>931*85000+932*85000</f>
        <v>158355000</v>
      </c>
      <c r="CV1052" s="11"/>
      <c r="CW1052" s="86"/>
      <c r="CX1052" s="84"/>
      <c r="CY1052" s="86"/>
    </row>
    <row r="1053" spans="1:103" ht="25.5" x14ac:dyDescent="0.2">
      <c r="A1053" s="43">
        <v>40164</v>
      </c>
      <c r="B1053" s="44" t="s">
        <v>1091</v>
      </c>
      <c r="C1053" s="44" t="s">
        <v>288</v>
      </c>
      <c r="D1053" s="45" t="s">
        <v>1118</v>
      </c>
      <c r="E1053" s="11"/>
      <c r="F1053" s="12"/>
      <c r="G1053" s="12"/>
      <c r="H1053" s="12">
        <v>30</v>
      </c>
      <c r="I1053" s="12">
        <v>6</v>
      </c>
      <c r="J1053" s="12"/>
      <c r="K1053" s="12">
        <v>6</v>
      </c>
      <c r="L1053" s="12"/>
      <c r="M1053" s="12"/>
      <c r="N1053" s="12"/>
      <c r="O1053" s="12"/>
      <c r="P1053" s="12"/>
      <c r="Q1053" s="12"/>
      <c r="R1053" s="12"/>
      <c r="S1053" s="12"/>
      <c r="T1053" s="13"/>
      <c r="U1053" s="46"/>
      <c r="V1053" s="47"/>
      <c r="W1053" s="48">
        <f t="shared" si="206"/>
        <v>0</v>
      </c>
      <c r="X1053" s="48">
        <f t="shared" si="207"/>
        <v>0</v>
      </c>
      <c r="Y1053" s="48">
        <f t="shared" si="208"/>
        <v>0</v>
      </c>
      <c r="Z1053" s="48">
        <f t="shared" si="209"/>
        <v>0</v>
      </c>
      <c r="AA1053" s="48"/>
      <c r="AB1053" s="48"/>
      <c r="AC1053" s="49">
        <f t="shared" si="210"/>
        <v>0</v>
      </c>
      <c r="AD1053" s="50">
        <v>0</v>
      </c>
      <c r="AE1053" s="47">
        <v>40165</v>
      </c>
      <c r="AF1053" s="51" t="s">
        <v>516</v>
      </c>
      <c r="AG1053" s="52" t="s">
        <v>517</v>
      </c>
      <c r="AH1053" s="53" t="s">
        <v>745</v>
      </c>
      <c r="AI1053" s="79"/>
      <c r="AJ1053" s="80"/>
      <c r="AK1053" s="81"/>
      <c r="AL1053" s="80"/>
      <c r="AM1053" s="80"/>
      <c r="AN1053" s="80"/>
      <c r="AO1053" s="80"/>
      <c r="AP1053" s="80"/>
      <c r="AQ1053" s="80"/>
      <c r="AR1053" s="80"/>
      <c r="AS1053" s="80"/>
      <c r="AT1053" s="80"/>
      <c r="AU1053" s="80"/>
      <c r="AV1053" s="80"/>
      <c r="AW1053" s="80"/>
      <c r="AX1053" s="80"/>
      <c r="AY1053" s="80"/>
      <c r="AZ1053" s="80"/>
      <c r="BA1053" s="80"/>
      <c r="BB1053" s="80"/>
      <c r="BC1053" s="80"/>
      <c r="BD1053" s="80"/>
      <c r="BE1053" s="80"/>
      <c r="BF1053" s="80"/>
      <c r="BG1053" s="80"/>
      <c r="BH1053" s="80"/>
      <c r="BI1053" s="80"/>
      <c r="BJ1053" s="80"/>
      <c r="BK1053" s="80"/>
      <c r="BL1053" s="80"/>
      <c r="BM1053" s="80"/>
      <c r="BN1053" s="80"/>
      <c r="BO1053" s="80"/>
      <c r="BP1053" s="80"/>
      <c r="BQ1053" s="80"/>
      <c r="BR1053" s="80"/>
      <c r="BS1053" s="80"/>
      <c r="BT1053" s="80"/>
      <c r="BU1053" s="80"/>
      <c r="BV1053" s="80"/>
      <c r="BW1053" s="80"/>
      <c r="BX1053" s="80"/>
      <c r="BY1053" s="80"/>
      <c r="BZ1053" s="80"/>
      <c r="CA1053" s="80"/>
      <c r="CB1053" s="80"/>
      <c r="CC1053" s="80"/>
      <c r="CD1053" s="80"/>
      <c r="CE1053" s="80"/>
      <c r="CF1053" s="80"/>
      <c r="CG1053" s="80"/>
      <c r="CH1053" s="80"/>
      <c r="CI1053" s="80"/>
      <c r="CJ1053" s="80"/>
      <c r="CK1053" s="82"/>
      <c r="CL1053" s="12"/>
      <c r="CM1053" s="82"/>
      <c r="CN1053" s="12"/>
      <c r="CO1053" s="82"/>
      <c r="CP1053" s="12"/>
      <c r="CQ1053" s="83">
        <f t="shared" si="211"/>
        <v>0</v>
      </c>
      <c r="CR1053" s="84"/>
      <c r="CS1053" s="13"/>
      <c r="CT1053" s="85"/>
      <c r="CU1053" s="86"/>
      <c r="CV1053" s="11"/>
      <c r="CW1053" s="86"/>
      <c r="CX1053" s="84"/>
      <c r="CY1053" s="86"/>
    </row>
    <row r="1054" spans="1:103" ht="38.25" x14ac:dyDescent="0.2">
      <c r="A1054" s="43">
        <v>40164</v>
      </c>
      <c r="B1054" s="44" t="s">
        <v>1350</v>
      </c>
      <c r="C1054" s="44" t="s">
        <v>1351</v>
      </c>
      <c r="D1054" s="45" t="s">
        <v>1116</v>
      </c>
      <c r="E1054" s="11"/>
      <c r="F1054" s="12"/>
      <c r="G1054" s="12"/>
      <c r="H1054" s="12">
        <v>5</v>
      </c>
      <c r="I1054" s="12">
        <v>1</v>
      </c>
      <c r="J1054" s="12">
        <v>1</v>
      </c>
      <c r="K1054" s="12"/>
      <c r="L1054" s="12"/>
      <c r="M1054" s="12"/>
      <c r="N1054" s="12"/>
      <c r="O1054" s="12"/>
      <c r="P1054" s="12"/>
      <c r="Q1054" s="12"/>
      <c r="R1054" s="12"/>
      <c r="S1054" s="12"/>
      <c r="T1054" s="13"/>
      <c r="U1054" s="46"/>
      <c r="V1054" s="47"/>
      <c r="W1054" s="48">
        <f t="shared" si="206"/>
        <v>0</v>
      </c>
      <c r="X1054" s="48">
        <f t="shared" si="207"/>
        <v>0</v>
      </c>
      <c r="Y1054" s="48">
        <f t="shared" si="208"/>
        <v>0</v>
      </c>
      <c r="Z1054" s="48">
        <f t="shared" si="209"/>
        <v>0</v>
      </c>
      <c r="AA1054" s="48"/>
      <c r="AB1054" s="48"/>
      <c r="AC1054" s="49">
        <f t="shared" si="210"/>
        <v>0</v>
      </c>
      <c r="AD1054" s="50">
        <v>0</v>
      </c>
      <c r="AE1054" s="47">
        <v>40165</v>
      </c>
      <c r="AF1054" s="51" t="s">
        <v>516</v>
      </c>
      <c r="AG1054" s="52" t="s">
        <v>517</v>
      </c>
      <c r="AH1054" s="53" t="s">
        <v>746</v>
      </c>
      <c r="AI1054" s="79"/>
      <c r="AJ1054" s="80"/>
      <c r="AK1054" s="81"/>
      <c r="AL1054" s="80"/>
      <c r="AM1054" s="80"/>
      <c r="AN1054" s="80"/>
      <c r="AO1054" s="80"/>
      <c r="AP1054" s="80"/>
      <c r="AQ1054" s="80"/>
      <c r="AR1054" s="80"/>
      <c r="AS1054" s="80"/>
      <c r="AT1054" s="80"/>
      <c r="AU1054" s="80"/>
      <c r="AV1054" s="80"/>
      <c r="AW1054" s="80"/>
      <c r="AX1054" s="80"/>
      <c r="AY1054" s="80"/>
      <c r="AZ1054" s="80"/>
      <c r="BA1054" s="80"/>
      <c r="BB1054" s="80"/>
      <c r="BC1054" s="80"/>
      <c r="BD1054" s="80"/>
      <c r="BE1054" s="80"/>
      <c r="BF1054" s="80"/>
      <c r="BG1054" s="80"/>
      <c r="BH1054" s="80"/>
      <c r="BI1054" s="80"/>
      <c r="BJ1054" s="80"/>
      <c r="BK1054" s="80"/>
      <c r="BL1054" s="80"/>
      <c r="BM1054" s="80"/>
      <c r="BN1054" s="80"/>
      <c r="BO1054" s="80"/>
      <c r="BP1054" s="80"/>
      <c r="BQ1054" s="80"/>
      <c r="BR1054" s="80"/>
      <c r="BS1054" s="80"/>
      <c r="BT1054" s="80"/>
      <c r="BU1054" s="80"/>
      <c r="BV1054" s="80"/>
      <c r="BW1054" s="80"/>
      <c r="BX1054" s="80"/>
      <c r="BY1054" s="80"/>
      <c r="BZ1054" s="80"/>
      <c r="CA1054" s="80"/>
      <c r="CB1054" s="80"/>
      <c r="CC1054" s="80"/>
      <c r="CD1054" s="80"/>
      <c r="CE1054" s="80"/>
      <c r="CF1054" s="80"/>
      <c r="CG1054" s="80"/>
      <c r="CH1054" s="80"/>
      <c r="CI1054" s="80"/>
      <c r="CJ1054" s="80"/>
      <c r="CK1054" s="82"/>
      <c r="CL1054" s="12"/>
      <c r="CM1054" s="82"/>
      <c r="CN1054" s="12"/>
      <c r="CO1054" s="82"/>
      <c r="CP1054" s="12"/>
      <c r="CQ1054" s="83">
        <f t="shared" si="211"/>
        <v>0</v>
      </c>
      <c r="CR1054" s="84"/>
      <c r="CS1054" s="13"/>
      <c r="CT1054" s="85"/>
      <c r="CU1054" s="86"/>
      <c r="CV1054" s="11"/>
      <c r="CW1054" s="86"/>
      <c r="CX1054" s="84"/>
      <c r="CY1054" s="86"/>
    </row>
    <row r="1055" spans="1:103" ht="191.25" x14ac:dyDescent="0.2">
      <c r="A1055" s="43">
        <v>40165</v>
      </c>
      <c r="B1055" s="44" t="s">
        <v>1224</v>
      </c>
      <c r="C1055" s="44" t="s">
        <v>742</v>
      </c>
      <c r="D1055" s="45" t="s">
        <v>1134</v>
      </c>
      <c r="E1055" s="11"/>
      <c r="F1055" s="12"/>
      <c r="G1055" s="12"/>
      <c r="H1055" s="12">
        <v>60</v>
      </c>
      <c r="I1055" s="12">
        <v>12</v>
      </c>
      <c r="J1055" s="12"/>
      <c r="K1055" s="12">
        <v>12</v>
      </c>
      <c r="L1055" s="12"/>
      <c r="M1055" s="12"/>
      <c r="N1055" s="12"/>
      <c r="O1055" s="12"/>
      <c r="P1055" s="12"/>
      <c r="Q1055" s="12">
        <v>1</v>
      </c>
      <c r="R1055" s="12"/>
      <c r="S1055" s="12"/>
      <c r="T1055" s="13"/>
      <c r="U1055" s="46"/>
      <c r="V1055" s="47"/>
      <c r="W1055" s="48">
        <f t="shared" si="206"/>
        <v>0</v>
      </c>
      <c r="X1055" s="48">
        <f t="shared" si="207"/>
        <v>0</v>
      </c>
      <c r="Y1055" s="48">
        <f t="shared" si="208"/>
        <v>0</v>
      </c>
      <c r="Z1055" s="48">
        <f t="shared" si="209"/>
        <v>0</v>
      </c>
      <c r="AA1055" s="48"/>
      <c r="AB1055" s="48"/>
      <c r="AC1055" s="49">
        <f t="shared" si="210"/>
        <v>0</v>
      </c>
      <c r="AD1055" s="50">
        <v>0</v>
      </c>
      <c r="AE1055" s="47">
        <v>40165</v>
      </c>
      <c r="AF1055" s="51" t="s">
        <v>516</v>
      </c>
      <c r="AG1055" s="52" t="s">
        <v>517</v>
      </c>
      <c r="AH1055" s="53" t="s">
        <v>743</v>
      </c>
      <c r="AI1055" s="79"/>
      <c r="AJ1055" s="80"/>
      <c r="AK1055" s="81"/>
      <c r="AL1055" s="80"/>
      <c r="AM1055" s="80"/>
      <c r="AN1055" s="80"/>
      <c r="AO1055" s="80"/>
      <c r="AP1055" s="80"/>
      <c r="AQ1055" s="80"/>
      <c r="AR1055" s="80"/>
      <c r="AS1055" s="80"/>
      <c r="AT1055" s="80"/>
      <c r="AU1055" s="80"/>
      <c r="AV1055" s="80"/>
      <c r="AW1055" s="80"/>
      <c r="AX1055" s="80"/>
      <c r="AY1055" s="80"/>
      <c r="AZ1055" s="80"/>
      <c r="BA1055" s="80"/>
      <c r="BB1055" s="80"/>
      <c r="BC1055" s="80"/>
      <c r="BD1055" s="80"/>
      <c r="BE1055" s="80"/>
      <c r="BF1055" s="80"/>
      <c r="BG1055" s="80"/>
      <c r="BH1055" s="80"/>
      <c r="BI1055" s="80"/>
      <c r="BJ1055" s="80"/>
      <c r="BK1055" s="80"/>
      <c r="BL1055" s="80"/>
      <c r="BM1055" s="80"/>
      <c r="BN1055" s="80"/>
      <c r="BO1055" s="80"/>
      <c r="BP1055" s="80"/>
      <c r="BQ1055" s="80"/>
      <c r="BR1055" s="80"/>
      <c r="BS1055" s="80"/>
      <c r="BT1055" s="80"/>
      <c r="BU1055" s="80"/>
      <c r="BV1055" s="80"/>
      <c r="BW1055" s="80"/>
      <c r="BX1055" s="80"/>
      <c r="BY1055" s="80"/>
      <c r="BZ1055" s="80"/>
      <c r="CA1055" s="80"/>
      <c r="CB1055" s="80"/>
      <c r="CC1055" s="80"/>
      <c r="CD1055" s="80"/>
      <c r="CE1055" s="80"/>
      <c r="CF1055" s="80"/>
      <c r="CG1055" s="80"/>
      <c r="CH1055" s="80"/>
      <c r="CI1055" s="80"/>
      <c r="CJ1055" s="80"/>
      <c r="CK1055" s="82"/>
      <c r="CL1055" s="12"/>
      <c r="CM1055" s="82"/>
      <c r="CN1055" s="12"/>
      <c r="CO1055" s="82"/>
      <c r="CP1055" s="12"/>
      <c r="CQ1055" s="83">
        <f t="shared" si="211"/>
        <v>0</v>
      </c>
      <c r="CR1055" s="84"/>
      <c r="CS1055" s="13"/>
      <c r="CT1055" s="85"/>
      <c r="CU1055" s="86"/>
      <c r="CV1055" s="11"/>
      <c r="CW1055" s="86"/>
      <c r="CX1055" s="84"/>
      <c r="CY1055" s="86"/>
    </row>
    <row r="1056" spans="1:103" ht="38.25" x14ac:dyDescent="0.2">
      <c r="A1056" s="43">
        <v>40166</v>
      </c>
      <c r="B1056" s="44" t="s">
        <v>1350</v>
      </c>
      <c r="C1056" s="44" t="s">
        <v>891</v>
      </c>
      <c r="D1056" s="45" t="s">
        <v>1070</v>
      </c>
      <c r="E1056" s="11">
        <v>1</v>
      </c>
      <c r="F1056" s="12">
        <v>2</v>
      </c>
      <c r="G1056" s="12"/>
      <c r="H1056" s="12">
        <v>5</v>
      </c>
      <c r="I1056" s="12">
        <v>1</v>
      </c>
      <c r="J1056" s="12">
        <v>1</v>
      </c>
      <c r="K1056" s="12"/>
      <c r="L1056" s="12"/>
      <c r="M1056" s="12"/>
      <c r="N1056" s="12"/>
      <c r="O1056" s="12"/>
      <c r="P1056" s="12"/>
      <c r="Q1056" s="12"/>
      <c r="R1056" s="12"/>
      <c r="S1056" s="12"/>
      <c r="T1056" s="13"/>
      <c r="U1056" s="46"/>
      <c r="V1056" s="47"/>
      <c r="W1056" s="48">
        <f t="shared" si="206"/>
        <v>0</v>
      </c>
      <c r="X1056" s="48">
        <f t="shared" si="207"/>
        <v>0</v>
      </c>
      <c r="Y1056" s="48">
        <f t="shared" si="208"/>
        <v>0</v>
      </c>
      <c r="Z1056" s="48">
        <f t="shared" si="209"/>
        <v>0</v>
      </c>
      <c r="AA1056" s="48"/>
      <c r="AB1056" s="48"/>
      <c r="AC1056" s="49">
        <f t="shared" si="210"/>
        <v>0</v>
      </c>
      <c r="AD1056" s="50">
        <v>0</v>
      </c>
      <c r="AE1056" s="47">
        <v>40167</v>
      </c>
      <c r="AF1056" s="51" t="s">
        <v>516</v>
      </c>
      <c r="AG1056" s="52" t="s">
        <v>517</v>
      </c>
      <c r="AH1056" s="53" t="s">
        <v>741</v>
      </c>
      <c r="AI1056" s="79"/>
      <c r="AJ1056" s="80"/>
      <c r="AK1056" s="81"/>
      <c r="AL1056" s="80"/>
      <c r="AM1056" s="80"/>
      <c r="AN1056" s="80"/>
      <c r="AO1056" s="80"/>
      <c r="AP1056" s="80"/>
      <c r="AQ1056" s="80"/>
      <c r="AR1056" s="80"/>
      <c r="AS1056" s="80"/>
      <c r="AT1056" s="80"/>
      <c r="AU1056" s="80"/>
      <c r="AV1056" s="80"/>
      <c r="AW1056" s="80"/>
      <c r="AX1056" s="80"/>
      <c r="AY1056" s="80"/>
      <c r="AZ1056" s="80"/>
      <c r="BA1056" s="80"/>
      <c r="BB1056" s="80"/>
      <c r="BC1056" s="80"/>
      <c r="BD1056" s="80"/>
      <c r="BE1056" s="80"/>
      <c r="BF1056" s="80"/>
      <c r="BG1056" s="80"/>
      <c r="BH1056" s="80"/>
      <c r="BI1056" s="80"/>
      <c r="BJ1056" s="80"/>
      <c r="BK1056" s="80"/>
      <c r="BL1056" s="80"/>
      <c r="BM1056" s="80"/>
      <c r="BN1056" s="80"/>
      <c r="BO1056" s="80"/>
      <c r="BP1056" s="80"/>
      <c r="BQ1056" s="80"/>
      <c r="BR1056" s="80"/>
      <c r="BS1056" s="80"/>
      <c r="BT1056" s="80"/>
      <c r="BU1056" s="80"/>
      <c r="BV1056" s="80"/>
      <c r="BW1056" s="80"/>
      <c r="BX1056" s="80"/>
      <c r="BY1056" s="80"/>
      <c r="BZ1056" s="80"/>
      <c r="CA1056" s="80"/>
      <c r="CB1056" s="80"/>
      <c r="CC1056" s="80"/>
      <c r="CD1056" s="80"/>
      <c r="CE1056" s="80"/>
      <c r="CF1056" s="80"/>
      <c r="CG1056" s="80"/>
      <c r="CH1056" s="80"/>
      <c r="CI1056" s="80"/>
      <c r="CJ1056" s="80"/>
      <c r="CK1056" s="82"/>
      <c r="CL1056" s="12"/>
      <c r="CM1056" s="82"/>
      <c r="CN1056" s="12"/>
      <c r="CO1056" s="82"/>
      <c r="CP1056" s="12"/>
      <c r="CQ1056" s="83">
        <f t="shared" si="211"/>
        <v>0</v>
      </c>
      <c r="CR1056" s="84"/>
      <c r="CS1056" s="13"/>
      <c r="CT1056" s="85"/>
      <c r="CU1056" s="86"/>
      <c r="CV1056" s="11"/>
      <c r="CW1056" s="86"/>
      <c r="CX1056" s="84"/>
      <c r="CY1056" s="86"/>
    </row>
    <row r="1057" spans="1:103" ht="12.75" x14ac:dyDescent="0.2">
      <c r="A1057" s="43">
        <v>40171</v>
      </c>
      <c r="B1057" s="44" t="s">
        <v>625</v>
      </c>
      <c r="C1057" s="44" t="s">
        <v>1370</v>
      </c>
      <c r="D1057" s="45" t="s">
        <v>1117</v>
      </c>
      <c r="E1057" s="11"/>
      <c r="F1057" s="12"/>
      <c r="G1057" s="12"/>
      <c r="H1057" s="12">
        <v>500</v>
      </c>
      <c r="I1057" s="12">
        <v>100</v>
      </c>
      <c r="J1057" s="12"/>
      <c r="K1057" s="12">
        <v>100</v>
      </c>
      <c r="L1057" s="12"/>
      <c r="M1057" s="12"/>
      <c r="N1057" s="12"/>
      <c r="O1057" s="12"/>
      <c r="P1057" s="12"/>
      <c r="Q1057" s="12"/>
      <c r="R1057" s="12"/>
      <c r="S1057" s="12"/>
      <c r="T1057" s="13"/>
      <c r="U1057" s="46"/>
      <c r="V1057" s="47"/>
      <c r="W1057" s="48">
        <f t="shared" si="206"/>
        <v>0</v>
      </c>
      <c r="X1057" s="48">
        <f t="shared" si="207"/>
        <v>0</v>
      </c>
      <c r="Y1057" s="48">
        <f t="shared" si="208"/>
        <v>0</v>
      </c>
      <c r="Z1057" s="48">
        <f t="shared" si="209"/>
        <v>0</v>
      </c>
      <c r="AA1057" s="48"/>
      <c r="AB1057" s="48"/>
      <c r="AC1057" s="49">
        <f t="shared" si="210"/>
        <v>0</v>
      </c>
      <c r="AD1057" s="50">
        <v>0</v>
      </c>
      <c r="AE1057" s="47">
        <v>40175</v>
      </c>
      <c r="AF1057" s="51" t="s">
        <v>1016</v>
      </c>
      <c r="AG1057" s="52" t="s">
        <v>565</v>
      </c>
      <c r="AH1057" s="53" t="s">
        <v>1203</v>
      </c>
      <c r="AI1057" s="79"/>
      <c r="AJ1057" s="80"/>
      <c r="AK1057" s="81"/>
      <c r="AL1057" s="80"/>
      <c r="AM1057" s="80"/>
      <c r="AN1057" s="80"/>
      <c r="AO1057" s="80"/>
      <c r="AP1057" s="80"/>
      <c r="AQ1057" s="80"/>
      <c r="AR1057" s="80"/>
      <c r="AS1057" s="80"/>
      <c r="AT1057" s="80"/>
      <c r="AU1057" s="80"/>
      <c r="AV1057" s="80"/>
      <c r="AW1057" s="80"/>
      <c r="AX1057" s="80"/>
      <c r="AY1057" s="80"/>
      <c r="AZ1057" s="80"/>
      <c r="BA1057" s="80"/>
      <c r="BB1057" s="80"/>
      <c r="BC1057" s="80"/>
      <c r="BD1057" s="80"/>
      <c r="BE1057" s="80"/>
      <c r="BF1057" s="80"/>
      <c r="BG1057" s="80"/>
      <c r="BH1057" s="80"/>
      <c r="BI1057" s="80"/>
      <c r="BJ1057" s="80"/>
      <c r="BK1057" s="80"/>
      <c r="BL1057" s="80"/>
      <c r="BM1057" s="80"/>
      <c r="BN1057" s="80"/>
      <c r="BO1057" s="80"/>
      <c r="BP1057" s="80"/>
      <c r="BQ1057" s="80"/>
      <c r="BR1057" s="80"/>
      <c r="BS1057" s="80"/>
      <c r="BT1057" s="80"/>
      <c r="BU1057" s="80"/>
      <c r="BV1057" s="80"/>
      <c r="BW1057" s="80"/>
      <c r="BX1057" s="80"/>
      <c r="BY1057" s="80"/>
      <c r="BZ1057" s="80"/>
      <c r="CA1057" s="80"/>
      <c r="CB1057" s="80"/>
      <c r="CC1057" s="80"/>
      <c r="CD1057" s="80"/>
      <c r="CE1057" s="80"/>
      <c r="CF1057" s="80"/>
      <c r="CG1057" s="80"/>
      <c r="CH1057" s="80"/>
      <c r="CI1057" s="80"/>
      <c r="CJ1057" s="80"/>
      <c r="CK1057" s="82"/>
      <c r="CL1057" s="12"/>
      <c r="CM1057" s="82"/>
      <c r="CN1057" s="12"/>
      <c r="CO1057" s="82"/>
      <c r="CP1057" s="12"/>
      <c r="CQ1057" s="83">
        <f t="shared" si="211"/>
        <v>0</v>
      </c>
      <c r="CR1057" s="84"/>
      <c r="CS1057" s="13"/>
      <c r="CT1057" s="85"/>
      <c r="CU1057" s="86"/>
      <c r="CV1057" s="11"/>
      <c r="CW1057" s="86"/>
      <c r="CX1057" s="84"/>
      <c r="CY1057" s="86"/>
    </row>
    <row r="1058" spans="1:103" ht="25.5" x14ac:dyDescent="0.2">
      <c r="A1058" s="43">
        <v>40172</v>
      </c>
      <c r="B1058" s="44" t="s">
        <v>481</v>
      </c>
      <c r="C1058" s="44" t="s">
        <v>188</v>
      </c>
      <c r="D1058" s="45" t="s">
        <v>1117</v>
      </c>
      <c r="E1058" s="11"/>
      <c r="F1058" s="12"/>
      <c r="G1058" s="12"/>
      <c r="H1058" s="12">
        <v>15</v>
      </c>
      <c r="I1058" s="12">
        <v>3</v>
      </c>
      <c r="J1058" s="12"/>
      <c r="K1058" s="12">
        <v>3</v>
      </c>
      <c r="L1058" s="12"/>
      <c r="M1058" s="12"/>
      <c r="N1058" s="12"/>
      <c r="O1058" s="12"/>
      <c r="P1058" s="12">
        <v>1</v>
      </c>
      <c r="Q1058" s="12"/>
      <c r="R1058" s="12"/>
      <c r="S1058" s="12"/>
      <c r="T1058" s="13"/>
      <c r="U1058" s="46" t="s">
        <v>1204</v>
      </c>
      <c r="V1058" s="47"/>
      <c r="W1058" s="48">
        <f t="shared" si="206"/>
        <v>0</v>
      </c>
      <c r="X1058" s="48">
        <f t="shared" si="207"/>
        <v>0</v>
      </c>
      <c r="Y1058" s="48">
        <f t="shared" si="208"/>
        <v>0</v>
      </c>
      <c r="Z1058" s="48">
        <f t="shared" si="209"/>
        <v>0</v>
      </c>
      <c r="AA1058" s="48"/>
      <c r="AB1058" s="48"/>
      <c r="AC1058" s="49">
        <f t="shared" si="210"/>
        <v>0</v>
      </c>
      <c r="AD1058" s="50">
        <v>0</v>
      </c>
      <c r="AE1058" s="47">
        <v>40175</v>
      </c>
      <c r="AF1058" s="51" t="s">
        <v>516</v>
      </c>
      <c r="AG1058" s="52" t="s">
        <v>517</v>
      </c>
      <c r="AH1058" s="53" t="s">
        <v>1205</v>
      </c>
      <c r="AI1058" s="79"/>
      <c r="AJ1058" s="80"/>
      <c r="AK1058" s="81"/>
      <c r="AL1058" s="80"/>
      <c r="AM1058" s="80"/>
      <c r="AN1058" s="80"/>
      <c r="AO1058" s="80"/>
      <c r="AP1058" s="80"/>
      <c r="AQ1058" s="80"/>
      <c r="AR1058" s="80"/>
      <c r="AS1058" s="80"/>
      <c r="AT1058" s="80"/>
      <c r="AU1058" s="80"/>
      <c r="AV1058" s="80"/>
      <c r="AW1058" s="80"/>
      <c r="AX1058" s="80"/>
      <c r="AY1058" s="80"/>
      <c r="AZ1058" s="80"/>
      <c r="BA1058" s="80"/>
      <c r="BB1058" s="80"/>
      <c r="BC1058" s="80"/>
      <c r="BD1058" s="80"/>
      <c r="BE1058" s="80"/>
      <c r="BF1058" s="80"/>
      <c r="BG1058" s="80"/>
      <c r="BH1058" s="80"/>
      <c r="BI1058" s="80"/>
      <c r="BJ1058" s="80"/>
      <c r="BK1058" s="80"/>
      <c r="BL1058" s="80"/>
      <c r="BM1058" s="80"/>
      <c r="BN1058" s="80"/>
      <c r="BO1058" s="80"/>
      <c r="BP1058" s="80"/>
      <c r="BQ1058" s="80"/>
      <c r="BR1058" s="80"/>
      <c r="BS1058" s="80"/>
      <c r="BT1058" s="80"/>
      <c r="BU1058" s="80"/>
      <c r="BV1058" s="80"/>
      <c r="BW1058" s="80"/>
      <c r="BX1058" s="80"/>
      <c r="BY1058" s="80"/>
      <c r="BZ1058" s="80"/>
      <c r="CA1058" s="80"/>
      <c r="CB1058" s="80"/>
      <c r="CC1058" s="80"/>
      <c r="CD1058" s="80"/>
      <c r="CE1058" s="80"/>
      <c r="CF1058" s="80"/>
      <c r="CG1058" s="80"/>
      <c r="CH1058" s="80"/>
      <c r="CI1058" s="80"/>
      <c r="CJ1058" s="80"/>
      <c r="CK1058" s="82"/>
      <c r="CL1058" s="12"/>
      <c r="CM1058" s="82"/>
      <c r="CN1058" s="12"/>
      <c r="CO1058" s="82"/>
      <c r="CP1058" s="12"/>
      <c r="CQ1058" s="83">
        <f t="shared" si="211"/>
        <v>0</v>
      </c>
      <c r="CR1058" s="84"/>
      <c r="CS1058" s="13"/>
      <c r="CT1058" s="85"/>
      <c r="CU1058" s="86"/>
      <c r="CV1058" s="11"/>
      <c r="CW1058" s="86"/>
      <c r="CX1058" s="84"/>
      <c r="CY1058" s="86"/>
    </row>
    <row r="1059" spans="1:103" ht="38.25" x14ac:dyDescent="0.2">
      <c r="A1059" s="43">
        <v>40173</v>
      </c>
      <c r="B1059" s="44" t="s">
        <v>1097</v>
      </c>
      <c r="C1059" s="44" t="s">
        <v>759</v>
      </c>
      <c r="D1059" s="45" t="s">
        <v>1118</v>
      </c>
      <c r="E1059" s="11"/>
      <c r="F1059" s="12"/>
      <c r="G1059" s="12"/>
      <c r="H1059" s="12">
        <v>884</v>
      </c>
      <c r="I1059" s="12">
        <v>192</v>
      </c>
      <c r="J1059" s="12">
        <v>10</v>
      </c>
      <c r="K1059" s="12">
        <v>182</v>
      </c>
      <c r="L1059" s="12"/>
      <c r="M1059" s="12"/>
      <c r="N1059" s="12"/>
      <c r="O1059" s="12"/>
      <c r="P1059" s="12"/>
      <c r="Q1059" s="12"/>
      <c r="R1059" s="12"/>
      <c r="S1059" s="12"/>
      <c r="T1059" s="13"/>
      <c r="U1059" s="46"/>
      <c r="V1059" s="47"/>
      <c r="W1059" s="48">
        <f t="shared" ref="W1059:W1068" si="212">CQ1059</f>
        <v>0</v>
      </c>
      <c r="X1059" s="48">
        <f t="shared" ref="X1059:X1068" si="213">CU1059</f>
        <v>0</v>
      </c>
      <c r="Y1059" s="48">
        <f t="shared" ref="Y1059:Y1068" si="214">CW1059+CY1059</f>
        <v>0</v>
      </c>
      <c r="Z1059" s="48">
        <f t="shared" ref="Z1059:Z1068" si="215">CS1059</f>
        <v>0</v>
      </c>
      <c r="AA1059" s="48"/>
      <c r="AB1059" s="48"/>
      <c r="AC1059" s="49">
        <f t="shared" ref="AC1059:AC1068" si="216">W1059+X1059+Y1059+Z1059+AA1059+AB1059</f>
        <v>0</v>
      </c>
      <c r="AD1059" s="50">
        <v>0</v>
      </c>
      <c r="AE1059" s="47">
        <v>40177</v>
      </c>
      <c r="AF1059" s="51" t="s">
        <v>516</v>
      </c>
      <c r="AG1059" s="52" t="s">
        <v>517</v>
      </c>
      <c r="AH1059" s="53" t="s">
        <v>555</v>
      </c>
      <c r="AI1059" s="79"/>
      <c r="AJ1059" s="80"/>
      <c r="AK1059" s="81"/>
      <c r="AL1059" s="80"/>
      <c r="AM1059" s="80"/>
      <c r="AN1059" s="80"/>
      <c r="AO1059" s="80"/>
      <c r="AP1059" s="80"/>
      <c r="AQ1059" s="80"/>
      <c r="AR1059" s="80"/>
      <c r="AS1059" s="80"/>
      <c r="AT1059" s="80"/>
      <c r="AU1059" s="80"/>
      <c r="AV1059" s="80"/>
      <c r="AW1059" s="80"/>
      <c r="AX1059" s="80"/>
      <c r="AY1059" s="80"/>
      <c r="AZ1059" s="80"/>
      <c r="BA1059" s="80"/>
      <c r="BB1059" s="80"/>
      <c r="BC1059" s="80"/>
      <c r="BD1059" s="80"/>
      <c r="BE1059" s="80"/>
      <c r="BF1059" s="80"/>
      <c r="BG1059" s="80"/>
      <c r="BH1059" s="80"/>
      <c r="BI1059" s="80"/>
      <c r="BJ1059" s="80"/>
      <c r="BK1059" s="80"/>
      <c r="BL1059" s="80"/>
      <c r="BM1059" s="80"/>
      <c r="BN1059" s="80"/>
      <c r="BO1059" s="80"/>
      <c r="BP1059" s="80"/>
      <c r="BQ1059" s="80"/>
      <c r="BR1059" s="80"/>
      <c r="BS1059" s="80"/>
      <c r="BT1059" s="80"/>
      <c r="BU1059" s="80"/>
      <c r="BV1059" s="80"/>
      <c r="BW1059" s="80"/>
      <c r="BX1059" s="80"/>
      <c r="BY1059" s="80"/>
      <c r="BZ1059" s="80"/>
      <c r="CA1059" s="80"/>
      <c r="CB1059" s="80"/>
      <c r="CC1059" s="80"/>
      <c r="CD1059" s="80"/>
      <c r="CE1059" s="80"/>
      <c r="CF1059" s="80"/>
      <c r="CG1059" s="80"/>
      <c r="CH1059" s="80"/>
      <c r="CI1059" s="80"/>
      <c r="CJ1059" s="80"/>
      <c r="CK1059" s="82"/>
      <c r="CL1059" s="12"/>
      <c r="CM1059" s="82"/>
      <c r="CN1059" s="12"/>
      <c r="CO1059" s="82"/>
      <c r="CP1059" s="12"/>
      <c r="CQ1059" s="83">
        <f t="shared" ref="CQ1059:CQ1068" si="217">AJ1059+AL1059+AN1059+AP1059+AR1059+AT1059+AV1059+AX1059+AZ1059+BB1059+BD1059+BF1059+BH1059+BJ1059+BL1059+BN1059+BP1059+BR1059+BT1059+BV1059+BX1059+BZ1059+CB1059+CD1059+CF1059+CH1059+CJ1059+CL1059+CN1059+CP1059</f>
        <v>0</v>
      </c>
      <c r="CR1059" s="84"/>
      <c r="CS1059" s="13"/>
      <c r="CT1059" s="85"/>
      <c r="CU1059" s="86"/>
      <c r="CV1059" s="11"/>
      <c r="CW1059" s="86"/>
      <c r="CX1059" s="84"/>
      <c r="CY1059" s="86"/>
    </row>
    <row r="1060" spans="1:103" ht="63.75" x14ac:dyDescent="0.2">
      <c r="A1060" s="43">
        <v>40174</v>
      </c>
      <c r="B1060" s="44" t="s">
        <v>625</v>
      </c>
      <c r="C1060" s="44" t="s">
        <v>1202</v>
      </c>
      <c r="D1060" s="45" t="s">
        <v>1118</v>
      </c>
      <c r="E1060" s="11">
        <v>1</v>
      </c>
      <c r="F1060" s="12"/>
      <c r="G1060" s="12"/>
      <c r="H1060" s="12">
        <v>4000</v>
      </c>
      <c r="I1060" s="12">
        <v>500</v>
      </c>
      <c r="J1060" s="12">
        <v>10</v>
      </c>
      <c r="K1060" s="12">
        <v>400</v>
      </c>
      <c r="L1060" s="12"/>
      <c r="M1060" s="12"/>
      <c r="N1060" s="12"/>
      <c r="O1060" s="12"/>
      <c r="P1060" s="12"/>
      <c r="Q1060" s="12"/>
      <c r="R1060" s="12"/>
      <c r="S1060" s="12"/>
      <c r="T1060" s="13"/>
      <c r="U1060" s="46"/>
      <c r="V1060" s="47"/>
      <c r="W1060" s="48">
        <f t="shared" si="212"/>
        <v>0</v>
      </c>
      <c r="X1060" s="48">
        <f t="shared" si="213"/>
        <v>0</v>
      </c>
      <c r="Y1060" s="48">
        <f t="shared" si="214"/>
        <v>0</v>
      </c>
      <c r="Z1060" s="48">
        <f t="shared" si="215"/>
        <v>0</v>
      </c>
      <c r="AA1060" s="48"/>
      <c r="AB1060" s="48"/>
      <c r="AC1060" s="49">
        <f t="shared" si="216"/>
        <v>0</v>
      </c>
      <c r="AD1060" s="50">
        <v>0</v>
      </c>
      <c r="AE1060" s="47">
        <v>40175</v>
      </c>
      <c r="AF1060" s="51" t="s">
        <v>1016</v>
      </c>
      <c r="AG1060" s="52" t="s">
        <v>565</v>
      </c>
      <c r="AH1060" s="53" t="s">
        <v>556</v>
      </c>
      <c r="AI1060" s="79"/>
      <c r="AJ1060" s="80"/>
      <c r="AK1060" s="81"/>
      <c r="AL1060" s="80"/>
      <c r="AM1060" s="80"/>
      <c r="AN1060" s="80"/>
      <c r="AO1060" s="80"/>
      <c r="AP1060" s="80"/>
      <c r="AQ1060" s="80"/>
      <c r="AR1060" s="80"/>
      <c r="AS1060" s="80"/>
      <c r="AT1060" s="80"/>
      <c r="AU1060" s="80"/>
      <c r="AV1060" s="80"/>
      <c r="AW1060" s="80"/>
      <c r="AX1060" s="80"/>
      <c r="AY1060" s="80"/>
      <c r="AZ1060" s="80"/>
      <c r="BA1060" s="80"/>
      <c r="BB1060" s="80"/>
      <c r="BC1060" s="80"/>
      <c r="BD1060" s="80"/>
      <c r="BE1060" s="80"/>
      <c r="BF1060" s="80"/>
      <c r="BG1060" s="80"/>
      <c r="BH1060" s="80"/>
      <c r="BI1060" s="80"/>
      <c r="BJ1060" s="80"/>
      <c r="BK1060" s="80"/>
      <c r="BL1060" s="80"/>
      <c r="BM1060" s="80"/>
      <c r="BN1060" s="80"/>
      <c r="BO1060" s="80"/>
      <c r="BP1060" s="80"/>
      <c r="BQ1060" s="80"/>
      <c r="BR1060" s="80"/>
      <c r="BS1060" s="80"/>
      <c r="BT1060" s="80"/>
      <c r="BU1060" s="80"/>
      <c r="BV1060" s="80"/>
      <c r="BW1060" s="80"/>
      <c r="BX1060" s="80"/>
      <c r="BY1060" s="80"/>
      <c r="BZ1060" s="80"/>
      <c r="CA1060" s="80"/>
      <c r="CB1060" s="80"/>
      <c r="CC1060" s="80"/>
      <c r="CD1060" s="80"/>
      <c r="CE1060" s="80"/>
      <c r="CF1060" s="80"/>
      <c r="CG1060" s="80"/>
      <c r="CH1060" s="80"/>
      <c r="CI1060" s="80"/>
      <c r="CJ1060" s="80"/>
      <c r="CK1060" s="82"/>
      <c r="CL1060" s="12"/>
      <c r="CM1060" s="82"/>
      <c r="CN1060" s="12"/>
      <c r="CO1060" s="82"/>
      <c r="CP1060" s="12"/>
      <c r="CQ1060" s="83">
        <f t="shared" si="217"/>
        <v>0</v>
      </c>
      <c r="CR1060" s="84"/>
      <c r="CS1060" s="13"/>
      <c r="CT1060" s="85"/>
      <c r="CU1060" s="86"/>
      <c r="CV1060" s="11"/>
      <c r="CW1060" s="86"/>
      <c r="CX1060" s="84"/>
      <c r="CY1060" s="86"/>
    </row>
    <row r="1061" spans="1:103" ht="63.75" x14ac:dyDescent="0.2">
      <c r="A1061" s="43">
        <v>40174</v>
      </c>
      <c r="B1061" s="44" t="s">
        <v>1066</v>
      </c>
      <c r="C1061" s="44" t="s">
        <v>1348</v>
      </c>
      <c r="D1061" s="45" t="s">
        <v>1118</v>
      </c>
      <c r="E1061" s="11"/>
      <c r="F1061" s="12"/>
      <c r="G1061" s="12"/>
      <c r="H1061" s="12"/>
      <c r="I1061" s="12"/>
      <c r="J1061" s="12"/>
      <c r="K1061" s="12"/>
      <c r="L1061" s="12"/>
      <c r="M1061" s="12"/>
      <c r="N1061" s="12"/>
      <c r="O1061" s="12"/>
      <c r="P1061" s="12"/>
      <c r="Q1061" s="12"/>
      <c r="R1061" s="12"/>
      <c r="S1061" s="12"/>
      <c r="T1061" s="13"/>
      <c r="U1061" s="46"/>
      <c r="V1061" s="47"/>
      <c r="W1061" s="48">
        <f t="shared" si="212"/>
        <v>0</v>
      </c>
      <c r="X1061" s="48">
        <f t="shared" si="213"/>
        <v>0</v>
      </c>
      <c r="Y1061" s="48">
        <f t="shared" si="214"/>
        <v>0</v>
      </c>
      <c r="Z1061" s="48">
        <f t="shared" si="215"/>
        <v>0</v>
      </c>
      <c r="AA1061" s="48"/>
      <c r="AB1061" s="48"/>
      <c r="AC1061" s="49">
        <f t="shared" si="216"/>
        <v>0</v>
      </c>
      <c r="AD1061" s="50">
        <v>0</v>
      </c>
      <c r="AE1061" s="47">
        <v>40175</v>
      </c>
      <c r="AF1061" s="51" t="s">
        <v>516</v>
      </c>
      <c r="AG1061" s="52" t="s">
        <v>517</v>
      </c>
      <c r="AH1061" s="53" t="s">
        <v>678</v>
      </c>
      <c r="AI1061" s="79"/>
      <c r="AJ1061" s="80"/>
      <c r="AK1061" s="81"/>
      <c r="AL1061" s="80"/>
      <c r="AM1061" s="80"/>
      <c r="AN1061" s="80"/>
      <c r="AO1061" s="80"/>
      <c r="AP1061" s="80"/>
      <c r="AQ1061" s="80"/>
      <c r="AR1061" s="80"/>
      <c r="AS1061" s="80"/>
      <c r="AT1061" s="80"/>
      <c r="AU1061" s="80"/>
      <c r="AV1061" s="80"/>
      <c r="AW1061" s="80"/>
      <c r="AX1061" s="80"/>
      <c r="AY1061" s="80"/>
      <c r="AZ1061" s="80"/>
      <c r="BA1061" s="80"/>
      <c r="BB1061" s="80"/>
      <c r="BC1061" s="80"/>
      <c r="BD1061" s="80"/>
      <c r="BE1061" s="80"/>
      <c r="BF1061" s="80"/>
      <c r="BG1061" s="80"/>
      <c r="BH1061" s="80"/>
      <c r="BI1061" s="80"/>
      <c r="BJ1061" s="80"/>
      <c r="BK1061" s="80"/>
      <c r="BL1061" s="80"/>
      <c r="BM1061" s="80"/>
      <c r="BN1061" s="80"/>
      <c r="BO1061" s="80"/>
      <c r="BP1061" s="80"/>
      <c r="BQ1061" s="80"/>
      <c r="BR1061" s="80"/>
      <c r="BS1061" s="80"/>
      <c r="BT1061" s="80"/>
      <c r="BU1061" s="80"/>
      <c r="BV1061" s="80"/>
      <c r="BW1061" s="80"/>
      <c r="BX1061" s="80"/>
      <c r="BY1061" s="80"/>
      <c r="BZ1061" s="80"/>
      <c r="CA1061" s="80"/>
      <c r="CB1061" s="80"/>
      <c r="CC1061" s="80"/>
      <c r="CD1061" s="80"/>
      <c r="CE1061" s="80"/>
      <c r="CF1061" s="80"/>
      <c r="CG1061" s="80"/>
      <c r="CH1061" s="80"/>
      <c r="CI1061" s="80"/>
      <c r="CJ1061" s="80"/>
      <c r="CK1061" s="82"/>
      <c r="CL1061" s="12"/>
      <c r="CM1061" s="82"/>
      <c r="CN1061" s="12"/>
      <c r="CO1061" s="82"/>
      <c r="CP1061" s="12"/>
      <c r="CQ1061" s="83">
        <f t="shared" si="217"/>
        <v>0</v>
      </c>
      <c r="CR1061" s="84"/>
      <c r="CS1061" s="13"/>
      <c r="CT1061" s="85"/>
      <c r="CU1061" s="86"/>
      <c r="CV1061" s="11"/>
      <c r="CW1061" s="86"/>
      <c r="CX1061" s="84"/>
      <c r="CY1061" s="86"/>
    </row>
    <row r="1062" spans="1:103" ht="89.25" x14ac:dyDescent="0.2">
      <c r="A1062" s="43">
        <v>40174</v>
      </c>
      <c r="B1062" s="44" t="s">
        <v>625</v>
      </c>
      <c r="C1062" s="44" t="s">
        <v>462</v>
      </c>
      <c r="D1062" s="45" t="s">
        <v>1117</v>
      </c>
      <c r="E1062" s="11"/>
      <c r="F1062" s="12"/>
      <c r="G1062" s="12"/>
      <c r="H1062" s="12">
        <v>2500</v>
      </c>
      <c r="I1062" s="12">
        <v>300</v>
      </c>
      <c r="J1062" s="12">
        <v>2</v>
      </c>
      <c r="K1062" s="12">
        <v>200</v>
      </c>
      <c r="L1062" s="12"/>
      <c r="M1062" s="12"/>
      <c r="N1062" s="12"/>
      <c r="O1062" s="12"/>
      <c r="P1062" s="12"/>
      <c r="Q1062" s="12"/>
      <c r="R1062" s="12"/>
      <c r="S1062" s="12"/>
      <c r="T1062" s="13"/>
      <c r="U1062" s="46"/>
      <c r="V1062" s="47"/>
      <c r="W1062" s="48">
        <f t="shared" si="212"/>
        <v>0</v>
      </c>
      <c r="X1062" s="48">
        <f t="shared" si="213"/>
        <v>0</v>
      </c>
      <c r="Y1062" s="48">
        <f t="shared" si="214"/>
        <v>0</v>
      </c>
      <c r="Z1062" s="48">
        <f t="shared" si="215"/>
        <v>0</v>
      </c>
      <c r="AA1062" s="48"/>
      <c r="AB1062" s="48"/>
      <c r="AC1062" s="49">
        <f t="shared" si="216"/>
        <v>0</v>
      </c>
      <c r="AD1062" s="50">
        <v>0</v>
      </c>
      <c r="AE1062" s="47">
        <v>40176</v>
      </c>
      <c r="AF1062" s="51" t="s">
        <v>1016</v>
      </c>
      <c r="AG1062" s="52" t="s">
        <v>565</v>
      </c>
      <c r="AH1062" s="53" t="s">
        <v>557</v>
      </c>
      <c r="AI1062" s="79"/>
      <c r="AJ1062" s="80"/>
      <c r="AK1062" s="81"/>
      <c r="AL1062" s="80"/>
      <c r="AM1062" s="80"/>
      <c r="AN1062" s="80"/>
      <c r="AO1062" s="80"/>
      <c r="AP1062" s="80"/>
      <c r="AQ1062" s="80"/>
      <c r="AR1062" s="80"/>
      <c r="AS1062" s="80"/>
      <c r="AT1062" s="80"/>
      <c r="AU1062" s="80"/>
      <c r="AV1062" s="80"/>
      <c r="AW1062" s="80"/>
      <c r="AX1062" s="80"/>
      <c r="AY1062" s="80"/>
      <c r="AZ1062" s="80"/>
      <c r="BA1062" s="80"/>
      <c r="BB1062" s="80"/>
      <c r="BC1062" s="80"/>
      <c r="BD1062" s="80"/>
      <c r="BE1062" s="80"/>
      <c r="BF1062" s="80"/>
      <c r="BG1062" s="80"/>
      <c r="BH1062" s="80"/>
      <c r="BI1062" s="80"/>
      <c r="BJ1062" s="80"/>
      <c r="BK1062" s="80"/>
      <c r="BL1062" s="80"/>
      <c r="BM1062" s="80"/>
      <c r="BN1062" s="80"/>
      <c r="BO1062" s="80"/>
      <c r="BP1062" s="80"/>
      <c r="BQ1062" s="80"/>
      <c r="BR1062" s="80"/>
      <c r="BS1062" s="80"/>
      <c r="BT1062" s="80"/>
      <c r="BU1062" s="80"/>
      <c r="BV1062" s="80"/>
      <c r="BW1062" s="80"/>
      <c r="BX1062" s="80"/>
      <c r="BY1062" s="80"/>
      <c r="BZ1062" s="80"/>
      <c r="CA1062" s="80"/>
      <c r="CB1062" s="80"/>
      <c r="CC1062" s="80"/>
      <c r="CD1062" s="80"/>
      <c r="CE1062" s="80"/>
      <c r="CF1062" s="80"/>
      <c r="CG1062" s="80"/>
      <c r="CH1062" s="80"/>
      <c r="CI1062" s="80"/>
      <c r="CJ1062" s="80"/>
      <c r="CK1062" s="82"/>
      <c r="CL1062" s="12"/>
      <c r="CM1062" s="82"/>
      <c r="CN1062" s="12"/>
      <c r="CO1062" s="82"/>
      <c r="CP1062" s="12"/>
      <c r="CQ1062" s="83">
        <f t="shared" si="217"/>
        <v>0</v>
      </c>
      <c r="CR1062" s="84"/>
      <c r="CS1062" s="13"/>
      <c r="CT1062" s="85"/>
      <c r="CU1062" s="86"/>
      <c r="CV1062" s="11"/>
      <c r="CW1062" s="86"/>
      <c r="CX1062" s="84"/>
      <c r="CY1062" s="86"/>
    </row>
    <row r="1063" spans="1:103" ht="38.25" x14ac:dyDescent="0.2">
      <c r="A1063" s="43">
        <v>40174</v>
      </c>
      <c r="B1063" s="44" t="s">
        <v>625</v>
      </c>
      <c r="C1063" s="44" t="s">
        <v>1329</v>
      </c>
      <c r="D1063" s="45" t="s">
        <v>1118</v>
      </c>
      <c r="E1063" s="11"/>
      <c r="F1063" s="12"/>
      <c r="G1063" s="12"/>
      <c r="H1063" s="12"/>
      <c r="I1063" s="12"/>
      <c r="J1063" s="12"/>
      <c r="K1063" s="12"/>
      <c r="L1063" s="12"/>
      <c r="M1063" s="12"/>
      <c r="N1063" s="12"/>
      <c r="O1063" s="12"/>
      <c r="P1063" s="12"/>
      <c r="Q1063" s="12"/>
      <c r="R1063" s="12"/>
      <c r="S1063" s="12"/>
      <c r="T1063" s="13"/>
      <c r="U1063" s="46"/>
      <c r="V1063" s="47">
        <v>40200</v>
      </c>
      <c r="W1063" s="48">
        <f t="shared" si="212"/>
        <v>0</v>
      </c>
      <c r="X1063" s="48">
        <f t="shared" si="213"/>
        <v>0</v>
      </c>
      <c r="Y1063" s="48">
        <f t="shared" si="214"/>
        <v>107800000</v>
      </c>
      <c r="Z1063" s="48">
        <f t="shared" si="215"/>
        <v>0</v>
      </c>
      <c r="AA1063" s="48"/>
      <c r="AB1063" s="48"/>
      <c r="AC1063" s="49">
        <f t="shared" si="216"/>
        <v>107800000</v>
      </c>
      <c r="AD1063" s="50">
        <v>0</v>
      </c>
      <c r="AE1063" s="47">
        <v>40176</v>
      </c>
      <c r="AF1063" s="51" t="s">
        <v>1016</v>
      </c>
      <c r="AG1063" s="52" t="s">
        <v>565</v>
      </c>
      <c r="AH1063" s="53" t="s">
        <v>1330</v>
      </c>
      <c r="AI1063" s="79"/>
      <c r="AJ1063" s="80"/>
      <c r="AK1063" s="81"/>
      <c r="AL1063" s="80"/>
      <c r="AM1063" s="80"/>
      <c r="AN1063" s="80"/>
      <c r="AO1063" s="80"/>
      <c r="AP1063" s="80"/>
      <c r="AQ1063" s="80"/>
      <c r="AR1063" s="80"/>
      <c r="AS1063" s="80"/>
      <c r="AT1063" s="80"/>
      <c r="AU1063" s="80"/>
      <c r="AV1063" s="80"/>
      <c r="AW1063" s="80"/>
      <c r="AX1063" s="80"/>
      <c r="AY1063" s="80"/>
      <c r="AZ1063" s="80"/>
      <c r="BA1063" s="80"/>
      <c r="BB1063" s="80"/>
      <c r="BC1063" s="80"/>
      <c r="BD1063" s="80"/>
      <c r="BE1063" s="80"/>
      <c r="BF1063" s="80"/>
      <c r="BG1063" s="80"/>
      <c r="BH1063" s="80"/>
      <c r="BI1063" s="80"/>
      <c r="BJ1063" s="80"/>
      <c r="BK1063" s="80"/>
      <c r="BL1063" s="80"/>
      <c r="BM1063" s="80"/>
      <c r="BN1063" s="80"/>
      <c r="BO1063" s="80"/>
      <c r="BP1063" s="80"/>
      <c r="BQ1063" s="80"/>
      <c r="BR1063" s="80"/>
      <c r="BS1063" s="80"/>
      <c r="BT1063" s="80"/>
      <c r="BU1063" s="80"/>
      <c r="BV1063" s="80"/>
      <c r="BW1063" s="80"/>
      <c r="BX1063" s="80"/>
      <c r="BY1063" s="80"/>
      <c r="BZ1063" s="80"/>
      <c r="CA1063" s="80"/>
      <c r="CB1063" s="80"/>
      <c r="CC1063" s="80"/>
      <c r="CD1063" s="80"/>
      <c r="CE1063" s="80"/>
      <c r="CF1063" s="80"/>
      <c r="CG1063" s="80"/>
      <c r="CH1063" s="80"/>
      <c r="CI1063" s="80"/>
      <c r="CJ1063" s="80"/>
      <c r="CK1063" s="82"/>
      <c r="CL1063" s="12"/>
      <c r="CM1063" s="82"/>
      <c r="CN1063" s="12"/>
      <c r="CO1063" s="82"/>
      <c r="CP1063" s="12"/>
      <c r="CQ1063" s="83">
        <f t="shared" si="217"/>
        <v>0</v>
      </c>
      <c r="CR1063" s="84"/>
      <c r="CS1063" s="13"/>
      <c r="CT1063" s="85"/>
      <c r="CU1063" s="86"/>
      <c r="CV1063" s="11"/>
      <c r="CW1063" s="86"/>
      <c r="CX1063" s="84">
        <f>3000+2000</f>
        <v>5000</v>
      </c>
      <c r="CY1063" s="86">
        <f>3000*26600+2000*14000</f>
        <v>107800000</v>
      </c>
    </row>
    <row r="1064" spans="1:103" ht="25.5" x14ac:dyDescent="0.2">
      <c r="A1064" s="43">
        <v>40175</v>
      </c>
      <c r="B1064" s="44" t="s">
        <v>1226</v>
      </c>
      <c r="C1064" s="44" t="s">
        <v>642</v>
      </c>
      <c r="D1064" s="45" t="s">
        <v>1118</v>
      </c>
      <c r="E1064" s="11"/>
      <c r="F1064" s="12"/>
      <c r="G1064" s="12"/>
      <c r="H1064" s="12">
        <v>50</v>
      </c>
      <c r="I1064" s="12">
        <v>10</v>
      </c>
      <c r="J1064" s="12"/>
      <c r="K1064" s="12">
        <v>10</v>
      </c>
      <c r="L1064" s="12"/>
      <c r="M1064" s="12"/>
      <c r="N1064" s="12"/>
      <c r="O1064" s="12"/>
      <c r="P1064" s="12"/>
      <c r="Q1064" s="12"/>
      <c r="R1064" s="12"/>
      <c r="S1064" s="12"/>
      <c r="T1064" s="13"/>
      <c r="U1064" s="46"/>
      <c r="V1064" s="47"/>
      <c r="W1064" s="48">
        <f t="shared" si="212"/>
        <v>0</v>
      </c>
      <c r="X1064" s="48">
        <f t="shared" si="213"/>
        <v>0</v>
      </c>
      <c r="Y1064" s="48">
        <f t="shared" si="214"/>
        <v>0</v>
      </c>
      <c r="Z1064" s="48">
        <f t="shared" si="215"/>
        <v>0</v>
      </c>
      <c r="AA1064" s="48"/>
      <c r="AB1064" s="48"/>
      <c r="AC1064" s="49">
        <f t="shared" si="216"/>
        <v>0</v>
      </c>
      <c r="AD1064" s="50">
        <v>0</v>
      </c>
      <c r="AE1064" s="47">
        <v>40176</v>
      </c>
      <c r="AF1064" s="51" t="s">
        <v>516</v>
      </c>
      <c r="AG1064" s="52" t="s">
        <v>517</v>
      </c>
      <c r="AH1064" s="53" t="s">
        <v>1328</v>
      </c>
      <c r="AI1064" s="79"/>
      <c r="AJ1064" s="80"/>
      <c r="AK1064" s="81"/>
      <c r="AL1064" s="80"/>
      <c r="AM1064" s="80"/>
      <c r="AN1064" s="80"/>
      <c r="AO1064" s="80"/>
      <c r="AP1064" s="80"/>
      <c r="AQ1064" s="80"/>
      <c r="AR1064" s="80"/>
      <c r="AS1064" s="80"/>
      <c r="AT1064" s="80"/>
      <c r="AU1064" s="80"/>
      <c r="AV1064" s="80"/>
      <c r="AW1064" s="80"/>
      <c r="AX1064" s="80"/>
      <c r="AY1064" s="80"/>
      <c r="AZ1064" s="80"/>
      <c r="BA1064" s="80"/>
      <c r="BB1064" s="80"/>
      <c r="BC1064" s="80"/>
      <c r="BD1064" s="80"/>
      <c r="BE1064" s="80"/>
      <c r="BF1064" s="80"/>
      <c r="BG1064" s="80"/>
      <c r="BH1064" s="80"/>
      <c r="BI1064" s="80"/>
      <c r="BJ1064" s="80"/>
      <c r="BK1064" s="80"/>
      <c r="BL1064" s="80"/>
      <c r="BM1064" s="80"/>
      <c r="BN1064" s="80"/>
      <c r="BO1064" s="80"/>
      <c r="BP1064" s="80"/>
      <c r="BQ1064" s="80"/>
      <c r="BR1064" s="80"/>
      <c r="BS1064" s="80"/>
      <c r="BT1064" s="80"/>
      <c r="BU1064" s="80"/>
      <c r="BV1064" s="80"/>
      <c r="BW1064" s="80"/>
      <c r="BX1064" s="80"/>
      <c r="BY1064" s="80"/>
      <c r="BZ1064" s="80"/>
      <c r="CA1064" s="80"/>
      <c r="CB1064" s="80"/>
      <c r="CC1064" s="80"/>
      <c r="CD1064" s="80"/>
      <c r="CE1064" s="80"/>
      <c r="CF1064" s="80"/>
      <c r="CG1064" s="80"/>
      <c r="CH1064" s="80"/>
      <c r="CI1064" s="80"/>
      <c r="CJ1064" s="80"/>
      <c r="CK1064" s="82"/>
      <c r="CL1064" s="12"/>
      <c r="CM1064" s="82"/>
      <c r="CN1064" s="12"/>
      <c r="CO1064" s="82"/>
      <c r="CP1064" s="12"/>
      <c r="CQ1064" s="83">
        <f t="shared" si="217"/>
        <v>0</v>
      </c>
      <c r="CR1064" s="84"/>
      <c r="CS1064" s="13"/>
      <c r="CT1064" s="85"/>
      <c r="CU1064" s="86"/>
      <c r="CV1064" s="11"/>
      <c r="CW1064" s="86"/>
      <c r="CX1064" s="84"/>
      <c r="CY1064" s="86"/>
    </row>
    <row r="1065" spans="1:103" ht="38.25" x14ac:dyDescent="0.2">
      <c r="A1065" s="43">
        <v>40175</v>
      </c>
      <c r="B1065" s="44" t="s">
        <v>625</v>
      </c>
      <c r="C1065" s="44" t="s">
        <v>1051</v>
      </c>
      <c r="D1065" s="45" t="s">
        <v>1116</v>
      </c>
      <c r="E1065" s="11"/>
      <c r="F1065" s="12"/>
      <c r="G1065" s="12"/>
      <c r="H1065" s="12">
        <v>5</v>
      </c>
      <c r="I1065" s="12">
        <v>1</v>
      </c>
      <c r="J1065" s="12">
        <v>1</v>
      </c>
      <c r="K1065" s="12"/>
      <c r="L1065" s="12"/>
      <c r="M1065" s="12"/>
      <c r="N1065" s="12"/>
      <c r="O1065" s="12"/>
      <c r="P1065" s="12"/>
      <c r="Q1065" s="12"/>
      <c r="R1065" s="12"/>
      <c r="S1065" s="12"/>
      <c r="T1065" s="13"/>
      <c r="U1065" s="46"/>
      <c r="V1065" s="47"/>
      <c r="W1065" s="48">
        <f t="shared" si="212"/>
        <v>0</v>
      </c>
      <c r="X1065" s="48">
        <f t="shared" si="213"/>
        <v>0</v>
      </c>
      <c r="Y1065" s="48">
        <f t="shared" si="214"/>
        <v>0</v>
      </c>
      <c r="Z1065" s="48">
        <f t="shared" si="215"/>
        <v>0</v>
      </c>
      <c r="AA1065" s="48"/>
      <c r="AB1065" s="48"/>
      <c r="AC1065" s="49">
        <f t="shared" si="216"/>
        <v>0</v>
      </c>
      <c r="AD1065" s="50">
        <v>0</v>
      </c>
      <c r="AE1065" s="47">
        <v>40177</v>
      </c>
      <c r="AF1065" s="51" t="s">
        <v>516</v>
      </c>
      <c r="AG1065" s="52" t="s">
        <v>517</v>
      </c>
      <c r="AH1065" s="53" t="s">
        <v>558</v>
      </c>
      <c r="AI1065" s="79"/>
      <c r="AJ1065" s="80"/>
      <c r="AK1065" s="81"/>
      <c r="AL1065" s="80"/>
      <c r="AM1065" s="80"/>
      <c r="AN1065" s="80"/>
      <c r="AO1065" s="80"/>
      <c r="AP1065" s="80"/>
      <c r="AQ1065" s="80"/>
      <c r="AR1065" s="80"/>
      <c r="AS1065" s="80"/>
      <c r="AT1065" s="80"/>
      <c r="AU1065" s="80"/>
      <c r="AV1065" s="80"/>
      <c r="AW1065" s="80"/>
      <c r="AX1065" s="80"/>
      <c r="AY1065" s="80"/>
      <c r="AZ1065" s="80"/>
      <c r="BA1065" s="80"/>
      <c r="BB1065" s="80"/>
      <c r="BC1065" s="80"/>
      <c r="BD1065" s="80"/>
      <c r="BE1065" s="80"/>
      <c r="BF1065" s="80"/>
      <c r="BG1065" s="80"/>
      <c r="BH1065" s="80"/>
      <c r="BI1065" s="80"/>
      <c r="BJ1065" s="80"/>
      <c r="BK1065" s="80"/>
      <c r="BL1065" s="80"/>
      <c r="BM1065" s="80"/>
      <c r="BN1065" s="80"/>
      <c r="BO1065" s="80"/>
      <c r="BP1065" s="80"/>
      <c r="BQ1065" s="80"/>
      <c r="BR1065" s="80"/>
      <c r="BS1065" s="80"/>
      <c r="BT1065" s="80"/>
      <c r="BU1065" s="80"/>
      <c r="BV1065" s="80"/>
      <c r="BW1065" s="80"/>
      <c r="BX1065" s="80"/>
      <c r="BY1065" s="80"/>
      <c r="BZ1065" s="80"/>
      <c r="CA1065" s="80"/>
      <c r="CB1065" s="80"/>
      <c r="CC1065" s="80"/>
      <c r="CD1065" s="80"/>
      <c r="CE1065" s="80"/>
      <c r="CF1065" s="80"/>
      <c r="CG1065" s="80"/>
      <c r="CH1065" s="80"/>
      <c r="CI1065" s="80"/>
      <c r="CJ1065" s="80"/>
      <c r="CK1065" s="82"/>
      <c r="CL1065" s="12"/>
      <c r="CM1065" s="82"/>
      <c r="CN1065" s="12"/>
      <c r="CO1065" s="82"/>
      <c r="CP1065" s="12"/>
      <c r="CQ1065" s="83">
        <f t="shared" si="217"/>
        <v>0</v>
      </c>
      <c r="CR1065" s="84"/>
      <c r="CS1065" s="13"/>
      <c r="CT1065" s="85"/>
      <c r="CU1065" s="86"/>
      <c r="CV1065" s="11"/>
      <c r="CW1065" s="86"/>
      <c r="CX1065" s="84"/>
      <c r="CY1065" s="86"/>
    </row>
    <row r="1066" spans="1:103" ht="12.75" x14ac:dyDescent="0.2">
      <c r="A1066" s="47"/>
      <c r="B1066" s="67"/>
      <c r="C1066" s="67"/>
      <c r="D1066" s="68"/>
      <c r="E1066" s="11"/>
      <c r="F1066" s="12"/>
      <c r="G1066" s="12"/>
      <c r="H1066" s="12"/>
      <c r="I1066" s="12"/>
      <c r="J1066" s="12"/>
      <c r="K1066" s="12"/>
      <c r="L1066" s="12"/>
      <c r="M1066" s="12"/>
      <c r="N1066" s="12"/>
      <c r="O1066" s="12"/>
      <c r="P1066" s="12"/>
      <c r="Q1066" s="12"/>
      <c r="R1066" s="12"/>
      <c r="S1066" s="12"/>
      <c r="T1066" s="13"/>
      <c r="U1066" s="46"/>
      <c r="V1066" s="47"/>
      <c r="W1066" s="48">
        <f t="shared" si="212"/>
        <v>0</v>
      </c>
      <c r="X1066" s="48">
        <f t="shared" si="213"/>
        <v>0</v>
      </c>
      <c r="Y1066" s="48">
        <f t="shared" si="214"/>
        <v>0</v>
      </c>
      <c r="Z1066" s="48">
        <f t="shared" si="215"/>
        <v>0</v>
      </c>
      <c r="AA1066" s="48"/>
      <c r="AB1066" s="48"/>
      <c r="AC1066" s="49">
        <f t="shared" si="216"/>
        <v>0</v>
      </c>
      <c r="AD1066" s="50">
        <v>0</v>
      </c>
      <c r="AE1066" s="47"/>
      <c r="AF1066" s="51"/>
      <c r="AG1066" s="52"/>
      <c r="AH1066" s="53"/>
      <c r="AI1066" s="79"/>
      <c r="AJ1066" s="80"/>
      <c r="AK1066" s="81"/>
      <c r="AL1066" s="80"/>
      <c r="AM1066" s="80"/>
      <c r="AN1066" s="80"/>
      <c r="AO1066" s="80"/>
      <c r="AP1066" s="80"/>
      <c r="AQ1066" s="80"/>
      <c r="AR1066" s="80"/>
      <c r="AS1066" s="80"/>
      <c r="AT1066" s="80"/>
      <c r="AU1066" s="80"/>
      <c r="AV1066" s="80"/>
      <c r="AW1066" s="80"/>
      <c r="AX1066" s="80"/>
      <c r="AY1066" s="80"/>
      <c r="AZ1066" s="80"/>
      <c r="BA1066" s="80"/>
      <c r="BB1066" s="80"/>
      <c r="BC1066" s="80"/>
      <c r="BD1066" s="80"/>
      <c r="BE1066" s="80"/>
      <c r="BF1066" s="80"/>
      <c r="BG1066" s="80"/>
      <c r="BH1066" s="80"/>
      <c r="BI1066" s="80"/>
      <c r="BJ1066" s="80"/>
      <c r="BK1066" s="80"/>
      <c r="BL1066" s="80"/>
      <c r="BM1066" s="80"/>
      <c r="BN1066" s="80"/>
      <c r="BO1066" s="80"/>
      <c r="BP1066" s="80"/>
      <c r="BQ1066" s="80"/>
      <c r="BR1066" s="80"/>
      <c r="BS1066" s="80"/>
      <c r="BT1066" s="80"/>
      <c r="BU1066" s="80"/>
      <c r="BV1066" s="80"/>
      <c r="BW1066" s="80"/>
      <c r="BX1066" s="80"/>
      <c r="BY1066" s="80"/>
      <c r="BZ1066" s="80"/>
      <c r="CA1066" s="80"/>
      <c r="CB1066" s="80"/>
      <c r="CC1066" s="80"/>
      <c r="CD1066" s="80"/>
      <c r="CE1066" s="80"/>
      <c r="CF1066" s="80"/>
      <c r="CG1066" s="80"/>
      <c r="CH1066" s="80"/>
      <c r="CI1066" s="80"/>
      <c r="CJ1066" s="80"/>
      <c r="CK1066" s="82"/>
      <c r="CL1066" s="12"/>
      <c r="CM1066" s="82"/>
      <c r="CN1066" s="12"/>
      <c r="CO1066" s="82"/>
      <c r="CP1066" s="12"/>
      <c r="CQ1066" s="83">
        <f t="shared" si="217"/>
        <v>0</v>
      </c>
      <c r="CR1066" s="84"/>
      <c r="CS1066" s="13"/>
      <c r="CT1066" s="85"/>
      <c r="CU1066" s="86"/>
      <c r="CV1066" s="11"/>
      <c r="CW1066" s="86"/>
      <c r="CX1066" s="84"/>
      <c r="CY1066" s="86"/>
    </row>
    <row r="1067" spans="1:103" ht="12.75" x14ac:dyDescent="0.2">
      <c r="A1067" s="47"/>
      <c r="B1067" s="67"/>
      <c r="C1067" s="67"/>
      <c r="D1067" s="68"/>
      <c r="E1067" s="11"/>
      <c r="F1067" s="12"/>
      <c r="G1067" s="12"/>
      <c r="H1067" s="12"/>
      <c r="I1067" s="12"/>
      <c r="J1067" s="12"/>
      <c r="K1067" s="12"/>
      <c r="L1067" s="12"/>
      <c r="M1067" s="12"/>
      <c r="N1067" s="12"/>
      <c r="O1067" s="12"/>
      <c r="P1067" s="12"/>
      <c r="Q1067" s="12"/>
      <c r="R1067" s="12"/>
      <c r="S1067" s="12"/>
      <c r="T1067" s="13"/>
      <c r="U1067" s="46"/>
      <c r="V1067" s="47"/>
      <c r="W1067" s="48">
        <f t="shared" si="212"/>
        <v>0</v>
      </c>
      <c r="X1067" s="48">
        <f t="shared" si="213"/>
        <v>0</v>
      </c>
      <c r="Y1067" s="48">
        <f t="shared" si="214"/>
        <v>0</v>
      </c>
      <c r="Z1067" s="48">
        <f t="shared" si="215"/>
        <v>0</v>
      </c>
      <c r="AA1067" s="48"/>
      <c r="AB1067" s="48"/>
      <c r="AC1067" s="49">
        <f t="shared" si="216"/>
        <v>0</v>
      </c>
      <c r="AD1067" s="50">
        <v>0</v>
      </c>
      <c r="AE1067" s="47"/>
      <c r="AF1067" s="51"/>
      <c r="AG1067" s="52"/>
      <c r="AH1067" s="53"/>
      <c r="AI1067" s="79"/>
      <c r="AJ1067" s="80"/>
      <c r="AK1067" s="81"/>
      <c r="AL1067" s="80"/>
      <c r="AM1067" s="80"/>
      <c r="AN1067" s="80"/>
      <c r="AO1067" s="80"/>
      <c r="AP1067" s="80"/>
      <c r="AQ1067" s="80"/>
      <c r="AR1067" s="80"/>
      <c r="AS1067" s="80"/>
      <c r="AT1067" s="80"/>
      <c r="AU1067" s="80"/>
      <c r="AV1067" s="80"/>
      <c r="AW1067" s="80"/>
      <c r="AX1067" s="80"/>
      <c r="AY1067" s="80"/>
      <c r="AZ1067" s="80"/>
      <c r="BA1067" s="80"/>
      <c r="BB1067" s="80"/>
      <c r="BC1067" s="80"/>
      <c r="BD1067" s="80"/>
      <c r="BE1067" s="80"/>
      <c r="BF1067" s="80"/>
      <c r="BG1067" s="80"/>
      <c r="BH1067" s="80"/>
      <c r="BI1067" s="80"/>
      <c r="BJ1067" s="80"/>
      <c r="BK1067" s="80"/>
      <c r="BL1067" s="80"/>
      <c r="BM1067" s="80"/>
      <c r="BN1067" s="80"/>
      <c r="BO1067" s="80"/>
      <c r="BP1067" s="80"/>
      <c r="BQ1067" s="80"/>
      <c r="BR1067" s="80"/>
      <c r="BS1067" s="80"/>
      <c r="BT1067" s="80"/>
      <c r="BU1067" s="80"/>
      <c r="BV1067" s="80"/>
      <c r="BW1067" s="80"/>
      <c r="BX1067" s="80"/>
      <c r="BY1067" s="80"/>
      <c r="BZ1067" s="80"/>
      <c r="CA1067" s="80"/>
      <c r="CB1067" s="80"/>
      <c r="CC1067" s="80"/>
      <c r="CD1067" s="80"/>
      <c r="CE1067" s="80"/>
      <c r="CF1067" s="80"/>
      <c r="CG1067" s="80"/>
      <c r="CH1067" s="80"/>
      <c r="CI1067" s="80"/>
      <c r="CJ1067" s="80"/>
      <c r="CK1067" s="82"/>
      <c r="CL1067" s="12"/>
      <c r="CM1067" s="82"/>
      <c r="CN1067" s="12"/>
      <c r="CO1067" s="82"/>
      <c r="CP1067" s="12"/>
      <c r="CQ1067" s="83">
        <f t="shared" si="217"/>
        <v>0</v>
      </c>
      <c r="CR1067" s="84"/>
      <c r="CS1067" s="13"/>
      <c r="CT1067" s="85"/>
      <c r="CU1067" s="86"/>
      <c r="CV1067" s="11"/>
      <c r="CW1067" s="86"/>
      <c r="CX1067" s="84"/>
      <c r="CY1067" s="86"/>
    </row>
    <row r="1068" spans="1:103" ht="13.5" thickBot="1" x14ac:dyDescent="0.25">
      <c r="A1068" s="47"/>
      <c r="B1068" s="67"/>
      <c r="C1068" s="67"/>
      <c r="D1068" s="68"/>
      <c r="E1068" s="11"/>
      <c r="F1068" s="12"/>
      <c r="G1068" s="12"/>
      <c r="H1068" s="12"/>
      <c r="I1068" s="12"/>
      <c r="J1068" s="12"/>
      <c r="K1068" s="12"/>
      <c r="L1068" s="12"/>
      <c r="M1068" s="12"/>
      <c r="N1068" s="12"/>
      <c r="O1068" s="12"/>
      <c r="P1068" s="12"/>
      <c r="Q1068" s="12"/>
      <c r="R1068" s="12"/>
      <c r="S1068" s="12"/>
      <c r="T1068" s="13"/>
      <c r="U1068" s="46"/>
      <c r="V1068" s="47"/>
      <c r="W1068" s="48">
        <f t="shared" si="212"/>
        <v>0</v>
      </c>
      <c r="X1068" s="48">
        <f t="shared" si="213"/>
        <v>0</v>
      </c>
      <c r="Y1068" s="48">
        <f t="shared" si="214"/>
        <v>0</v>
      </c>
      <c r="Z1068" s="48">
        <f t="shared" si="215"/>
        <v>0</v>
      </c>
      <c r="AA1068" s="48"/>
      <c r="AB1068" s="48"/>
      <c r="AC1068" s="49">
        <f t="shared" si="216"/>
        <v>0</v>
      </c>
      <c r="AD1068" s="50">
        <v>0</v>
      </c>
      <c r="AE1068" s="47"/>
      <c r="AF1068" s="51"/>
      <c r="AG1068" s="52"/>
      <c r="AH1068" s="53"/>
      <c r="AI1068" s="79"/>
      <c r="AJ1068" s="80"/>
      <c r="AK1068" s="81"/>
      <c r="AL1068" s="80"/>
      <c r="AM1068" s="80"/>
      <c r="AN1068" s="80"/>
      <c r="AO1068" s="80"/>
      <c r="AP1068" s="80"/>
      <c r="AQ1068" s="80"/>
      <c r="AR1068" s="80"/>
      <c r="AS1068" s="80"/>
      <c r="AT1068" s="80"/>
      <c r="AU1068" s="80"/>
      <c r="AV1068" s="80"/>
      <c r="AW1068" s="80"/>
      <c r="AX1068" s="80"/>
      <c r="AY1068" s="80"/>
      <c r="AZ1068" s="80"/>
      <c r="BA1068" s="80"/>
      <c r="BB1068" s="80"/>
      <c r="BC1068" s="80"/>
      <c r="BD1068" s="80"/>
      <c r="BE1068" s="80"/>
      <c r="BF1068" s="80"/>
      <c r="BG1068" s="80"/>
      <c r="BH1068" s="80"/>
      <c r="BI1068" s="80"/>
      <c r="BJ1068" s="80"/>
      <c r="BK1068" s="80"/>
      <c r="BL1068" s="80"/>
      <c r="BM1068" s="80"/>
      <c r="BN1068" s="80"/>
      <c r="BO1068" s="80"/>
      <c r="BP1068" s="80"/>
      <c r="BQ1068" s="80"/>
      <c r="BR1068" s="80"/>
      <c r="BS1068" s="80"/>
      <c r="BT1068" s="80"/>
      <c r="BU1068" s="80"/>
      <c r="BV1068" s="80"/>
      <c r="BW1068" s="80"/>
      <c r="BX1068" s="80"/>
      <c r="BY1068" s="80"/>
      <c r="BZ1068" s="80"/>
      <c r="CA1068" s="80"/>
      <c r="CB1068" s="80"/>
      <c r="CC1068" s="80"/>
      <c r="CD1068" s="80"/>
      <c r="CE1068" s="80"/>
      <c r="CF1068" s="80"/>
      <c r="CG1068" s="80"/>
      <c r="CH1068" s="80"/>
      <c r="CI1068" s="80"/>
      <c r="CJ1068" s="80"/>
      <c r="CK1068" s="82"/>
      <c r="CL1068" s="12"/>
      <c r="CM1068" s="82"/>
      <c r="CN1068" s="12"/>
      <c r="CO1068" s="82"/>
      <c r="CP1068" s="12"/>
      <c r="CQ1068" s="83">
        <f t="shared" si="217"/>
        <v>0</v>
      </c>
      <c r="CR1068" s="84"/>
      <c r="CS1068" s="13"/>
      <c r="CT1068" s="85"/>
      <c r="CU1068" s="86"/>
      <c r="CV1068" s="11"/>
      <c r="CW1068" s="86"/>
      <c r="CX1068" s="84"/>
      <c r="CY1068" s="86"/>
    </row>
    <row r="1069" spans="1:103" ht="24.95" customHeight="1" thickTop="1" thickBot="1" x14ac:dyDescent="0.25">
      <c r="A1069" s="103" t="s">
        <v>1221</v>
      </c>
      <c r="B1069" s="104"/>
      <c r="C1069" s="104"/>
      <c r="D1069" s="105"/>
      <c r="E1069" s="69">
        <f t="shared" ref="E1069:T1069" si="218">SUM(E3:E1068)</f>
        <v>227</v>
      </c>
      <c r="F1069" s="70">
        <f t="shared" si="218"/>
        <v>257</v>
      </c>
      <c r="G1069" s="70">
        <f t="shared" si="218"/>
        <v>47</v>
      </c>
      <c r="H1069" s="70">
        <f t="shared" si="218"/>
        <v>435641</v>
      </c>
      <c r="I1069" s="70">
        <f t="shared" si="218"/>
        <v>88494</v>
      </c>
      <c r="J1069" s="70">
        <f t="shared" si="218"/>
        <v>3147</v>
      </c>
      <c r="K1069" s="70">
        <f t="shared" si="218"/>
        <v>60725</v>
      </c>
      <c r="L1069" s="70">
        <f t="shared" si="218"/>
        <v>241</v>
      </c>
      <c r="M1069" s="70">
        <f t="shared" si="218"/>
        <v>43</v>
      </c>
      <c r="N1069" s="70">
        <f t="shared" si="218"/>
        <v>24</v>
      </c>
      <c r="O1069" s="70">
        <f t="shared" si="218"/>
        <v>88</v>
      </c>
      <c r="P1069" s="70">
        <f t="shared" si="218"/>
        <v>4</v>
      </c>
      <c r="Q1069" s="70">
        <f t="shared" si="218"/>
        <v>17</v>
      </c>
      <c r="R1069" s="70">
        <f t="shared" si="218"/>
        <v>111</v>
      </c>
      <c r="S1069" s="70">
        <f t="shared" si="218"/>
        <v>142</v>
      </c>
      <c r="T1069" s="70">
        <f t="shared" si="218"/>
        <v>26755</v>
      </c>
      <c r="U1069" s="3"/>
      <c r="V1069" s="2"/>
      <c r="W1069" s="70">
        <f t="shared" ref="W1069:AD1069" si="219">SUM(W3:W1068)</f>
        <v>3667200562.04</v>
      </c>
      <c r="X1069" s="70">
        <f t="shared" si="219"/>
        <v>6155815144.7799997</v>
      </c>
      <c r="Y1069" s="70">
        <f t="shared" si="219"/>
        <v>2164695743</v>
      </c>
      <c r="Z1069" s="70">
        <f t="shared" si="219"/>
        <v>955327280</v>
      </c>
      <c r="AA1069" s="70">
        <f t="shared" si="219"/>
        <v>1675989500</v>
      </c>
      <c r="AB1069" s="70">
        <f t="shared" si="219"/>
        <v>2890486351</v>
      </c>
      <c r="AC1069" s="71">
        <f t="shared" si="219"/>
        <v>17509514580.82</v>
      </c>
      <c r="AD1069" s="71">
        <f t="shared" si="219"/>
        <v>0</v>
      </c>
      <c r="AE1069" s="6"/>
      <c r="AF1069" s="1"/>
      <c r="AG1069" s="72"/>
      <c r="AH1069" s="73"/>
      <c r="AI1069" s="88">
        <f t="shared" ref="AI1069:BN1069" si="220">SUM(AI3:AI1068)</f>
        <v>0</v>
      </c>
      <c r="AJ1069" s="89">
        <f t="shared" si="220"/>
        <v>0</v>
      </c>
      <c r="AK1069" s="89">
        <f t="shared" si="220"/>
        <v>0</v>
      </c>
      <c r="AL1069" s="89">
        <f t="shared" si="220"/>
        <v>0</v>
      </c>
      <c r="AM1069" s="89">
        <f t="shared" si="220"/>
        <v>0</v>
      </c>
      <c r="AN1069" s="89">
        <f t="shared" si="220"/>
        <v>0</v>
      </c>
      <c r="AO1069" s="89">
        <f t="shared" si="220"/>
        <v>0</v>
      </c>
      <c r="AP1069" s="89">
        <f t="shared" si="220"/>
        <v>0</v>
      </c>
      <c r="AQ1069" s="89">
        <f t="shared" si="220"/>
        <v>1842</v>
      </c>
      <c r="AR1069" s="89">
        <f t="shared" si="220"/>
        <v>33996000</v>
      </c>
      <c r="AS1069" s="89">
        <f t="shared" si="220"/>
        <v>750</v>
      </c>
      <c r="AT1069" s="89">
        <f t="shared" si="220"/>
        <v>17500000</v>
      </c>
      <c r="AU1069" s="89">
        <f t="shared" si="220"/>
        <v>11457</v>
      </c>
      <c r="AV1069" s="89">
        <f t="shared" si="220"/>
        <v>637497910</v>
      </c>
      <c r="AW1069" s="89">
        <f t="shared" si="220"/>
        <v>894</v>
      </c>
      <c r="AX1069" s="89">
        <f t="shared" si="220"/>
        <v>50852000</v>
      </c>
      <c r="AY1069" s="89">
        <f t="shared" si="220"/>
        <v>0</v>
      </c>
      <c r="AZ1069" s="89">
        <f t="shared" si="220"/>
        <v>0</v>
      </c>
      <c r="BA1069" s="89">
        <f t="shared" si="220"/>
        <v>0</v>
      </c>
      <c r="BB1069" s="89">
        <f t="shared" si="220"/>
        <v>0</v>
      </c>
      <c r="BC1069" s="89">
        <f t="shared" si="220"/>
        <v>0</v>
      </c>
      <c r="BD1069" s="89">
        <f t="shared" si="220"/>
        <v>0</v>
      </c>
      <c r="BE1069" s="89">
        <f t="shared" si="220"/>
        <v>0</v>
      </c>
      <c r="BF1069" s="89">
        <f t="shared" si="220"/>
        <v>0</v>
      </c>
      <c r="BG1069" s="89">
        <f t="shared" si="220"/>
        <v>2000</v>
      </c>
      <c r="BH1069" s="89">
        <f t="shared" si="220"/>
        <v>52998950</v>
      </c>
      <c r="BI1069" s="89">
        <f t="shared" si="220"/>
        <v>0</v>
      </c>
      <c r="BJ1069" s="89">
        <f t="shared" si="220"/>
        <v>0</v>
      </c>
      <c r="BK1069" s="89">
        <f t="shared" si="220"/>
        <v>0</v>
      </c>
      <c r="BL1069" s="89">
        <f t="shared" si="220"/>
        <v>0</v>
      </c>
      <c r="BM1069" s="89">
        <f t="shared" si="220"/>
        <v>0</v>
      </c>
      <c r="BN1069" s="89">
        <f t="shared" si="220"/>
        <v>0</v>
      </c>
      <c r="BO1069" s="89">
        <f t="shared" ref="BO1069:CT1069" si="221">SUM(BO3:BO1068)</f>
        <v>0</v>
      </c>
      <c r="BP1069" s="89">
        <f t="shared" si="221"/>
        <v>0</v>
      </c>
      <c r="BQ1069" s="89">
        <f t="shared" si="221"/>
        <v>0</v>
      </c>
      <c r="BR1069" s="89">
        <f t="shared" si="221"/>
        <v>0</v>
      </c>
      <c r="BS1069" s="89">
        <f t="shared" si="221"/>
        <v>0</v>
      </c>
      <c r="BT1069" s="89">
        <f t="shared" si="221"/>
        <v>0</v>
      </c>
      <c r="BU1069" s="89">
        <f t="shared" si="221"/>
        <v>90</v>
      </c>
      <c r="BV1069" s="89">
        <f t="shared" si="221"/>
        <v>43418500</v>
      </c>
      <c r="BW1069" s="89">
        <f t="shared" si="221"/>
        <v>0</v>
      </c>
      <c r="BX1069" s="89">
        <f t="shared" si="221"/>
        <v>0</v>
      </c>
      <c r="BY1069" s="89">
        <f t="shared" si="221"/>
        <v>0</v>
      </c>
      <c r="BZ1069" s="89">
        <f t="shared" si="221"/>
        <v>0</v>
      </c>
      <c r="CA1069" s="89">
        <f t="shared" si="221"/>
        <v>0</v>
      </c>
      <c r="CB1069" s="89">
        <f t="shared" si="221"/>
        <v>0</v>
      </c>
      <c r="CC1069" s="89">
        <f t="shared" si="221"/>
        <v>710</v>
      </c>
      <c r="CD1069" s="89">
        <f t="shared" si="221"/>
        <v>17700000</v>
      </c>
      <c r="CE1069" s="89">
        <f t="shared" si="221"/>
        <v>15105</v>
      </c>
      <c r="CF1069" s="89">
        <f t="shared" si="221"/>
        <v>319373287</v>
      </c>
      <c r="CG1069" s="89">
        <f t="shared" si="221"/>
        <v>0</v>
      </c>
      <c r="CH1069" s="89">
        <f t="shared" si="221"/>
        <v>0</v>
      </c>
      <c r="CI1069" s="89">
        <f t="shared" si="221"/>
        <v>4340</v>
      </c>
      <c r="CJ1069" s="89">
        <f t="shared" si="221"/>
        <v>80800000</v>
      </c>
      <c r="CK1069" s="89">
        <f t="shared" si="221"/>
        <v>41674</v>
      </c>
      <c r="CL1069" s="89">
        <f t="shared" si="221"/>
        <v>1589586363.04</v>
      </c>
      <c r="CM1069" s="89">
        <f t="shared" si="221"/>
        <v>22729</v>
      </c>
      <c r="CN1069" s="89">
        <f t="shared" si="221"/>
        <v>823477552</v>
      </c>
      <c r="CO1069" s="89">
        <f t="shared" si="221"/>
        <v>0</v>
      </c>
      <c r="CP1069" s="89">
        <f t="shared" si="221"/>
        <v>0</v>
      </c>
      <c r="CQ1069" s="89">
        <f t="shared" si="221"/>
        <v>3667200562.04</v>
      </c>
      <c r="CR1069" s="69">
        <f t="shared" si="221"/>
        <v>1498000</v>
      </c>
      <c r="CS1069" s="71">
        <f t="shared" si="221"/>
        <v>955327280</v>
      </c>
      <c r="CT1069" s="69">
        <f t="shared" si="221"/>
        <v>72479</v>
      </c>
      <c r="CU1069" s="71">
        <f>SUM(CU3:CU1068)</f>
        <v>6155815144.7799997</v>
      </c>
      <c r="CV1069" s="71">
        <f>SUM(CV3:CV1068)</f>
        <v>3250</v>
      </c>
      <c r="CW1069" s="71">
        <f>SUM(CW3:CW1068)</f>
        <v>82415600</v>
      </c>
      <c r="CX1069" s="90">
        <f>SUM(CX3:CX1068)</f>
        <v>87364</v>
      </c>
      <c r="CY1069" s="71">
        <f>SUM(CY3:CY1068)</f>
        <v>2082280143</v>
      </c>
    </row>
    <row r="1070" spans="1:103" ht="24.95" customHeight="1" x14ac:dyDescent="0.2">
      <c r="A1070" s="74"/>
      <c r="B1070" s="16"/>
      <c r="C1070" s="16"/>
      <c r="D1070" s="16"/>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5"/>
      <c r="AH1070" s="76"/>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t="s">
        <v>1119</v>
      </c>
      <c r="CG1070" s="7"/>
      <c r="CH1070" s="7"/>
      <c r="CI1070" s="7"/>
      <c r="CJ1070" s="7"/>
      <c r="CK1070" s="7"/>
      <c r="CL1070" s="7"/>
      <c r="CM1070" s="7"/>
      <c r="CN1070" s="7"/>
      <c r="CO1070" s="7"/>
      <c r="CP1070" s="7"/>
      <c r="CQ1070" s="7"/>
      <c r="CR1070" s="7"/>
      <c r="CS1070" s="7"/>
      <c r="CT1070" s="7"/>
      <c r="CU1070" s="7"/>
      <c r="CV1070" s="7"/>
      <c r="CW1070" s="7"/>
      <c r="CX1070" s="7"/>
      <c r="CY1070" s="7"/>
    </row>
    <row r="1071" spans="1:103" ht="54.75" customHeight="1" x14ac:dyDescent="0.2">
      <c r="A1071" s="99" t="s">
        <v>362</v>
      </c>
      <c r="B1071" s="99"/>
      <c r="C1071" s="99"/>
      <c r="D1071" s="99"/>
      <c r="E1071" s="77"/>
      <c r="F1071" s="7"/>
      <c r="G1071" s="7"/>
      <c r="H1071" s="7"/>
      <c r="I1071" s="7"/>
      <c r="J1071" s="7"/>
      <c r="K1071" s="7"/>
      <c r="L1071" s="7"/>
      <c r="M1071" s="7"/>
      <c r="N1071" s="7"/>
      <c r="O1071" s="7"/>
      <c r="P1071" s="7"/>
      <c r="Q1071" s="7"/>
      <c r="R1071" s="7"/>
      <c r="S1071" s="7"/>
      <c r="T1071" s="77"/>
      <c r="U1071" s="7"/>
      <c r="V1071" s="7"/>
      <c r="W1071" s="7"/>
      <c r="X1071" s="7"/>
      <c r="Y1071" s="7"/>
      <c r="Z1071" s="7"/>
      <c r="AA1071" s="7"/>
      <c r="AB1071" s="7"/>
      <c r="AC1071" s="7"/>
      <c r="AD1071" s="7"/>
      <c r="AE1071" s="7"/>
      <c r="AF1071" s="7"/>
      <c r="AG1071" s="75"/>
      <c r="AH1071" s="76"/>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c r="CG1071" s="7"/>
      <c r="CH1071" s="7"/>
      <c r="CI1071" s="7"/>
      <c r="CJ1071" s="7"/>
      <c r="CK1071" s="7"/>
      <c r="CL1071" s="7"/>
      <c r="CM1071" s="7"/>
      <c r="CN1071" s="7"/>
      <c r="CO1071" s="7"/>
      <c r="CP1071" s="7"/>
      <c r="CQ1071" s="7"/>
      <c r="CR1071" s="7"/>
      <c r="CS1071" s="7"/>
      <c r="CT1071" s="7"/>
      <c r="CU1071" s="7"/>
      <c r="CV1071" s="7"/>
      <c r="CW1071" s="7"/>
      <c r="CX1071" s="7"/>
      <c r="CY1071" s="7"/>
    </row>
    <row r="1072" spans="1:103" ht="24.95" customHeight="1" x14ac:dyDescent="0.2">
      <c r="X1072" s="19"/>
      <c r="Y1072" s="19"/>
      <c r="AC1072" s="8"/>
      <c r="AD1072" s="8"/>
    </row>
    <row r="1073" spans="2:25" ht="15" customHeight="1" x14ac:dyDescent="0.2">
      <c r="X1073" s="19"/>
      <c r="Y1073" s="19"/>
    </row>
    <row r="1074" spans="2:25" ht="24.95" customHeight="1" x14ac:dyDescent="0.2">
      <c r="X1074" s="19"/>
      <c r="Y1074" s="19"/>
    </row>
    <row r="1075" spans="2:25" ht="24.95" customHeight="1" x14ac:dyDescent="0.2">
      <c r="H1075" s="10" t="s">
        <v>1315</v>
      </c>
      <c r="X1075" s="19"/>
      <c r="Y1075" s="19"/>
    </row>
    <row r="1076" spans="2:25" ht="24.95" customHeight="1" x14ac:dyDescent="0.2">
      <c r="B1076" s="8"/>
      <c r="X1076" s="19"/>
      <c r="Y1076" s="19"/>
    </row>
    <row r="1077" spans="2:25" ht="24.95" customHeight="1" x14ac:dyDescent="0.2">
      <c r="B1077" s="8"/>
      <c r="X1077" s="19"/>
      <c r="Y1077" s="19"/>
    </row>
    <row r="1078" spans="2:25" ht="24.95" customHeight="1" x14ac:dyDescent="0.2">
      <c r="B1078" s="8"/>
      <c r="X1078" s="19"/>
      <c r="Y1078" s="19"/>
    </row>
    <row r="1079" spans="2:25" ht="24.95" customHeight="1" x14ac:dyDescent="0.2">
      <c r="B1079" s="8"/>
      <c r="X1079" s="19"/>
      <c r="Y1079" s="19"/>
    </row>
    <row r="1080" spans="2:25" ht="24.95" customHeight="1" x14ac:dyDescent="0.2">
      <c r="B1080" s="8"/>
      <c r="X1080" s="19"/>
      <c r="Y1080" s="19"/>
    </row>
    <row r="1081" spans="2:25" ht="24.95" customHeight="1" x14ac:dyDescent="0.2">
      <c r="B1081" s="8"/>
      <c r="X1081" s="19"/>
      <c r="Y1081" s="19"/>
    </row>
    <row r="1082" spans="2:25" ht="24.95" customHeight="1" x14ac:dyDescent="0.2">
      <c r="B1082" s="8"/>
      <c r="X1082" s="19"/>
      <c r="Y1082" s="19"/>
    </row>
    <row r="1083" spans="2:25" ht="24.95" customHeight="1" x14ac:dyDescent="0.2">
      <c r="B1083" s="8"/>
      <c r="X1083" s="19"/>
      <c r="Y1083" s="19"/>
    </row>
    <row r="1084" spans="2:25" ht="24.95" customHeight="1" x14ac:dyDescent="0.2">
      <c r="B1084" s="8"/>
      <c r="X1084" s="19"/>
      <c r="Y1084" s="19"/>
    </row>
    <row r="1085" spans="2:25" ht="24.95" customHeight="1" x14ac:dyDescent="0.2">
      <c r="B1085" s="8"/>
      <c r="X1085" s="19"/>
      <c r="Y1085" s="19"/>
    </row>
    <row r="1086" spans="2:25" ht="24.95" customHeight="1" x14ac:dyDescent="0.2">
      <c r="B1086" s="8"/>
      <c r="X1086" s="19"/>
      <c r="Y1086" s="19"/>
    </row>
    <row r="1087" spans="2:25" ht="24.95" customHeight="1" x14ac:dyDescent="0.2">
      <c r="B1087" s="8"/>
      <c r="X1087" s="19"/>
      <c r="Y1087" s="19"/>
    </row>
    <row r="1088" spans="2:25" ht="24.95" customHeight="1" x14ac:dyDescent="0.2">
      <c r="B1088" s="8"/>
      <c r="X1088" s="19"/>
      <c r="Y1088" s="19"/>
    </row>
    <row r="1089" spans="2:25" ht="24.95" customHeight="1" x14ac:dyDescent="0.2">
      <c r="B1089" s="8"/>
      <c r="X1089" s="19"/>
      <c r="Y1089" s="19"/>
    </row>
    <row r="1090" spans="2:25" ht="24.95" customHeight="1" x14ac:dyDescent="0.2">
      <c r="B1090" s="8"/>
      <c r="X1090" s="19"/>
      <c r="Y1090" s="19"/>
    </row>
    <row r="1091" spans="2:25" ht="24.95" customHeight="1" x14ac:dyDescent="0.2">
      <c r="B1091" s="8"/>
      <c r="X1091" s="19"/>
      <c r="Y1091" s="19"/>
    </row>
    <row r="1092" spans="2:25" ht="24.95" customHeight="1" x14ac:dyDescent="0.2">
      <c r="B1092" s="8"/>
      <c r="X1092" s="19"/>
      <c r="Y1092" s="19"/>
    </row>
    <row r="1093" spans="2:25" ht="24.95" customHeight="1" x14ac:dyDescent="0.2">
      <c r="B1093" s="8"/>
      <c r="X1093" s="19"/>
      <c r="Y1093" s="19"/>
    </row>
    <row r="1094" spans="2:25" ht="24.95" customHeight="1" x14ac:dyDescent="0.2">
      <c r="B1094" s="8"/>
      <c r="X1094" s="19"/>
      <c r="Y1094" s="19"/>
    </row>
    <row r="1095" spans="2:25" ht="24.95" customHeight="1" x14ac:dyDescent="0.2">
      <c r="B1095" s="8"/>
      <c r="X1095" s="19"/>
      <c r="Y1095" s="19"/>
    </row>
    <row r="1096" spans="2:25" ht="24.95" customHeight="1" x14ac:dyDescent="0.2">
      <c r="B1096" s="8"/>
      <c r="X1096" s="19"/>
      <c r="Y1096" s="19"/>
    </row>
    <row r="1097" spans="2:25" ht="24.95" customHeight="1" x14ac:dyDescent="0.2">
      <c r="B1097" s="8"/>
      <c r="X1097" s="19"/>
      <c r="Y1097" s="19"/>
    </row>
    <row r="1098" spans="2:25" ht="24.95" customHeight="1" x14ac:dyDescent="0.2">
      <c r="B1098" s="8"/>
      <c r="X1098" s="19"/>
      <c r="Y1098" s="19"/>
    </row>
    <row r="1099" spans="2:25" ht="24.95" customHeight="1" x14ac:dyDescent="0.2">
      <c r="B1099" s="8"/>
      <c r="X1099" s="19"/>
      <c r="Y1099" s="19"/>
    </row>
    <row r="1100" spans="2:25" ht="24.95" customHeight="1" x14ac:dyDescent="0.2">
      <c r="B1100" s="8"/>
      <c r="X1100" s="19"/>
      <c r="Y1100" s="19"/>
    </row>
    <row r="1101" spans="2:25" ht="24.95" customHeight="1" x14ac:dyDescent="0.2">
      <c r="B1101" s="8"/>
      <c r="X1101" s="19"/>
      <c r="Y1101" s="19"/>
    </row>
    <row r="1102" spans="2:25" ht="24.95" customHeight="1" x14ac:dyDescent="0.2">
      <c r="B1102" s="8"/>
      <c r="X1102" s="19"/>
      <c r="Y1102" s="19"/>
    </row>
    <row r="1103" spans="2:25" ht="24.95" customHeight="1" x14ac:dyDescent="0.2">
      <c r="B1103" s="8"/>
      <c r="X1103" s="19"/>
      <c r="Y1103" s="19"/>
    </row>
    <row r="1104" spans="2:25" ht="24.95" customHeight="1" x14ac:dyDescent="0.2">
      <c r="B1104" s="8"/>
      <c r="X1104" s="19"/>
      <c r="Y1104" s="19"/>
    </row>
    <row r="1105" spans="2:25" ht="24.95" customHeight="1" x14ac:dyDescent="0.2">
      <c r="B1105" s="8"/>
      <c r="X1105" s="19"/>
      <c r="Y1105" s="19"/>
    </row>
    <row r="1106" spans="2:25" ht="24.95" customHeight="1" x14ac:dyDescent="0.2">
      <c r="B1106" s="8"/>
      <c r="X1106" s="19"/>
      <c r="Y1106" s="19"/>
    </row>
    <row r="1107" spans="2:25" ht="24.95" customHeight="1" x14ac:dyDescent="0.2">
      <c r="B1107" s="8"/>
      <c r="X1107" s="19"/>
      <c r="Y1107" s="19"/>
    </row>
    <row r="1108" spans="2:25" ht="24.95" customHeight="1" x14ac:dyDescent="0.2">
      <c r="B1108" s="8"/>
      <c r="X1108" s="19"/>
      <c r="Y1108" s="19"/>
    </row>
    <row r="1109" spans="2:25" ht="24.95" customHeight="1" x14ac:dyDescent="0.2">
      <c r="B1109" s="8"/>
      <c r="X1109" s="19"/>
      <c r="Y1109" s="19"/>
    </row>
    <row r="1110" spans="2:25" ht="24.95" customHeight="1" x14ac:dyDescent="0.2">
      <c r="B1110" s="8"/>
      <c r="X1110" s="19"/>
      <c r="Y1110" s="19"/>
    </row>
    <row r="1111" spans="2:25" ht="24.95" customHeight="1" x14ac:dyDescent="0.2">
      <c r="B1111" s="8"/>
      <c r="X1111" s="19"/>
      <c r="Y1111" s="19"/>
    </row>
    <row r="1112" spans="2:25" ht="24.95" customHeight="1" x14ac:dyDescent="0.2">
      <c r="B1112" s="8"/>
      <c r="X1112" s="19"/>
      <c r="Y1112" s="19"/>
    </row>
    <row r="1113" spans="2:25" ht="24.95" customHeight="1" x14ac:dyDescent="0.2">
      <c r="B1113" s="8"/>
      <c r="X1113" s="19"/>
      <c r="Y1113" s="19"/>
    </row>
    <row r="1114" spans="2:25" ht="24.95" customHeight="1" x14ac:dyDescent="0.2">
      <c r="B1114" s="8"/>
      <c r="X1114" s="19"/>
      <c r="Y1114" s="19"/>
    </row>
    <row r="1115" spans="2:25" ht="24.95" customHeight="1" x14ac:dyDescent="0.2">
      <c r="B1115" s="8"/>
      <c r="X1115" s="19"/>
      <c r="Y1115" s="19"/>
    </row>
    <row r="1116" spans="2:25" ht="24.95" customHeight="1" x14ac:dyDescent="0.2">
      <c r="B1116" s="8"/>
      <c r="X1116" s="19"/>
      <c r="Y1116" s="19"/>
    </row>
    <row r="1117" spans="2:25" ht="24.95" customHeight="1" x14ac:dyDescent="0.2">
      <c r="B1117" s="8"/>
      <c r="X1117" s="19"/>
      <c r="Y1117" s="19"/>
    </row>
    <row r="1118" spans="2:25" ht="24.95" customHeight="1" x14ac:dyDescent="0.2">
      <c r="B1118" s="8"/>
      <c r="X1118" s="19"/>
      <c r="Y1118" s="19"/>
    </row>
    <row r="1119" spans="2:25" ht="24.95" customHeight="1" x14ac:dyDescent="0.2">
      <c r="B1119" s="8"/>
      <c r="X1119" s="19"/>
      <c r="Y1119" s="19"/>
    </row>
    <row r="1120" spans="2:25" ht="24.95" customHeight="1" x14ac:dyDescent="0.2">
      <c r="B1120" s="8"/>
      <c r="X1120" s="19"/>
      <c r="Y1120" s="19"/>
    </row>
    <row r="1121" spans="2:48" ht="24.95" customHeight="1" x14ac:dyDescent="0.2">
      <c r="B1121" s="8"/>
      <c r="X1121" s="19"/>
      <c r="Y1121" s="19"/>
    </row>
    <row r="1122" spans="2:48" ht="24.95" customHeight="1" x14ac:dyDescent="0.2">
      <c r="B1122" s="8"/>
      <c r="X1122" s="19"/>
      <c r="Y1122" s="19"/>
    </row>
    <row r="1123" spans="2:48" ht="24.95" customHeight="1" x14ac:dyDescent="0.2">
      <c r="B1123" s="8"/>
      <c r="X1123" s="19"/>
      <c r="Y1123" s="19"/>
    </row>
    <row r="1124" spans="2:48" ht="24.95" customHeight="1" x14ac:dyDescent="0.2">
      <c r="B1124" s="8"/>
      <c r="X1124" s="19"/>
      <c r="Y1124" s="19"/>
      <c r="AV1124" s="10" t="s">
        <v>1088</v>
      </c>
    </row>
    <row r="1125" spans="2:48" ht="24.95" customHeight="1" x14ac:dyDescent="0.2">
      <c r="B1125" s="8"/>
      <c r="X1125" s="19"/>
      <c r="Y1125" s="19"/>
    </row>
    <row r="1126" spans="2:48" ht="24.95" customHeight="1" x14ac:dyDescent="0.2">
      <c r="B1126" s="8"/>
      <c r="X1126" s="19"/>
      <c r="Y1126" s="19"/>
    </row>
    <row r="1127" spans="2:48" ht="24.95" customHeight="1" x14ac:dyDescent="0.2">
      <c r="B1127" s="8"/>
      <c r="X1127" s="19"/>
      <c r="Y1127" s="19"/>
    </row>
    <row r="1128" spans="2:48" ht="24.95" customHeight="1" x14ac:dyDescent="0.2">
      <c r="B1128" s="8"/>
      <c r="X1128" s="19"/>
      <c r="Y1128" s="19"/>
    </row>
    <row r="1129" spans="2:48" ht="24.95" customHeight="1" x14ac:dyDescent="0.2">
      <c r="B1129" s="8"/>
      <c r="X1129" s="19"/>
      <c r="Y1129" s="19"/>
    </row>
    <row r="1130" spans="2:48" ht="24.95" customHeight="1" x14ac:dyDescent="0.2">
      <c r="B1130" s="8"/>
      <c r="X1130" s="19"/>
      <c r="Y1130" s="19"/>
    </row>
    <row r="1131" spans="2:48" ht="24.95" customHeight="1" x14ac:dyDescent="0.2">
      <c r="B1131" s="8"/>
      <c r="X1131" s="19"/>
      <c r="Y1131" s="19"/>
    </row>
    <row r="1132" spans="2:48" ht="24.95" customHeight="1" x14ac:dyDescent="0.2">
      <c r="B1132" s="8"/>
      <c r="X1132" s="19"/>
      <c r="Y1132" s="19"/>
    </row>
    <row r="1133" spans="2:48" ht="24.95" customHeight="1" x14ac:dyDescent="0.2">
      <c r="B1133" s="8"/>
      <c r="X1133" s="19"/>
      <c r="Y1133" s="19"/>
    </row>
    <row r="1134" spans="2:48" ht="24.95" customHeight="1" x14ac:dyDescent="0.2">
      <c r="B1134" s="8"/>
      <c r="X1134" s="19"/>
      <c r="Y1134" s="19"/>
    </row>
    <row r="1135" spans="2:48" ht="24.95" customHeight="1" x14ac:dyDescent="0.2">
      <c r="B1135" s="8"/>
      <c r="X1135" s="19"/>
      <c r="Y1135" s="19"/>
    </row>
    <row r="1136" spans="2:48" ht="24.95" customHeight="1" x14ac:dyDescent="0.2">
      <c r="B1136" s="8"/>
      <c r="X1136" s="19"/>
      <c r="Y1136" s="19"/>
    </row>
    <row r="1137" spans="2:25" ht="24.95" customHeight="1" x14ac:dyDescent="0.2">
      <c r="B1137" s="8"/>
      <c r="X1137" s="19"/>
      <c r="Y1137" s="19"/>
    </row>
    <row r="1138" spans="2:25" ht="24.95" customHeight="1" x14ac:dyDescent="0.2">
      <c r="B1138" s="8"/>
      <c r="X1138" s="19"/>
      <c r="Y1138" s="19"/>
    </row>
    <row r="1139" spans="2:25" ht="24.95" customHeight="1" x14ac:dyDescent="0.2">
      <c r="B1139" s="8"/>
      <c r="X1139" s="19"/>
      <c r="Y1139" s="19"/>
    </row>
    <row r="1140" spans="2:25" ht="24.95" customHeight="1" x14ac:dyDescent="0.2">
      <c r="B1140" s="8"/>
      <c r="X1140" s="19"/>
      <c r="Y1140" s="19"/>
    </row>
    <row r="1141" spans="2:25" ht="24.95" customHeight="1" x14ac:dyDescent="0.2">
      <c r="B1141" s="8"/>
      <c r="X1141" s="19"/>
      <c r="Y1141" s="19"/>
    </row>
    <row r="1142" spans="2:25" ht="24.95" customHeight="1" x14ac:dyDescent="0.2">
      <c r="B1142" s="8"/>
      <c r="X1142" s="19"/>
      <c r="Y1142" s="19"/>
    </row>
    <row r="1143" spans="2:25" ht="24.95" customHeight="1" x14ac:dyDescent="0.2">
      <c r="B1143" s="8"/>
      <c r="X1143" s="19"/>
      <c r="Y1143" s="19"/>
    </row>
    <row r="1144" spans="2:25" ht="24.95" customHeight="1" x14ac:dyDescent="0.2">
      <c r="B1144" s="8"/>
      <c r="X1144" s="19"/>
      <c r="Y1144" s="19"/>
    </row>
    <row r="1145" spans="2:25" ht="24.95" customHeight="1" x14ac:dyDescent="0.2">
      <c r="B1145" s="8"/>
      <c r="X1145" s="19"/>
      <c r="Y1145" s="19"/>
    </row>
    <row r="1146" spans="2:25" ht="24.95" customHeight="1" x14ac:dyDescent="0.2">
      <c r="B1146" s="8"/>
      <c r="X1146" s="19"/>
      <c r="Y1146" s="19"/>
    </row>
    <row r="1147" spans="2:25" ht="24.95" customHeight="1" x14ac:dyDescent="0.2">
      <c r="B1147" s="8"/>
      <c r="X1147" s="19"/>
      <c r="Y1147" s="19"/>
    </row>
    <row r="1148" spans="2:25" ht="24.95" customHeight="1" x14ac:dyDescent="0.2">
      <c r="B1148" s="8"/>
      <c r="X1148" s="19"/>
      <c r="Y1148" s="19"/>
    </row>
    <row r="1149" spans="2:25" ht="24.95" customHeight="1" x14ac:dyDescent="0.2">
      <c r="B1149" s="8"/>
      <c r="X1149" s="19"/>
      <c r="Y1149" s="19"/>
    </row>
    <row r="1150" spans="2:25" ht="24.95" customHeight="1" x14ac:dyDescent="0.2">
      <c r="B1150" s="8"/>
      <c r="X1150" s="19"/>
      <c r="Y1150" s="19"/>
    </row>
    <row r="1151" spans="2:25" ht="24.95" customHeight="1" x14ac:dyDescent="0.2">
      <c r="B1151" s="8"/>
      <c r="X1151" s="19"/>
      <c r="Y1151" s="19"/>
    </row>
    <row r="1152" spans="2:25" ht="24.95" customHeight="1" x14ac:dyDescent="0.2">
      <c r="B1152" s="8"/>
      <c r="X1152" s="19"/>
      <c r="Y1152" s="19"/>
    </row>
    <row r="1153" spans="2:25" ht="24.95" customHeight="1" x14ac:dyDescent="0.2">
      <c r="B1153" s="8"/>
      <c r="X1153" s="19"/>
      <c r="Y1153" s="19"/>
    </row>
    <row r="1154" spans="2:25" ht="24.95" customHeight="1" x14ac:dyDescent="0.2">
      <c r="B1154" s="8"/>
      <c r="X1154" s="19"/>
      <c r="Y1154" s="19"/>
    </row>
    <row r="1155" spans="2:25" ht="24.95" customHeight="1" x14ac:dyDescent="0.2">
      <c r="B1155" s="8"/>
      <c r="X1155" s="19"/>
      <c r="Y1155" s="19"/>
    </row>
    <row r="1156" spans="2:25" ht="24.95" customHeight="1" x14ac:dyDescent="0.2">
      <c r="B1156" s="8"/>
      <c r="X1156" s="19"/>
      <c r="Y1156" s="19"/>
    </row>
    <row r="1157" spans="2:25" ht="24.95" customHeight="1" x14ac:dyDescent="0.2">
      <c r="B1157" s="8"/>
      <c r="X1157" s="19"/>
      <c r="Y1157" s="19"/>
    </row>
    <row r="1158" spans="2:25" ht="24.95" customHeight="1" x14ac:dyDescent="0.2">
      <c r="B1158" s="8"/>
      <c r="X1158" s="19"/>
      <c r="Y1158" s="19"/>
    </row>
    <row r="1159" spans="2:25" ht="24.95" customHeight="1" x14ac:dyDescent="0.2">
      <c r="B1159" s="8"/>
      <c r="X1159" s="19"/>
      <c r="Y1159" s="19"/>
    </row>
    <row r="1160" spans="2:25" ht="24.95" customHeight="1" x14ac:dyDescent="0.2">
      <c r="B1160" s="8"/>
      <c r="X1160" s="19"/>
      <c r="Y1160" s="19"/>
    </row>
    <row r="1161" spans="2:25" ht="24.95" customHeight="1" x14ac:dyDescent="0.2">
      <c r="B1161" s="8"/>
      <c r="X1161" s="19"/>
      <c r="Y1161" s="19"/>
    </row>
    <row r="1162" spans="2:25" ht="24.95" customHeight="1" x14ac:dyDescent="0.2">
      <c r="B1162" s="8"/>
      <c r="X1162" s="19"/>
      <c r="Y1162" s="19"/>
    </row>
    <row r="1163" spans="2:25" ht="24.95" customHeight="1" x14ac:dyDescent="0.2">
      <c r="B1163" s="8"/>
      <c r="X1163" s="19"/>
      <c r="Y1163" s="19"/>
    </row>
    <row r="1164" spans="2:25" ht="24.95" customHeight="1" x14ac:dyDescent="0.2">
      <c r="B1164" s="8"/>
      <c r="X1164" s="19"/>
      <c r="Y1164" s="19"/>
    </row>
    <row r="1165" spans="2:25" ht="24.95" customHeight="1" x14ac:dyDescent="0.2">
      <c r="B1165" s="8"/>
      <c r="X1165" s="19"/>
      <c r="Y1165" s="19"/>
    </row>
    <row r="1166" spans="2:25" ht="24.95" customHeight="1" x14ac:dyDescent="0.2">
      <c r="B1166" s="8"/>
      <c r="X1166" s="19"/>
      <c r="Y1166" s="19"/>
    </row>
    <row r="1167" spans="2:25" ht="24.95" customHeight="1" x14ac:dyDescent="0.2">
      <c r="B1167" s="8"/>
      <c r="X1167" s="19"/>
      <c r="Y1167" s="19"/>
    </row>
    <row r="1168" spans="2:25" ht="24.95" customHeight="1" x14ac:dyDescent="0.2">
      <c r="B1168" s="8"/>
      <c r="X1168" s="19"/>
      <c r="Y1168" s="19"/>
    </row>
    <row r="1169" spans="2:25" ht="24.95" customHeight="1" x14ac:dyDescent="0.2">
      <c r="B1169" s="8"/>
      <c r="X1169" s="19"/>
      <c r="Y1169" s="19"/>
    </row>
    <row r="1170" spans="2:25" ht="24.95" customHeight="1" x14ac:dyDescent="0.2">
      <c r="B1170" s="8"/>
      <c r="X1170" s="19"/>
      <c r="Y1170" s="19"/>
    </row>
    <row r="1171" spans="2:25" ht="24.95" customHeight="1" x14ac:dyDescent="0.2">
      <c r="B1171" s="8"/>
      <c r="X1171" s="19"/>
      <c r="Y1171" s="19"/>
    </row>
    <row r="1172" spans="2:25" ht="24.95" customHeight="1" x14ac:dyDescent="0.2">
      <c r="B1172" s="8"/>
      <c r="X1172" s="19"/>
      <c r="Y1172" s="19"/>
    </row>
    <row r="1173" spans="2:25" ht="24.95" customHeight="1" x14ac:dyDescent="0.2">
      <c r="B1173" s="8"/>
      <c r="X1173" s="19"/>
      <c r="Y1173" s="19"/>
    </row>
    <row r="1174" spans="2:25" ht="24.95" customHeight="1" x14ac:dyDescent="0.2">
      <c r="B1174" s="8"/>
      <c r="X1174" s="19"/>
      <c r="Y1174" s="19"/>
    </row>
    <row r="1175" spans="2:25" ht="24.95" customHeight="1" x14ac:dyDescent="0.2">
      <c r="B1175" s="8"/>
      <c r="X1175" s="19"/>
      <c r="Y1175" s="19"/>
    </row>
    <row r="1176" spans="2:25" ht="24.95" customHeight="1" x14ac:dyDescent="0.2">
      <c r="B1176" s="8"/>
      <c r="X1176" s="19"/>
      <c r="Y1176" s="19"/>
    </row>
    <row r="1177" spans="2:25" ht="24.95" customHeight="1" x14ac:dyDescent="0.2">
      <c r="B1177" s="8"/>
      <c r="X1177" s="19"/>
      <c r="Y1177" s="19"/>
    </row>
    <row r="1178" spans="2:25" ht="24.95" customHeight="1" x14ac:dyDescent="0.2">
      <c r="B1178" s="8"/>
      <c r="X1178" s="19"/>
      <c r="Y1178" s="19"/>
    </row>
    <row r="1179" spans="2:25" ht="24.95" customHeight="1" x14ac:dyDescent="0.2">
      <c r="B1179" s="8"/>
      <c r="X1179" s="19"/>
      <c r="Y1179" s="19"/>
    </row>
    <row r="1180" spans="2:25" ht="24.95" customHeight="1" x14ac:dyDescent="0.2">
      <c r="B1180" s="8"/>
      <c r="X1180" s="19"/>
      <c r="Y1180" s="19"/>
    </row>
    <row r="1181" spans="2:25" ht="24.95" customHeight="1" x14ac:dyDescent="0.2">
      <c r="B1181" s="8"/>
      <c r="X1181" s="19"/>
      <c r="Y1181" s="19"/>
    </row>
    <row r="1182" spans="2:25" ht="24.95" customHeight="1" x14ac:dyDescent="0.2">
      <c r="B1182" s="8"/>
      <c r="X1182" s="19"/>
      <c r="Y1182" s="19"/>
    </row>
    <row r="1183" spans="2:25" ht="24.95" customHeight="1" x14ac:dyDescent="0.2">
      <c r="B1183" s="8"/>
      <c r="X1183" s="19"/>
      <c r="Y1183" s="19"/>
    </row>
    <row r="1184" spans="2:25" ht="24.95" customHeight="1" x14ac:dyDescent="0.2">
      <c r="B1184" s="8"/>
      <c r="X1184" s="19"/>
      <c r="Y1184" s="19"/>
    </row>
    <row r="1185" spans="2:25" ht="24.95" customHeight="1" x14ac:dyDescent="0.2">
      <c r="B1185" s="8"/>
      <c r="X1185" s="19"/>
      <c r="Y1185" s="19"/>
    </row>
    <row r="1186" spans="2:25" ht="24.95" customHeight="1" x14ac:dyDescent="0.2">
      <c r="B1186" s="8"/>
      <c r="X1186" s="19"/>
      <c r="Y1186" s="19"/>
    </row>
    <row r="1187" spans="2:25" ht="24.95" customHeight="1" x14ac:dyDescent="0.2">
      <c r="B1187" s="8"/>
      <c r="X1187" s="19"/>
      <c r="Y1187" s="19"/>
    </row>
    <row r="1188" spans="2:25" ht="24.95" customHeight="1" x14ac:dyDescent="0.2">
      <c r="B1188" s="8"/>
      <c r="X1188" s="19"/>
      <c r="Y1188" s="19"/>
    </row>
    <row r="1189" spans="2:25" ht="24.95" customHeight="1" x14ac:dyDescent="0.2">
      <c r="B1189" s="8"/>
      <c r="X1189" s="19"/>
      <c r="Y1189" s="19"/>
    </row>
    <row r="1190" spans="2:25" ht="24.95" customHeight="1" x14ac:dyDescent="0.2">
      <c r="B1190" s="8"/>
      <c r="X1190" s="19"/>
      <c r="Y1190" s="19"/>
    </row>
    <row r="1191" spans="2:25" ht="24.95" customHeight="1" x14ac:dyDescent="0.2">
      <c r="B1191" s="8"/>
      <c r="X1191" s="19"/>
      <c r="Y1191" s="19"/>
    </row>
    <row r="1192" spans="2:25" ht="24.95" customHeight="1" x14ac:dyDescent="0.2">
      <c r="B1192" s="8"/>
      <c r="X1192" s="19"/>
      <c r="Y1192" s="19"/>
    </row>
    <row r="1193" spans="2:25" ht="24.95" customHeight="1" x14ac:dyDescent="0.2">
      <c r="B1193" s="8"/>
      <c r="X1193" s="19"/>
      <c r="Y1193" s="19"/>
    </row>
    <row r="1194" spans="2:25" ht="24.95" customHeight="1" x14ac:dyDescent="0.2">
      <c r="B1194" s="8"/>
      <c r="X1194" s="19"/>
      <c r="Y1194" s="19"/>
    </row>
    <row r="1195" spans="2:25" ht="24.95" customHeight="1" x14ac:dyDescent="0.2">
      <c r="B1195" s="8"/>
      <c r="X1195" s="19"/>
      <c r="Y1195" s="19"/>
    </row>
    <row r="1196" spans="2:25" ht="24.95" customHeight="1" x14ac:dyDescent="0.2">
      <c r="B1196" s="8"/>
      <c r="X1196" s="19"/>
      <c r="Y1196" s="19"/>
    </row>
    <row r="1197" spans="2:25" ht="24.95" customHeight="1" x14ac:dyDescent="0.2">
      <c r="B1197" s="8"/>
      <c r="X1197" s="19"/>
      <c r="Y1197" s="19"/>
    </row>
    <row r="1198" spans="2:25" ht="24.95" customHeight="1" x14ac:dyDescent="0.2">
      <c r="B1198" s="8"/>
      <c r="X1198" s="19"/>
      <c r="Y1198" s="19"/>
    </row>
    <row r="1199" spans="2:25" ht="24.95" customHeight="1" x14ac:dyDescent="0.2">
      <c r="B1199" s="8"/>
      <c r="X1199" s="19"/>
      <c r="Y1199" s="19"/>
    </row>
    <row r="1200" spans="2:25" ht="24.95" customHeight="1" x14ac:dyDescent="0.2">
      <c r="B1200" s="8"/>
      <c r="X1200" s="19"/>
      <c r="Y1200" s="19"/>
    </row>
    <row r="1201" spans="2:25" ht="24.95" customHeight="1" x14ac:dyDescent="0.2">
      <c r="B1201" s="8"/>
      <c r="X1201" s="19"/>
      <c r="Y1201" s="19"/>
    </row>
    <row r="1202" spans="2:25" ht="24.95" customHeight="1" x14ac:dyDescent="0.2">
      <c r="B1202" s="8"/>
      <c r="X1202" s="19"/>
      <c r="Y1202" s="19"/>
    </row>
    <row r="1203" spans="2:25" ht="24.95" customHeight="1" x14ac:dyDescent="0.2">
      <c r="B1203" s="8"/>
      <c r="X1203" s="19"/>
      <c r="Y1203" s="19"/>
    </row>
    <row r="1204" spans="2:25" ht="24.95" customHeight="1" x14ac:dyDescent="0.2">
      <c r="B1204" s="8"/>
      <c r="X1204" s="19"/>
      <c r="Y1204" s="19"/>
    </row>
    <row r="1205" spans="2:25" ht="24.95" customHeight="1" x14ac:dyDescent="0.2">
      <c r="B1205" s="8"/>
      <c r="X1205" s="19"/>
      <c r="Y1205" s="19"/>
    </row>
    <row r="1206" spans="2:25" ht="24.95" customHeight="1" x14ac:dyDescent="0.2">
      <c r="B1206" s="8"/>
      <c r="X1206" s="19"/>
      <c r="Y1206" s="19"/>
    </row>
    <row r="1207" spans="2:25" ht="24.95" customHeight="1" x14ac:dyDescent="0.2">
      <c r="B1207" s="8"/>
      <c r="X1207" s="19"/>
      <c r="Y1207" s="19"/>
    </row>
    <row r="1208" spans="2:25" ht="24.95" customHeight="1" x14ac:dyDescent="0.2">
      <c r="B1208" s="8"/>
      <c r="X1208" s="19"/>
      <c r="Y1208" s="19"/>
    </row>
    <row r="1209" spans="2:25" ht="24.95" customHeight="1" x14ac:dyDescent="0.2">
      <c r="B1209" s="8"/>
      <c r="X1209" s="19"/>
      <c r="Y1209" s="19"/>
    </row>
    <row r="1210" spans="2:25" ht="24.95" customHeight="1" x14ac:dyDescent="0.2">
      <c r="B1210" s="8"/>
      <c r="X1210" s="19"/>
      <c r="Y1210" s="19"/>
    </row>
    <row r="1211" spans="2:25" ht="24.95" customHeight="1" x14ac:dyDescent="0.2">
      <c r="B1211" s="8"/>
      <c r="X1211" s="19"/>
      <c r="Y1211" s="19"/>
    </row>
    <row r="1212" spans="2:25" ht="24.95" customHeight="1" x14ac:dyDescent="0.2">
      <c r="B1212" s="8"/>
      <c r="X1212" s="19"/>
      <c r="Y1212" s="19"/>
    </row>
    <row r="1213" spans="2:25" ht="24.95" customHeight="1" x14ac:dyDescent="0.2">
      <c r="B1213" s="8"/>
      <c r="X1213" s="19"/>
      <c r="Y1213" s="19"/>
    </row>
    <row r="1214" spans="2:25" ht="24.95" customHeight="1" x14ac:dyDescent="0.2">
      <c r="B1214" s="8"/>
      <c r="X1214" s="19"/>
      <c r="Y1214" s="19"/>
    </row>
    <row r="1215" spans="2:25" ht="24.95" customHeight="1" x14ac:dyDescent="0.2">
      <c r="B1215" s="8"/>
      <c r="X1215" s="19"/>
      <c r="Y1215" s="19"/>
    </row>
    <row r="1216" spans="2:25" ht="24.95" customHeight="1" x14ac:dyDescent="0.2">
      <c r="B1216" s="8"/>
      <c r="X1216" s="19"/>
      <c r="Y1216" s="19"/>
    </row>
    <row r="1217" spans="2:25" ht="24.95" customHeight="1" x14ac:dyDescent="0.2">
      <c r="B1217" s="8"/>
      <c r="X1217" s="19"/>
      <c r="Y1217" s="19"/>
    </row>
    <row r="1218" spans="2:25" ht="24.95" customHeight="1" x14ac:dyDescent="0.2">
      <c r="B1218" s="8"/>
      <c r="X1218" s="19"/>
      <c r="Y1218" s="19"/>
    </row>
    <row r="1219" spans="2:25" ht="24.95" customHeight="1" x14ac:dyDescent="0.2">
      <c r="B1219" s="8"/>
      <c r="X1219" s="19"/>
      <c r="Y1219" s="19"/>
    </row>
    <row r="1220" spans="2:25" ht="24.95" customHeight="1" x14ac:dyDescent="0.2">
      <c r="B1220" s="8"/>
      <c r="X1220" s="19"/>
      <c r="Y1220" s="19"/>
    </row>
    <row r="1221" spans="2:25" ht="24.95" customHeight="1" x14ac:dyDescent="0.2">
      <c r="B1221" s="8"/>
      <c r="X1221" s="19"/>
      <c r="Y1221" s="19"/>
    </row>
    <row r="1222" spans="2:25" ht="24.95" customHeight="1" x14ac:dyDescent="0.2">
      <c r="B1222" s="8"/>
      <c r="X1222" s="19"/>
      <c r="Y1222" s="19"/>
    </row>
    <row r="1223" spans="2:25" ht="24.95" customHeight="1" x14ac:dyDescent="0.2">
      <c r="B1223" s="8"/>
      <c r="X1223" s="19"/>
      <c r="Y1223" s="19"/>
    </row>
    <row r="1224" spans="2:25" ht="24.95" customHeight="1" x14ac:dyDescent="0.2">
      <c r="B1224" s="8"/>
      <c r="X1224" s="19"/>
      <c r="Y1224" s="19"/>
    </row>
    <row r="1225" spans="2:25" ht="24.95" customHeight="1" x14ac:dyDescent="0.2">
      <c r="B1225" s="8"/>
      <c r="X1225" s="19"/>
      <c r="Y1225" s="19"/>
    </row>
    <row r="1226" spans="2:25" ht="24.95" customHeight="1" x14ac:dyDescent="0.2">
      <c r="B1226" s="8"/>
      <c r="X1226" s="19"/>
      <c r="Y1226" s="19"/>
    </row>
    <row r="1227" spans="2:25" ht="24.95" customHeight="1" x14ac:dyDescent="0.2">
      <c r="B1227" s="8"/>
      <c r="X1227" s="19"/>
      <c r="Y1227" s="19"/>
    </row>
    <row r="1228" spans="2:25" ht="24.95" customHeight="1" x14ac:dyDescent="0.2">
      <c r="B1228" s="8"/>
      <c r="X1228" s="19"/>
      <c r="Y1228" s="19"/>
    </row>
    <row r="1229" spans="2:25" ht="24.95" customHeight="1" x14ac:dyDescent="0.2">
      <c r="B1229" s="8"/>
      <c r="X1229" s="19"/>
      <c r="Y1229" s="19"/>
    </row>
    <row r="1230" spans="2:25" ht="24.95" customHeight="1" x14ac:dyDescent="0.2">
      <c r="B1230" s="8"/>
      <c r="X1230" s="19"/>
      <c r="Y1230" s="19"/>
    </row>
    <row r="1231" spans="2:25" ht="24.95" customHeight="1" x14ac:dyDescent="0.2">
      <c r="B1231" s="8"/>
      <c r="X1231" s="19"/>
      <c r="Y1231" s="19"/>
    </row>
    <row r="1232" spans="2:25" ht="24.95" customHeight="1" x14ac:dyDescent="0.2">
      <c r="B1232" s="8"/>
      <c r="X1232" s="19"/>
      <c r="Y1232" s="19"/>
    </row>
    <row r="1233" spans="2:25" ht="24.95" customHeight="1" x14ac:dyDescent="0.2">
      <c r="B1233" s="8"/>
      <c r="X1233" s="19"/>
      <c r="Y1233" s="19"/>
    </row>
    <row r="1234" spans="2:25" ht="24.95" customHeight="1" x14ac:dyDescent="0.2">
      <c r="B1234" s="8"/>
      <c r="X1234" s="19"/>
      <c r="Y1234" s="19"/>
    </row>
    <row r="1235" spans="2:25" ht="24.95" customHeight="1" x14ac:dyDescent="0.2">
      <c r="B1235" s="8"/>
      <c r="X1235" s="19"/>
      <c r="Y1235" s="19"/>
    </row>
    <row r="1236" spans="2:25" ht="24.95" customHeight="1" x14ac:dyDescent="0.2">
      <c r="B1236" s="8"/>
      <c r="X1236" s="19"/>
      <c r="Y1236" s="19"/>
    </row>
    <row r="1237" spans="2:25" ht="24.95" customHeight="1" x14ac:dyDescent="0.2">
      <c r="B1237" s="8"/>
      <c r="X1237" s="19"/>
      <c r="Y1237" s="19"/>
    </row>
    <row r="1238" spans="2:25" ht="24.95" customHeight="1" x14ac:dyDescent="0.2">
      <c r="B1238" s="8"/>
      <c r="X1238" s="19"/>
      <c r="Y1238" s="19"/>
    </row>
    <row r="1239" spans="2:25" ht="24.95" customHeight="1" x14ac:dyDescent="0.2">
      <c r="B1239" s="8"/>
      <c r="X1239" s="19"/>
      <c r="Y1239" s="19"/>
    </row>
    <row r="1240" spans="2:25" ht="24.95" customHeight="1" x14ac:dyDescent="0.2">
      <c r="B1240" s="8"/>
      <c r="X1240" s="19"/>
      <c r="Y1240" s="19"/>
    </row>
    <row r="1241" spans="2:25" ht="24.95" customHeight="1" x14ac:dyDescent="0.2">
      <c r="B1241" s="8"/>
      <c r="X1241" s="19"/>
      <c r="Y1241" s="19"/>
    </row>
    <row r="1242" spans="2:25" ht="24.95" customHeight="1" x14ac:dyDescent="0.2">
      <c r="B1242" s="8"/>
      <c r="X1242" s="19"/>
      <c r="Y1242" s="19"/>
    </row>
    <row r="1243" spans="2:25" ht="24.95" customHeight="1" x14ac:dyDescent="0.2">
      <c r="B1243" s="8"/>
      <c r="X1243" s="19"/>
      <c r="Y1243" s="19"/>
    </row>
    <row r="1244" spans="2:25" ht="24.95" customHeight="1" x14ac:dyDescent="0.2">
      <c r="B1244" s="8"/>
      <c r="X1244" s="19"/>
      <c r="Y1244" s="19"/>
    </row>
    <row r="1245" spans="2:25" ht="24.95" customHeight="1" x14ac:dyDescent="0.2">
      <c r="B1245" s="8"/>
      <c r="X1245" s="19"/>
      <c r="Y1245" s="19"/>
    </row>
    <row r="1246" spans="2:25" ht="24.95" customHeight="1" x14ac:dyDescent="0.2">
      <c r="B1246" s="8"/>
      <c r="X1246" s="19"/>
      <c r="Y1246" s="19"/>
    </row>
    <row r="1247" spans="2:25" ht="24.95" customHeight="1" x14ac:dyDescent="0.2">
      <c r="B1247" s="8"/>
      <c r="X1247" s="19"/>
      <c r="Y1247" s="19"/>
    </row>
    <row r="1248" spans="2:25" ht="24.95" customHeight="1" x14ac:dyDescent="0.2">
      <c r="B1248" s="8"/>
      <c r="X1248" s="19"/>
      <c r="Y1248" s="19"/>
    </row>
    <row r="1249" spans="2:25" ht="24.95" customHeight="1" x14ac:dyDescent="0.2">
      <c r="B1249" s="8"/>
      <c r="X1249" s="19"/>
      <c r="Y1249" s="19"/>
    </row>
    <row r="1250" spans="2:25" ht="24.95" customHeight="1" x14ac:dyDescent="0.2">
      <c r="B1250" s="8"/>
      <c r="X1250" s="19"/>
      <c r="Y1250" s="19"/>
    </row>
    <row r="1251" spans="2:25" ht="24.95" customHeight="1" x14ac:dyDescent="0.2">
      <c r="B1251" s="8"/>
      <c r="X1251" s="19"/>
      <c r="Y1251" s="19"/>
    </row>
    <row r="1252" spans="2:25" ht="24.95" customHeight="1" x14ac:dyDescent="0.2">
      <c r="B1252" s="8"/>
      <c r="X1252" s="19"/>
      <c r="Y1252" s="19"/>
    </row>
    <row r="1253" spans="2:25" ht="24.95" customHeight="1" x14ac:dyDescent="0.2">
      <c r="B1253" s="8"/>
      <c r="X1253" s="19"/>
      <c r="Y1253" s="19"/>
    </row>
    <row r="1254" spans="2:25" ht="24.95" customHeight="1" x14ac:dyDescent="0.2">
      <c r="B1254" s="8"/>
      <c r="X1254" s="19"/>
      <c r="Y1254" s="19"/>
    </row>
    <row r="1255" spans="2:25" ht="24.95" customHeight="1" x14ac:dyDescent="0.2">
      <c r="B1255" s="8"/>
      <c r="X1255" s="19"/>
      <c r="Y1255" s="19"/>
    </row>
    <row r="1256" spans="2:25" ht="24.95" customHeight="1" x14ac:dyDescent="0.2">
      <c r="B1256" s="8"/>
      <c r="X1256" s="19"/>
      <c r="Y1256" s="19"/>
    </row>
    <row r="1257" spans="2:25" ht="24.95" customHeight="1" x14ac:dyDescent="0.2">
      <c r="B1257" s="8"/>
      <c r="X1257" s="19"/>
      <c r="Y1257" s="19"/>
    </row>
    <row r="1258" spans="2:25" ht="24.95" customHeight="1" x14ac:dyDescent="0.2">
      <c r="B1258" s="8"/>
      <c r="X1258" s="19"/>
      <c r="Y1258" s="19"/>
    </row>
    <row r="1259" spans="2:25" ht="24.95" customHeight="1" x14ac:dyDescent="0.2">
      <c r="B1259" s="8"/>
      <c r="X1259" s="19"/>
      <c r="Y1259" s="19"/>
    </row>
    <row r="1260" spans="2:25" ht="24.95" customHeight="1" x14ac:dyDescent="0.2">
      <c r="B1260" s="8"/>
      <c r="X1260" s="19"/>
      <c r="Y1260" s="19"/>
    </row>
    <row r="1261" spans="2:25" ht="24.95" customHeight="1" x14ac:dyDescent="0.2">
      <c r="B1261" s="8"/>
      <c r="X1261" s="19"/>
      <c r="Y1261" s="19"/>
    </row>
    <row r="1262" spans="2:25" ht="24.95" customHeight="1" x14ac:dyDescent="0.2">
      <c r="B1262" s="8"/>
      <c r="X1262" s="19"/>
      <c r="Y1262" s="19"/>
    </row>
    <row r="1263" spans="2:25" ht="24.95" customHeight="1" x14ac:dyDescent="0.2">
      <c r="B1263" s="8"/>
      <c r="X1263" s="19"/>
      <c r="Y1263" s="19"/>
    </row>
    <row r="1264" spans="2:25" ht="24.95" customHeight="1" x14ac:dyDescent="0.2">
      <c r="B1264" s="8"/>
      <c r="X1264" s="19"/>
      <c r="Y1264" s="19"/>
    </row>
    <row r="1265" spans="2:25" ht="24.95" customHeight="1" x14ac:dyDescent="0.2">
      <c r="B1265" s="8"/>
      <c r="X1265" s="19"/>
      <c r="Y1265" s="19"/>
    </row>
    <row r="1266" spans="2:25" ht="24.95" customHeight="1" x14ac:dyDescent="0.2">
      <c r="B1266" s="8"/>
      <c r="X1266" s="19"/>
      <c r="Y1266" s="19"/>
    </row>
    <row r="1267" spans="2:25" ht="24.95" customHeight="1" x14ac:dyDescent="0.2">
      <c r="B1267" s="8"/>
      <c r="X1267" s="19"/>
      <c r="Y1267" s="19"/>
    </row>
    <row r="1268" spans="2:25" ht="24.95" customHeight="1" x14ac:dyDescent="0.2">
      <c r="B1268" s="8"/>
      <c r="X1268" s="19"/>
      <c r="Y1268" s="19"/>
    </row>
    <row r="1269" spans="2:25" ht="24.95" customHeight="1" x14ac:dyDescent="0.2">
      <c r="B1269" s="8"/>
      <c r="X1269" s="19"/>
      <c r="Y1269" s="19"/>
    </row>
    <row r="1270" spans="2:25" ht="24.95" customHeight="1" x14ac:dyDescent="0.2">
      <c r="B1270" s="8"/>
      <c r="X1270" s="19"/>
      <c r="Y1270" s="19"/>
    </row>
    <row r="1271" spans="2:25" ht="24.95" customHeight="1" x14ac:dyDescent="0.2">
      <c r="B1271" s="8"/>
      <c r="X1271" s="19"/>
      <c r="Y1271" s="19"/>
    </row>
    <row r="1272" spans="2:25" ht="24.95" customHeight="1" x14ac:dyDescent="0.2">
      <c r="B1272" s="8"/>
      <c r="X1272" s="19"/>
      <c r="Y1272" s="19"/>
    </row>
    <row r="1273" spans="2:25" ht="24.95" customHeight="1" x14ac:dyDescent="0.2">
      <c r="B1273" s="8"/>
      <c r="X1273" s="19"/>
      <c r="Y1273" s="19"/>
    </row>
    <row r="1274" spans="2:25" ht="24.95" customHeight="1" x14ac:dyDescent="0.2">
      <c r="B1274" s="8"/>
      <c r="X1274" s="19"/>
      <c r="Y1274" s="19"/>
    </row>
    <row r="1275" spans="2:25" ht="24.95" customHeight="1" x14ac:dyDescent="0.2">
      <c r="B1275" s="8"/>
      <c r="X1275" s="19"/>
      <c r="Y1275" s="19"/>
    </row>
    <row r="1276" spans="2:25" ht="24.95" customHeight="1" x14ac:dyDescent="0.2">
      <c r="B1276" s="8"/>
      <c r="X1276" s="19"/>
      <c r="Y1276" s="19"/>
    </row>
    <row r="1277" spans="2:25" ht="24.95" customHeight="1" x14ac:dyDescent="0.2">
      <c r="B1277" s="8"/>
      <c r="X1277" s="19"/>
      <c r="Y1277" s="19"/>
    </row>
    <row r="1278" spans="2:25" ht="24.95" customHeight="1" x14ac:dyDescent="0.2">
      <c r="B1278" s="8"/>
      <c r="X1278" s="19"/>
      <c r="Y1278" s="19"/>
    </row>
    <row r="1279" spans="2:25" ht="24.95" customHeight="1" x14ac:dyDescent="0.2">
      <c r="B1279" s="8"/>
      <c r="X1279" s="19"/>
      <c r="Y1279" s="19"/>
    </row>
    <row r="1280" spans="2:25" ht="24.95" customHeight="1" x14ac:dyDescent="0.2">
      <c r="B1280" s="8"/>
      <c r="X1280" s="19"/>
      <c r="Y1280" s="19"/>
    </row>
    <row r="1281" spans="2:25" ht="24.95" customHeight="1" x14ac:dyDescent="0.2">
      <c r="B1281" s="8"/>
      <c r="X1281" s="19"/>
      <c r="Y1281" s="19"/>
    </row>
    <row r="1282" spans="2:25" ht="24.95" customHeight="1" x14ac:dyDescent="0.2">
      <c r="B1282" s="8"/>
      <c r="X1282" s="19"/>
      <c r="Y1282" s="19"/>
    </row>
    <row r="1283" spans="2:25" ht="24.95" customHeight="1" x14ac:dyDescent="0.2">
      <c r="B1283" s="8"/>
      <c r="X1283" s="19"/>
      <c r="Y1283" s="19"/>
    </row>
    <row r="1284" spans="2:25" ht="24.95" customHeight="1" x14ac:dyDescent="0.2">
      <c r="B1284" s="8"/>
      <c r="X1284" s="19"/>
      <c r="Y1284" s="19"/>
    </row>
    <row r="1285" spans="2:25" ht="24.95" customHeight="1" x14ac:dyDescent="0.2">
      <c r="B1285" s="8"/>
      <c r="X1285" s="19"/>
      <c r="Y1285" s="19"/>
    </row>
    <row r="1286" spans="2:25" ht="24.95" customHeight="1" x14ac:dyDescent="0.2">
      <c r="B1286" s="8"/>
      <c r="X1286" s="19"/>
      <c r="Y1286" s="19"/>
    </row>
    <row r="1287" spans="2:25" ht="24.95" customHeight="1" x14ac:dyDescent="0.2">
      <c r="B1287" s="8"/>
      <c r="X1287" s="19"/>
      <c r="Y1287" s="19"/>
    </row>
    <row r="1288" spans="2:25" ht="24.95" customHeight="1" x14ac:dyDescent="0.2">
      <c r="B1288" s="8"/>
      <c r="X1288" s="19"/>
      <c r="Y1288" s="19"/>
    </row>
    <row r="1289" spans="2:25" ht="24.95" customHeight="1" x14ac:dyDescent="0.2">
      <c r="B1289" s="8"/>
      <c r="X1289" s="19"/>
      <c r="Y1289" s="19"/>
    </row>
    <row r="1290" spans="2:25" ht="24.95" customHeight="1" x14ac:dyDescent="0.2">
      <c r="B1290" s="8"/>
      <c r="X1290" s="19"/>
      <c r="Y1290" s="19"/>
    </row>
    <row r="1291" spans="2:25" ht="24.95" customHeight="1" x14ac:dyDescent="0.2">
      <c r="B1291" s="8"/>
      <c r="X1291" s="19"/>
      <c r="Y1291" s="19"/>
    </row>
    <row r="1292" spans="2:25" ht="24.95" customHeight="1" x14ac:dyDescent="0.2">
      <c r="B1292" s="8"/>
      <c r="X1292" s="19"/>
      <c r="Y1292" s="19"/>
    </row>
    <row r="1293" spans="2:25" ht="24.95" customHeight="1" x14ac:dyDescent="0.2">
      <c r="B1293" s="8"/>
      <c r="X1293" s="19"/>
      <c r="Y1293" s="19"/>
    </row>
    <row r="1294" spans="2:25" ht="24.95" customHeight="1" x14ac:dyDescent="0.2">
      <c r="B1294" s="8"/>
      <c r="X1294" s="19"/>
      <c r="Y1294" s="19"/>
    </row>
    <row r="1295" spans="2:25" ht="24.95" customHeight="1" x14ac:dyDescent="0.2">
      <c r="B1295" s="8"/>
      <c r="X1295" s="19"/>
      <c r="Y1295" s="19"/>
    </row>
    <row r="1296" spans="2:25" ht="24.95" customHeight="1" x14ac:dyDescent="0.2">
      <c r="B1296" s="8"/>
      <c r="X1296" s="19"/>
      <c r="Y1296" s="19"/>
    </row>
    <row r="1297" spans="2:25" ht="24.95" customHeight="1" x14ac:dyDescent="0.2">
      <c r="B1297" s="8"/>
      <c r="X1297" s="19"/>
      <c r="Y1297" s="19"/>
    </row>
    <row r="1298" spans="2:25" ht="24.95" customHeight="1" x14ac:dyDescent="0.2">
      <c r="B1298" s="8"/>
      <c r="X1298" s="19"/>
      <c r="Y1298" s="19"/>
    </row>
    <row r="1299" spans="2:25" ht="24.95" customHeight="1" x14ac:dyDescent="0.2">
      <c r="B1299" s="8"/>
      <c r="X1299" s="19"/>
      <c r="Y1299" s="19"/>
    </row>
    <row r="1300" spans="2:25" ht="24.95" customHeight="1" x14ac:dyDescent="0.2">
      <c r="B1300" s="8"/>
      <c r="X1300" s="19"/>
      <c r="Y1300" s="19"/>
    </row>
    <row r="1301" spans="2:25" ht="24.95" customHeight="1" x14ac:dyDescent="0.2">
      <c r="B1301" s="8"/>
      <c r="X1301" s="19"/>
      <c r="Y1301" s="19"/>
    </row>
    <row r="1302" spans="2:25" ht="24.95" customHeight="1" x14ac:dyDescent="0.2">
      <c r="B1302" s="8"/>
      <c r="X1302" s="19"/>
      <c r="Y1302" s="19"/>
    </row>
    <row r="1303" spans="2:25" ht="24.95" customHeight="1" x14ac:dyDescent="0.2">
      <c r="B1303" s="8"/>
      <c r="X1303" s="19"/>
      <c r="Y1303" s="19"/>
    </row>
    <row r="1304" spans="2:25" ht="24.95" customHeight="1" x14ac:dyDescent="0.2">
      <c r="B1304" s="8"/>
      <c r="X1304" s="19"/>
      <c r="Y1304" s="19"/>
    </row>
    <row r="1305" spans="2:25" ht="24.95" customHeight="1" x14ac:dyDescent="0.2">
      <c r="B1305" s="8"/>
      <c r="X1305" s="19"/>
      <c r="Y1305" s="19"/>
    </row>
    <row r="1306" spans="2:25" ht="24.95" customHeight="1" x14ac:dyDescent="0.2">
      <c r="B1306" s="8"/>
      <c r="X1306" s="19"/>
      <c r="Y1306" s="19"/>
    </row>
    <row r="1307" spans="2:25" ht="24.95" customHeight="1" x14ac:dyDescent="0.2">
      <c r="B1307" s="8"/>
      <c r="X1307" s="19"/>
      <c r="Y1307" s="19"/>
    </row>
    <row r="1308" spans="2:25" ht="24.95" customHeight="1" x14ac:dyDescent="0.2">
      <c r="B1308" s="8"/>
      <c r="X1308" s="19"/>
      <c r="Y1308" s="19"/>
    </row>
    <row r="1309" spans="2:25" ht="24.95" customHeight="1" x14ac:dyDescent="0.2">
      <c r="B1309" s="8"/>
      <c r="X1309" s="19"/>
      <c r="Y1309" s="19"/>
    </row>
    <row r="1310" spans="2:25" ht="24.95" customHeight="1" x14ac:dyDescent="0.2">
      <c r="B1310" s="8"/>
      <c r="X1310" s="19"/>
      <c r="Y1310" s="19"/>
    </row>
    <row r="1311" spans="2:25" ht="24.95" customHeight="1" x14ac:dyDescent="0.2">
      <c r="B1311" s="8"/>
      <c r="X1311" s="19"/>
      <c r="Y1311" s="19"/>
    </row>
    <row r="1312" spans="2:25" ht="24.95" customHeight="1" x14ac:dyDescent="0.2">
      <c r="B1312" s="8"/>
      <c r="X1312" s="19"/>
      <c r="Y1312" s="19"/>
    </row>
    <row r="1313" spans="2:25" ht="24.95" customHeight="1" x14ac:dyDescent="0.2">
      <c r="B1313" s="8"/>
      <c r="X1313" s="19"/>
      <c r="Y1313" s="19"/>
    </row>
    <row r="1314" spans="2:25" ht="24.95" customHeight="1" x14ac:dyDescent="0.2">
      <c r="B1314" s="8"/>
      <c r="X1314" s="19"/>
      <c r="Y1314" s="19"/>
    </row>
    <row r="1315" spans="2:25" ht="24.95" customHeight="1" x14ac:dyDescent="0.2">
      <c r="B1315" s="8"/>
      <c r="X1315" s="19"/>
      <c r="Y1315" s="19"/>
    </row>
    <row r="1316" spans="2:25" ht="24.95" customHeight="1" x14ac:dyDescent="0.2">
      <c r="B1316" s="8"/>
      <c r="X1316" s="19"/>
      <c r="Y1316" s="19"/>
    </row>
    <row r="1317" spans="2:25" ht="24.95" customHeight="1" x14ac:dyDescent="0.2">
      <c r="B1317" s="8"/>
      <c r="X1317" s="19"/>
      <c r="Y1317" s="19"/>
    </row>
    <row r="1318" spans="2:25" ht="24.95" customHeight="1" x14ac:dyDescent="0.2">
      <c r="B1318" s="8"/>
      <c r="X1318" s="19"/>
      <c r="Y1318" s="19"/>
    </row>
    <row r="1319" spans="2:25" ht="24.95" customHeight="1" x14ac:dyDescent="0.2">
      <c r="B1319" s="8"/>
      <c r="X1319" s="19"/>
      <c r="Y1319" s="19"/>
    </row>
    <row r="1320" spans="2:25" ht="24.95" customHeight="1" x14ac:dyDescent="0.2">
      <c r="B1320" s="8"/>
      <c r="X1320" s="19"/>
      <c r="Y1320" s="19"/>
    </row>
    <row r="1321" spans="2:25" ht="24.95" customHeight="1" x14ac:dyDescent="0.2">
      <c r="B1321" s="8"/>
      <c r="X1321" s="19"/>
      <c r="Y1321" s="19"/>
    </row>
    <row r="1322" spans="2:25" ht="24.95" customHeight="1" x14ac:dyDescent="0.2">
      <c r="B1322" s="8"/>
      <c r="X1322" s="19"/>
      <c r="Y1322" s="19"/>
    </row>
    <row r="1323" spans="2:25" ht="24.95" customHeight="1" x14ac:dyDescent="0.2">
      <c r="B1323" s="8"/>
      <c r="X1323" s="19"/>
      <c r="Y1323" s="19"/>
    </row>
    <row r="1324" spans="2:25" ht="24.95" customHeight="1" x14ac:dyDescent="0.2">
      <c r="B1324" s="8"/>
      <c r="X1324" s="19"/>
      <c r="Y1324" s="19"/>
    </row>
    <row r="1325" spans="2:25" ht="24.95" customHeight="1" x14ac:dyDescent="0.2">
      <c r="B1325" s="8"/>
      <c r="X1325" s="19"/>
      <c r="Y1325" s="19"/>
    </row>
    <row r="1326" spans="2:25" ht="24.95" customHeight="1" x14ac:dyDescent="0.2">
      <c r="B1326" s="8"/>
      <c r="X1326" s="19"/>
      <c r="Y1326" s="19"/>
    </row>
    <row r="1327" spans="2:25" ht="24.95" customHeight="1" x14ac:dyDescent="0.2">
      <c r="B1327" s="8"/>
      <c r="X1327" s="19"/>
      <c r="Y1327" s="19"/>
    </row>
    <row r="1328" spans="2:25" ht="24.95" customHeight="1" x14ac:dyDescent="0.2">
      <c r="B1328" s="8"/>
      <c r="X1328" s="19"/>
      <c r="Y1328" s="19"/>
    </row>
    <row r="1329" spans="2:25" ht="24.95" customHeight="1" x14ac:dyDescent="0.2">
      <c r="B1329" s="8"/>
      <c r="X1329" s="19"/>
      <c r="Y1329" s="19"/>
    </row>
    <row r="1330" spans="2:25" ht="24.95" customHeight="1" x14ac:dyDescent="0.2">
      <c r="B1330" s="8"/>
      <c r="X1330" s="19"/>
      <c r="Y1330" s="19"/>
    </row>
    <row r="1331" spans="2:25" ht="24.95" customHeight="1" x14ac:dyDescent="0.2">
      <c r="B1331" s="8"/>
      <c r="X1331" s="19"/>
      <c r="Y1331" s="19"/>
    </row>
    <row r="1332" spans="2:25" ht="24.95" customHeight="1" x14ac:dyDescent="0.2">
      <c r="B1332" s="8"/>
      <c r="X1332" s="19"/>
      <c r="Y1332" s="19"/>
    </row>
    <row r="1333" spans="2:25" ht="24.95" customHeight="1" x14ac:dyDescent="0.2">
      <c r="B1333" s="8"/>
      <c r="X1333" s="19"/>
      <c r="Y1333" s="19"/>
    </row>
    <row r="1334" spans="2:25" ht="24.95" customHeight="1" x14ac:dyDescent="0.2">
      <c r="B1334" s="8"/>
      <c r="X1334" s="19"/>
      <c r="Y1334" s="19"/>
    </row>
    <row r="1335" spans="2:25" ht="24.95" customHeight="1" x14ac:dyDescent="0.2">
      <c r="B1335" s="8"/>
      <c r="X1335" s="19"/>
      <c r="Y1335" s="19"/>
    </row>
    <row r="1336" spans="2:25" ht="24.95" customHeight="1" x14ac:dyDescent="0.2">
      <c r="B1336" s="8"/>
      <c r="X1336" s="19"/>
      <c r="Y1336" s="19"/>
    </row>
    <row r="1337" spans="2:25" ht="24.95" customHeight="1" x14ac:dyDescent="0.2">
      <c r="B1337" s="8"/>
      <c r="X1337" s="19"/>
      <c r="Y1337" s="19"/>
    </row>
    <row r="1338" spans="2:25" ht="24.95" customHeight="1" x14ac:dyDescent="0.2">
      <c r="B1338" s="8"/>
      <c r="X1338" s="19"/>
      <c r="Y1338" s="19"/>
    </row>
    <row r="1339" spans="2:25" ht="24.95" customHeight="1" x14ac:dyDescent="0.2">
      <c r="B1339" s="8"/>
      <c r="X1339" s="19"/>
      <c r="Y1339" s="19"/>
    </row>
    <row r="1340" spans="2:25" ht="24.95" customHeight="1" x14ac:dyDescent="0.2">
      <c r="B1340" s="8"/>
      <c r="X1340" s="19"/>
      <c r="Y1340" s="19"/>
    </row>
    <row r="1341" spans="2:25" ht="24.95" customHeight="1" x14ac:dyDescent="0.2">
      <c r="B1341" s="8"/>
      <c r="X1341" s="19"/>
      <c r="Y1341" s="19"/>
    </row>
    <row r="1342" spans="2:25" ht="24.95" customHeight="1" x14ac:dyDescent="0.2">
      <c r="B1342" s="8"/>
      <c r="X1342" s="19"/>
      <c r="Y1342" s="19"/>
    </row>
    <row r="1343" spans="2:25" ht="24.95" customHeight="1" x14ac:dyDescent="0.2">
      <c r="B1343" s="8"/>
      <c r="X1343" s="19"/>
      <c r="Y1343" s="19"/>
    </row>
    <row r="1344" spans="2:25" ht="24.95" customHeight="1" x14ac:dyDescent="0.2">
      <c r="B1344" s="8"/>
      <c r="X1344" s="19"/>
      <c r="Y1344" s="19"/>
    </row>
    <row r="1345" spans="2:25" ht="24.95" customHeight="1" x14ac:dyDescent="0.2">
      <c r="B1345" s="8"/>
      <c r="X1345" s="19"/>
      <c r="Y1345" s="19"/>
    </row>
    <row r="1346" spans="2:25" ht="24.95" customHeight="1" x14ac:dyDescent="0.2">
      <c r="B1346" s="8"/>
      <c r="X1346" s="19"/>
      <c r="Y1346" s="19"/>
    </row>
    <row r="1347" spans="2:25" ht="24.95" customHeight="1" x14ac:dyDescent="0.2">
      <c r="B1347" s="8"/>
      <c r="X1347" s="19"/>
      <c r="Y1347" s="19"/>
    </row>
    <row r="1348" spans="2:25" ht="24.95" customHeight="1" x14ac:dyDescent="0.2">
      <c r="B1348" s="8"/>
      <c r="X1348" s="19"/>
      <c r="Y1348" s="19"/>
    </row>
    <row r="1349" spans="2:25" ht="24.95" customHeight="1" x14ac:dyDescent="0.2">
      <c r="B1349" s="8"/>
      <c r="X1349" s="19"/>
      <c r="Y1349" s="19"/>
    </row>
    <row r="1350" spans="2:25" ht="24.95" customHeight="1" x14ac:dyDescent="0.2">
      <c r="B1350" s="8"/>
      <c r="X1350" s="19"/>
      <c r="Y1350" s="19"/>
    </row>
    <row r="1351" spans="2:25" ht="24.95" customHeight="1" x14ac:dyDescent="0.2">
      <c r="B1351" s="8"/>
      <c r="X1351" s="19"/>
      <c r="Y1351" s="19"/>
    </row>
    <row r="1352" spans="2:25" ht="24.95" customHeight="1" x14ac:dyDescent="0.2">
      <c r="B1352" s="8"/>
      <c r="X1352" s="19"/>
      <c r="Y1352" s="19"/>
    </row>
    <row r="1353" spans="2:25" ht="24.95" customHeight="1" x14ac:dyDescent="0.2">
      <c r="B1353" s="8"/>
      <c r="X1353" s="19"/>
      <c r="Y1353" s="19"/>
    </row>
    <row r="1354" spans="2:25" ht="24.95" customHeight="1" x14ac:dyDescent="0.2">
      <c r="B1354" s="8"/>
      <c r="X1354" s="19"/>
      <c r="Y1354" s="19"/>
    </row>
    <row r="1355" spans="2:25" ht="24.95" customHeight="1" x14ac:dyDescent="0.2">
      <c r="B1355" s="8"/>
    </row>
    <row r="1356" spans="2:25" ht="24.95" customHeight="1" x14ac:dyDescent="0.2">
      <c r="B1356" s="8"/>
    </row>
    <row r="1357" spans="2:25" ht="24.95" customHeight="1" x14ac:dyDescent="0.2">
      <c r="B1357" s="8"/>
    </row>
    <row r="1358" spans="2:25" ht="24.95" customHeight="1" x14ac:dyDescent="0.2">
      <c r="B1358" s="8"/>
    </row>
    <row r="1359" spans="2:25" ht="24.95" customHeight="1" x14ac:dyDescent="0.2">
      <c r="B1359" s="8"/>
    </row>
    <row r="1360" spans="2:25" ht="24.95" customHeight="1" x14ac:dyDescent="0.2">
      <c r="B1360" s="8"/>
    </row>
    <row r="1361" spans="2:2" ht="24.95" customHeight="1" x14ac:dyDescent="0.2">
      <c r="B1361" s="8"/>
    </row>
    <row r="1362" spans="2:2" ht="24.95" customHeight="1" x14ac:dyDescent="0.2">
      <c r="B1362" s="8"/>
    </row>
    <row r="1363" spans="2:2" ht="24.95" customHeight="1" x14ac:dyDescent="0.2">
      <c r="B1363" s="8"/>
    </row>
    <row r="1364" spans="2:2" ht="24.95" customHeight="1" x14ac:dyDescent="0.2">
      <c r="B1364" s="8"/>
    </row>
    <row r="1365" spans="2:2" ht="24.95" customHeight="1" x14ac:dyDescent="0.2">
      <c r="B1365" s="8"/>
    </row>
    <row r="1366" spans="2:2" ht="24.95" customHeight="1" x14ac:dyDescent="0.2">
      <c r="B1366" s="8"/>
    </row>
    <row r="1367" spans="2:2" ht="24.95" customHeight="1" x14ac:dyDescent="0.2">
      <c r="B1367" s="8"/>
    </row>
    <row r="1368" spans="2:2" ht="24.95" customHeight="1" x14ac:dyDescent="0.2">
      <c r="B1368" s="8"/>
    </row>
    <row r="1369" spans="2:2" ht="24.95" customHeight="1" x14ac:dyDescent="0.2">
      <c r="B1369" s="8"/>
    </row>
    <row r="1370" spans="2:2" ht="24.95" customHeight="1" x14ac:dyDescent="0.2">
      <c r="B1370" s="8"/>
    </row>
    <row r="1371" spans="2:2" ht="24.95" customHeight="1" x14ac:dyDescent="0.2">
      <c r="B1371" s="8"/>
    </row>
    <row r="1372" spans="2:2" ht="24.95" customHeight="1" x14ac:dyDescent="0.2">
      <c r="B1372" s="8"/>
    </row>
    <row r="1373" spans="2:2" ht="24.95" customHeight="1" x14ac:dyDescent="0.2">
      <c r="B1373" s="8"/>
    </row>
    <row r="1374" spans="2:2" ht="24.95" customHeight="1" x14ac:dyDescent="0.2">
      <c r="B1374" s="8"/>
    </row>
    <row r="1375" spans="2:2" ht="24.95" customHeight="1" x14ac:dyDescent="0.2">
      <c r="B1375" s="8"/>
    </row>
    <row r="1376" spans="2:2" ht="24.95" customHeight="1" x14ac:dyDescent="0.2">
      <c r="B1376" s="8"/>
    </row>
    <row r="1377" spans="2:2" ht="24.95" customHeight="1" x14ac:dyDescent="0.2">
      <c r="B1377" s="8"/>
    </row>
    <row r="1378" spans="2:2" ht="24.95" customHeight="1" x14ac:dyDescent="0.2">
      <c r="B1378" s="8"/>
    </row>
    <row r="1379" spans="2:2" ht="24.95" customHeight="1" x14ac:dyDescent="0.2">
      <c r="B1379" s="8"/>
    </row>
    <row r="1380" spans="2:2" ht="24.95" customHeight="1" x14ac:dyDescent="0.2">
      <c r="B1380" s="8"/>
    </row>
    <row r="1381" spans="2:2" ht="24.95" customHeight="1" x14ac:dyDescent="0.2">
      <c r="B1381" s="8"/>
    </row>
    <row r="1382" spans="2:2" ht="24.95" customHeight="1" x14ac:dyDescent="0.2">
      <c r="B1382" s="8"/>
    </row>
    <row r="1383" spans="2:2" ht="24.95" customHeight="1" x14ac:dyDescent="0.2">
      <c r="B1383" s="8"/>
    </row>
    <row r="1384" spans="2:2" ht="24.95" customHeight="1" x14ac:dyDescent="0.2">
      <c r="B1384" s="8"/>
    </row>
    <row r="1385" spans="2:2" ht="24.95" customHeight="1" x14ac:dyDescent="0.2">
      <c r="B1385" s="8"/>
    </row>
    <row r="1386" spans="2:2" ht="24.95" customHeight="1" x14ac:dyDescent="0.2">
      <c r="B1386" s="8"/>
    </row>
    <row r="1387" spans="2:2" ht="24.95" customHeight="1" x14ac:dyDescent="0.2">
      <c r="B1387" s="8"/>
    </row>
    <row r="1388" spans="2:2" ht="24.95" customHeight="1" x14ac:dyDescent="0.2">
      <c r="B1388" s="8"/>
    </row>
    <row r="1389" spans="2:2" ht="24.95" customHeight="1" x14ac:dyDescent="0.2">
      <c r="B1389" s="8"/>
    </row>
    <row r="1390" spans="2:2" ht="24.95" customHeight="1" x14ac:dyDescent="0.2">
      <c r="B1390" s="8"/>
    </row>
    <row r="1391" spans="2:2" ht="24.95" customHeight="1" x14ac:dyDescent="0.2">
      <c r="B1391" s="8"/>
    </row>
    <row r="1392" spans="2:2" ht="24.95" customHeight="1" x14ac:dyDescent="0.2">
      <c r="B1392" s="8"/>
    </row>
    <row r="1393" spans="2:2" ht="24.95" customHeight="1" x14ac:dyDescent="0.2">
      <c r="B1393" s="8"/>
    </row>
    <row r="1394" spans="2:2" ht="24.95" customHeight="1" x14ac:dyDescent="0.2">
      <c r="B1394" s="8"/>
    </row>
    <row r="1395" spans="2:2" ht="24.95" customHeight="1" x14ac:dyDescent="0.2">
      <c r="B1395" s="8"/>
    </row>
    <row r="1396" spans="2:2" ht="24.95" customHeight="1" x14ac:dyDescent="0.2">
      <c r="B1396" s="8"/>
    </row>
    <row r="1397" spans="2:2" ht="24.95" customHeight="1" x14ac:dyDescent="0.2">
      <c r="B1397" s="8"/>
    </row>
    <row r="1398" spans="2:2" ht="24.95" customHeight="1" x14ac:dyDescent="0.2">
      <c r="B1398" s="8"/>
    </row>
    <row r="1399" spans="2:2" ht="24.95" customHeight="1" x14ac:dyDescent="0.2">
      <c r="B1399" s="8"/>
    </row>
    <row r="1400" spans="2:2" ht="24.95" customHeight="1" x14ac:dyDescent="0.2">
      <c r="B1400" s="8"/>
    </row>
    <row r="1401" spans="2:2" ht="24.95" customHeight="1" x14ac:dyDescent="0.2">
      <c r="B1401" s="8"/>
    </row>
    <row r="1402" spans="2:2" ht="24.95" customHeight="1" x14ac:dyDescent="0.2">
      <c r="B1402" s="8"/>
    </row>
    <row r="1403" spans="2:2" ht="24.95" customHeight="1" x14ac:dyDescent="0.2">
      <c r="B1403" s="8"/>
    </row>
    <row r="1404" spans="2:2" ht="24.95" customHeight="1" x14ac:dyDescent="0.2">
      <c r="B1404" s="8"/>
    </row>
    <row r="1405" spans="2:2" ht="24.95" customHeight="1" x14ac:dyDescent="0.2">
      <c r="B1405" s="8"/>
    </row>
    <row r="1406" spans="2:2" ht="24.95" customHeight="1" x14ac:dyDescent="0.2">
      <c r="B1406" s="8"/>
    </row>
    <row r="1407" spans="2:2" ht="24.95" customHeight="1" x14ac:dyDescent="0.2">
      <c r="B1407" s="8"/>
    </row>
    <row r="1408" spans="2:2" ht="24.95" customHeight="1" x14ac:dyDescent="0.2">
      <c r="B1408" s="8"/>
    </row>
    <row r="1409" spans="2:2" ht="24.95" customHeight="1" x14ac:dyDescent="0.2">
      <c r="B1409" s="8"/>
    </row>
    <row r="1410" spans="2:2" ht="24.95" customHeight="1" x14ac:dyDescent="0.2">
      <c r="B1410" s="8"/>
    </row>
    <row r="1411" spans="2:2" ht="24.95" customHeight="1" x14ac:dyDescent="0.2">
      <c r="B1411" s="8"/>
    </row>
    <row r="1412" spans="2:2" ht="24.95" customHeight="1" x14ac:dyDescent="0.2">
      <c r="B1412" s="8"/>
    </row>
    <row r="1413" spans="2:2" ht="24.95" customHeight="1" x14ac:dyDescent="0.2">
      <c r="B1413" s="8"/>
    </row>
    <row r="1414" spans="2:2" ht="24.95" customHeight="1" x14ac:dyDescent="0.2">
      <c r="B1414" s="8"/>
    </row>
    <row r="1415" spans="2:2" ht="24.95" customHeight="1" x14ac:dyDescent="0.2">
      <c r="B1415" s="8"/>
    </row>
    <row r="1416" spans="2:2" ht="24.95" customHeight="1" x14ac:dyDescent="0.2">
      <c r="B1416" s="8"/>
    </row>
    <row r="1417" spans="2:2" ht="24.95" customHeight="1" x14ac:dyDescent="0.2">
      <c r="B1417" s="8"/>
    </row>
    <row r="1418" spans="2:2" ht="24.95" customHeight="1" x14ac:dyDescent="0.2">
      <c r="B1418" s="8"/>
    </row>
    <row r="1419" spans="2:2" ht="24.95" customHeight="1" x14ac:dyDescent="0.2">
      <c r="B1419" s="8"/>
    </row>
    <row r="1420" spans="2:2" ht="24.95" customHeight="1" x14ac:dyDescent="0.2">
      <c r="B1420" s="8"/>
    </row>
    <row r="1421" spans="2:2" ht="24.95" customHeight="1" x14ac:dyDescent="0.2">
      <c r="B1421" s="8"/>
    </row>
    <row r="1422" spans="2:2" ht="24.95" customHeight="1" x14ac:dyDescent="0.2">
      <c r="B1422" s="8"/>
    </row>
    <row r="1423" spans="2:2" ht="24.95" customHeight="1" x14ac:dyDescent="0.2">
      <c r="B1423" s="8"/>
    </row>
    <row r="1424" spans="2:2" ht="24.95" customHeight="1" x14ac:dyDescent="0.2">
      <c r="B1424" s="8"/>
    </row>
    <row r="1425" spans="2:2" ht="24.95" customHeight="1" x14ac:dyDescent="0.2">
      <c r="B1425" s="8"/>
    </row>
    <row r="1426" spans="2:2" ht="24.95" customHeight="1" x14ac:dyDescent="0.2">
      <c r="B1426" s="8"/>
    </row>
    <row r="1427" spans="2:2" ht="24.95" customHeight="1" x14ac:dyDescent="0.2">
      <c r="B1427" s="8"/>
    </row>
    <row r="1428" spans="2:2" ht="24.95" customHeight="1" x14ac:dyDescent="0.2">
      <c r="B1428" s="8"/>
    </row>
    <row r="1429" spans="2:2" ht="24.95" customHeight="1" x14ac:dyDescent="0.2">
      <c r="B1429" s="8"/>
    </row>
    <row r="1430" spans="2:2" ht="24.95" customHeight="1" x14ac:dyDescent="0.2">
      <c r="B1430" s="8"/>
    </row>
    <row r="1431" spans="2:2" ht="24.95" customHeight="1" x14ac:dyDescent="0.2">
      <c r="B1431" s="8"/>
    </row>
    <row r="1432" spans="2:2" ht="24.95" customHeight="1" x14ac:dyDescent="0.2">
      <c r="B1432" s="8"/>
    </row>
    <row r="1433" spans="2:2" ht="24.95" customHeight="1" x14ac:dyDescent="0.2">
      <c r="B1433" s="8"/>
    </row>
    <row r="1434" spans="2:2" ht="24.95" customHeight="1" x14ac:dyDescent="0.2">
      <c r="B1434" s="8"/>
    </row>
    <row r="1435" spans="2:2" ht="24.95" customHeight="1" x14ac:dyDescent="0.2">
      <c r="B1435" s="8"/>
    </row>
    <row r="1436" spans="2:2" ht="24.95" customHeight="1" x14ac:dyDescent="0.2">
      <c r="B1436" s="8"/>
    </row>
    <row r="1437" spans="2:2" ht="24.95" customHeight="1" x14ac:dyDescent="0.2">
      <c r="B1437" s="8"/>
    </row>
    <row r="1438" spans="2:2" ht="24.95" customHeight="1" x14ac:dyDescent="0.2">
      <c r="B1438" s="8"/>
    </row>
    <row r="1439" spans="2:2" ht="24.95" customHeight="1" x14ac:dyDescent="0.2">
      <c r="B1439" s="8"/>
    </row>
    <row r="1440" spans="2:2" ht="24.95" customHeight="1" x14ac:dyDescent="0.2">
      <c r="B1440" s="8"/>
    </row>
    <row r="1441" spans="2:2" ht="24.95" customHeight="1" x14ac:dyDescent="0.2">
      <c r="B1441" s="8"/>
    </row>
    <row r="1442" spans="2:2" ht="24.95" customHeight="1" x14ac:dyDescent="0.2">
      <c r="B1442" s="8"/>
    </row>
    <row r="1443" spans="2:2" ht="24.95" customHeight="1" x14ac:dyDescent="0.2">
      <c r="B1443" s="8"/>
    </row>
    <row r="1444" spans="2:2" ht="24.95" customHeight="1" x14ac:dyDescent="0.2">
      <c r="B1444" s="8"/>
    </row>
    <row r="1445" spans="2:2" ht="24.95" customHeight="1" x14ac:dyDescent="0.2">
      <c r="B1445" s="8"/>
    </row>
    <row r="1446" spans="2:2" ht="24.95" customHeight="1" x14ac:dyDescent="0.2">
      <c r="B1446" s="8"/>
    </row>
    <row r="1447" spans="2:2" ht="24.95" customHeight="1" x14ac:dyDescent="0.2">
      <c r="B1447" s="8"/>
    </row>
    <row r="1448" spans="2:2" ht="24.95" customHeight="1" x14ac:dyDescent="0.2">
      <c r="B1448" s="8"/>
    </row>
    <row r="1449" spans="2:2" ht="24.95" customHeight="1" x14ac:dyDescent="0.2">
      <c r="B1449" s="8"/>
    </row>
    <row r="1450" spans="2:2" ht="24.95" customHeight="1" x14ac:dyDescent="0.2">
      <c r="B1450" s="8"/>
    </row>
    <row r="1451" spans="2:2" ht="24.95" customHeight="1" x14ac:dyDescent="0.2">
      <c r="B1451" s="8"/>
    </row>
    <row r="1452" spans="2:2" ht="24.95" customHeight="1" x14ac:dyDescent="0.2">
      <c r="B1452" s="8"/>
    </row>
    <row r="1453" spans="2:2" ht="24.95" customHeight="1" x14ac:dyDescent="0.2">
      <c r="B1453" s="8"/>
    </row>
    <row r="1454" spans="2:2" ht="24.95" customHeight="1" x14ac:dyDescent="0.2">
      <c r="B1454" s="8"/>
    </row>
    <row r="1455" spans="2:2" ht="24.95" customHeight="1" x14ac:dyDescent="0.2">
      <c r="B1455" s="8"/>
    </row>
    <row r="1456" spans="2:2" ht="24.95" customHeight="1" x14ac:dyDescent="0.2">
      <c r="B1456" s="8"/>
    </row>
    <row r="1457" spans="2:2" ht="24.95" customHeight="1" x14ac:dyDescent="0.2">
      <c r="B1457" s="8"/>
    </row>
    <row r="1458" spans="2:2" ht="24.95" customHeight="1" x14ac:dyDescent="0.2">
      <c r="B1458" s="8"/>
    </row>
    <row r="1459" spans="2:2" ht="24.95" customHeight="1" x14ac:dyDescent="0.2">
      <c r="B1459" s="8"/>
    </row>
    <row r="1460" spans="2:2" ht="24.95" customHeight="1" x14ac:dyDescent="0.2">
      <c r="B1460" s="8"/>
    </row>
    <row r="1461" spans="2:2" ht="24.95" customHeight="1" x14ac:dyDescent="0.2">
      <c r="B1461" s="8"/>
    </row>
    <row r="1462" spans="2:2" ht="24.95" customHeight="1" x14ac:dyDescent="0.2">
      <c r="B1462" s="8"/>
    </row>
    <row r="1463" spans="2:2" ht="24.95" customHeight="1" x14ac:dyDescent="0.2">
      <c r="B1463" s="8"/>
    </row>
    <row r="1464" spans="2:2" ht="24.95" customHeight="1" x14ac:dyDescent="0.2">
      <c r="B1464" s="8"/>
    </row>
    <row r="1465" spans="2:2" ht="24.95" customHeight="1" x14ac:dyDescent="0.2">
      <c r="B1465" s="8"/>
    </row>
    <row r="1466" spans="2:2" ht="24.95" customHeight="1" x14ac:dyDescent="0.2">
      <c r="B1466" s="8"/>
    </row>
    <row r="1467" spans="2:2" ht="24.95" customHeight="1" x14ac:dyDescent="0.2">
      <c r="B1467" s="8"/>
    </row>
    <row r="1468" spans="2:2" ht="24.95" customHeight="1" x14ac:dyDescent="0.2">
      <c r="B1468" s="8"/>
    </row>
    <row r="1469" spans="2:2" ht="24.95" customHeight="1" x14ac:dyDescent="0.2">
      <c r="B1469" s="8"/>
    </row>
    <row r="1470" spans="2:2" ht="24.95" customHeight="1" x14ac:dyDescent="0.2">
      <c r="B1470" s="8"/>
    </row>
    <row r="1471" spans="2:2" ht="24.95" customHeight="1" x14ac:dyDescent="0.2">
      <c r="B1471" s="8"/>
    </row>
    <row r="1472" spans="2:2" ht="24.95" customHeight="1" x14ac:dyDescent="0.2">
      <c r="B1472" s="8"/>
    </row>
    <row r="1473" spans="2:2" ht="24.95" customHeight="1" x14ac:dyDescent="0.2">
      <c r="B1473" s="8"/>
    </row>
    <row r="1474" spans="2:2" ht="24.95" customHeight="1" x14ac:dyDescent="0.2">
      <c r="B1474" s="8"/>
    </row>
    <row r="1475" spans="2:2" ht="24.95" customHeight="1" x14ac:dyDescent="0.2">
      <c r="B1475" s="8"/>
    </row>
    <row r="1476" spans="2:2" ht="24.95" customHeight="1" x14ac:dyDescent="0.2">
      <c r="B1476" s="8"/>
    </row>
    <row r="1477" spans="2:2" ht="24.95" customHeight="1" x14ac:dyDescent="0.2">
      <c r="B1477" s="8"/>
    </row>
    <row r="1478" spans="2:2" ht="24.95" customHeight="1" x14ac:dyDescent="0.2">
      <c r="B1478" s="8"/>
    </row>
    <row r="1479" spans="2:2" ht="24.95" customHeight="1" x14ac:dyDescent="0.2">
      <c r="B1479" s="8"/>
    </row>
    <row r="1480" spans="2:2" ht="24.95" customHeight="1" x14ac:dyDescent="0.2">
      <c r="B1480" s="8"/>
    </row>
    <row r="1481" spans="2:2" ht="24.95" customHeight="1" x14ac:dyDescent="0.2">
      <c r="B1481" s="8"/>
    </row>
    <row r="1482" spans="2:2" ht="24.95" customHeight="1" x14ac:dyDescent="0.2">
      <c r="B1482" s="8"/>
    </row>
    <row r="1483" spans="2:2" ht="24.95" customHeight="1" x14ac:dyDescent="0.2">
      <c r="B1483" s="8"/>
    </row>
    <row r="1484" spans="2:2" ht="24.95" customHeight="1" x14ac:dyDescent="0.2">
      <c r="B1484" s="8"/>
    </row>
    <row r="1485" spans="2:2" ht="24.95" customHeight="1" x14ac:dyDescent="0.2">
      <c r="B1485" s="8"/>
    </row>
    <row r="1486" spans="2:2" ht="24.95" customHeight="1" x14ac:dyDescent="0.2">
      <c r="B1486" s="8"/>
    </row>
    <row r="1487" spans="2:2" ht="24.95" customHeight="1" x14ac:dyDescent="0.2">
      <c r="B1487" s="8"/>
    </row>
    <row r="1488" spans="2:2" ht="24.95" customHeight="1" x14ac:dyDescent="0.2">
      <c r="B1488" s="8"/>
    </row>
    <row r="1489" spans="2:2" ht="24.95" customHeight="1" x14ac:dyDescent="0.2">
      <c r="B1489" s="8"/>
    </row>
    <row r="1490" spans="2:2" ht="24.95" customHeight="1" x14ac:dyDescent="0.2">
      <c r="B1490" s="8"/>
    </row>
    <row r="1491" spans="2:2" ht="24.95" customHeight="1" x14ac:dyDescent="0.2">
      <c r="B1491" s="8"/>
    </row>
    <row r="1492" spans="2:2" ht="24.95" customHeight="1" x14ac:dyDescent="0.2">
      <c r="B1492" s="8"/>
    </row>
    <row r="1493" spans="2:2" ht="24.95" customHeight="1" x14ac:dyDescent="0.2">
      <c r="B1493" s="8"/>
    </row>
    <row r="1494" spans="2:2" ht="24.95" customHeight="1" x14ac:dyDescent="0.2">
      <c r="B1494" s="8"/>
    </row>
    <row r="1495" spans="2:2" ht="24.95" customHeight="1" x14ac:dyDescent="0.2">
      <c r="B1495" s="8"/>
    </row>
    <row r="1496" spans="2:2" ht="24.95" customHeight="1" x14ac:dyDescent="0.2">
      <c r="B1496" s="8"/>
    </row>
    <row r="1497" spans="2:2" ht="24.95" customHeight="1" x14ac:dyDescent="0.2">
      <c r="B1497" s="8"/>
    </row>
    <row r="1498" spans="2:2" ht="24.95" customHeight="1" x14ac:dyDescent="0.2">
      <c r="B1498" s="8"/>
    </row>
    <row r="1499" spans="2:2" ht="24.95" customHeight="1" x14ac:dyDescent="0.2">
      <c r="B1499" s="8"/>
    </row>
    <row r="1500" spans="2:2" ht="24.95" customHeight="1" x14ac:dyDescent="0.2">
      <c r="B1500" s="8"/>
    </row>
    <row r="1501" spans="2:2" ht="24.95" customHeight="1" x14ac:dyDescent="0.2">
      <c r="B1501" s="8"/>
    </row>
    <row r="1502" spans="2:2" ht="24.95" customHeight="1" x14ac:dyDescent="0.2">
      <c r="B1502" s="8"/>
    </row>
    <row r="1503" spans="2:2" ht="24.95" customHeight="1" x14ac:dyDescent="0.2">
      <c r="B1503" s="8"/>
    </row>
    <row r="1504" spans="2:2" ht="24.95" customHeight="1" x14ac:dyDescent="0.2">
      <c r="B1504" s="8"/>
    </row>
    <row r="1505" spans="2:2" ht="24.95" customHeight="1" x14ac:dyDescent="0.2">
      <c r="B1505" s="8"/>
    </row>
    <row r="1506" spans="2:2" ht="24.95" customHeight="1" x14ac:dyDescent="0.2">
      <c r="B1506" s="8"/>
    </row>
    <row r="1507" spans="2:2" ht="24.95" customHeight="1" x14ac:dyDescent="0.2">
      <c r="B1507" s="8"/>
    </row>
    <row r="1508" spans="2:2" ht="24.95" customHeight="1" x14ac:dyDescent="0.2">
      <c r="B1508" s="8"/>
    </row>
    <row r="1509" spans="2:2" ht="24.95" customHeight="1" x14ac:dyDescent="0.2">
      <c r="B1509" s="8"/>
    </row>
    <row r="1510" spans="2:2" ht="24.95" customHeight="1" x14ac:dyDescent="0.2">
      <c r="B1510" s="8"/>
    </row>
    <row r="1511" spans="2:2" ht="24.95" customHeight="1" x14ac:dyDescent="0.2">
      <c r="B1511" s="8"/>
    </row>
    <row r="1512" spans="2:2" ht="24.95" customHeight="1" x14ac:dyDescent="0.2">
      <c r="B1512" s="8"/>
    </row>
    <row r="1513" spans="2:2" ht="24.95" customHeight="1" x14ac:dyDescent="0.2">
      <c r="B1513" s="8"/>
    </row>
    <row r="1514" spans="2:2" ht="24.95" customHeight="1" x14ac:dyDescent="0.2">
      <c r="B1514" s="8"/>
    </row>
    <row r="1515" spans="2:2" ht="24.95" customHeight="1" x14ac:dyDescent="0.2">
      <c r="B1515" s="8"/>
    </row>
    <row r="1516" spans="2:2" ht="24.95" customHeight="1" x14ac:dyDescent="0.2">
      <c r="B1516" s="8"/>
    </row>
    <row r="1517" spans="2:2" ht="24.95" customHeight="1" x14ac:dyDescent="0.2">
      <c r="B1517" s="8"/>
    </row>
    <row r="1518" spans="2:2" ht="24.95" customHeight="1" x14ac:dyDescent="0.2">
      <c r="B1518" s="8"/>
    </row>
    <row r="1519" spans="2:2" ht="24.95" customHeight="1" x14ac:dyDescent="0.2">
      <c r="B1519" s="8"/>
    </row>
    <row r="1520" spans="2:2" ht="24.95" customHeight="1" x14ac:dyDescent="0.2">
      <c r="B1520" s="8"/>
    </row>
    <row r="1521" spans="2:2" ht="24.95" customHeight="1" x14ac:dyDescent="0.2">
      <c r="B1521" s="8"/>
    </row>
    <row r="1522" spans="2:2" ht="24.95" customHeight="1" x14ac:dyDescent="0.2">
      <c r="B1522" s="8"/>
    </row>
    <row r="1523" spans="2:2" ht="24.95" customHeight="1" x14ac:dyDescent="0.2">
      <c r="B1523" s="8"/>
    </row>
    <row r="1524" spans="2:2" ht="24.95" customHeight="1" x14ac:dyDescent="0.2">
      <c r="B1524" s="8"/>
    </row>
    <row r="1525" spans="2:2" ht="24.95" customHeight="1" x14ac:dyDescent="0.2">
      <c r="B1525" s="8"/>
    </row>
    <row r="1526" spans="2:2" ht="24.95" customHeight="1" x14ac:dyDescent="0.2">
      <c r="B1526" s="8"/>
    </row>
    <row r="1527" spans="2:2" ht="24.95" customHeight="1" x14ac:dyDescent="0.2">
      <c r="B1527" s="8"/>
    </row>
    <row r="1528" spans="2:2" ht="24.95" customHeight="1" x14ac:dyDescent="0.2">
      <c r="B1528" s="8"/>
    </row>
    <row r="1529" spans="2:2" ht="24.95" customHeight="1" x14ac:dyDescent="0.2">
      <c r="B1529" s="8"/>
    </row>
    <row r="1530" spans="2:2" ht="24.95" customHeight="1" x14ac:dyDescent="0.2">
      <c r="B1530" s="8"/>
    </row>
    <row r="1531" spans="2:2" ht="24.95" customHeight="1" x14ac:dyDescent="0.2">
      <c r="B1531" s="8"/>
    </row>
    <row r="1532" spans="2:2" ht="24.95" customHeight="1" x14ac:dyDescent="0.2">
      <c r="B1532" s="8"/>
    </row>
    <row r="1533" spans="2:2" ht="24.95" customHeight="1" x14ac:dyDescent="0.2">
      <c r="B1533" s="8"/>
    </row>
    <row r="1534" spans="2:2" ht="24.95" customHeight="1" x14ac:dyDescent="0.2">
      <c r="B1534" s="8"/>
    </row>
    <row r="1535" spans="2:2" ht="24.95" customHeight="1" x14ac:dyDescent="0.2">
      <c r="B1535" s="8"/>
    </row>
    <row r="1536" spans="2:2" ht="24.95" customHeight="1" x14ac:dyDescent="0.2">
      <c r="B1536" s="8"/>
    </row>
    <row r="1537" spans="2:2" ht="24.95" customHeight="1" x14ac:dyDescent="0.2">
      <c r="B1537" s="8"/>
    </row>
    <row r="1538" spans="2:2" ht="24.95" customHeight="1" x14ac:dyDescent="0.2">
      <c r="B1538" s="8"/>
    </row>
    <row r="1539" spans="2:2" ht="24.95" customHeight="1" x14ac:dyDescent="0.2">
      <c r="B1539" s="8"/>
    </row>
    <row r="1540" spans="2:2" ht="24.95" customHeight="1" x14ac:dyDescent="0.2">
      <c r="B1540" s="8"/>
    </row>
    <row r="1541" spans="2:2" ht="24.95" customHeight="1" x14ac:dyDescent="0.2">
      <c r="B1541" s="8"/>
    </row>
    <row r="1542" spans="2:2" ht="24.95" customHeight="1" x14ac:dyDescent="0.2">
      <c r="B1542" s="8"/>
    </row>
    <row r="1543" spans="2:2" ht="24.95" customHeight="1" x14ac:dyDescent="0.2">
      <c r="B1543" s="8"/>
    </row>
    <row r="1544" spans="2:2" ht="24.95" customHeight="1" x14ac:dyDescent="0.2">
      <c r="B1544" s="8"/>
    </row>
    <row r="1545" spans="2:2" ht="24.95" customHeight="1" x14ac:dyDescent="0.2">
      <c r="B1545" s="8"/>
    </row>
    <row r="1546" spans="2:2" ht="24.95" customHeight="1" x14ac:dyDescent="0.2">
      <c r="B1546" s="8"/>
    </row>
    <row r="1547" spans="2:2" ht="24.95" customHeight="1" x14ac:dyDescent="0.2">
      <c r="B1547" s="8"/>
    </row>
    <row r="1548" spans="2:2" ht="24.95" customHeight="1" x14ac:dyDescent="0.2">
      <c r="B1548" s="8"/>
    </row>
    <row r="1549" spans="2:2" ht="24.95" customHeight="1" x14ac:dyDescent="0.2">
      <c r="B1549" s="8"/>
    </row>
    <row r="1550" spans="2:2" ht="24.95" customHeight="1" x14ac:dyDescent="0.2">
      <c r="B1550" s="8"/>
    </row>
    <row r="1551" spans="2:2" ht="24.95" customHeight="1" x14ac:dyDescent="0.2">
      <c r="B1551" s="8"/>
    </row>
    <row r="1552" spans="2:2" ht="24.95" customHeight="1" x14ac:dyDescent="0.2">
      <c r="B1552" s="8"/>
    </row>
    <row r="1553" spans="2:34" ht="24.95" customHeight="1" x14ac:dyDescent="0.2">
      <c r="B1553" s="8"/>
      <c r="AH1553" s="10">
        <v>0</v>
      </c>
    </row>
    <row r="1554" spans="2:34" ht="24.95" customHeight="1" x14ac:dyDescent="0.2">
      <c r="B1554" s="8"/>
    </row>
    <row r="1555" spans="2:34" ht="24.95" customHeight="1" x14ac:dyDescent="0.2">
      <c r="B1555" s="8"/>
    </row>
    <row r="1556" spans="2:34" ht="24.95" customHeight="1" x14ac:dyDescent="0.2">
      <c r="B1556" s="8"/>
    </row>
    <row r="1557" spans="2:34" ht="24.95" customHeight="1" x14ac:dyDescent="0.2">
      <c r="B1557" s="8"/>
    </row>
    <row r="1558" spans="2:34" ht="24.95" customHeight="1" x14ac:dyDescent="0.2">
      <c r="B1558" s="8"/>
    </row>
    <row r="1559" spans="2:34" ht="24.95" customHeight="1" x14ac:dyDescent="0.2">
      <c r="B1559" s="8"/>
    </row>
    <row r="1560" spans="2:34" ht="24.95" customHeight="1" x14ac:dyDescent="0.2">
      <c r="B1560" s="8"/>
    </row>
    <row r="1561" spans="2:34" ht="24.95" customHeight="1" x14ac:dyDescent="0.2">
      <c r="B1561" s="8"/>
    </row>
    <row r="1562" spans="2:34" ht="24.95" customHeight="1" x14ac:dyDescent="0.2">
      <c r="B1562" s="8"/>
    </row>
    <row r="1563" spans="2:34" ht="24.95" customHeight="1" x14ac:dyDescent="0.2">
      <c r="B1563" s="8"/>
    </row>
    <row r="1564" spans="2:34" ht="24.95" customHeight="1" x14ac:dyDescent="0.2">
      <c r="B1564" s="8"/>
    </row>
    <row r="1565" spans="2:34" ht="24.95" customHeight="1" x14ac:dyDescent="0.2">
      <c r="B1565" s="8"/>
    </row>
    <row r="1566" spans="2:34" ht="24.95" customHeight="1" x14ac:dyDescent="0.2">
      <c r="B1566" s="8"/>
    </row>
    <row r="1567" spans="2:34" ht="24.95" customHeight="1" x14ac:dyDescent="0.2">
      <c r="B1567" s="8"/>
    </row>
    <row r="1568" spans="2:34" ht="24.95" customHeight="1" x14ac:dyDescent="0.2">
      <c r="B1568" s="8"/>
    </row>
    <row r="1569" spans="2:2" ht="24.95" customHeight="1" x14ac:dyDescent="0.2">
      <c r="B1569" s="8"/>
    </row>
    <row r="1570" spans="2:2" ht="24.95" customHeight="1" x14ac:dyDescent="0.2">
      <c r="B1570" s="8"/>
    </row>
    <row r="1571" spans="2:2" ht="24.95" customHeight="1" x14ac:dyDescent="0.2">
      <c r="B1571" s="8"/>
    </row>
    <row r="1572" spans="2:2" ht="24.95" customHeight="1" x14ac:dyDescent="0.2">
      <c r="B1572" s="8"/>
    </row>
    <row r="1573" spans="2:2" ht="24.95" customHeight="1" x14ac:dyDescent="0.2">
      <c r="B1573" s="8"/>
    </row>
    <row r="1574" spans="2:2" ht="24.95" customHeight="1" x14ac:dyDescent="0.2">
      <c r="B1574" s="8"/>
    </row>
    <row r="1575" spans="2:2" ht="24.95" customHeight="1" x14ac:dyDescent="0.2">
      <c r="B1575" s="8"/>
    </row>
    <row r="1576" spans="2:2" ht="24.95" customHeight="1" x14ac:dyDescent="0.2">
      <c r="B1576" s="8"/>
    </row>
    <row r="1577" spans="2:2" ht="24.95" customHeight="1" x14ac:dyDescent="0.2">
      <c r="B1577" s="8"/>
    </row>
    <row r="1578" spans="2:2" ht="24.95" customHeight="1" x14ac:dyDescent="0.2">
      <c r="B1578" s="8"/>
    </row>
    <row r="1579" spans="2:2" ht="24.95" customHeight="1" x14ac:dyDescent="0.2">
      <c r="B1579" s="8"/>
    </row>
    <row r="1580" spans="2:2" ht="24.95" customHeight="1" x14ac:dyDescent="0.2">
      <c r="B1580" s="8"/>
    </row>
    <row r="1581" spans="2:2" ht="24.95" customHeight="1" x14ac:dyDescent="0.2">
      <c r="B1581" s="8"/>
    </row>
    <row r="1582" spans="2:2" ht="24.95" customHeight="1" x14ac:dyDescent="0.2">
      <c r="B1582" s="8"/>
    </row>
    <row r="1583" spans="2:2" ht="24.95" customHeight="1" x14ac:dyDescent="0.2">
      <c r="B1583" s="8"/>
    </row>
    <row r="1584" spans="2:2" ht="24.95" customHeight="1" x14ac:dyDescent="0.2">
      <c r="B1584" s="8"/>
    </row>
    <row r="1585" spans="2:2" ht="24.95" customHeight="1" x14ac:dyDescent="0.2">
      <c r="B1585" s="8"/>
    </row>
    <row r="1586" spans="2:2" ht="24.95" customHeight="1" x14ac:dyDescent="0.2">
      <c r="B1586" s="8"/>
    </row>
    <row r="1587" spans="2:2" ht="24.95" customHeight="1" x14ac:dyDescent="0.2">
      <c r="B1587" s="8"/>
    </row>
    <row r="1588" spans="2:2" ht="24.95" customHeight="1" x14ac:dyDescent="0.2">
      <c r="B1588" s="8"/>
    </row>
    <row r="1589" spans="2:2" ht="24.95" customHeight="1" x14ac:dyDescent="0.2">
      <c r="B1589" s="8"/>
    </row>
    <row r="1590" spans="2:2" ht="24.95" customHeight="1" x14ac:dyDescent="0.2">
      <c r="B1590" s="8"/>
    </row>
    <row r="1591" spans="2:2" ht="24.95" customHeight="1" x14ac:dyDescent="0.2">
      <c r="B1591" s="8"/>
    </row>
    <row r="1592" spans="2:2" ht="24.95" customHeight="1" x14ac:dyDescent="0.2">
      <c r="B1592" s="8"/>
    </row>
    <row r="1593" spans="2:2" ht="24.95" customHeight="1" x14ac:dyDescent="0.2">
      <c r="B1593" s="8"/>
    </row>
    <row r="1594" spans="2:2" ht="24.95" customHeight="1" x14ac:dyDescent="0.2">
      <c r="B1594" s="8"/>
    </row>
    <row r="1595" spans="2:2" ht="24.95" customHeight="1" x14ac:dyDescent="0.2">
      <c r="B1595" s="8"/>
    </row>
    <row r="1596" spans="2:2" ht="24.95" customHeight="1" x14ac:dyDescent="0.2">
      <c r="B1596" s="8"/>
    </row>
    <row r="1597" spans="2:2" ht="24.95" customHeight="1" x14ac:dyDescent="0.2">
      <c r="B1597" s="8"/>
    </row>
    <row r="1598" spans="2:2" ht="24.95" customHeight="1" x14ac:dyDescent="0.2">
      <c r="B1598" s="8"/>
    </row>
    <row r="1599" spans="2:2" ht="24.95" customHeight="1" x14ac:dyDescent="0.2">
      <c r="B1599" s="8"/>
    </row>
    <row r="1600" spans="2:2" ht="24.95" customHeight="1" x14ac:dyDescent="0.2">
      <c r="B1600" s="8"/>
    </row>
    <row r="1601" spans="2:2" ht="24.95" customHeight="1" x14ac:dyDescent="0.2">
      <c r="B1601" s="8"/>
    </row>
    <row r="1602" spans="2:2" ht="24.95" customHeight="1" x14ac:dyDescent="0.2">
      <c r="B1602" s="8"/>
    </row>
    <row r="1603" spans="2:2" ht="24.95" customHeight="1" x14ac:dyDescent="0.2">
      <c r="B1603" s="8"/>
    </row>
    <row r="1604" spans="2:2" ht="24.95" customHeight="1" x14ac:dyDescent="0.2">
      <c r="B1604" s="8"/>
    </row>
    <row r="1605" spans="2:2" ht="24.95" customHeight="1" x14ac:dyDescent="0.2">
      <c r="B1605" s="8"/>
    </row>
    <row r="1606" spans="2:2" ht="24.95" customHeight="1" x14ac:dyDescent="0.2">
      <c r="B1606" s="8"/>
    </row>
    <row r="1607" spans="2:2" ht="24.95" customHeight="1" x14ac:dyDescent="0.2">
      <c r="B1607" s="8"/>
    </row>
    <row r="1608" spans="2:2" ht="24.95" customHeight="1" x14ac:dyDescent="0.2">
      <c r="B1608" s="8"/>
    </row>
    <row r="1609" spans="2:2" ht="24.95" customHeight="1" x14ac:dyDescent="0.2">
      <c r="B1609" s="8"/>
    </row>
    <row r="1610" spans="2:2" ht="24.95" customHeight="1" x14ac:dyDescent="0.2">
      <c r="B1610" s="8"/>
    </row>
    <row r="1611" spans="2:2" ht="24.95" customHeight="1" x14ac:dyDescent="0.2">
      <c r="B1611" s="8"/>
    </row>
    <row r="1612" spans="2:2" ht="24.95" customHeight="1" x14ac:dyDescent="0.2">
      <c r="B1612" s="8"/>
    </row>
    <row r="1613" spans="2:2" ht="24.95" customHeight="1" x14ac:dyDescent="0.2">
      <c r="B1613" s="8"/>
    </row>
    <row r="1614" spans="2:2" ht="24.95" customHeight="1" x14ac:dyDescent="0.2">
      <c r="B1614" s="8"/>
    </row>
    <row r="1615" spans="2:2" ht="24.95" customHeight="1" x14ac:dyDescent="0.2">
      <c r="B1615" s="8"/>
    </row>
    <row r="1616" spans="2:2" ht="24.95" customHeight="1" x14ac:dyDescent="0.2">
      <c r="B1616" s="8"/>
    </row>
    <row r="1617" spans="2:2" ht="24.95" customHeight="1" x14ac:dyDescent="0.2">
      <c r="B1617" s="8"/>
    </row>
    <row r="1618" spans="2:2" ht="24.95" customHeight="1" x14ac:dyDescent="0.2">
      <c r="B1618" s="8"/>
    </row>
    <row r="1619" spans="2:2" ht="24.95" customHeight="1" x14ac:dyDescent="0.2">
      <c r="B1619" s="8"/>
    </row>
    <row r="1620" spans="2:2" ht="24.95" customHeight="1" x14ac:dyDescent="0.2">
      <c r="B1620" s="8"/>
    </row>
    <row r="1621" spans="2:2" ht="24.95" customHeight="1" x14ac:dyDescent="0.2">
      <c r="B1621" s="8"/>
    </row>
    <row r="1622" spans="2:2" ht="24.95" customHeight="1" x14ac:dyDescent="0.2">
      <c r="B1622" s="8"/>
    </row>
    <row r="1623" spans="2:2" ht="24.95" customHeight="1" x14ac:dyDescent="0.2">
      <c r="B1623" s="8"/>
    </row>
    <row r="1624" spans="2:2" ht="24.95" customHeight="1" x14ac:dyDescent="0.2">
      <c r="B1624" s="8"/>
    </row>
    <row r="1625" spans="2:2" ht="24.95" customHeight="1" x14ac:dyDescent="0.2">
      <c r="B1625" s="8"/>
    </row>
    <row r="1626" spans="2:2" ht="24.95" customHeight="1" x14ac:dyDescent="0.2">
      <c r="B1626" s="8"/>
    </row>
    <row r="1627" spans="2:2" ht="24.95" customHeight="1" x14ac:dyDescent="0.2">
      <c r="B1627" s="8"/>
    </row>
    <row r="1628" spans="2:2" ht="24.95" customHeight="1" x14ac:dyDescent="0.2">
      <c r="B1628" s="8"/>
    </row>
    <row r="1629" spans="2:2" ht="24.95" customHeight="1" x14ac:dyDescent="0.2">
      <c r="B1629" s="8"/>
    </row>
    <row r="1630" spans="2:2" ht="24.95" customHeight="1" x14ac:dyDescent="0.2">
      <c r="B1630" s="8"/>
    </row>
    <row r="1631" spans="2:2" ht="24.95" customHeight="1" x14ac:dyDescent="0.2">
      <c r="B1631" s="8"/>
    </row>
    <row r="1632" spans="2:2" ht="24.95" customHeight="1" x14ac:dyDescent="0.2">
      <c r="B1632" s="8"/>
    </row>
    <row r="1633" spans="2:23" ht="24.95" customHeight="1" x14ac:dyDescent="0.2">
      <c r="B1633" s="8"/>
    </row>
    <row r="1634" spans="2:23" ht="24.95" customHeight="1" x14ac:dyDescent="0.2">
      <c r="B1634" s="8"/>
    </row>
    <row r="1635" spans="2:23" ht="24.95" customHeight="1" x14ac:dyDescent="0.2">
      <c r="B1635" s="8"/>
    </row>
    <row r="1636" spans="2:23" ht="24.95" customHeight="1" x14ac:dyDescent="0.2">
      <c r="B1636" s="8"/>
    </row>
    <row r="1637" spans="2:23" ht="24.95" customHeight="1" x14ac:dyDescent="0.2">
      <c r="B1637" s="8"/>
    </row>
    <row r="1638" spans="2:23" ht="24.95" customHeight="1" x14ac:dyDescent="0.2">
      <c r="B1638" s="8"/>
    </row>
    <row r="1639" spans="2:23" ht="24.95" customHeight="1" x14ac:dyDescent="0.2">
      <c r="B1639" s="8"/>
    </row>
    <row r="1640" spans="2:23" ht="24.95" customHeight="1" x14ac:dyDescent="0.2">
      <c r="B1640" s="8"/>
    </row>
    <row r="1641" spans="2:23" ht="24.95" customHeight="1" x14ac:dyDescent="0.2">
      <c r="B1641" s="8"/>
    </row>
    <row r="1642" spans="2:23" ht="24.95" customHeight="1" x14ac:dyDescent="0.2">
      <c r="B1642" s="8"/>
    </row>
    <row r="1643" spans="2:23" ht="24.95" customHeight="1" x14ac:dyDescent="0.2">
      <c r="B1643" s="8"/>
    </row>
    <row r="1644" spans="2:23" ht="24.95" customHeight="1" x14ac:dyDescent="0.2">
      <c r="B1644" s="8"/>
    </row>
    <row r="1645" spans="2:23" ht="24.95" customHeight="1" x14ac:dyDescent="0.2">
      <c r="B1645" s="8"/>
    </row>
    <row r="1646" spans="2:23" ht="24.95" customHeight="1" x14ac:dyDescent="0.2">
      <c r="B1646" s="8"/>
    </row>
    <row r="1647" spans="2:23" ht="24.95" customHeight="1" x14ac:dyDescent="0.2">
      <c r="B1647" s="8"/>
    </row>
    <row r="1648" spans="2:23" ht="24.95" customHeight="1" x14ac:dyDescent="0.2">
      <c r="B1648" s="8"/>
      <c r="W1648" s="10" t="s">
        <v>1235</v>
      </c>
    </row>
    <row r="1649" spans="2:23" ht="24.95" customHeight="1" x14ac:dyDescent="0.2">
      <c r="B1649" s="8"/>
      <c r="W1649" s="10" t="s">
        <v>1235</v>
      </c>
    </row>
    <row r="1650" spans="2:23" ht="24.95" customHeight="1" x14ac:dyDescent="0.2">
      <c r="B1650" s="8"/>
    </row>
    <row r="1651" spans="2:23" ht="24.95" customHeight="1" x14ac:dyDescent="0.2">
      <c r="B1651" s="8"/>
    </row>
    <row r="1652" spans="2:23" ht="24.95" customHeight="1" x14ac:dyDescent="0.2">
      <c r="B1652" s="8"/>
    </row>
    <row r="1653" spans="2:23" ht="24.95" customHeight="1" x14ac:dyDescent="0.2">
      <c r="B1653" s="8"/>
    </row>
    <row r="1654" spans="2:23" ht="24.95" customHeight="1" x14ac:dyDescent="0.2">
      <c r="B1654" s="8"/>
    </row>
    <row r="1655" spans="2:23" ht="24.95" customHeight="1" x14ac:dyDescent="0.2">
      <c r="B1655" s="8"/>
    </row>
    <row r="1656" spans="2:23" ht="24.95" customHeight="1" x14ac:dyDescent="0.2">
      <c r="B1656" s="8"/>
    </row>
    <row r="1657" spans="2:23" ht="24.95" customHeight="1" x14ac:dyDescent="0.2">
      <c r="B1657" s="8"/>
    </row>
    <row r="1658" spans="2:23" ht="24.95" customHeight="1" x14ac:dyDescent="0.2">
      <c r="B1658" s="8"/>
    </row>
    <row r="1659" spans="2:23" ht="24.95" customHeight="1" x14ac:dyDescent="0.2">
      <c r="B1659" s="8"/>
    </row>
    <row r="1660" spans="2:23" ht="24.95" customHeight="1" x14ac:dyDescent="0.2">
      <c r="B1660" s="8"/>
    </row>
    <row r="1661" spans="2:23" ht="24.95" customHeight="1" x14ac:dyDescent="0.2">
      <c r="B1661" s="8"/>
    </row>
    <row r="1662" spans="2:23" ht="24.95" customHeight="1" x14ac:dyDescent="0.2">
      <c r="B1662" s="8"/>
    </row>
    <row r="1663" spans="2:23" ht="24.95" customHeight="1" x14ac:dyDescent="0.2">
      <c r="B1663" s="8"/>
    </row>
    <row r="1664" spans="2:23" ht="24.95" customHeight="1" x14ac:dyDescent="0.2">
      <c r="B1664" s="8"/>
    </row>
    <row r="1665" spans="2:21" ht="24.95" customHeight="1" x14ac:dyDescent="0.2">
      <c r="B1665" s="8"/>
    </row>
    <row r="1666" spans="2:21" ht="24.95" customHeight="1" x14ac:dyDescent="0.2">
      <c r="B1666" s="8"/>
    </row>
    <row r="1667" spans="2:21" ht="24.95" customHeight="1" x14ac:dyDescent="0.2">
      <c r="B1667" s="8"/>
    </row>
    <row r="1668" spans="2:21" ht="24.95" customHeight="1" x14ac:dyDescent="0.2">
      <c r="B1668" s="8"/>
    </row>
    <row r="1669" spans="2:21" ht="24.95" customHeight="1" x14ac:dyDescent="0.2">
      <c r="B1669" s="8"/>
    </row>
    <row r="1670" spans="2:21" ht="24.95" customHeight="1" x14ac:dyDescent="0.2">
      <c r="B1670" s="8"/>
      <c r="U1670" s="18" t="s">
        <v>1235</v>
      </c>
    </row>
    <row r="1671" spans="2:21" ht="24.95" customHeight="1" x14ac:dyDescent="0.2">
      <c r="B1671" s="8"/>
    </row>
    <row r="1672" spans="2:21" ht="24.95" customHeight="1" x14ac:dyDescent="0.2">
      <c r="B1672" s="8"/>
    </row>
    <row r="1673" spans="2:21" ht="24.95" customHeight="1" x14ac:dyDescent="0.2">
      <c r="B1673" s="8"/>
    </row>
    <row r="1674" spans="2:21" ht="24.95" customHeight="1" x14ac:dyDescent="0.2">
      <c r="B1674" s="8"/>
    </row>
    <row r="1675" spans="2:21" ht="24.95" customHeight="1" x14ac:dyDescent="0.2">
      <c r="B1675" s="8"/>
    </row>
    <row r="1676" spans="2:21" ht="24.95" customHeight="1" x14ac:dyDescent="0.2">
      <c r="B1676" s="8"/>
    </row>
    <row r="1677" spans="2:21" ht="24.95" customHeight="1" x14ac:dyDescent="0.2">
      <c r="B1677" s="8"/>
    </row>
    <row r="1678" spans="2:21" ht="24.95" customHeight="1" x14ac:dyDescent="0.2">
      <c r="B1678" s="8"/>
    </row>
    <row r="1679" spans="2:21" ht="24.95" customHeight="1" x14ac:dyDescent="0.2">
      <c r="B1679" s="8"/>
    </row>
    <row r="1680" spans="2:21" ht="24.95" customHeight="1" x14ac:dyDescent="0.2">
      <c r="B1680" s="8"/>
    </row>
    <row r="1681" spans="2:2" ht="24.95" customHeight="1" x14ac:dyDescent="0.2">
      <c r="B1681" s="8"/>
    </row>
    <row r="1682" spans="2:2" ht="24.95" customHeight="1" x14ac:dyDescent="0.2">
      <c r="B1682" s="8"/>
    </row>
    <row r="1683" spans="2:2" ht="24.95" customHeight="1" x14ac:dyDescent="0.2">
      <c r="B1683" s="8"/>
    </row>
    <row r="1684" spans="2:2" ht="24.95" customHeight="1" x14ac:dyDescent="0.2">
      <c r="B1684" s="8"/>
    </row>
    <row r="1685" spans="2:2" ht="24.95" customHeight="1" x14ac:dyDescent="0.2">
      <c r="B1685" s="8"/>
    </row>
    <row r="1686" spans="2:2" ht="24.95" customHeight="1" x14ac:dyDescent="0.2">
      <c r="B1686" s="8"/>
    </row>
    <row r="1687" spans="2:2" ht="24.95" customHeight="1" x14ac:dyDescent="0.2">
      <c r="B1687" s="8"/>
    </row>
    <row r="1688" spans="2:2" ht="24.95" customHeight="1" x14ac:dyDescent="0.2">
      <c r="B1688" s="8"/>
    </row>
    <row r="1689" spans="2:2" ht="24.95" customHeight="1" x14ac:dyDescent="0.2">
      <c r="B1689" s="8"/>
    </row>
    <row r="1690" spans="2:2" ht="24.95" customHeight="1" x14ac:dyDescent="0.2">
      <c r="B1690" s="8"/>
    </row>
    <row r="1691" spans="2:2" ht="24.95" customHeight="1" x14ac:dyDescent="0.2">
      <c r="B1691" s="8"/>
    </row>
    <row r="1692" spans="2:2" ht="24.95" customHeight="1" x14ac:dyDescent="0.2">
      <c r="B1692" s="8"/>
    </row>
    <row r="1693" spans="2:2" ht="24.95" customHeight="1" x14ac:dyDescent="0.2">
      <c r="B1693" s="8"/>
    </row>
    <row r="1694" spans="2:2" ht="24.95" customHeight="1" x14ac:dyDescent="0.2">
      <c r="B1694" s="8"/>
    </row>
    <row r="1695" spans="2:2" ht="24.95" customHeight="1" x14ac:dyDescent="0.2">
      <c r="B1695" s="8"/>
    </row>
    <row r="1696" spans="2:2" ht="24.95" customHeight="1" x14ac:dyDescent="0.2">
      <c r="B1696" s="8"/>
    </row>
    <row r="1697" spans="2:2" ht="24.95" customHeight="1" x14ac:dyDescent="0.2">
      <c r="B1697" s="8"/>
    </row>
    <row r="1698" spans="2:2" ht="24.95" customHeight="1" x14ac:dyDescent="0.2">
      <c r="B1698" s="8"/>
    </row>
    <row r="1699" spans="2:2" ht="24.95" customHeight="1" x14ac:dyDescent="0.2">
      <c r="B1699" s="8"/>
    </row>
    <row r="1700" spans="2:2" ht="24.95" customHeight="1" x14ac:dyDescent="0.2">
      <c r="B1700" s="8"/>
    </row>
    <row r="1701" spans="2:2" ht="24.95" customHeight="1" x14ac:dyDescent="0.2">
      <c r="B1701" s="8"/>
    </row>
    <row r="1702" spans="2:2" ht="24.95" customHeight="1" x14ac:dyDescent="0.2">
      <c r="B1702" s="8"/>
    </row>
    <row r="1703" spans="2:2" ht="24.95" customHeight="1" x14ac:dyDescent="0.2">
      <c r="B1703" s="8"/>
    </row>
    <row r="1704" spans="2:2" ht="24.95" customHeight="1" x14ac:dyDescent="0.2">
      <c r="B1704" s="8"/>
    </row>
    <row r="1705" spans="2:2" ht="24.95" customHeight="1" x14ac:dyDescent="0.2">
      <c r="B1705" s="8"/>
    </row>
    <row r="1706" spans="2:2" ht="24.95" customHeight="1" x14ac:dyDescent="0.2">
      <c r="B1706" s="8"/>
    </row>
    <row r="1707" spans="2:2" ht="24.95" customHeight="1" x14ac:dyDescent="0.2">
      <c r="B1707" s="8"/>
    </row>
    <row r="1708" spans="2:2" ht="24.95" customHeight="1" x14ac:dyDescent="0.2">
      <c r="B1708" s="8"/>
    </row>
    <row r="1709" spans="2:2" ht="24.95" customHeight="1" x14ac:dyDescent="0.2">
      <c r="B1709" s="8"/>
    </row>
    <row r="1710" spans="2:2" ht="24.95" customHeight="1" x14ac:dyDescent="0.2">
      <c r="B1710" s="8"/>
    </row>
    <row r="1711" spans="2:2" ht="24.95" customHeight="1" x14ac:dyDescent="0.2">
      <c r="B1711" s="8"/>
    </row>
    <row r="1712" spans="2:2" ht="24.95" customHeight="1" x14ac:dyDescent="0.2">
      <c r="B1712" s="8"/>
    </row>
    <row r="1713" spans="2:2" ht="24.95" customHeight="1" x14ac:dyDescent="0.2">
      <c r="B1713" s="8"/>
    </row>
    <row r="1714" spans="2:2" ht="24.95" customHeight="1" x14ac:dyDescent="0.2">
      <c r="B1714" s="8"/>
    </row>
    <row r="1715" spans="2:2" ht="24.95" customHeight="1" x14ac:dyDescent="0.2">
      <c r="B1715" s="8"/>
    </row>
    <row r="1716" spans="2:2" ht="24.95" customHeight="1" x14ac:dyDescent="0.2">
      <c r="B1716" s="8"/>
    </row>
    <row r="1717" spans="2:2" ht="24.95" customHeight="1" x14ac:dyDescent="0.2">
      <c r="B1717" s="8"/>
    </row>
    <row r="1718" spans="2:2" ht="24.95" customHeight="1" x14ac:dyDescent="0.2">
      <c r="B1718" s="8"/>
    </row>
    <row r="1719" spans="2:2" ht="24.95" customHeight="1" x14ac:dyDescent="0.2">
      <c r="B1719" s="8"/>
    </row>
    <row r="1720" spans="2:2" ht="24.95" customHeight="1" x14ac:dyDescent="0.2">
      <c r="B1720" s="8"/>
    </row>
    <row r="1721" spans="2:2" ht="24.95" customHeight="1" x14ac:dyDescent="0.2">
      <c r="B1721" s="8"/>
    </row>
    <row r="1722" spans="2:2" ht="24.95" customHeight="1" x14ac:dyDescent="0.2">
      <c r="B1722" s="8"/>
    </row>
    <row r="1723" spans="2:2" ht="24.95" customHeight="1" x14ac:dyDescent="0.2">
      <c r="B1723" s="8"/>
    </row>
    <row r="1724" spans="2:2" ht="24.95" customHeight="1" x14ac:dyDescent="0.2">
      <c r="B1724" s="8"/>
    </row>
    <row r="1725" spans="2:2" ht="24.95" customHeight="1" x14ac:dyDescent="0.2">
      <c r="B1725" s="8"/>
    </row>
    <row r="1726" spans="2:2" ht="24.95" customHeight="1" x14ac:dyDescent="0.2">
      <c r="B1726" s="8"/>
    </row>
    <row r="1727" spans="2:2" ht="24.95" customHeight="1" x14ac:dyDescent="0.2">
      <c r="B1727" s="8"/>
    </row>
    <row r="1728" spans="2:2" ht="24.95" customHeight="1" x14ac:dyDescent="0.2">
      <c r="B1728" s="8"/>
    </row>
    <row r="1729" spans="2:2" ht="24.95" customHeight="1" x14ac:dyDescent="0.2">
      <c r="B1729" s="8"/>
    </row>
    <row r="1730" spans="2:2" ht="24.95" customHeight="1" x14ac:dyDescent="0.2">
      <c r="B1730" s="8"/>
    </row>
    <row r="1731" spans="2:2" ht="24.95" customHeight="1" x14ac:dyDescent="0.2">
      <c r="B1731" s="8"/>
    </row>
    <row r="1732" spans="2:2" ht="24.95" customHeight="1" x14ac:dyDescent="0.2">
      <c r="B1732" s="8"/>
    </row>
    <row r="1733" spans="2:2" ht="24.95" customHeight="1" x14ac:dyDescent="0.2">
      <c r="B1733" s="8"/>
    </row>
    <row r="1734" spans="2:2" ht="24.95" customHeight="1" x14ac:dyDescent="0.2">
      <c r="B1734" s="8"/>
    </row>
    <row r="1735" spans="2:2" ht="24.95" customHeight="1" x14ac:dyDescent="0.2">
      <c r="B1735" s="8"/>
    </row>
    <row r="1736" spans="2:2" ht="24.95" customHeight="1" x14ac:dyDescent="0.2">
      <c r="B1736" s="8"/>
    </row>
    <row r="1737" spans="2:2" ht="24.95" customHeight="1" x14ac:dyDescent="0.2">
      <c r="B1737" s="8"/>
    </row>
    <row r="1738" spans="2:2" ht="24.95" customHeight="1" x14ac:dyDescent="0.2">
      <c r="B1738" s="8"/>
    </row>
    <row r="1739" spans="2:2" ht="24.95" customHeight="1" x14ac:dyDescent="0.2">
      <c r="B1739" s="8"/>
    </row>
    <row r="1740" spans="2:2" ht="24.95" customHeight="1" x14ac:dyDescent="0.2">
      <c r="B1740" s="8"/>
    </row>
    <row r="1741" spans="2:2" ht="24.95" customHeight="1" x14ac:dyDescent="0.2">
      <c r="B1741" s="8"/>
    </row>
    <row r="1742" spans="2:2" ht="24.95" customHeight="1" x14ac:dyDescent="0.2">
      <c r="B1742" s="8"/>
    </row>
    <row r="1743" spans="2:2" ht="24.95" customHeight="1" x14ac:dyDescent="0.2">
      <c r="B1743" s="8"/>
    </row>
    <row r="1744" spans="2:2" ht="24.95" customHeight="1" x14ac:dyDescent="0.2">
      <c r="B1744" s="8"/>
    </row>
    <row r="1745" spans="2:2" ht="24.95" customHeight="1" x14ac:dyDescent="0.2">
      <c r="B1745" s="8"/>
    </row>
    <row r="1746" spans="2:2" ht="24.95" customHeight="1" x14ac:dyDescent="0.2">
      <c r="B1746" s="8"/>
    </row>
    <row r="1747" spans="2:2" ht="24.95" customHeight="1" x14ac:dyDescent="0.2">
      <c r="B1747" s="8"/>
    </row>
    <row r="1748" spans="2:2" ht="24.95" customHeight="1" x14ac:dyDescent="0.2">
      <c r="B1748" s="8"/>
    </row>
    <row r="1749" spans="2:2" ht="24.95" customHeight="1" x14ac:dyDescent="0.2">
      <c r="B1749" s="8"/>
    </row>
    <row r="1750" spans="2:2" ht="24.95" customHeight="1" x14ac:dyDescent="0.2">
      <c r="B1750" s="8"/>
    </row>
    <row r="1751" spans="2:2" ht="24.95" customHeight="1" x14ac:dyDescent="0.2">
      <c r="B1751" s="8"/>
    </row>
    <row r="1752" spans="2:2" ht="24.95" customHeight="1" x14ac:dyDescent="0.2">
      <c r="B1752" s="8"/>
    </row>
    <row r="1753" spans="2:2" ht="24.95" customHeight="1" x14ac:dyDescent="0.2">
      <c r="B1753" s="8"/>
    </row>
    <row r="1754" spans="2:2" ht="24.95" customHeight="1" x14ac:dyDescent="0.2">
      <c r="B1754" s="8"/>
    </row>
    <row r="1755" spans="2:2" ht="24.95" customHeight="1" x14ac:dyDescent="0.2">
      <c r="B1755" s="8"/>
    </row>
    <row r="1756" spans="2:2" ht="24.95" customHeight="1" x14ac:dyDescent="0.2">
      <c r="B1756" s="8"/>
    </row>
    <row r="1757" spans="2:2" ht="24.95" customHeight="1" x14ac:dyDescent="0.2">
      <c r="B1757" s="8"/>
    </row>
    <row r="1758" spans="2:2" ht="24.95" customHeight="1" x14ac:dyDescent="0.2">
      <c r="B1758" s="8"/>
    </row>
    <row r="1759" spans="2:2" ht="24.95" customHeight="1" x14ac:dyDescent="0.2">
      <c r="B1759" s="8"/>
    </row>
    <row r="1760" spans="2:2" ht="24.95" customHeight="1" x14ac:dyDescent="0.2">
      <c r="B1760" s="8"/>
    </row>
    <row r="1761" spans="2:2" ht="24.95" customHeight="1" x14ac:dyDescent="0.2">
      <c r="B1761" s="8"/>
    </row>
    <row r="1762" spans="2:2" ht="24.95" customHeight="1" x14ac:dyDescent="0.2">
      <c r="B1762" s="8"/>
    </row>
    <row r="1763" spans="2:2" ht="24.95" customHeight="1" x14ac:dyDescent="0.2">
      <c r="B1763" s="8"/>
    </row>
    <row r="1764" spans="2:2" ht="24.95" customHeight="1" x14ac:dyDescent="0.2">
      <c r="B1764" s="8"/>
    </row>
    <row r="1765" spans="2:2" ht="24.95" customHeight="1" x14ac:dyDescent="0.2">
      <c r="B1765" s="8"/>
    </row>
    <row r="1766" spans="2:2" ht="24.95" customHeight="1" x14ac:dyDescent="0.2">
      <c r="B1766" s="8"/>
    </row>
    <row r="1767" spans="2:2" ht="24.95" customHeight="1" x14ac:dyDescent="0.2">
      <c r="B1767" s="8"/>
    </row>
    <row r="1768" spans="2:2" ht="24.95" customHeight="1" x14ac:dyDescent="0.2">
      <c r="B1768" s="8"/>
    </row>
    <row r="1769" spans="2:2" ht="24.95" customHeight="1" x14ac:dyDescent="0.2">
      <c r="B1769" s="8"/>
    </row>
    <row r="1770" spans="2:2" ht="24.95" customHeight="1" x14ac:dyDescent="0.2">
      <c r="B1770" s="8"/>
    </row>
    <row r="1771" spans="2:2" ht="24.95" customHeight="1" x14ac:dyDescent="0.2">
      <c r="B1771" s="8"/>
    </row>
    <row r="1772" spans="2:2" ht="24.95" customHeight="1" x14ac:dyDescent="0.2">
      <c r="B1772" s="8"/>
    </row>
    <row r="1773" spans="2:2" ht="24.95" customHeight="1" x14ac:dyDescent="0.2">
      <c r="B1773" s="8"/>
    </row>
    <row r="1774" spans="2:2" ht="24.95" customHeight="1" x14ac:dyDescent="0.2">
      <c r="B1774" s="8"/>
    </row>
    <row r="1775" spans="2:2" ht="24.95" customHeight="1" x14ac:dyDescent="0.2">
      <c r="B1775" s="8"/>
    </row>
    <row r="1776" spans="2:2" ht="24.95" customHeight="1" x14ac:dyDescent="0.2">
      <c r="B1776" s="8"/>
    </row>
    <row r="1777" spans="2:2" ht="24.95" customHeight="1" x14ac:dyDescent="0.2">
      <c r="B1777" s="8"/>
    </row>
    <row r="1778" spans="2:2" ht="24.95" customHeight="1" x14ac:dyDescent="0.2">
      <c r="B1778" s="8"/>
    </row>
    <row r="1779" spans="2:2" ht="24.95" customHeight="1" x14ac:dyDescent="0.2">
      <c r="B1779" s="8"/>
    </row>
    <row r="1780" spans="2:2" ht="24.95" customHeight="1" x14ac:dyDescent="0.2">
      <c r="B1780" s="8"/>
    </row>
    <row r="1781" spans="2:2" ht="24.95" customHeight="1" x14ac:dyDescent="0.2">
      <c r="B1781" s="8"/>
    </row>
    <row r="1782" spans="2:2" ht="24.95" customHeight="1" x14ac:dyDescent="0.2">
      <c r="B1782" s="8"/>
    </row>
    <row r="1783" spans="2:2" ht="24.95" customHeight="1" x14ac:dyDescent="0.2">
      <c r="B1783" s="8"/>
    </row>
    <row r="1784" spans="2:2" ht="24.95" customHeight="1" x14ac:dyDescent="0.2">
      <c r="B1784" s="8"/>
    </row>
    <row r="1785" spans="2:2" ht="24.95" customHeight="1" x14ac:dyDescent="0.2">
      <c r="B1785" s="8"/>
    </row>
    <row r="1786" spans="2:2" ht="24.95" customHeight="1" x14ac:dyDescent="0.2">
      <c r="B1786" s="8"/>
    </row>
    <row r="1787" spans="2:2" ht="24.95" customHeight="1" x14ac:dyDescent="0.2">
      <c r="B1787" s="8"/>
    </row>
    <row r="1788" spans="2:2" ht="24.95" customHeight="1" x14ac:dyDescent="0.2">
      <c r="B1788" s="8"/>
    </row>
    <row r="1789" spans="2:2" ht="24.95" customHeight="1" x14ac:dyDescent="0.2">
      <c r="B1789" s="8"/>
    </row>
    <row r="1790" spans="2:2" ht="24.95" customHeight="1" x14ac:dyDescent="0.2">
      <c r="B1790" s="8"/>
    </row>
    <row r="1791" spans="2:2" ht="24.95" customHeight="1" x14ac:dyDescent="0.2">
      <c r="B1791" s="8"/>
    </row>
    <row r="1792" spans="2:2" ht="24.95" customHeight="1" x14ac:dyDescent="0.2">
      <c r="B1792" s="8"/>
    </row>
    <row r="1793" spans="2:2" ht="24.95" customHeight="1" x14ac:dyDescent="0.2">
      <c r="B1793" s="8"/>
    </row>
    <row r="1794" spans="2:2" ht="24.95" customHeight="1" x14ac:dyDescent="0.2">
      <c r="B1794" s="8"/>
    </row>
    <row r="1795" spans="2:2" ht="24.95" customHeight="1" x14ac:dyDescent="0.2">
      <c r="B1795" s="8"/>
    </row>
    <row r="1796" spans="2:2" ht="24.95" customHeight="1" x14ac:dyDescent="0.2">
      <c r="B1796" s="8"/>
    </row>
    <row r="1797" spans="2:2" ht="24.95" customHeight="1" x14ac:dyDescent="0.2">
      <c r="B1797" s="8"/>
    </row>
    <row r="1798" spans="2:2" ht="24.95" customHeight="1" x14ac:dyDescent="0.2">
      <c r="B1798" s="8"/>
    </row>
    <row r="1799" spans="2:2" ht="24.95" customHeight="1" x14ac:dyDescent="0.2">
      <c r="B1799" s="8"/>
    </row>
    <row r="1800" spans="2:2" ht="24.95" customHeight="1" x14ac:dyDescent="0.2">
      <c r="B1800" s="8"/>
    </row>
    <row r="1801" spans="2:2" ht="24.95" customHeight="1" x14ac:dyDescent="0.2">
      <c r="B1801" s="8"/>
    </row>
    <row r="1802" spans="2:2" ht="24.95" customHeight="1" x14ac:dyDescent="0.2">
      <c r="B1802" s="8"/>
    </row>
    <row r="1803" spans="2:2" ht="24.95" customHeight="1" x14ac:dyDescent="0.2">
      <c r="B1803" s="8"/>
    </row>
    <row r="1804" spans="2:2" ht="24.95" customHeight="1" x14ac:dyDescent="0.2">
      <c r="B1804" s="8"/>
    </row>
    <row r="1805" spans="2:2" ht="24.95" customHeight="1" x14ac:dyDescent="0.2">
      <c r="B1805" s="8"/>
    </row>
    <row r="1806" spans="2:2" ht="24.95" customHeight="1" x14ac:dyDescent="0.2">
      <c r="B1806" s="8"/>
    </row>
    <row r="1807" spans="2:2" ht="24.95" customHeight="1" x14ac:dyDescent="0.2">
      <c r="B1807" s="8"/>
    </row>
    <row r="1808" spans="2:2" ht="24.95" customHeight="1" x14ac:dyDescent="0.2">
      <c r="B1808" s="8"/>
    </row>
    <row r="1809" spans="2:2" ht="24.95" customHeight="1" x14ac:dyDescent="0.2">
      <c r="B1809" s="8"/>
    </row>
    <row r="1810" spans="2:2" ht="24.95" customHeight="1" x14ac:dyDescent="0.2">
      <c r="B1810" s="8"/>
    </row>
    <row r="1811" spans="2:2" ht="24.95" customHeight="1" x14ac:dyDescent="0.2">
      <c r="B1811" s="8"/>
    </row>
    <row r="1812" spans="2:2" ht="24.95" customHeight="1" x14ac:dyDescent="0.2">
      <c r="B1812" s="8"/>
    </row>
    <row r="1813" spans="2:2" ht="24.95" customHeight="1" x14ac:dyDescent="0.2">
      <c r="B1813" s="8"/>
    </row>
    <row r="1814" spans="2:2" ht="24.95" customHeight="1" x14ac:dyDescent="0.2">
      <c r="B1814" s="8"/>
    </row>
    <row r="1815" spans="2:2" ht="24.95" customHeight="1" x14ac:dyDescent="0.2">
      <c r="B1815" s="8"/>
    </row>
    <row r="1816" spans="2:2" ht="24.95" customHeight="1" x14ac:dyDescent="0.2">
      <c r="B1816" s="8"/>
    </row>
    <row r="1817" spans="2:2" ht="24.95" customHeight="1" x14ac:dyDescent="0.2">
      <c r="B1817" s="8"/>
    </row>
    <row r="1818" spans="2:2" ht="24.95" customHeight="1" x14ac:dyDescent="0.2">
      <c r="B1818" s="8"/>
    </row>
    <row r="1819" spans="2:2" ht="24.95" customHeight="1" x14ac:dyDescent="0.2">
      <c r="B1819" s="8"/>
    </row>
    <row r="1820" spans="2:2" ht="24.95" customHeight="1" x14ac:dyDescent="0.2">
      <c r="B1820" s="8"/>
    </row>
    <row r="1821" spans="2:2" ht="24.95" customHeight="1" x14ac:dyDescent="0.2">
      <c r="B1821" s="8"/>
    </row>
    <row r="1822" spans="2:2" ht="24.95" customHeight="1" x14ac:dyDescent="0.2">
      <c r="B1822" s="8"/>
    </row>
    <row r="1823" spans="2:2" ht="24.95" customHeight="1" x14ac:dyDescent="0.2">
      <c r="B1823" s="8"/>
    </row>
    <row r="1824" spans="2:2" ht="24.95" customHeight="1" x14ac:dyDescent="0.2">
      <c r="B1824" s="8"/>
    </row>
    <row r="1825" spans="2:2" ht="24.95" customHeight="1" x14ac:dyDescent="0.2">
      <c r="B1825" s="8"/>
    </row>
    <row r="1826" spans="2:2" ht="24.95" customHeight="1" x14ac:dyDescent="0.2">
      <c r="B1826" s="8"/>
    </row>
    <row r="1827" spans="2:2" ht="24.95" customHeight="1" x14ac:dyDescent="0.2">
      <c r="B1827" s="8"/>
    </row>
    <row r="1828" spans="2:2" ht="24.95" customHeight="1" x14ac:dyDescent="0.2">
      <c r="B1828" s="8"/>
    </row>
    <row r="1829" spans="2:2" ht="24.95" customHeight="1" x14ac:dyDescent="0.2">
      <c r="B1829" s="8"/>
    </row>
    <row r="1830" spans="2:2" ht="24.95" customHeight="1" x14ac:dyDescent="0.2">
      <c r="B1830" s="8"/>
    </row>
    <row r="1831" spans="2:2" ht="24.95" customHeight="1" x14ac:dyDescent="0.2">
      <c r="B1831" s="8"/>
    </row>
    <row r="1832" spans="2:2" ht="24.95" customHeight="1" x14ac:dyDescent="0.2">
      <c r="B1832" s="8"/>
    </row>
    <row r="1833" spans="2:2" ht="24.95" customHeight="1" x14ac:dyDescent="0.2">
      <c r="B1833" s="8"/>
    </row>
    <row r="1834" spans="2:2" ht="24.95" customHeight="1" x14ac:dyDescent="0.2">
      <c r="B1834" s="8"/>
    </row>
    <row r="1835" spans="2:2" ht="24.95" customHeight="1" x14ac:dyDescent="0.2">
      <c r="B1835" s="8"/>
    </row>
    <row r="1836" spans="2:2" ht="24.95" customHeight="1" x14ac:dyDescent="0.2">
      <c r="B1836" s="8"/>
    </row>
    <row r="1837" spans="2:2" ht="24.95" customHeight="1" x14ac:dyDescent="0.2">
      <c r="B1837" s="8"/>
    </row>
    <row r="1838" spans="2:2" ht="24.95" customHeight="1" x14ac:dyDescent="0.2">
      <c r="B1838" s="8"/>
    </row>
    <row r="1839" spans="2:2" ht="24.95" customHeight="1" x14ac:dyDescent="0.2">
      <c r="B1839" s="8"/>
    </row>
    <row r="1840" spans="2:2" ht="24.95" customHeight="1" x14ac:dyDescent="0.2">
      <c r="B1840" s="8"/>
    </row>
    <row r="1841" spans="2:2" ht="24.95" customHeight="1" x14ac:dyDescent="0.2">
      <c r="B1841" s="8"/>
    </row>
    <row r="1842" spans="2:2" ht="24.95" customHeight="1" x14ac:dyDescent="0.2">
      <c r="B1842" s="8"/>
    </row>
    <row r="1843" spans="2:2" ht="24.95" customHeight="1" x14ac:dyDescent="0.2">
      <c r="B1843" s="8"/>
    </row>
    <row r="1844" spans="2:2" ht="24.95" customHeight="1" x14ac:dyDescent="0.2">
      <c r="B1844" s="8"/>
    </row>
    <row r="1845" spans="2:2" ht="24.95" customHeight="1" x14ac:dyDescent="0.2">
      <c r="B1845" s="8"/>
    </row>
    <row r="1846" spans="2:2" ht="24.95" customHeight="1" x14ac:dyDescent="0.2">
      <c r="B1846" s="8"/>
    </row>
    <row r="1847" spans="2:2" ht="24.95" customHeight="1" x14ac:dyDescent="0.2">
      <c r="B1847" s="8"/>
    </row>
    <row r="1848" spans="2:2" ht="24.95" customHeight="1" x14ac:dyDescent="0.2">
      <c r="B1848" s="8"/>
    </row>
    <row r="1849" spans="2:2" ht="24.95" customHeight="1" x14ac:dyDescent="0.2">
      <c r="B1849" s="8"/>
    </row>
    <row r="1850" spans="2:2" ht="24.95" customHeight="1" x14ac:dyDescent="0.2">
      <c r="B1850" s="8"/>
    </row>
    <row r="1851" spans="2:2" ht="24.95" customHeight="1" x14ac:dyDescent="0.2">
      <c r="B1851" s="8"/>
    </row>
    <row r="1852" spans="2:2" ht="24.95" customHeight="1" x14ac:dyDescent="0.2">
      <c r="B1852" s="8"/>
    </row>
    <row r="1853" spans="2:2" ht="24.95" customHeight="1" x14ac:dyDescent="0.2">
      <c r="B1853" s="8"/>
    </row>
    <row r="1854" spans="2:2" ht="24.95" customHeight="1" x14ac:dyDescent="0.2">
      <c r="B1854" s="8"/>
    </row>
    <row r="1855" spans="2:2" ht="24.95" customHeight="1" x14ac:dyDescent="0.2">
      <c r="B1855" s="8"/>
    </row>
    <row r="1856" spans="2:2" ht="24.95" customHeight="1" x14ac:dyDescent="0.2">
      <c r="B1856" s="8"/>
    </row>
    <row r="1857" spans="2:2" ht="24.95" customHeight="1" x14ac:dyDescent="0.2">
      <c r="B1857" s="8"/>
    </row>
    <row r="1858" spans="2:2" ht="24.95" customHeight="1" x14ac:dyDescent="0.2">
      <c r="B1858" s="8"/>
    </row>
    <row r="1859" spans="2:2" ht="24.95" customHeight="1" x14ac:dyDescent="0.2">
      <c r="B1859" s="8"/>
    </row>
    <row r="1860" spans="2:2" ht="24.95" customHeight="1" x14ac:dyDescent="0.2">
      <c r="B1860" s="8"/>
    </row>
    <row r="1861" spans="2:2" ht="24.95" customHeight="1" x14ac:dyDescent="0.2">
      <c r="B1861" s="8"/>
    </row>
    <row r="1862" spans="2:2" ht="24.95" customHeight="1" x14ac:dyDescent="0.2">
      <c r="B1862" s="8"/>
    </row>
    <row r="1863" spans="2:2" ht="24.95" customHeight="1" x14ac:dyDescent="0.2">
      <c r="B1863" s="8"/>
    </row>
    <row r="1864" spans="2:2" ht="24.95" customHeight="1" x14ac:dyDescent="0.2">
      <c r="B1864" s="8"/>
    </row>
    <row r="1865" spans="2:2" ht="24.95" customHeight="1" x14ac:dyDescent="0.2">
      <c r="B1865" s="8"/>
    </row>
    <row r="1866" spans="2:2" ht="24.95" customHeight="1" x14ac:dyDescent="0.2">
      <c r="B1866" s="8"/>
    </row>
    <row r="1867" spans="2:2" ht="24.95" customHeight="1" x14ac:dyDescent="0.2">
      <c r="B1867" s="8"/>
    </row>
    <row r="1868" spans="2:2" ht="24.95" customHeight="1" x14ac:dyDescent="0.2">
      <c r="B1868" s="8"/>
    </row>
    <row r="1869" spans="2:2" ht="24.95" customHeight="1" x14ac:dyDescent="0.2">
      <c r="B1869" s="8"/>
    </row>
    <row r="1870" spans="2:2" ht="24.95" customHeight="1" x14ac:dyDescent="0.2">
      <c r="B1870" s="8"/>
    </row>
    <row r="1871" spans="2:2" ht="24.95" customHeight="1" x14ac:dyDescent="0.2">
      <c r="B1871" s="8"/>
    </row>
    <row r="1872" spans="2:2" ht="24.95" customHeight="1" x14ac:dyDescent="0.2">
      <c r="B1872" s="8"/>
    </row>
    <row r="1873" spans="2:2" ht="24.95" customHeight="1" x14ac:dyDescent="0.2">
      <c r="B1873" s="8"/>
    </row>
    <row r="1874" spans="2:2" ht="24.95" customHeight="1" x14ac:dyDescent="0.2">
      <c r="B1874" s="8"/>
    </row>
    <row r="1875" spans="2:2" ht="24.95" customHeight="1" x14ac:dyDescent="0.2">
      <c r="B1875" s="8"/>
    </row>
    <row r="1876" spans="2:2" ht="24.95" customHeight="1" x14ac:dyDescent="0.2">
      <c r="B1876" s="8"/>
    </row>
    <row r="1877" spans="2:2" ht="24.95" customHeight="1" x14ac:dyDescent="0.2">
      <c r="B1877" s="8"/>
    </row>
    <row r="1878" spans="2:2" ht="24.95" customHeight="1" x14ac:dyDescent="0.2">
      <c r="B1878" s="8"/>
    </row>
    <row r="1879" spans="2:2" ht="24.95" customHeight="1" x14ac:dyDescent="0.2">
      <c r="B1879" s="8"/>
    </row>
    <row r="1880" spans="2:2" ht="24.95" customHeight="1" x14ac:dyDescent="0.2">
      <c r="B1880" s="8"/>
    </row>
    <row r="1881" spans="2:2" ht="24.95" customHeight="1" x14ac:dyDescent="0.2">
      <c r="B1881" s="8"/>
    </row>
    <row r="1882" spans="2:2" ht="24.95" customHeight="1" x14ac:dyDescent="0.2">
      <c r="B1882" s="8"/>
    </row>
    <row r="1883" spans="2:2" ht="24.95" customHeight="1" x14ac:dyDescent="0.2">
      <c r="B1883" s="8"/>
    </row>
    <row r="1884" spans="2:2" ht="24.95" customHeight="1" x14ac:dyDescent="0.2">
      <c r="B1884" s="8"/>
    </row>
    <row r="1885" spans="2:2" ht="24.95" customHeight="1" x14ac:dyDescent="0.2">
      <c r="B1885" s="8"/>
    </row>
    <row r="1886" spans="2:2" ht="24.95" customHeight="1" x14ac:dyDescent="0.2">
      <c r="B1886" s="8"/>
    </row>
    <row r="1887" spans="2:2" ht="24.95" customHeight="1" x14ac:dyDescent="0.2">
      <c r="B1887" s="8"/>
    </row>
    <row r="1888" spans="2:2" ht="24.95" customHeight="1" x14ac:dyDescent="0.2">
      <c r="B1888" s="8"/>
    </row>
    <row r="1889" spans="2:2" ht="24.95" customHeight="1" x14ac:dyDescent="0.2">
      <c r="B1889" s="8"/>
    </row>
    <row r="1890" spans="2:2" ht="24.95" customHeight="1" x14ac:dyDescent="0.2">
      <c r="B1890" s="8"/>
    </row>
    <row r="1891" spans="2:2" ht="24.95" customHeight="1" x14ac:dyDescent="0.2">
      <c r="B1891" s="8"/>
    </row>
    <row r="1892" spans="2:2" ht="24.95" customHeight="1" x14ac:dyDescent="0.2">
      <c r="B1892" s="8"/>
    </row>
    <row r="1893" spans="2:2" ht="24.95" customHeight="1" x14ac:dyDescent="0.2">
      <c r="B1893" s="8"/>
    </row>
    <row r="1894" spans="2:2" ht="24.95" customHeight="1" x14ac:dyDescent="0.2">
      <c r="B1894" s="8"/>
    </row>
    <row r="1895" spans="2:2" ht="24.95" customHeight="1" x14ac:dyDescent="0.2">
      <c r="B1895" s="8"/>
    </row>
    <row r="1896" spans="2:2" ht="24.95" customHeight="1" x14ac:dyDescent="0.2">
      <c r="B1896" s="8"/>
    </row>
    <row r="1897" spans="2:2" ht="24.95" customHeight="1" x14ac:dyDescent="0.2">
      <c r="B1897" s="8"/>
    </row>
    <row r="1898" spans="2:2" ht="24.95" customHeight="1" x14ac:dyDescent="0.2">
      <c r="B1898" s="8"/>
    </row>
    <row r="1899" spans="2:2" ht="24.95" customHeight="1" x14ac:dyDescent="0.2">
      <c r="B1899" s="8"/>
    </row>
    <row r="1900" spans="2:2" ht="24.95" customHeight="1" x14ac:dyDescent="0.2">
      <c r="B1900" s="8"/>
    </row>
    <row r="1901" spans="2:2" ht="24.95" customHeight="1" x14ac:dyDescent="0.2">
      <c r="B1901" s="8"/>
    </row>
    <row r="1902" spans="2:2" ht="24.95" customHeight="1" x14ac:dyDescent="0.2">
      <c r="B1902" s="8"/>
    </row>
    <row r="1903" spans="2:2" ht="24.95" customHeight="1" x14ac:dyDescent="0.2">
      <c r="B1903" s="8"/>
    </row>
    <row r="1904" spans="2:2" ht="24.95" customHeight="1" x14ac:dyDescent="0.2">
      <c r="B1904" s="8"/>
    </row>
    <row r="1905" spans="2:2" ht="24.95" customHeight="1" x14ac:dyDescent="0.2">
      <c r="B1905" s="8"/>
    </row>
    <row r="1906" spans="2:2" ht="24.95" customHeight="1" x14ac:dyDescent="0.2">
      <c r="B1906" s="8"/>
    </row>
    <row r="1907" spans="2:2" ht="24.95" customHeight="1" x14ac:dyDescent="0.2">
      <c r="B1907" s="8"/>
    </row>
    <row r="1908" spans="2:2" ht="24.95" customHeight="1" x14ac:dyDescent="0.2">
      <c r="B1908" s="8"/>
    </row>
    <row r="1909" spans="2:2" ht="24.95" customHeight="1" x14ac:dyDescent="0.2">
      <c r="B1909" s="8"/>
    </row>
    <row r="1910" spans="2:2" ht="24.95" customHeight="1" x14ac:dyDescent="0.2">
      <c r="B1910" s="8"/>
    </row>
    <row r="1911" spans="2:2" ht="24.95" customHeight="1" x14ac:dyDescent="0.2">
      <c r="B1911" s="8"/>
    </row>
    <row r="1912" spans="2:2" ht="24.95" customHeight="1" x14ac:dyDescent="0.2">
      <c r="B1912" s="8"/>
    </row>
    <row r="1913" spans="2:2" ht="24.95" customHeight="1" x14ac:dyDescent="0.2">
      <c r="B1913" s="8"/>
    </row>
    <row r="1914" spans="2:2" ht="24.95" customHeight="1" x14ac:dyDescent="0.2">
      <c r="B1914" s="8"/>
    </row>
    <row r="1915" spans="2:2" ht="24.95" customHeight="1" x14ac:dyDescent="0.2">
      <c r="B1915" s="8"/>
    </row>
    <row r="1916" spans="2:2" ht="24.95" customHeight="1" x14ac:dyDescent="0.2">
      <c r="B1916" s="8"/>
    </row>
    <row r="1917" spans="2:2" ht="24.95" customHeight="1" x14ac:dyDescent="0.2">
      <c r="B1917" s="8"/>
    </row>
    <row r="1918" spans="2:2" ht="24.95" customHeight="1" x14ac:dyDescent="0.2">
      <c r="B1918" s="8"/>
    </row>
    <row r="1919" spans="2:2" ht="24.95" customHeight="1" x14ac:dyDescent="0.2">
      <c r="B1919" s="8"/>
    </row>
    <row r="1920" spans="2:2" ht="24.95" customHeight="1" x14ac:dyDescent="0.2">
      <c r="B1920" s="8"/>
    </row>
    <row r="1921" spans="2:2" ht="24.95" customHeight="1" x14ac:dyDescent="0.2">
      <c r="B1921" s="8"/>
    </row>
    <row r="1922" spans="2:2" ht="24.95" customHeight="1" x14ac:dyDescent="0.2">
      <c r="B1922" s="8"/>
    </row>
    <row r="1923" spans="2:2" ht="24.95" customHeight="1" x14ac:dyDescent="0.2">
      <c r="B1923" s="8"/>
    </row>
    <row r="1924" spans="2:2" ht="24.95" customHeight="1" x14ac:dyDescent="0.2">
      <c r="B1924" s="8"/>
    </row>
    <row r="1925" spans="2:2" ht="24.95" customHeight="1" x14ac:dyDescent="0.2">
      <c r="B1925" s="8"/>
    </row>
    <row r="1926" spans="2:2" ht="24.95" customHeight="1" x14ac:dyDescent="0.2">
      <c r="B1926" s="8"/>
    </row>
    <row r="1927" spans="2:2" ht="24.95" customHeight="1" x14ac:dyDescent="0.2">
      <c r="B1927" s="8"/>
    </row>
    <row r="1928" spans="2:2" ht="24.95" customHeight="1" x14ac:dyDescent="0.2">
      <c r="B1928" s="8"/>
    </row>
    <row r="1929" spans="2:2" ht="24.95" customHeight="1" x14ac:dyDescent="0.2">
      <c r="B1929" s="8"/>
    </row>
    <row r="1930" spans="2:2" ht="24.95" customHeight="1" x14ac:dyDescent="0.2">
      <c r="B1930" s="8"/>
    </row>
    <row r="1931" spans="2:2" ht="24.95" customHeight="1" x14ac:dyDescent="0.2">
      <c r="B1931" s="8"/>
    </row>
    <row r="1932" spans="2:2" ht="24.95" customHeight="1" x14ac:dyDescent="0.2">
      <c r="B1932" s="8"/>
    </row>
    <row r="1933" spans="2:2" ht="24.95" customHeight="1" x14ac:dyDescent="0.2">
      <c r="B1933" s="8"/>
    </row>
    <row r="1934" spans="2:2" ht="24.95" customHeight="1" x14ac:dyDescent="0.2">
      <c r="B1934" s="8"/>
    </row>
    <row r="1935" spans="2:2" ht="24.95" customHeight="1" x14ac:dyDescent="0.2">
      <c r="B1935" s="8"/>
    </row>
    <row r="1936" spans="2:2" ht="24.95" customHeight="1" x14ac:dyDescent="0.2">
      <c r="B1936" s="8"/>
    </row>
    <row r="1937" spans="2:2" ht="24.95" customHeight="1" x14ac:dyDescent="0.2">
      <c r="B1937" s="8"/>
    </row>
    <row r="1938" spans="2:2" ht="24.95" customHeight="1" x14ac:dyDescent="0.2">
      <c r="B1938" s="8"/>
    </row>
    <row r="1939" spans="2:2" ht="24.95" customHeight="1" x14ac:dyDescent="0.2">
      <c r="B1939" s="8"/>
    </row>
    <row r="1940" spans="2:2" ht="24.95" customHeight="1" x14ac:dyDescent="0.2">
      <c r="B1940" s="8"/>
    </row>
    <row r="1941" spans="2:2" ht="24.95" customHeight="1" x14ac:dyDescent="0.2">
      <c r="B1941" s="8"/>
    </row>
    <row r="1942" spans="2:2" ht="24.95" customHeight="1" x14ac:dyDescent="0.2">
      <c r="B1942" s="8"/>
    </row>
    <row r="1943" spans="2:2" ht="24.95" customHeight="1" x14ac:dyDescent="0.2">
      <c r="B1943" s="8"/>
    </row>
    <row r="1944" spans="2:2" ht="24.95" customHeight="1" x14ac:dyDescent="0.2">
      <c r="B1944" s="8"/>
    </row>
    <row r="1945" spans="2:2" ht="24.95" customHeight="1" x14ac:dyDescent="0.2">
      <c r="B1945" s="8"/>
    </row>
    <row r="1946" spans="2:2" ht="24.95" customHeight="1" x14ac:dyDescent="0.2">
      <c r="B1946" s="8"/>
    </row>
    <row r="1947" spans="2:2" ht="24.95" customHeight="1" x14ac:dyDescent="0.2">
      <c r="B1947" s="8"/>
    </row>
    <row r="1948" spans="2:2" ht="24.95" customHeight="1" x14ac:dyDescent="0.2">
      <c r="B1948" s="8"/>
    </row>
    <row r="1949" spans="2:2" ht="24.95" customHeight="1" x14ac:dyDescent="0.2">
      <c r="B1949" s="8"/>
    </row>
    <row r="1950" spans="2:2" ht="24.95" customHeight="1" x14ac:dyDescent="0.2">
      <c r="B1950" s="8"/>
    </row>
    <row r="1951" spans="2:2" ht="24.95" customHeight="1" x14ac:dyDescent="0.2">
      <c r="B1951" s="8"/>
    </row>
    <row r="1952" spans="2:2" ht="24.95" customHeight="1" x14ac:dyDescent="0.2">
      <c r="B1952" s="8"/>
    </row>
    <row r="1953" spans="2:2" ht="24.95" customHeight="1" x14ac:dyDescent="0.2">
      <c r="B1953" s="8"/>
    </row>
    <row r="1954" spans="2:2" ht="24.95" customHeight="1" x14ac:dyDescent="0.2">
      <c r="B1954" s="8"/>
    </row>
    <row r="1955" spans="2:2" ht="24.95" customHeight="1" x14ac:dyDescent="0.2">
      <c r="B1955" s="8"/>
    </row>
    <row r="1956" spans="2:2" ht="24.95" customHeight="1" x14ac:dyDescent="0.2">
      <c r="B1956" s="8"/>
    </row>
    <row r="1957" spans="2:2" ht="24.95" customHeight="1" x14ac:dyDescent="0.2">
      <c r="B1957" s="8"/>
    </row>
    <row r="1958" spans="2:2" ht="24.95" customHeight="1" x14ac:dyDescent="0.2">
      <c r="B1958" s="8"/>
    </row>
    <row r="1959" spans="2:2" ht="24.95" customHeight="1" x14ac:dyDescent="0.2">
      <c r="B1959" s="8"/>
    </row>
    <row r="1960" spans="2:2" ht="24.95" customHeight="1" x14ac:dyDescent="0.2">
      <c r="B1960" s="8"/>
    </row>
    <row r="1961" spans="2:2" ht="24.95" customHeight="1" x14ac:dyDescent="0.2">
      <c r="B1961" s="8"/>
    </row>
    <row r="1962" spans="2:2" ht="24.95" customHeight="1" x14ac:dyDescent="0.2">
      <c r="B1962" s="8"/>
    </row>
    <row r="1963" spans="2:2" ht="24.95" customHeight="1" x14ac:dyDescent="0.2">
      <c r="B1963" s="8"/>
    </row>
    <row r="1964" spans="2:2" ht="24.95" customHeight="1" x14ac:dyDescent="0.2">
      <c r="B1964" s="8"/>
    </row>
    <row r="1965" spans="2:2" ht="24.95" customHeight="1" x14ac:dyDescent="0.2">
      <c r="B1965" s="8"/>
    </row>
    <row r="1966" spans="2:2" ht="24.95" customHeight="1" x14ac:dyDescent="0.2">
      <c r="B1966" s="8"/>
    </row>
    <row r="1967" spans="2:2" ht="24.95" customHeight="1" x14ac:dyDescent="0.2">
      <c r="B1967" s="8"/>
    </row>
    <row r="1968" spans="2:2" ht="24.95" customHeight="1" x14ac:dyDescent="0.2">
      <c r="B1968" s="8"/>
    </row>
    <row r="1969" spans="2:2" ht="24.95" customHeight="1" x14ac:dyDescent="0.2">
      <c r="B1969" s="8"/>
    </row>
    <row r="1970" spans="2:2" ht="24.95" customHeight="1" x14ac:dyDescent="0.2">
      <c r="B1970" s="8"/>
    </row>
    <row r="1971" spans="2:2" ht="24.95" customHeight="1" x14ac:dyDescent="0.2">
      <c r="B1971" s="8"/>
    </row>
    <row r="1972" spans="2:2" ht="24.95" customHeight="1" x14ac:dyDescent="0.2">
      <c r="B1972" s="8"/>
    </row>
    <row r="1973" spans="2:2" ht="24.95" customHeight="1" x14ac:dyDescent="0.2">
      <c r="B1973" s="8"/>
    </row>
    <row r="1974" spans="2:2" ht="24.95" customHeight="1" x14ac:dyDescent="0.2">
      <c r="B1974" s="8"/>
    </row>
    <row r="1975" spans="2:2" ht="24.95" customHeight="1" x14ac:dyDescent="0.2">
      <c r="B1975" s="8"/>
    </row>
    <row r="1976" spans="2:2" ht="24.95" customHeight="1" x14ac:dyDescent="0.2">
      <c r="B1976" s="8"/>
    </row>
    <row r="1977" spans="2:2" ht="24.95" customHeight="1" x14ac:dyDescent="0.2">
      <c r="B1977" s="8"/>
    </row>
    <row r="1978" spans="2:2" ht="24.95" customHeight="1" x14ac:dyDescent="0.2">
      <c r="B1978" s="8"/>
    </row>
    <row r="1979" spans="2:2" ht="24.95" customHeight="1" x14ac:dyDescent="0.2">
      <c r="B1979" s="8"/>
    </row>
    <row r="1980" spans="2:2" ht="24.95" customHeight="1" x14ac:dyDescent="0.2">
      <c r="B1980" s="8"/>
    </row>
    <row r="1981" spans="2:2" ht="24.95" customHeight="1" x14ac:dyDescent="0.2">
      <c r="B1981" s="8"/>
    </row>
    <row r="1982" spans="2:2" ht="24.95" customHeight="1" x14ac:dyDescent="0.2">
      <c r="B1982" s="8"/>
    </row>
    <row r="1983" spans="2:2" ht="24.95" customHeight="1" x14ac:dyDescent="0.2">
      <c r="B1983" s="8"/>
    </row>
    <row r="1984" spans="2:2" ht="24.95" customHeight="1" x14ac:dyDescent="0.2">
      <c r="B1984" s="8"/>
    </row>
    <row r="1985" spans="2:2" ht="24.95" customHeight="1" x14ac:dyDescent="0.2">
      <c r="B1985" s="8"/>
    </row>
    <row r="1986" spans="2:2" ht="24.95" customHeight="1" x14ac:dyDescent="0.2">
      <c r="B1986" s="8"/>
    </row>
    <row r="1987" spans="2:2" ht="24.95" customHeight="1" x14ac:dyDescent="0.2">
      <c r="B1987" s="8"/>
    </row>
    <row r="1988" spans="2:2" ht="24.95" customHeight="1" x14ac:dyDescent="0.2">
      <c r="B1988" s="8"/>
    </row>
    <row r="1989" spans="2:2" ht="24.95" customHeight="1" x14ac:dyDescent="0.2">
      <c r="B1989" s="8"/>
    </row>
    <row r="1990" spans="2:2" ht="24.95" customHeight="1" x14ac:dyDescent="0.2">
      <c r="B1990" s="8"/>
    </row>
    <row r="1991" spans="2:2" ht="24.95" customHeight="1" x14ac:dyDescent="0.2">
      <c r="B1991" s="8"/>
    </row>
    <row r="1992" spans="2:2" ht="24.95" customHeight="1" x14ac:dyDescent="0.2">
      <c r="B1992" s="8"/>
    </row>
    <row r="1993" spans="2:2" ht="24.95" customHeight="1" x14ac:dyDescent="0.2">
      <c r="B1993" s="8"/>
    </row>
    <row r="1994" spans="2:2" ht="24.95" customHeight="1" x14ac:dyDescent="0.2">
      <c r="B1994" s="8"/>
    </row>
    <row r="1995" spans="2:2" ht="24.95" customHeight="1" x14ac:dyDescent="0.2">
      <c r="B1995" s="8"/>
    </row>
    <row r="2493" spans="46:46" ht="24.95" customHeight="1" x14ac:dyDescent="0.2">
      <c r="AT2493" s="10">
        <v>0</v>
      </c>
    </row>
    <row r="2494" spans="46:46" ht="24.95" customHeight="1" x14ac:dyDescent="0.2">
      <c r="AT2494" s="10">
        <v>0</v>
      </c>
    </row>
    <row r="3295" spans="28:28" ht="24.95" customHeight="1" x14ac:dyDescent="0.2">
      <c r="AB3295" s="10" t="s">
        <v>1223</v>
      </c>
    </row>
    <row r="8315" spans="34:34" ht="24.95" customHeight="1" x14ac:dyDescent="0.2">
      <c r="AH8315" s="10" t="s">
        <v>1223</v>
      </c>
    </row>
    <row r="8335" spans="34:34" ht="24.95" customHeight="1" x14ac:dyDescent="0.2">
      <c r="AH8335" s="10" t="s">
        <v>1223</v>
      </c>
    </row>
  </sheetData>
  <autoFilter ref="A2:CZ1073"/>
  <dataConsolidate/>
  <mergeCells count="40">
    <mergeCell ref="A1071:D1071"/>
    <mergeCell ref="AE1:AH1"/>
    <mergeCell ref="A1069:D1069"/>
    <mergeCell ref="A1:D1"/>
    <mergeCell ref="E1:U1"/>
    <mergeCell ref="V1:AD1"/>
    <mergeCell ref="AQ1:AR1"/>
    <mergeCell ref="AS1:AT1"/>
    <mergeCell ref="AU1:AV1"/>
    <mergeCell ref="AW1:AX1"/>
    <mergeCell ref="AI1:AJ1"/>
    <mergeCell ref="AK1:AL1"/>
    <mergeCell ref="AM1:AN1"/>
    <mergeCell ref="AO1:AP1"/>
    <mergeCell ref="AY1:AZ1"/>
    <mergeCell ref="BA1:BB1"/>
    <mergeCell ref="BC1:BD1"/>
    <mergeCell ref="BE1:BF1"/>
    <mergeCell ref="CK1:CL1"/>
    <mergeCell ref="BW1:BX1"/>
    <mergeCell ref="CG1:CH1"/>
    <mergeCell ref="BY1:BZ1"/>
    <mergeCell ref="CI1:CJ1"/>
    <mergeCell ref="CA1:CB1"/>
    <mergeCell ref="CX1:CY1"/>
    <mergeCell ref="CM1:CN1"/>
    <mergeCell ref="CO1:CP1"/>
    <mergeCell ref="CR1:CS1"/>
    <mergeCell ref="CT1:CU1"/>
    <mergeCell ref="CV1:CW1"/>
    <mergeCell ref="CC1:CD1"/>
    <mergeCell ref="CE1:CF1"/>
    <mergeCell ref="BU1:BV1"/>
    <mergeCell ref="BG1:BH1"/>
    <mergeCell ref="BI1:BJ1"/>
    <mergeCell ref="BK1:BL1"/>
    <mergeCell ref="BM1:BN1"/>
    <mergeCell ref="BO1:BP1"/>
    <mergeCell ref="BQ1:BR1"/>
    <mergeCell ref="BS1:BT1"/>
  </mergeCells>
  <phoneticPr fontId="0" type="noConversion"/>
  <pageMargins left="0.56000000000000005" right="0.19685039370078741" top="0.96" bottom="0.44" header="0.35433070866141736" footer="0.16"/>
  <pageSetup paperSize="14" scale="75" orientation="landscape" horizontalDpi="4294967292" verticalDpi="300" r:id="rId1"/>
  <headerFooter alignWithMargins="0">
    <oddHeader xml:space="preserve">&amp;C&amp;"Arial,Negrita"&amp;14MINISTERIO DEL INTERIOR Y DE JUSTICIA&amp;"Arial,Negrita Cursiva"&amp;12
&amp;16DIRECCION DE GESTION DEL RIESGO&amp;12
REPORTE DE EMERGENCIAS Y APOYO DEL F.N.C.  AÑO 2009
</oddHeader>
    <oddFooter>&amp;R&amp;P,/ &amp;N, &amp;D,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EMERGENCIAS</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2009-11-17T13:51:48Z</cp:lastPrinted>
  <dcterms:created xsi:type="dcterms:W3CDTF">1998-07-31T14:15:34Z</dcterms:created>
  <dcterms:modified xsi:type="dcterms:W3CDTF">2015-09-18T16:11:01Z</dcterms:modified>
</cp:coreProperties>
</file>