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/>
  </bookViews>
  <sheets>
    <sheet name="2002-2013" sheetId="1" r:id="rId1"/>
  </sheets>
  <externalReferences>
    <externalReference r:id="rId2"/>
    <externalReference r:id="rId3"/>
  </externalReferences>
  <definedNames>
    <definedName name="_xlnm.Print_Area" localSheetId="0">'2002-2013'!$A$2:$AO$46</definedName>
    <definedName name="AREA1" localSheetId="0">'2002-2013'!$A$11:$A$11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A">#REF!</definedName>
    <definedName name="AREAB">#REF!</definedName>
    <definedName name="AREAC">#REF!</definedName>
    <definedName name="AREAD">#REF!</definedName>
    <definedName name="AREAE">#REF!</definedName>
    <definedName name="AREAF">#REF!</definedName>
    <definedName name="_xlnm.Print_Titles" localSheetId="0">'2002-2013'!$A:$A,'2002-2013'!$1:$8</definedName>
  </definedNames>
  <calcPr calcId="144525"/>
</workbook>
</file>

<file path=xl/calcChain.xml><?xml version="1.0" encoding="utf-8"?>
<calcChain xmlns="http://schemas.openxmlformats.org/spreadsheetml/2006/main">
  <c r="CP16" i="1" l="1"/>
  <c r="CK16" i="1"/>
  <c r="B10" i="1" l="1"/>
  <c r="C10" i="1"/>
  <c r="D10" i="1"/>
  <c r="E10" i="1"/>
  <c r="E45" i="1" s="1"/>
  <c r="H10" i="1"/>
  <c r="J10" i="1"/>
  <c r="K10" i="1"/>
  <c r="L10" i="1"/>
  <c r="L45" i="1" s="1"/>
  <c r="M10" i="1"/>
  <c r="O10" i="1"/>
  <c r="R10" i="1"/>
  <c r="S10" i="1"/>
  <c r="T10" i="1"/>
  <c r="U10" i="1"/>
  <c r="V10" i="1"/>
  <c r="X10" i="1"/>
  <c r="AC10" i="1"/>
  <c r="AH10" i="1"/>
  <c r="AI10" i="1"/>
  <c r="AL10" i="1"/>
  <c r="AM10" i="1"/>
  <c r="BC10" i="1"/>
  <c r="BD10" i="1"/>
  <c r="BE10" i="1"/>
  <c r="BF10" i="1"/>
  <c r="BG10" i="1"/>
  <c r="BH10" i="1"/>
  <c r="BI10" i="1"/>
  <c r="BJ10" i="1"/>
  <c r="BK10" i="1"/>
  <c r="BL10" i="1"/>
  <c r="BM10" i="1"/>
  <c r="BW10" i="1"/>
  <c r="CA10" i="1"/>
  <c r="CB10" i="1"/>
  <c r="CC10" i="1"/>
  <c r="CC45" i="1" s="1"/>
  <c r="CE10" i="1"/>
  <c r="CF10" i="1"/>
  <c r="CO10" i="1"/>
  <c r="F11" i="1"/>
  <c r="AU11" i="1" s="1"/>
  <c r="G11" i="1"/>
  <c r="I11" i="1"/>
  <c r="P11" i="1"/>
  <c r="W11" i="1"/>
  <c r="Z11" i="1"/>
  <c r="AA11" i="1"/>
  <c r="AB11" i="1"/>
  <c r="AG11" i="1"/>
  <c r="AK11" i="1"/>
  <c r="AQ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R11" i="1"/>
  <c r="BS11" i="1"/>
  <c r="BT11" i="1"/>
  <c r="BY11" i="1"/>
  <c r="BZ11" i="1"/>
  <c r="CD11" i="1" s="1"/>
  <c r="CG11" i="1"/>
  <c r="CJ11" i="1"/>
  <c r="CK11" i="1"/>
  <c r="CL11" i="1"/>
  <c r="CM11" i="1"/>
  <c r="CP11" i="1"/>
  <c r="CQ11" i="1" s="1"/>
  <c r="AT12" i="1"/>
  <c r="F12" i="1"/>
  <c r="AU12" i="1" s="1"/>
  <c r="G12" i="1"/>
  <c r="I12" i="1"/>
  <c r="P12" i="1"/>
  <c r="W12" i="1"/>
  <c r="Y12" i="1" s="1"/>
  <c r="Z12" i="1"/>
  <c r="AA12" i="1"/>
  <c r="AB12" i="1"/>
  <c r="AG12" i="1"/>
  <c r="AJ12" i="1" s="1"/>
  <c r="AK12" i="1"/>
  <c r="AN12" i="1" s="1"/>
  <c r="AS12" i="1"/>
  <c r="BC12" i="1"/>
  <c r="BD12" i="1"/>
  <c r="BE12" i="1"/>
  <c r="BF12" i="1"/>
  <c r="BG12" i="1"/>
  <c r="BH12" i="1"/>
  <c r="BI12" i="1"/>
  <c r="BJ12" i="1"/>
  <c r="BK12" i="1"/>
  <c r="BL12" i="1"/>
  <c r="BM12" i="1"/>
  <c r="BQ12" i="1"/>
  <c r="BR12" i="1"/>
  <c r="BS12" i="1"/>
  <c r="BT12" i="1"/>
  <c r="BY12" i="1"/>
  <c r="BZ12" i="1"/>
  <c r="CD12" i="1" s="1"/>
  <c r="CG12" i="1"/>
  <c r="CJ12" i="1"/>
  <c r="CK12" i="1"/>
  <c r="CL12" i="1"/>
  <c r="CM12" i="1"/>
  <c r="CP12" i="1"/>
  <c r="CQ12" i="1" s="1"/>
  <c r="AY13" i="1"/>
  <c r="AP13" i="1"/>
  <c r="AS13" i="1"/>
  <c r="F13" i="1"/>
  <c r="G13" i="1"/>
  <c r="I13" i="1"/>
  <c r="P13" i="1"/>
  <c r="W13" i="1"/>
  <c r="Y13" i="1" s="1"/>
  <c r="Z13" i="1"/>
  <c r="AB13" i="1"/>
  <c r="AF13" i="1"/>
  <c r="AG13" i="1"/>
  <c r="AK13" i="1"/>
  <c r="AN13" i="1" s="1"/>
  <c r="AR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Y13" i="1"/>
  <c r="BZ13" i="1"/>
  <c r="CD13" i="1" s="1"/>
  <c r="CG13" i="1"/>
  <c r="CK13" i="1"/>
  <c r="CL13" i="1"/>
  <c r="CM13" i="1"/>
  <c r="CP13" i="1"/>
  <c r="CQ13" i="1" s="1"/>
  <c r="AT14" i="1"/>
  <c r="F14" i="1"/>
  <c r="AU14" i="1" s="1"/>
  <c r="G14" i="1"/>
  <c r="I14" i="1"/>
  <c r="P14" i="1"/>
  <c r="W14" i="1"/>
  <c r="Y14" i="1" s="1"/>
  <c r="Z14" i="1"/>
  <c r="AA14" i="1"/>
  <c r="AB14" i="1"/>
  <c r="AG14" i="1"/>
  <c r="AJ14" i="1" s="1"/>
  <c r="AK14" i="1"/>
  <c r="AN14" i="1" s="1"/>
  <c r="AS14" i="1"/>
  <c r="BC14" i="1"/>
  <c r="BD14" i="1"/>
  <c r="BE14" i="1"/>
  <c r="BF14" i="1"/>
  <c r="BG14" i="1"/>
  <c r="BH14" i="1"/>
  <c r="BI14" i="1"/>
  <c r="BJ14" i="1"/>
  <c r="BK14" i="1"/>
  <c r="BL14" i="1"/>
  <c r="BM14" i="1"/>
  <c r="BQ14" i="1"/>
  <c r="BR14" i="1"/>
  <c r="BS14" i="1"/>
  <c r="BT14" i="1"/>
  <c r="BY14" i="1"/>
  <c r="BZ14" i="1"/>
  <c r="CD14" i="1" s="1"/>
  <c r="CG14" i="1"/>
  <c r="CJ14" i="1"/>
  <c r="CK14" i="1"/>
  <c r="CL14" i="1"/>
  <c r="CM14" i="1"/>
  <c r="CP14" i="1"/>
  <c r="CQ14" i="1" s="1"/>
  <c r="BN15" i="1"/>
  <c r="BQ15" i="1"/>
  <c r="AR15" i="1"/>
  <c r="F15" i="1"/>
  <c r="AU15" i="1" s="1"/>
  <c r="G15" i="1"/>
  <c r="I15" i="1"/>
  <c r="P15" i="1"/>
  <c r="W15" i="1"/>
  <c r="Y15" i="1" s="1"/>
  <c r="Z15" i="1"/>
  <c r="AB15" i="1"/>
  <c r="AF15" i="1"/>
  <c r="AG15" i="1"/>
  <c r="AK15" i="1"/>
  <c r="AN15" i="1" s="1"/>
  <c r="BC15" i="1"/>
  <c r="BD15" i="1"/>
  <c r="BE15" i="1"/>
  <c r="BF15" i="1"/>
  <c r="BG15" i="1"/>
  <c r="BH15" i="1"/>
  <c r="BI15" i="1"/>
  <c r="BJ15" i="1"/>
  <c r="BK15" i="1"/>
  <c r="BL15" i="1"/>
  <c r="BM15" i="1"/>
  <c r="BR15" i="1"/>
  <c r="BS15" i="1"/>
  <c r="BT15" i="1"/>
  <c r="BY15" i="1"/>
  <c r="BZ15" i="1"/>
  <c r="CD15" i="1" s="1"/>
  <c r="CG15" i="1"/>
  <c r="CK15" i="1"/>
  <c r="CL15" i="1"/>
  <c r="CM15" i="1"/>
  <c r="CP15" i="1"/>
  <c r="CQ15" i="1" s="1"/>
  <c r="AY16" i="1"/>
  <c r="AP16" i="1"/>
  <c r="BQ16" i="1"/>
  <c r="AS16" i="1"/>
  <c r="F16" i="1"/>
  <c r="G16" i="1"/>
  <c r="I16" i="1"/>
  <c r="P16" i="1"/>
  <c r="W16" i="1"/>
  <c r="Y16" i="1"/>
  <c r="Z16" i="1"/>
  <c r="AA16" i="1"/>
  <c r="AD16" i="1" s="1"/>
  <c r="AB16" i="1"/>
  <c r="AG16" i="1"/>
  <c r="AJ16" i="1" s="1"/>
  <c r="AK16" i="1"/>
  <c r="AN16" i="1" s="1"/>
  <c r="AR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R16" i="1"/>
  <c r="BS16" i="1"/>
  <c r="BT16" i="1"/>
  <c r="BY16" i="1"/>
  <c r="BZ16" i="1"/>
  <c r="CD16" i="1" s="1"/>
  <c r="CG16" i="1"/>
  <c r="CI16" i="1"/>
  <c r="CJ16" i="1"/>
  <c r="CL16" i="1"/>
  <c r="CM16" i="1"/>
  <c r="CQ16" i="1"/>
  <c r="BS17" i="1"/>
  <c r="F17" i="1"/>
  <c r="AU17" i="1" s="1"/>
  <c r="G17" i="1"/>
  <c r="I17" i="1"/>
  <c r="P17" i="1"/>
  <c r="W17" i="1"/>
  <c r="Y17" i="1" s="1"/>
  <c r="Z17" i="1"/>
  <c r="AA17" i="1"/>
  <c r="AB17" i="1"/>
  <c r="AE17" i="1"/>
  <c r="AG17" i="1"/>
  <c r="AK17" i="1"/>
  <c r="AN17" i="1" s="1"/>
  <c r="BC17" i="1"/>
  <c r="BD17" i="1"/>
  <c r="BE17" i="1"/>
  <c r="BF17" i="1"/>
  <c r="BG17" i="1"/>
  <c r="BH17" i="1"/>
  <c r="BI17" i="1"/>
  <c r="BJ17" i="1"/>
  <c r="BK17" i="1"/>
  <c r="BL17" i="1"/>
  <c r="BM17" i="1"/>
  <c r="BO17" i="1"/>
  <c r="BT17" i="1"/>
  <c r="BY17" i="1"/>
  <c r="BZ17" i="1"/>
  <c r="CD17" i="1" s="1"/>
  <c r="CG17" i="1"/>
  <c r="CJ17" i="1"/>
  <c r="CK17" i="1"/>
  <c r="CL17" i="1"/>
  <c r="CM17" i="1"/>
  <c r="CP17" i="1"/>
  <c r="CQ17" i="1" s="1"/>
  <c r="AS18" i="1"/>
  <c r="F18" i="1"/>
  <c r="AU18" i="1" s="1"/>
  <c r="G18" i="1"/>
  <c r="I18" i="1"/>
  <c r="P18" i="1"/>
  <c r="W18" i="1"/>
  <c r="Y18" i="1" s="1"/>
  <c r="Z18" i="1"/>
  <c r="AB18" i="1"/>
  <c r="AE18" i="1"/>
  <c r="AF18" i="1"/>
  <c r="AG18" i="1"/>
  <c r="AK18" i="1"/>
  <c r="AN18" i="1" s="1"/>
  <c r="AT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R18" i="1"/>
  <c r="BS18" i="1"/>
  <c r="BT18" i="1"/>
  <c r="BY18" i="1"/>
  <c r="BZ18" i="1"/>
  <c r="CD18" i="1" s="1"/>
  <c r="CG18" i="1"/>
  <c r="CK18" i="1"/>
  <c r="CL18" i="1"/>
  <c r="CM18" i="1"/>
  <c r="CP18" i="1"/>
  <c r="CQ18" i="1" s="1"/>
  <c r="BN19" i="1"/>
  <c r="F19" i="1"/>
  <c r="AU19" i="1" s="1"/>
  <c r="G19" i="1"/>
  <c r="I19" i="1"/>
  <c r="P19" i="1"/>
  <c r="W19" i="1"/>
  <c r="Y19" i="1" s="1"/>
  <c r="Z19" i="1"/>
  <c r="AA19" i="1"/>
  <c r="AB19" i="1"/>
  <c r="AG19" i="1"/>
  <c r="AJ19" i="1" s="1"/>
  <c r="AK19" i="1"/>
  <c r="AN19" i="1" s="1"/>
  <c r="AQ19" i="1"/>
  <c r="BC19" i="1"/>
  <c r="BD19" i="1"/>
  <c r="BE19" i="1"/>
  <c r="BF19" i="1"/>
  <c r="BG19" i="1"/>
  <c r="BH19" i="1"/>
  <c r="BI19" i="1"/>
  <c r="BJ19" i="1"/>
  <c r="BK19" i="1"/>
  <c r="BL19" i="1"/>
  <c r="BM19" i="1"/>
  <c r="BR19" i="1"/>
  <c r="BS19" i="1"/>
  <c r="BT19" i="1"/>
  <c r="BY19" i="1"/>
  <c r="BZ19" i="1"/>
  <c r="CD19" i="1" s="1"/>
  <c r="CG19" i="1"/>
  <c r="CK19" i="1"/>
  <c r="CL19" i="1"/>
  <c r="CM19" i="1"/>
  <c r="CP19" i="1"/>
  <c r="CQ19" i="1" s="1"/>
  <c r="AY20" i="1"/>
  <c r="BO20" i="1"/>
  <c r="AS20" i="1"/>
  <c r="F20" i="1"/>
  <c r="AU20" i="1" s="1"/>
  <c r="G20" i="1"/>
  <c r="I20" i="1"/>
  <c r="P20" i="1"/>
  <c r="W20" i="1"/>
  <c r="Y20" i="1" s="1"/>
  <c r="AX20" i="1" s="1"/>
  <c r="Z20" i="1"/>
  <c r="AB20" i="1"/>
  <c r="AE20" i="1"/>
  <c r="AF20" i="1"/>
  <c r="AG20" i="1"/>
  <c r="AK20" i="1"/>
  <c r="AN20" i="1" s="1"/>
  <c r="AT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R20" i="1"/>
  <c r="BS20" i="1"/>
  <c r="BT20" i="1"/>
  <c r="BY20" i="1"/>
  <c r="BZ20" i="1"/>
  <c r="CD20" i="1" s="1"/>
  <c r="CG20" i="1"/>
  <c r="CK20" i="1"/>
  <c r="CL20" i="1"/>
  <c r="CM20" i="1"/>
  <c r="CP20" i="1"/>
  <c r="CQ20" i="1" s="1"/>
  <c r="BQ21" i="1"/>
  <c r="AS21" i="1"/>
  <c r="F21" i="1"/>
  <c r="G21" i="1"/>
  <c r="I21" i="1"/>
  <c r="P21" i="1"/>
  <c r="W21" i="1"/>
  <c r="Y21" i="1"/>
  <c r="Z21" i="1"/>
  <c r="AB21" i="1"/>
  <c r="AF21" i="1"/>
  <c r="AG21" i="1"/>
  <c r="AK21" i="1"/>
  <c r="AN21" i="1" s="1"/>
  <c r="AR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R21" i="1"/>
  <c r="BS21" i="1"/>
  <c r="BT21" i="1"/>
  <c r="BY21" i="1"/>
  <c r="BZ21" i="1"/>
  <c r="CD21" i="1" s="1"/>
  <c r="CG21" i="1"/>
  <c r="CK21" i="1"/>
  <c r="CL21" i="1"/>
  <c r="CM21" i="1"/>
  <c r="CP21" i="1"/>
  <c r="CQ21" i="1" s="1"/>
  <c r="AS22" i="1"/>
  <c r="F22" i="1"/>
  <c r="AU22" i="1" s="1"/>
  <c r="G22" i="1"/>
  <c r="I22" i="1"/>
  <c r="P22" i="1"/>
  <c r="W22" i="1"/>
  <c r="Y22" i="1" s="1"/>
  <c r="Z22" i="1"/>
  <c r="AB22" i="1"/>
  <c r="AE22" i="1"/>
  <c r="AF22" i="1"/>
  <c r="AG22" i="1"/>
  <c r="AK22" i="1"/>
  <c r="AN22" i="1" s="1"/>
  <c r="AT22" i="1"/>
  <c r="BC22" i="1"/>
  <c r="BD22" i="1"/>
  <c r="BE22" i="1"/>
  <c r="BF22" i="1"/>
  <c r="BG22" i="1"/>
  <c r="BH22" i="1"/>
  <c r="BI22" i="1"/>
  <c r="BJ22" i="1"/>
  <c r="BK22" i="1"/>
  <c r="BL22" i="1"/>
  <c r="BM22" i="1"/>
  <c r="BR22" i="1"/>
  <c r="BS22" i="1"/>
  <c r="BT22" i="1"/>
  <c r="BY22" i="1"/>
  <c r="BZ22" i="1"/>
  <c r="CD22" i="1" s="1"/>
  <c r="CG22" i="1"/>
  <c r="CK22" i="1"/>
  <c r="CL22" i="1"/>
  <c r="CM22" i="1"/>
  <c r="CP22" i="1"/>
  <c r="CQ22" i="1" s="1"/>
  <c r="AS23" i="1"/>
  <c r="F23" i="1"/>
  <c r="AU23" i="1" s="1"/>
  <c r="G23" i="1"/>
  <c r="I23" i="1"/>
  <c r="P23" i="1"/>
  <c r="W23" i="1"/>
  <c r="Y23" i="1" s="1"/>
  <c r="Z23" i="1"/>
  <c r="AB23" i="1"/>
  <c r="AE23" i="1"/>
  <c r="AF23" i="1"/>
  <c r="AG23" i="1"/>
  <c r="AK23" i="1"/>
  <c r="AN23" i="1" s="1"/>
  <c r="AT23" i="1"/>
  <c r="BC23" i="1"/>
  <c r="BD23" i="1"/>
  <c r="BE23" i="1"/>
  <c r="BF23" i="1"/>
  <c r="BG23" i="1"/>
  <c r="BH23" i="1"/>
  <c r="BI23" i="1"/>
  <c r="BJ23" i="1"/>
  <c r="BK23" i="1"/>
  <c r="BL23" i="1"/>
  <c r="BM23" i="1"/>
  <c r="BR23" i="1"/>
  <c r="BS23" i="1"/>
  <c r="BT23" i="1"/>
  <c r="BY23" i="1"/>
  <c r="BZ23" i="1"/>
  <c r="CD23" i="1" s="1"/>
  <c r="CG23" i="1"/>
  <c r="CK23" i="1"/>
  <c r="CL23" i="1"/>
  <c r="CM23" i="1"/>
  <c r="CP23" i="1"/>
  <c r="CQ23" i="1" s="1"/>
  <c r="AS24" i="1"/>
  <c r="F24" i="1"/>
  <c r="AU24" i="1" s="1"/>
  <c r="G24" i="1"/>
  <c r="I24" i="1"/>
  <c r="P24" i="1"/>
  <c r="W24" i="1"/>
  <c r="Y24" i="1" s="1"/>
  <c r="Z24" i="1"/>
  <c r="AB24" i="1"/>
  <c r="AE24" i="1"/>
  <c r="AF24" i="1"/>
  <c r="AG24" i="1"/>
  <c r="AK24" i="1"/>
  <c r="AN24" i="1" s="1"/>
  <c r="AT24" i="1"/>
  <c r="AZ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P24" i="1"/>
  <c r="BQ24" i="1"/>
  <c r="BR24" i="1"/>
  <c r="BS24" i="1"/>
  <c r="BT24" i="1"/>
  <c r="BY24" i="1"/>
  <c r="BZ24" i="1"/>
  <c r="CD24" i="1"/>
  <c r="CG24" i="1"/>
  <c r="CK24" i="1"/>
  <c r="CL24" i="1"/>
  <c r="CM24" i="1"/>
  <c r="CP24" i="1"/>
  <c r="CQ24" i="1" s="1"/>
  <c r="AR25" i="1"/>
  <c r="F25" i="1"/>
  <c r="AU25" i="1" s="1"/>
  <c r="G25" i="1"/>
  <c r="BU25" i="1" s="1"/>
  <c r="I25" i="1"/>
  <c r="W25" i="1"/>
  <c r="Y25" i="1" s="1"/>
  <c r="AX25" i="1" s="1"/>
  <c r="Z25" i="1"/>
  <c r="AB25" i="1"/>
  <c r="AF25" i="1"/>
  <c r="AG25" i="1"/>
  <c r="AK25" i="1"/>
  <c r="AN25" i="1" s="1"/>
  <c r="AQ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Y25" i="1"/>
  <c r="BZ25" i="1"/>
  <c r="CD25" i="1" s="1"/>
  <c r="CG25" i="1"/>
  <c r="CK25" i="1"/>
  <c r="CL25" i="1"/>
  <c r="CM25" i="1"/>
  <c r="CP25" i="1"/>
  <c r="CQ25" i="1" s="1"/>
  <c r="F26" i="1"/>
  <c r="AU26" i="1" s="1"/>
  <c r="G26" i="1"/>
  <c r="I26" i="1"/>
  <c r="P26" i="1"/>
  <c r="W26" i="1"/>
  <c r="Y26" i="1" s="1"/>
  <c r="AX26" i="1" s="1"/>
  <c r="Z26" i="1"/>
  <c r="AB26" i="1"/>
  <c r="AE26" i="1"/>
  <c r="AF26" i="1"/>
  <c r="AG26" i="1"/>
  <c r="AK26" i="1"/>
  <c r="AN26" i="1" s="1"/>
  <c r="AT26" i="1"/>
  <c r="BX26" i="1"/>
  <c r="BX10" i="1" s="1"/>
  <c r="BZ26" i="1"/>
  <c r="CD26" i="1" s="1"/>
  <c r="CG26" i="1"/>
  <c r="CK26" i="1"/>
  <c r="CL26" i="1"/>
  <c r="CM26" i="1"/>
  <c r="CP26" i="1"/>
  <c r="CQ26" i="1" s="1"/>
  <c r="BR27" i="1"/>
  <c r="BS27" i="1"/>
  <c r="B27" i="1"/>
  <c r="C27" i="1"/>
  <c r="D27" i="1"/>
  <c r="E27" i="1"/>
  <c r="H27" i="1"/>
  <c r="J27" i="1"/>
  <c r="K27" i="1"/>
  <c r="L27" i="1"/>
  <c r="M27" i="1"/>
  <c r="O27" i="1"/>
  <c r="P27" i="1"/>
  <c r="R27" i="1"/>
  <c r="S27" i="1"/>
  <c r="T27" i="1"/>
  <c r="U27" i="1"/>
  <c r="V27" i="1"/>
  <c r="X27" i="1"/>
  <c r="AA27" i="1"/>
  <c r="AC27" i="1"/>
  <c r="AH27" i="1"/>
  <c r="AI27" i="1"/>
  <c r="AK27" i="1"/>
  <c r="AL27" i="1"/>
  <c r="AM27" i="1"/>
  <c r="BC27" i="1"/>
  <c r="BD27" i="1"/>
  <c r="BE27" i="1"/>
  <c r="BF27" i="1"/>
  <c r="BG27" i="1"/>
  <c r="BH27" i="1"/>
  <c r="BI27" i="1"/>
  <c r="BJ27" i="1"/>
  <c r="BK27" i="1"/>
  <c r="BL27" i="1"/>
  <c r="BM27" i="1"/>
  <c r="BW27" i="1"/>
  <c r="BX27" i="1"/>
  <c r="CA27" i="1"/>
  <c r="CB27" i="1"/>
  <c r="CC27" i="1"/>
  <c r="CE27" i="1"/>
  <c r="CF27" i="1"/>
  <c r="CJ27" i="1"/>
  <c r="CO27" i="1"/>
  <c r="BA28" i="1"/>
  <c r="F28" i="1"/>
  <c r="AU28" i="1" s="1"/>
  <c r="G28" i="1"/>
  <c r="I28" i="1"/>
  <c r="W28" i="1"/>
  <c r="Z28" i="1"/>
  <c r="AB28" i="1"/>
  <c r="AF28" i="1"/>
  <c r="AG28" i="1"/>
  <c r="AN28" i="1"/>
  <c r="AR28" i="1"/>
  <c r="AT28" i="1"/>
  <c r="BC28" i="1"/>
  <c r="BD28" i="1"/>
  <c r="BE28" i="1"/>
  <c r="BF28" i="1"/>
  <c r="BG28" i="1"/>
  <c r="BH28" i="1"/>
  <c r="BI28" i="1"/>
  <c r="BJ28" i="1"/>
  <c r="BK28" i="1"/>
  <c r="BL28" i="1"/>
  <c r="BM28" i="1"/>
  <c r="BO28" i="1"/>
  <c r="BP28" i="1"/>
  <c r="BQ28" i="1"/>
  <c r="BR28" i="1"/>
  <c r="BS28" i="1"/>
  <c r="BT28" i="1"/>
  <c r="BY28" i="1"/>
  <c r="BZ28" i="1"/>
  <c r="CG28" i="1"/>
  <c r="CK28" i="1"/>
  <c r="CL28" i="1"/>
  <c r="CM28" i="1"/>
  <c r="CP28" i="1"/>
  <c r="AY29" i="1"/>
  <c r="F29" i="1"/>
  <c r="G29" i="1"/>
  <c r="BV29" i="1" s="1"/>
  <c r="I29" i="1"/>
  <c r="W29" i="1"/>
  <c r="Y29" i="1" s="1"/>
  <c r="AX29" i="1" s="1"/>
  <c r="Z29" i="1"/>
  <c r="AB29" i="1"/>
  <c r="AF29" i="1"/>
  <c r="AG29" i="1"/>
  <c r="AN29" i="1"/>
  <c r="AS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Q29" i="1"/>
  <c r="BR29" i="1"/>
  <c r="BS29" i="1"/>
  <c r="BT29" i="1"/>
  <c r="BY29" i="1"/>
  <c r="BZ29" i="1"/>
  <c r="CD29" i="1" s="1"/>
  <c r="CG29" i="1"/>
  <c r="CK29" i="1"/>
  <c r="CL29" i="1"/>
  <c r="CM29" i="1"/>
  <c r="CP29" i="1"/>
  <c r="CQ29" i="1" s="1"/>
  <c r="BN30" i="1"/>
  <c r="AY30" i="1"/>
  <c r="BB30" i="1"/>
  <c r="AT30" i="1"/>
  <c r="F30" i="1"/>
  <c r="AU30" i="1" s="1"/>
  <c r="G30" i="1"/>
  <c r="BU30" i="1" s="1"/>
  <c r="I30" i="1"/>
  <c r="W30" i="1"/>
  <c r="Y30" i="1" s="1"/>
  <c r="Z30" i="1"/>
  <c r="AD30" i="1" s="1"/>
  <c r="AB30" i="1"/>
  <c r="AF30" i="1"/>
  <c r="AG30" i="1"/>
  <c r="AN30" i="1"/>
  <c r="AR30" i="1"/>
  <c r="AS30" i="1"/>
  <c r="AZ30" i="1"/>
  <c r="BC30" i="1"/>
  <c r="BD30" i="1"/>
  <c r="BE30" i="1"/>
  <c r="BF30" i="1"/>
  <c r="BG30" i="1"/>
  <c r="BH30" i="1"/>
  <c r="BI30" i="1"/>
  <c r="BJ30" i="1"/>
  <c r="BK30" i="1"/>
  <c r="BL30" i="1"/>
  <c r="BM30" i="1"/>
  <c r="BO30" i="1"/>
  <c r="BP30" i="1"/>
  <c r="BQ30" i="1"/>
  <c r="BR30" i="1"/>
  <c r="BS30" i="1"/>
  <c r="BT30" i="1"/>
  <c r="BY30" i="1"/>
  <c r="BZ30" i="1"/>
  <c r="CD30" i="1" s="1"/>
  <c r="CG30" i="1"/>
  <c r="CK30" i="1"/>
  <c r="CL30" i="1"/>
  <c r="CM30" i="1"/>
  <c r="CP30" i="1"/>
  <c r="CQ30" i="1" s="1"/>
  <c r="BP31" i="1"/>
  <c r="F31" i="1"/>
  <c r="AU31" i="1" s="1"/>
  <c r="G31" i="1"/>
  <c r="BV31" i="1" s="1"/>
  <c r="I31" i="1"/>
  <c r="W31" i="1"/>
  <c r="Y31" i="1" s="1"/>
  <c r="Z31" i="1"/>
  <c r="AB31" i="1"/>
  <c r="AE31" i="1"/>
  <c r="AF31" i="1"/>
  <c r="AG31" i="1"/>
  <c r="AN31" i="1"/>
  <c r="AQ31" i="1"/>
  <c r="AT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Q31" i="1"/>
  <c r="BR31" i="1"/>
  <c r="BS31" i="1"/>
  <c r="BT31" i="1"/>
  <c r="BY31" i="1"/>
  <c r="BZ31" i="1"/>
  <c r="CD31" i="1" s="1"/>
  <c r="CG31" i="1"/>
  <c r="CK31" i="1"/>
  <c r="CL31" i="1"/>
  <c r="CM31" i="1"/>
  <c r="CP31" i="1"/>
  <c r="CQ31" i="1" s="1"/>
  <c r="AY32" i="1"/>
  <c r="F32" i="1"/>
  <c r="AU32" i="1" s="1"/>
  <c r="G32" i="1"/>
  <c r="BU32" i="1" s="1"/>
  <c r="I32" i="1"/>
  <c r="W32" i="1"/>
  <c r="Y32" i="1" s="1"/>
  <c r="Z32" i="1"/>
  <c r="AB32" i="1"/>
  <c r="AF32" i="1"/>
  <c r="AG32" i="1"/>
  <c r="AN32" i="1"/>
  <c r="AT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Q32" i="1"/>
  <c r="BR32" i="1"/>
  <c r="BS32" i="1"/>
  <c r="BT32" i="1"/>
  <c r="BY32" i="1"/>
  <c r="BZ32" i="1"/>
  <c r="CD32" i="1" s="1"/>
  <c r="CG32" i="1"/>
  <c r="CK32" i="1"/>
  <c r="CL32" i="1"/>
  <c r="CM32" i="1"/>
  <c r="CP32" i="1"/>
  <c r="CQ32" i="1" s="1"/>
  <c r="BN33" i="1"/>
  <c r="AS33" i="1"/>
  <c r="F33" i="1"/>
  <c r="AU33" i="1" s="1"/>
  <c r="G33" i="1"/>
  <c r="BU33" i="1" s="1"/>
  <c r="I33" i="1"/>
  <c r="W33" i="1"/>
  <c r="Y33" i="1" s="1"/>
  <c r="Z33" i="1"/>
  <c r="AB33" i="1"/>
  <c r="AE33" i="1"/>
  <c r="AF33" i="1"/>
  <c r="AG33" i="1"/>
  <c r="AN33" i="1"/>
  <c r="BC33" i="1"/>
  <c r="BD33" i="1"/>
  <c r="BE33" i="1"/>
  <c r="BF33" i="1"/>
  <c r="BG33" i="1"/>
  <c r="BH33" i="1"/>
  <c r="BI33" i="1"/>
  <c r="BJ33" i="1"/>
  <c r="BK33" i="1"/>
  <c r="BL33" i="1"/>
  <c r="BM33" i="1"/>
  <c r="BP33" i="1"/>
  <c r="BQ33" i="1"/>
  <c r="BR33" i="1"/>
  <c r="BS33" i="1"/>
  <c r="BT33" i="1"/>
  <c r="BY33" i="1"/>
  <c r="BZ33" i="1"/>
  <c r="CD33" i="1" s="1"/>
  <c r="CG33" i="1"/>
  <c r="CK33" i="1"/>
  <c r="CL33" i="1"/>
  <c r="CM33" i="1"/>
  <c r="CP33" i="1"/>
  <c r="CQ33" i="1" s="1"/>
  <c r="AY34" i="1"/>
  <c r="AS34" i="1"/>
  <c r="AT34" i="1"/>
  <c r="F34" i="1"/>
  <c r="AU34" i="1" s="1"/>
  <c r="G34" i="1"/>
  <c r="BV34" i="1" s="1"/>
  <c r="I34" i="1"/>
  <c r="N34" i="1" s="1"/>
  <c r="Q34" i="1" s="1"/>
  <c r="W34" i="1"/>
  <c r="Y34" i="1" s="1"/>
  <c r="Z34" i="1"/>
  <c r="AB34" i="1"/>
  <c r="AE34" i="1"/>
  <c r="AF34" i="1"/>
  <c r="AG34" i="1"/>
  <c r="AN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R34" i="1"/>
  <c r="BS34" i="1"/>
  <c r="BT34" i="1"/>
  <c r="BU34" i="1"/>
  <c r="BY34" i="1"/>
  <c r="BZ34" i="1"/>
  <c r="CD34" i="1" s="1"/>
  <c r="CG34" i="1"/>
  <c r="CK34" i="1"/>
  <c r="CL34" i="1"/>
  <c r="CM34" i="1"/>
  <c r="CP34" i="1"/>
  <c r="CQ34" i="1" s="1"/>
  <c r="AY35" i="1"/>
  <c r="BP35" i="1"/>
  <c r="AS35" i="1"/>
  <c r="AT35" i="1"/>
  <c r="F35" i="1"/>
  <c r="AU35" i="1" s="1"/>
  <c r="G35" i="1"/>
  <c r="BU35" i="1" s="1"/>
  <c r="I35" i="1"/>
  <c r="W35" i="1"/>
  <c r="Y35" i="1" s="1"/>
  <c r="Z35" i="1"/>
  <c r="AB35" i="1"/>
  <c r="AF35" i="1"/>
  <c r="AG35" i="1"/>
  <c r="AN35" i="1"/>
  <c r="AP35" i="1"/>
  <c r="AZ35" i="1"/>
  <c r="BC35" i="1"/>
  <c r="BD35" i="1"/>
  <c r="BE35" i="1"/>
  <c r="BF35" i="1"/>
  <c r="BG35" i="1"/>
  <c r="BH35" i="1"/>
  <c r="BI35" i="1"/>
  <c r="BJ35" i="1"/>
  <c r="BK35" i="1"/>
  <c r="BL35" i="1"/>
  <c r="BM35" i="1"/>
  <c r="BQ35" i="1"/>
  <c r="BR35" i="1"/>
  <c r="BS35" i="1"/>
  <c r="BT35" i="1"/>
  <c r="BY35" i="1"/>
  <c r="BZ35" i="1"/>
  <c r="CD35" i="1" s="1"/>
  <c r="CG35" i="1"/>
  <c r="CK35" i="1"/>
  <c r="CL35" i="1"/>
  <c r="CM35" i="1"/>
  <c r="CP35" i="1"/>
  <c r="CQ35" i="1" s="1"/>
  <c r="AY36" i="1"/>
  <c r="BO36" i="1"/>
  <c r="AZ36" i="1"/>
  <c r="AQ36" i="1"/>
  <c r="AR36" i="1"/>
  <c r="F36" i="1"/>
  <c r="AU36" i="1" s="1"/>
  <c r="G36" i="1"/>
  <c r="BV36" i="1" s="1"/>
  <c r="I36" i="1"/>
  <c r="W36" i="1"/>
  <c r="Y36" i="1" s="1"/>
  <c r="Z36" i="1"/>
  <c r="AB36" i="1"/>
  <c r="AF36" i="1"/>
  <c r="AG36" i="1"/>
  <c r="AN36" i="1"/>
  <c r="AP36" i="1"/>
  <c r="BA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P36" i="1"/>
  <c r="BR36" i="1"/>
  <c r="BS36" i="1"/>
  <c r="BT36" i="1"/>
  <c r="BY36" i="1"/>
  <c r="BZ36" i="1"/>
  <c r="CD36" i="1" s="1"/>
  <c r="CG36" i="1"/>
  <c r="CK36" i="1"/>
  <c r="CL36" i="1"/>
  <c r="CM36" i="1"/>
  <c r="CP36" i="1"/>
  <c r="CQ36" i="1" s="1"/>
  <c r="BP37" i="1"/>
  <c r="AT37" i="1"/>
  <c r="F37" i="1"/>
  <c r="AU37" i="1" s="1"/>
  <c r="G37" i="1"/>
  <c r="BV37" i="1" s="1"/>
  <c r="I37" i="1"/>
  <c r="W37" i="1"/>
  <c r="Y37" i="1" s="1"/>
  <c r="Z37" i="1"/>
  <c r="AB37" i="1"/>
  <c r="AF37" i="1"/>
  <c r="AG37" i="1"/>
  <c r="AN37" i="1"/>
  <c r="BC37" i="1"/>
  <c r="BD37" i="1"/>
  <c r="BE37" i="1"/>
  <c r="BF37" i="1"/>
  <c r="BG37" i="1"/>
  <c r="BH37" i="1"/>
  <c r="BI37" i="1"/>
  <c r="BJ37" i="1"/>
  <c r="BK37" i="1"/>
  <c r="BL37" i="1"/>
  <c r="BM37" i="1"/>
  <c r="BQ37" i="1"/>
  <c r="BR37" i="1"/>
  <c r="BS37" i="1"/>
  <c r="BT37" i="1"/>
  <c r="BY37" i="1"/>
  <c r="BZ37" i="1"/>
  <c r="CD37" i="1" s="1"/>
  <c r="CG37" i="1"/>
  <c r="CK37" i="1"/>
  <c r="CL37" i="1"/>
  <c r="CM37" i="1"/>
  <c r="CP37" i="1"/>
  <c r="CQ37" i="1" s="1"/>
  <c r="AZ38" i="1"/>
  <c r="AT38" i="1"/>
  <c r="F38" i="1"/>
  <c r="G38" i="1"/>
  <c r="I38" i="1"/>
  <c r="W38" i="1"/>
  <c r="Y38" i="1" s="1"/>
  <c r="Z38" i="1"/>
  <c r="AB38" i="1"/>
  <c r="AE38" i="1"/>
  <c r="AF38" i="1"/>
  <c r="AG38" i="1"/>
  <c r="AN38" i="1"/>
  <c r="AQ38" i="1"/>
  <c r="AY38" i="1"/>
  <c r="BA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Y38" i="1"/>
  <c r="BZ38" i="1"/>
  <c r="CD38" i="1" s="1"/>
  <c r="CG38" i="1"/>
  <c r="CK38" i="1"/>
  <c r="CL38" i="1"/>
  <c r="CM38" i="1"/>
  <c r="CP38" i="1"/>
  <c r="CQ38" i="1" s="1"/>
  <c r="AY39" i="1"/>
  <c r="AT39" i="1"/>
  <c r="F39" i="1"/>
  <c r="AU39" i="1" s="1"/>
  <c r="G39" i="1"/>
  <c r="BU39" i="1" s="1"/>
  <c r="I39" i="1"/>
  <c r="W39" i="1"/>
  <c r="Y39" i="1" s="1"/>
  <c r="AX39" i="1" s="1"/>
  <c r="Z39" i="1"/>
  <c r="AB39" i="1"/>
  <c r="AE39" i="1"/>
  <c r="AF39" i="1"/>
  <c r="AG39" i="1"/>
  <c r="AN39" i="1"/>
  <c r="AS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Q39" i="1"/>
  <c r="BR39" i="1"/>
  <c r="BS39" i="1"/>
  <c r="BT39" i="1"/>
  <c r="BY39" i="1"/>
  <c r="BZ39" i="1"/>
  <c r="CD39" i="1" s="1"/>
  <c r="CG39" i="1"/>
  <c r="CK39" i="1"/>
  <c r="CL39" i="1"/>
  <c r="CM39" i="1"/>
  <c r="CP39" i="1"/>
  <c r="CQ39" i="1" s="1"/>
  <c r="AY40" i="1"/>
  <c r="F40" i="1"/>
  <c r="AU40" i="1" s="1"/>
  <c r="G40" i="1"/>
  <c r="BV40" i="1" s="1"/>
  <c r="I40" i="1"/>
  <c r="W40" i="1"/>
  <c r="Y40" i="1" s="1"/>
  <c r="Z40" i="1"/>
  <c r="AD40" i="1" s="1"/>
  <c r="AB40" i="1"/>
  <c r="AE40" i="1"/>
  <c r="AF40" i="1"/>
  <c r="AG40" i="1"/>
  <c r="AN40" i="1"/>
  <c r="AP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R40" i="1"/>
  <c r="BS40" i="1"/>
  <c r="BT40" i="1"/>
  <c r="BY40" i="1"/>
  <c r="BZ40" i="1"/>
  <c r="CD40" i="1" s="1"/>
  <c r="CG40" i="1"/>
  <c r="CK40" i="1"/>
  <c r="CL40" i="1"/>
  <c r="CM40" i="1"/>
  <c r="CP40" i="1"/>
  <c r="CQ40" i="1" s="1"/>
  <c r="AY41" i="1"/>
  <c r="BP41" i="1"/>
  <c r="AS41" i="1"/>
  <c r="F41" i="1"/>
  <c r="AU41" i="1" s="1"/>
  <c r="G41" i="1"/>
  <c r="BV41" i="1" s="1"/>
  <c r="I41" i="1"/>
  <c r="W41" i="1"/>
  <c r="Y41" i="1" s="1"/>
  <c r="Z41" i="1"/>
  <c r="AB41" i="1"/>
  <c r="AE41" i="1"/>
  <c r="AF41" i="1"/>
  <c r="AG41" i="1"/>
  <c r="AN41" i="1"/>
  <c r="AZ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Q41" i="1"/>
  <c r="BR41" i="1"/>
  <c r="BS41" i="1"/>
  <c r="BT41" i="1"/>
  <c r="BY41" i="1"/>
  <c r="BZ41" i="1"/>
  <c r="CD41" i="1" s="1"/>
  <c r="CG41" i="1"/>
  <c r="CK41" i="1"/>
  <c r="CL41" i="1"/>
  <c r="CM41" i="1"/>
  <c r="CP41" i="1"/>
  <c r="CQ41" i="1" s="1"/>
  <c r="BP42" i="1"/>
  <c r="F42" i="1"/>
  <c r="AU42" i="1" s="1"/>
  <c r="G42" i="1"/>
  <c r="I42" i="1"/>
  <c r="W42" i="1"/>
  <c r="Y42" i="1" s="1"/>
  <c r="Z42" i="1"/>
  <c r="AB42" i="1"/>
  <c r="AE42" i="1"/>
  <c r="AF42" i="1"/>
  <c r="AG42" i="1"/>
  <c r="AN42" i="1"/>
  <c r="AS42" i="1"/>
  <c r="AT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Q42" i="1"/>
  <c r="BR42" i="1"/>
  <c r="BS42" i="1"/>
  <c r="BT42" i="1"/>
  <c r="BY42" i="1"/>
  <c r="BZ42" i="1"/>
  <c r="CD42" i="1" s="1"/>
  <c r="CG42" i="1"/>
  <c r="CI42" i="1"/>
  <c r="CI27" i="1" s="1"/>
  <c r="CK42" i="1"/>
  <c r="CN42" i="1" s="1"/>
  <c r="CR42" i="1" s="1"/>
  <c r="CL42" i="1"/>
  <c r="CP42" i="1"/>
  <c r="CQ42" i="1" s="1"/>
  <c r="AY43" i="1"/>
  <c r="BO43" i="1"/>
  <c r="AS43" i="1"/>
  <c r="F43" i="1"/>
  <c r="AU43" i="1" s="1"/>
  <c r="G43" i="1"/>
  <c r="BV43" i="1" s="1"/>
  <c r="I43" i="1"/>
  <c r="W43" i="1"/>
  <c r="Y43" i="1" s="1"/>
  <c r="AX43" i="1" s="1"/>
  <c r="Z43" i="1"/>
  <c r="AB43" i="1"/>
  <c r="AD43" i="1"/>
  <c r="AE43" i="1"/>
  <c r="AF43" i="1"/>
  <c r="AG43" i="1"/>
  <c r="AN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Q43" i="1"/>
  <c r="BR43" i="1"/>
  <c r="BS43" i="1"/>
  <c r="BT43" i="1"/>
  <c r="BY43" i="1"/>
  <c r="BZ43" i="1"/>
  <c r="CD43" i="1" s="1"/>
  <c r="CG43" i="1"/>
  <c r="CK43" i="1"/>
  <c r="CL43" i="1"/>
  <c r="CM43" i="1"/>
  <c r="CP43" i="1"/>
  <c r="CQ43" i="1" s="1"/>
  <c r="AY44" i="1"/>
  <c r="AT44" i="1"/>
  <c r="F44" i="1"/>
  <c r="Q44" i="1"/>
  <c r="W44" i="1"/>
  <c r="Y44" i="1"/>
  <c r="AR44" i="1"/>
  <c r="AS44" i="1"/>
  <c r="AV44" i="1"/>
  <c r="AZ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X45" i="1" l="1"/>
  <c r="S45" i="1"/>
  <c r="N41" i="1"/>
  <c r="Q41" i="1" s="1"/>
  <c r="AW41" i="1" s="1"/>
  <c r="AD28" i="1"/>
  <c r="N22" i="1"/>
  <c r="CH21" i="1"/>
  <c r="AD21" i="1"/>
  <c r="N21" i="1"/>
  <c r="Q21" i="1" s="1"/>
  <c r="AV21" i="1" s="1"/>
  <c r="BV19" i="1"/>
  <c r="CO45" i="1"/>
  <c r="AI45" i="1"/>
  <c r="V45" i="1"/>
  <c r="R45" i="1"/>
  <c r="AV34" i="1"/>
  <c r="BU41" i="1"/>
  <c r="BX45" i="1"/>
  <c r="AD15" i="1"/>
  <c r="BM45" i="1"/>
  <c r="BI45" i="1"/>
  <c r="BE45" i="1"/>
  <c r="AL45" i="1"/>
  <c r="CB45" i="1"/>
  <c r="BL45" i="1"/>
  <c r="BH45" i="1"/>
  <c r="BD45" i="1"/>
  <c r="D45" i="1"/>
  <c r="AJ40" i="1"/>
  <c r="AO40" i="1" s="1"/>
  <c r="BV39" i="1"/>
  <c r="CH31" i="1"/>
  <c r="AJ28" i="1"/>
  <c r="CF45" i="1"/>
  <c r="CA45" i="1"/>
  <c r="BK45" i="1"/>
  <c r="BG45" i="1"/>
  <c r="BC45" i="1"/>
  <c r="AH45" i="1"/>
  <c r="U45" i="1"/>
  <c r="O45" i="1"/>
  <c r="J45" i="1"/>
  <c r="C45" i="1"/>
  <c r="AD20" i="1"/>
  <c r="K45" i="1"/>
  <c r="AD41" i="1"/>
  <c r="CH39" i="1"/>
  <c r="AD36" i="1"/>
  <c r="CH34" i="1"/>
  <c r="BY26" i="1"/>
  <c r="BY10" i="1" s="1"/>
  <c r="AJ20" i="1"/>
  <c r="AO20" i="1" s="1"/>
  <c r="BV15" i="1"/>
  <c r="CE45" i="1"/>
  <c r="BW45" i="1"/>
  <c r="BJ45" i="1"/>
  <c r="BF45" i="1"/>
  <c r="AM45" i="1"/>
  <c r="AC45" i="1"/>
  <c r="T45" i="1"/>
  <c r="M45" i="1"/>
  <c r="H45" i="1"/>
  <c r="B45" i="1"/>
  <c r="CH43" i="1"/>
  <c r="N42" i="1"/>
  <c r="Q42" i="1" s="1"/>
  <c r="AV42" i="1" s="1"/>
  <c r="CH41" i="1"/>
  <c r="AJ41" i="1"/>
  <c r="AO41" i="1" s="1"/>
  <c r="CH40" i="1"/>
  <c r="CH37" i="1"/>
  <c r="AD32" i="1"/>
  <c r="N29" i="1"/>
  <c r="Q29" i="1" s="1"/>
  <c r="AV29" i="1" s="1"/>
  <c r="CH26" i="1"/>
  <c r="CN23" i="1"/>
  <c r="CR23" i="1" s="1"/>
  <c r="CH12" i="1"/>
  <c r="CH11" i="1"/>
  <c r="AV41" i="1"/>
  <c r="AD33" i="1"/>
  <c r="BV32" i="1"/>
  <c r="BU20" i="1"/>
  <c r="CH19" i="1"/>
  <c r="N13" i="1"/>
  <c r="Q13" i="1" s="1"/>
  <c r="AV13" i="1" s="1"/>
  <c r="CN12" i="1"/>
  <c r="CR12" i="1" s="1"/>
  <c r="CH42" i="1"/>
  <c r="AD37" i="1"/>
  <c r="N36" i="1"/>
  <c r="Q36" i="1" s="1"/>
  <c r="AV36" i="1" s="1"/>
  <c r="CN35" i="1"/>
  <c r="CR35" i="1" s="1"/>
  <c r="CH30" i="1"/>
  <c r="AD24" i="1"/>
  <c r="N24" i="1"/>
  <c r="AD18" i="1"/>
  <c r="CH15" i="1"/>
  <c r="CH14" i="1"/>
  <c r="BV14" i="1"/>
  <c r="CN37" i="1"/>
  <c r="CR37" i="1" s="1"/>
  <c r="AJ37" i="1"/>
  <c r="AO37" i="1" s="1"/>
  <c r="AD35" i="1"/>
  <c r="AJ33" i="1"/>
  <c r="AO33" i="1" s="1"/>
  <c r="BU29" i="1"/>
  <c r="AD23" i="1"/>
  <c r="CH22" i="1"/>
  <c r="BV20" i="1"/>
  <c r="N12" i="1"/>
  <c r="Q12" i="1" s="1"/>
  <c r="AV12" i="1" s="1"/>
  <c r="BU43" i="1"/>
  <c r="AJ42" i="1"/>
  <c r="AO42" i="1" s="1"/>
  <c r="N39" i="1"/>
  <c r="Q39" i="1" s="1"/>
  <c r="AV39" i="1" s="1"/>
  <c r="CH38" i="1"/>
  <c r="AD38" i="1"/>
  <c r="AJ36" i="1"/>
  <c r="AO36" i="1" s="1"/>
  <c r="BV35" i="1"/>
  <c r="AJ35" i="1"/>
  <c r="AO35" i="1" s="1"/>
  <c r="CH29" i="1"/>
  <c r="AJ29" i="1"/>
  <c r="AO29" i="1" s="1"/>
  <c r="CN26" i="1"/>
  <c r="CR26" i="1" s="1"/>
  <c r="AD26" i="1"/>
  <c r="CH25" i="1"/>
  <c r="CH23" i="1"/>
  <c r="AJ23" i="1"/>
  <c r="AO23" i="1" s="1"/>
  <c r="CN21" i="1"/>
  <c r="N20" i="1"/>
  <c r="Q20" i="1" s="1"/>
  <c r="AV20" i="1" s="1"/>
  <c r="CN19" i="1"/>
  <c r="CR19" i="1" s="1"/>
  <c r="CJ10" i="1"/>
  <c r="CJ45" i="1" s="1"/>
  <c r="CH13" i="1"/>
  <c r="AO12" i="1"/>
  <c r="CH33" i="1"/>
  <c r="CH24" i="1"/>
  <c r="N23" i="1"/>
  <c r="Q23" i="1" s="1"/>
  <c r="N15" i="1"/>
  <c r="Q15" i="1" s="1"/>
  <c r="CN14" i="1"/>
  <c r="CR14" i="1" s="1"/>
  <c r="AJ43" i="1"/>
  <c r="AO43" i="1" s="1"/>
  <c r="BU42" i="1"/>
  <c r="AD39" i="1"/>
  <c r="CN38" i="1"/>
  <c r="CR38" i="1" s="1"/>
  <c r="CH35" i="1"/>
  <c r="BT27" i="1"/>
  <c r="BU21" i="1"/>
  <c r="BU19" i="1"/>
  <c r="N19" i="1"/>
  <c r="Q19" i="1" s="1"/>
  <c r="AV19" i="1" s="1"/>
  <c r="CN17" i="1"/>
  <c r="CR17" i="1" s="1"/>
  <c r="CN15" i="1"/>
  <c r="CR15" i="1" s="1"/>
  <c r="AD11" i="1"/>
  <c r="Q24" i="1"/>
  <c r="AV24" i="1" s="1"/>
  <c r="BV21" i="1"/>
  <c r="AX30" i="1"/>
  <c r="BU13" i="1"/>
  <c r="BV13" i="1"/>
  <c r="N11" i="1"/>
  <c r="Q11" i="1" s="1"/>
  <c r="BU11" i="1"/>
  <c r="CN40" i="1"/>
  <c r="CR40" i="1" s="1"/>
  <c r="AJ26" i="1"/>
  <c r="AO26" i="1" s="1"/>
  <c r="AJ21" i="1"/>
  <c r="AO21" i="1" s="1"/>
  <c r="CH20" i="1"/>
  <c r="AD19" i="1"/>
  <c r="AJ18" i="1"/>
  <c r="N16" i="1"/>
  <c r="Q16" i="1" s="1"/>
  <c r="AV16" i="1" s="1"/>
  <c r="AD42" i="1"/>
  <c r="CN33" i="1"/>
  <c r="CR33" i="1" s="1"/>
  <c r="CN24" i="1"/>
  <c r="CR24" i="1" s="1"/>
  <c r="BV24" i="1"/>
  <c r="BU24" i="1"/>
  <c r="Q22" i="1"/>
  <c r="AV22" i="1" s="1"/>
  <c r="N14" i="1"/>
  <c r="Q14" i="1" s="1"/>
  <c r="AV14" i="1" s="1"/>
  <c r="BU14" i="1"/>
  <c r="AD13" i="1"/>
  <c r="BV11" i="1"/>
  <c r="AD31" i="1"/>
  <c r="CN22" i="1"/>
  <c r="AJ31" i="1"/>
  <c r="AO31" i="1" s="1"/>
  <c r="BU18" i="1"/>
  <c r="BV18" i="1"/>
  <c r="BV16" i="1"/>
  <c r="CN13" i="1"/>
  <c r="CR13" i="1" s="1"/>
  <c r="CN43" i="1"/>
  <c r="CR43" i="1" s="1"/>
  <c r="CN41" i="1"/>
  <c r="CR41" i="1" s="1"/>
  <c r="CN39" i="1"/>
  <c r="CR39" i="1" s="1"/>
  <c r="AJ39" i="1"/>
  <c r="AO39" i="1" s="1"/>
  <c r="AJ38" i="1"/>
  <c r="AO38" i="1" s="1"/>
  <c r="CN31" i="1"/>
  <c r="CR31" i="1" s="1"/>
  <c r="CN30" i="1"/>
  <c r="CR30" i="1" s="1"/>
  <c r="AD29" i="1"/>
  <c r="AD25" i="1"/>
  <c r="N25" i="1"/>
  <c r="Q25" i="1" s="1"/>
  <c r="AV25" i="1" s="1"/>
  <c r="AD22" i="1"/>
  <c r="CH17" i="1"/>
  <c r="AD17" i="1"/>
  <c r="CH16" i="1"/>
  <c r="BU15" i="1"/>
  <c r="BV12" i="1"/>
  <c r="CN34" i="1"/>
  <c r="CR34" i="1" s="1"/>
  <c r="N32" i="1"/>
  <c r="Q32" i="1" s="1"/>
  <c r="AV32" i="1" s="1"/>
  <c r="N30" i="1"/>
  <c r="Q30" i="1" s="1"/>
  <c r="AV30" i="1" s="1"/>
  <c r="AJ24" i="1"/>
  <c r="AO24" i="1" s="1"/>
  <c r="CN20" i="1"/>
  <c r="CR20" i="1" s="1"/>
  <c r="N18" i="1"/>
  <c r="Q18" i="1" s="1"/>
  <c r="AV18" i="1" s="1"/>
  <c r="AJ15" i="1"/>
  <c r="AO15" i="1" s="1"/>
  <c r="AO14" i="1"/>
  <c r="AD14" i="1"/>
  <c r="AD12" i="1"/>
  <c r="AW42" i="1"/>
  <c r="BP39" i="1"/>
  <c r="BO39" i="1"/>
  <c r="BA37" i="1"/>
  <c r="AQ37" i="1"/>
  <c r="AX32" i="1"/>
  <c r="BA42" i="1"/>
  <c r="AX41" i="1"/>
  <c r="AX40" i="1"/>
  <c r="BQ40" i="1"/>
  <c r="BP40" i="1"/>
  <c r="BV38" i="1"/>
  <c r="BU38" i="1"/>
  <c r="N38" i="1"/>
  <c r="Q38" i="1" s="1"/>
  <c r="AV38" i="1" s="1"/>
  <c r="BB38" i="1"/>
  <c r="AR38" i="1"/>
  <c r="BN37" i="1"/>
  <c r="BO37" i="1"/>
  <c r="BA35" i="1"/>
  <c r="AQ35" i="1"/>
  <c r="AW34" i="1"/>
  <c r="AZ33" i="1"/>
  <c r="AP32" i="1"/>
  <c r="AZ32" i="1"/>
  <c r="AB27" i="1"/>
  <c r="BP43" i="1"/>
  <c r="AQ42" i="1"/>
  <c r="AW44" i="1"/>
  <c r="AX44" i="1"/>
  <c r="AP44" i="1"/>
  <c r="BA44" i="1"/>
  <c r="AP41" i="1"/>
  <c r="AZ40" i="1"/>
  <c r="AS40" i="1"/>
  <c r="AT40" i="1"/>
  <c r="AS38" i="1"/>
  <c r="AX38" i="1"/>
  <c r="BU37" i="1"/>
  <c r="N37" i="1"/>
  <c r="Q37" i="1" s="1"/>
  <c r="AV37" i="1" s="1"/>
  <c r="AS37" i="1"/>
  <c r="BB37" i="1"/>
  <c r="AR37" i="1"/>
  <c r="CH36" i="1"/>
  <c r="AR34" i="1"/>
  <c r="BB34" i="1"/>
  <c r="BA33" i="1"/>
  <c r="AQ33" i="1"/>
  <c r="AP31" i="1"/>
  <c r="AJ30" i="1"/>
  <c r="AO30" i="1" s="1"/>
  <c r="AF27" i="1"/>
  <c r="N43" i="1"/>
  <c r="Q43" i="1" s="1"/>
  <c r="AV43" i="1" s="1"/>
  <c r="AT43" i="1"/>
  <c r="BV42" i="1"/>
  <c r="N40" i="1"/>
  <c r="Q40" i="1" s="1"/>
  <c r="AV40" i="1" s="1"/>
  <c r="BU40" i="1"/>
  <c r="BU36" i="1"/>
  <c r="BQ36" i="1"/>
  <c r="AT36" i="1"/>
  <c r="BQ34" i="1"/>
  <c r="AJ34" i="1"/>
  <c r="AO34" i="1" s="1"/>
  <c r="BO33" i="1"/>
  <c r="AT33" i="1"/>
  <c r="CN32" i="1"/>
  <c r="CR32" i="1" s="1"/>
  <c r="AS32" i="1"/>
  <c r="AE27" i="1"/>
  <c r="BA31" i="1"/>
  <c r="AQ30" i="1"/>
  <c r="BA30" i="1"/>
  <c r="CN29" i="1"/>
  <c r="CR29" i="1" s="1"/>
  <c r="CQ28" i="1"/>
  <c r="CQ27" i="1" s="1"/>
  <c r="CP27" i="1"/>
  <c r="CG27" i="1"/>
  <c r="Y28" i="1"/>
  <c r="W27" i="1"/>
  <c r="N26" i="1"/>
  <c r="Q26" i="1" s="1"/>
  <c r="AV26" i="1" s="1"/>
  <c r="AR39" i="1"/>
  <c r="AX36" i="1"/>
  <c r="AS36" i="1"/>
  <c r="BO35" i="1"/>
  <c r="AX35" i="1"/>
  <c r="AR35" i="1"/>
  <c r="N35" i="1"/>
  <c r="Q35" i="1" s="1"/>
  <c r="AV35" i="1" s="1"/>
  <c r="BP34" i="1"/>
  <c r="AX34" i="1"/>
  <c r="BO34" i="1"/>
  <c r="AR33" i="1"/>
  <c r="AY33" i="1"/>
  <c r="CD28" i="1"/>
  <c r="BZ27" i="1"/>
  <c r="AN27" i="1"/>
  <c r="I27" i="1"/>
  <c r="BP27" i="1"/>
  <c r="AU44" i="1"/>
  <c r="AQ44" i="1"/>
  <c r="BB43" i="1"/>
  <c r="AR42" i="1"/>
  <c r="AT41" i="1"/>
  <c r="BB39" i="1"/>
  <c r="AU38" i="1"/>
  <c r="AP38" i="1"/>
  <c r="CN36" i="1"/>
  <c r="CR36" i="1" s="1"/>
  <c r="BB36" i="1"/>
  <c r="BN35" i="1"/>
  <c r="BB35" i="1"/>
  <c r="AD34" i="1"/>
  <c r="N33" i="1"/>
  <c r="Q33" i="1" s="1"/>
  <c r="AV33" i="1" s="1"/>
  <c r="BV33" i="1"/>
  <c r="BB33" i="1"/>
  <c r="CH32" i="1"/>
  <c r="AJ32" i="1"/>
  <c r="AO32" i="1" s="1"/>
  <c r="BO32" i="1"/>
  <c r="BP32" i="1"/>
  <c r="CM27" i="1"/>
  <c r="AW29" i="1"/>
  <c r="AU29" i="1"/>
  <c r="AT29" i="1"/>
  <c r="AS25" i="1"/>
  <c r="AT25" i="1"/>
  <c r="BU17" i="1"/>
  <c r="N17" i="1"/>
  <c r="Q17" i="1" s="1"/>
  <c r="BV17" i="1"/>
  <c r="CL27" i="1"/>
  <c r="BY27" i="1"/>
  <c r="AO28" i="1"/>
  <c r="BU28" i="1"/>
  <c r="N28" i="1"/>
  <c r="BV28" i="1"/>
  <c r="G27" i="1"/>
  <c r="AS28" i="1"/>
  <c r="BB28" i="1"/>
  <c r="AP28" i="1"/>
  <c r="AQ28" i="1"/>
  <c r="CN25" i="1"/>
  <c r="CR25" i="1" s="1"/>
  <c r="BA25" i="1"/>
  <c r="AP24" i="1"/>
  <c r="AX24" i="1"/>
  <c r="AR23" i="1"/>
  <c r="AS19" i="1"/>
  <c r="AT19" i="1"/>
  <c r="N31" i="1"/>
  <c r="Q31" i="1" s="1"/>
  <c r="AV31" i="1" s="1"/>
  <c r="BU31" i="1"/>
  <c r="AR31" i="1"/>
  <c r="AS31" i="1"/>
  <c r="AY31" i="1"/>
  <c r="AP30" i="1"/>
  <c r="BO29" i="1"/>
  <c r="CK27" i="1"/>
  <c r="CN28" i="1"/>
  <c r="AG27" i="1"/>
  <c r="Z27" i="1"/>
  <c r="F27" i="1"/>
  <c r="AU27" i="1" s="1"/>
  <c r="AS27" i="1"/>
  <c r="BQ27" i="1"/>
  <c r="BN27" i="1"/>
  <c r="BN23" i="1"/>
  <c r="AY23" i="1"/>
  <c r="BN22" i="1"/>
  <c r="AY18" i="1"/>
  <c r="AX18" i="1"/>
  <c r="AJ13" i="1"/>
  <c r="AO13" i="1" s="1"/>
  <c r="AF10" i="1"/>
  <c r="AF45" i="1" s="1"/>
  <c r="AX13" i="1"/>
  <c r="CQ10" i="1"/>
  <c r="CQ45" i="1" s="1"/>
  <c r="CK10" i="1"/>
  <c r="CD10" i="1"/>
  <c r="AJ25" i="1"/>
  <c r="AO25" i="1" s="1"/>
  <c r="BO23" i="1"/>
  <c r="BO22" i="1"/>
  <c r="BP20" i="1"/>
  <c r="BQ20" i="1"/>
  <c r="AR19" i="1"/>
  <c r="BA19" i="1"/>
  <c r="BB19" i="1"/>
  <c r="CH18" i="1"/>
  <c r="BO18" i="1"/>
  <c r="BN17" i="1"/>
  <c r="AY17" i="1"/>
  <c r="BO14" i="1"/>
  <c r="BN12" i="1"/>
  <c r="AY12" i="1"/>
  <c r="AB10" i="1"/>
  <c r="AB45" i="1" s="1"/>
  <c r="BP29" i="1"/>
  <c r="BN28" i="1"/>
  <c r="BO24" i="1"/>
  <c r="AX23" i="1"/>
  <c r="BQ23" i="1"/>
  <c r="BP22" i="1"/>
  <c r="AJ22" i="1"/>
  <c r="AO22" i="1" s="1"/>
  <c r="BQ22" i="1"/>
  <c r="BO19" i="1"/>
  <c r="AO19" i="1"/>
  <c r="AW19" i="1"/>
  <c r="AX19" i="1"/>
  <c r="AO18" i="1"/>
  <c r="BP18" i="1"/>
  <c r="BQ18" i="1"/>
  <c r="AP17" i="1"/>
  <c r="AZ17" i="1"/>
  <c r="BV30" i="1"/>
  <c r="BV25" i="1"/>
  <c r="BB25" i="1"/>
  <c r="BP23" i="1"/>
  <c r="BU23" i="1"/>
  <c r="BV23" i="1"/>
  <c r="BB23" i="1"/>
  <c r="CR22" i="1"/>
  <c r="BU22" i="1"/>
  <c r="BV22" i="1"/>
  <c r="BB22" i="1"/>
  <c r="CR21" i="1"/>
  <c r="AT21" i="1"/>
  <c r="AU21" i="1"/>
  <c r="BA21" i="1"/>
  <c r="BB21" i="1"/>
  <c r="AQ21" i="1"/>
  <c r="BP19" i="1"/>
  <c r="BQ19" i="1"/>
  <c r="AY19" i="1"/>
  <c r="CN18" i="1"/>
  <c r="CR18" i="1" s="1"/>
  <c r="BP17" i="1"/>
  <c r="BQ17" i="1"/>
  <c r="AX16" i="1"/>
  <c r="AX15" i="1"/>
  <c r="BO15" i="1"/>
  <c r="AK10" i="1"/>
  <c r="AK45" i="1" s="1"/>
  <c r="AN11" i="1"/>
  <c r="AN10" i="1" s="1"/>
  <c r="AN45" i="1" s="1"/>
  <c r="BS10" i="1"/>
  <c r="BS45" i="1" s="1"/>
  <c r="BT10" i="1"/>
  <c r="BT45" i="1" s="1"/>
  <c r="AJ17" i="1"/>
  <c r="AO17" i="1" s="1"/>
  <c r="AE10" i="1"/>
  <c r="AE45" i="1" s="1"/>
  <c r="AZ16" i="1"/>
  <c r="AY15" i="1"/>
  <c r="BP14" i="1"/>
  <c r="BU12" i="1"/>
  <c r="BO12" i="1"/>
  <c r="CP10" i="1"/>
  <c r="BZ10" i="1"/>
  <c r="AG10" i="1"/>
  <c r="AG45" i="1" s="1"/>
  <c r="Y11" i="1"/>
  <c r="W10" i="1"/>
  <c r="W45" i="1" s="1"/>
  <c r="F10" i="1"/>
  <c r="P10" i="1"/>
  <c r="P45" i="1" s="1"/>
  <c r="AT17" i="1"/>
  <c r="CN16" i="1"/>
  <c r="CR16" i="1" s="1"/>
  <c r="CI10" i="1"/>
  <c r="CI45" i="1" s="1"/>
  <c r="AO16" i="1"/>
  <c r="AS15" i="1"/>
  <c r="AT15" i="1"/>
  <c r="BB14" i="1"/>
  <c r="AR14" i="1"/>
  <c r="AZ13" i="1"/>
  <c r="AX12" i="1"/>
  <c r="BP12" i="1"/>
  <c r="CM10" i="1"/>
  <c r="CM45" i="1" s="1"/>
  <c r="BP11" i="1"/>
  <c r="BQ11" i="1"/>
  <c r="AP11" i="1"/>
  <c r="BR17" i="1"/>
  <c r="AT16" i="1"/>
  <c r="AU16" i="1"/>
  <c r="BA16" i="1"/>
  <c r="BB16" i="1"/>
  <c r="AQ16" i="1"/>
  <c r="BB15" i="1"/>
  <c r="BN14" i="1"/>
  <c r="AY14" i="1"/>
  <c r="AT13" i="1"/>
  <c r="AU13" i="1"/>
  <c r="BA13" i="1"/>
  <c r="BB13" i="1"/>
  <c r="AQ13" i="1"/>
  <c r="BB12" i="1"/>
  <c r="CL10" i="1"/>
  <c r="CG10" i="1"/>
  <c r="AA10" i="1"/>
  <c r="AA45" i="1" s="1"/>
  <c r="I10" i="1"/>
  <c r="I45" i="1" s="1"/>
  <c r="AS11" i="1"/>
  <c r="AT11" i="1"/>
  <c r="AR11" i="1"/>
  <c r="BA11" i="1"/>
  <c r="BB11" i="1"/>
  <c r="BR10" i="1"/>
  <c r="BR45" i="1" s="1"/>
  <c r="AJ11" i="1"/>
  <c r="G10" i="1"/>
  <c r="G45" i="1" s="1"/>
  <c r="Z10" i="1"/>
  <c r="Z45" i="1" s="1"/>
  <c r="BU16" i="1"/>
  <c r="BP15" i="1"/>
  <c r="CN11" i="1"/>
  <c r="AW21" i="1" l="1"/>
  <c r="BY45" i="1"/>
  <c r="CP45" i="1"/>
  <c r="CG45" i="1"/>
  <c r="AV23" i="1"/>
  <c r="AW23" i="1"/>
  <c r="CL45" i="1"/>
  <c r="F45" i="1"/>
  <c r="BZ45" i="1"/>
  <c r="CK45" i="1"/>
  <c r="AV15" i="1"/>
  <c r="AW15" i="1"/>
  <c r="AW36" i="1"/>
  <c r="AW12" i="1"/>
  <c r="CH10" i="1"/>
  <c r="AW24" i="1"/>
  <c r="AW38" i="1"/>
  <c r="AW39" i="1"/>
  <c r="AD10" i="1"/>
  <c r="AD27" i="1"/>
  <c r="AW37" i="1"/>
  <c r="AW14" i="1"/>
  <c r="AW31" i="1"/>
  <c r="AW16" i="1"/>
  <c r="AW22" i="1"/>
  <c r="AW13" i="1"/>
  <c r="AW25" i="1"/>
  <c r="AW32" i="1"/>
  <c r="AW18" i="1"/>
  <c r="AW30" i="1"/>
  <c r="AW20" i="1"/>
  <c r="AO11" i="1"/>
  <c r="AO10" i="1" s="1"/>
  <c r="AJ10" i="1"/>
  <c r="BO10" i="1"/>
  <c r="AZ15" i="1"/>
  <c r="AP15" i="1"/>
  <c r="BQ10" i="1"/>
  <c r="BQ45" i="1" s="1"/>
  <c r="BP10" i="1"/>
  <c r="BP45" i="1" s="1"/>
  <c r="Y10" i="1"/>
  <c r="AW11" i="1"/>
  <c r="AX11" i="1"/>
  <c r="AQ12" i="1"/>
  <c r="BA12" i="1"/>
  <c r="AY11" i="1"/>
  <c r="BB10" i="1"/>
  <c r="AR10" i="1"/>
  <c r="BA17" i="1"/>
  <c r="AQ17" i="1"/>
  <c r="AQ18" i="1"/>
  <c r="AR18" i="1"/>
  <c r="BA18" i="1"/>
  <c r="BB18" i="1"/>
  <c r="AY21" i="1"/>
  <c r="AZ21" i="1"/>
  <c r="BA15" i="1"/>
  <c r="AZ11" i="1"/>
  <c r="AU10" i="1"/>
  <c r="AU45" i="1" s="1"/>
  <c r="AP12" i="1"/>
  <c r="AZ12" i="1"/>
  <c r="AQ14" i="1"/>
  <c r="BA14" i="1"/>
  <c r="Q10" i="1"/>
  <c r="AV11" i="1"/>
  <c r="AP21" i="1"/>
  <c r="AP22" i="1"/>
  <c r="AZ22" i="1"/>
  <c r="AZ29" i="1"/>
  <c r="AP29" i="1"/>
  <c r="AQ32" i="1"/>
  <c r="AR32" i="1"/>
  <c r="BA32" i="1"/>
  <c r="BB32" i="1"/>
  <c r="AW17" i="1"/>
  <c r="AV17" i="1"/>
  <c r="AQ29" i="1"/>
  <c r="AR29" i="1"/>
  <c r="BA29" i="1"/>
  <c r="BB29" i="1"/>
  <c r="AX42" i="1"/>
  <c r="AY42" i="1"/>
  <c r="AJ27" i="1"/>
  <c r="AW33" i="1"/>
  <c r="AZ39" i="1"/>
  <c r="AP39" i="1"/>
  <c r="BA39" i="1"/>
  <c r="CR11" i="1"/>
  <c r="CR10" i="1" s="1"/>
  <c r="CN10" i="1"/>
  <c r="BU10" i="1"/>
  <c r="BU45" i="1" s="1"/>
  <c r="BV10" i="1"/>
  <c r="AR12" i="1"/>
  <c r="AS17" i="1"/>
  <c r="AT10" i="1"/>
  <c r="AX17" i="1"/>
  <c r="AX14" i="1"/>
  <c r="N10" i="1"/>
  <c r="AQ15" i="1"/>
  <c r="BA22" i="1"/>
  <c r="AQ22" i="1"/>
  <c r="AR22" i="1"/>
  <c r="BA23" i="1"/>
  <c r="AQ23" i="1"/>
  <c r="BN10" i="1"/>
  <c r="BN45" i="1" s="1"/>
  <c r="AX22" i="1"/>
  <c r="AY22" i="1"/>
  <c r="BB24" i="1"/>
  <c r="BA24" i="1"/>
  <c r="AQ24" i="1"/>
  <c r="AR24" i="1"/>
  <c r="CR28" i="1"/>
  <c r="CR27" i="1" s="1"/>
  <c r="CN27" i="1"/>
  <c r="AP19" i="1"/>
  <c r="AX21" i="1"/>
  <c r="AW26" i="1"/>
  <c r="BA27" i="1"/>
  <c r="BU27" i="1"/>
  <c r="BV27" i="1"/>
  <c r="AO27" i="1"/>
  <c r="AR17" i="1"/>
  <c r="AX33" i="1"/>
  <c r="AP34" i="1"/>
  <c r="AZ34" i="1"/>
  <c r="BO27" i="1"/>
  <c r="Y27" i="1"/>
  <c r="AX28" i="1"/>
  <c r="AQ43" i="1"/>
  <c r="BA43" i="1"/>
  <c r="AR43" i="1"/>
  <c r="AZ31" i="1"/>
  <c r="AQ34" i="1"/>
  <c r="AW43" i="1"/>
  <c r="AP33" i="1"/>
  <c r="AP42" i="1"/>
  <c r="AQ20" i="1"/>
  <c r="AR20" i="1"/>
  <c r="BA20" i="1"/>
  <c r="BB20" i="1"/>
  <c r="AZ20" i="1"/>
  <c r="AP20" i="1"/>
  <c r="AP14" i="1"/>
  <c r="AZ14" i="1"/>
  <c r="AZ19" i="1"/>
  <c r="AY28" i="1"/>
  <c r="AY27" i="1"/>
  <c r="AZ28" i="1"/>
  <c r="BB27" i="1"/>
  <c r="AR27" i="1"/>
  <c r="BB17" i="1"/>
  <c r="AQ41" i="1"/>
  <c r="BA41" i="1"/>
  <c r="AR41" i="1"/>
  <c r="BA34" i="1"/>
  <c r="AW40" i="1"/>
  <c r="AZ42" i="1"/>
  <c r="AQ39" i="1"/>
  <c r="AZ18" i="1"/>
  <c r="AP18" i="1"/>
  <c r="AP23" i="1"/>
  <c r="AZ23" i="1"/>
  <c r="N27" i="1"/>
  <c r="Q28" i="1"/>
  <c r="AW28" i="1" s="1"/>
  <c r="CD27" i="1"/>
  <c r="CD45" i="1" s="1"/>
  <c r="CH28" i="1"/>
  <c r="CH27" i="1" s="1"/>
  <c r="AW35" i="1"/>
  <c r="AT27" i="1"/>
  <c r="AX31" i="1"/>
  <c r="BB41" i="1"/>
  <c r="AP43" i="1"/>
  <c r="AZ43" i="1"/>
  <c r="AY37" i="1"/>
  <c r="AP37" i="1"/>
  <c r="AZ37" i="1"/>
  <c r="BA40" i="1"/>
  <c r="AQ40" i="1"/>
  <c r="BB40" i="1"/>
  <c r="AR40" i="1"/>
  <c r="AX37" i="1"/>
  <c r="CR45" i="1" l="1"/>
  <c r="BV45" i="1"/>
  <c r="AR45" i="1"/>
  <c r="BO45" i="1"/>
  <c r="BB45" i="1"/>
  <c r="AJ45" i="1"/>
  <c r="AT45" i="1"/>
  <c r="AO45" i="1"/>
  <c r="N45" i="1"/>
  <c r="CN45" i="1"/>
  <c r="Y45" i="1"/>
  <c r="AD45" i="1"/>
  <c r="CH45" i="1"/>
  <c r="AQ27" i="1"/>
  <c r="AP10" i="1"/>
  <c r="AZ10" i="1"/>
  <c r="AQ10" i="1"/>
  <c r="AQ45" i="1" s="1"/>
  <c r="Q27" i="1"/>
  <c r="AV27" i="1" s="1"/>
  <c r="AV28" i="1"/>
  <c r="AP27" i="1"/>
  <c r="AZ27" i="1"/>
  <c r="AV10" i="1"/>
  <c r="AV45" i="1" s="1"/>
  <c r="AY10" i="1"/>
  <c r="AY45" i="1" s="1"/>
  <c r="AW27" i="1"/>
  <c r="AX27" i="1"/>
  <c r="AS10" i="1"/>
  <c r="AS45" i="1" s="1"/>
  <c r="AW10" i="1"/>
  <c r="AX10" i="1"/>
  <c r="BA10" i="1"/>
  <c r="BA45" i="1" s="1"/>
  <c r="AX45" i="1" l="1"/>
  <c r="AZ45" i="1"/>
  <c r="AW45" i="1"/>
  <c r="AP45" i="1"/>
  <c r="Q45" i="1"/>
</calcChain>
</file>

<file path=xl/sharedStrings.xml><?xml version="1.0" encoding="utf-8"?>
<sst xmlns="http://schemas.openxmlformats.org/spreadsheetml/2006/main" count="173" uniqueCount="123">
  <si>
    <t>Fuente: DGPPN - MHCP</t>
  </si>
  <si>
    <t>GRAN TOTAL</t>
  </si>
  <si>
    <t>RECURSOS PARA DISTRIBUIR ART 87</t>
  </si>
  <si>
    <t>Ajuste IPC Vigencias Anteriores</t>
  </si>
  <si>
    <t>Ampliación Cobertura-Convenios con ICETEX</t>
  </si>
  <si>
    <t>UNIV. DE CUNDINAMARCA</t>
  </si>
  <si>
    <t>UNIV. DE LA GUAJIRA</t>
  </si>
  <si>
    <t>UNIV. DE SUCRE</t>
  </si>
  <si>
    <t>UNIV. OCANA</t>
  </si>
  <si>
    <t>UNIV. CUCUTA</t>
  </si>
  <si>
    <t>UNIV. DEL MAGDALENA</t>
  </si>
  <si>
    <t>UNIV. INDUSTRIAL DE SANTANDER</t>
  </si>
  <si>
    <t>UNIV. DISTRITAL "FCO JOSE DE CALDAS"</t>
  </si>
  <si>
    <t>UNIV. DEL VALLE</t>
  </si>
  <si>
    <t>UNIV. DEL TOLIMA</t>
  </si>
  <si>
    <t>UNIV. DEL QUINDIO</t>
  </si>
  <si>
    <t>UNIV. DEL ATLANTICO</t>
  </si>
  <si>
    <t>UNIV. DE PAMPLONA</t>
  </si>
  <si>
    <t>UNIV. DE NARINO</t>
  </si>
  <si>
    <t>UNIV. DE CARTAGENA</t>
  </si>
  <si>
    <t>UNIV. DE ANTIOQUIA</t>
  </si>
  <si>
    <t>TERRITORIALES</t>
  </si>
  <si>
    <t>UNIV. ABIERTA Y A DISTANCIA</t>
  </si>
  <si>
    <t>UNIV. MILITAR NUEVA GRANADA</t>
  </si>
  <si>
    <t>UNIV. DEL PACIFICO</t>
  </si>
  <si>
    <t>UNIV. COLEGIO MAYOR DE C/MARCA</t>
  </si>
  <si>
    <t>UNIV. DE LA AMAZONIA</t>
  </si>
  <si>
    <t>UNIV. SURCOLOMBIANA DE NEIVA</t>
  </si>
  <si>
    <t>UNIV. POPULAR DEL CESAR</t>
  </si>
  <si>
    <t>UNIV. TECNOLOGICA DE PEREIRA</t>
  </si>
  <si>
    <t>UNIV. DE LLANOS ORIENTALES</t>
  </si>
  <si>
    <t>UNIV. TECNOLOGICA DEL CHOCO</t>
  </si>
  <si>
    <t>UNIV. CORDOBA</t>
  </si>
  <si>
    <t xml:space="preserve">UNIV. TEC. Y PED DE COL. </t>
  </si>
  <si>
    <t>UNIV. DE CALDAS</t>
  </si>
  <si>
    <t>UNIV. PEDAGOGICA NACIONAL</t>
  </si>
  <si>
    <t>UNIV. DEL CAUCA</t>
  </si>
  <si>
    <t>UNIV. NACIONAL DE COLOMBIA</t>
  </si>
  <si>
    <t>NACIONALES</t>
  </si>
  <si>
    <t>(09/08)</t>
  </si>
  <si>
    <t>(08/07)</t>
  </si>
  <si>
    <t>(07/06)</t>
  </si>
  <si>
    <t>(06/05)</t>
  </si>
  <si>
    <t>(05/04)</t>
  </si>
  <si>
    <t>(04/03)</t>
  </si>
  <si>
    <t>(03/02)</t>
  </si>
  <si>
    <t>(02/01)</t>
  </si>
  <si>
    <t>(01/00)</t>
  </si>
  <si>
    <t>(00/99)</t>
  </si>
  <si>
    <t>(99/98)</t>
  </si>
  <si>
    <t>(98/97)</t>
  </si>
  <si>
    <t>(97/96)</t>
  </si>
  <si>
    <t>(96/95)</t>
  </si>
  <si>
    <t>(95/94)</t>
  </si>
  <si>
    <t>(94/93)</t>
  </si>
  <si>
    <t>(93/92)</t>
  </si>
  <si>
    <t>(92/91)</t>
  </si>
  <si>
    <t>(91/90)</t>
  </si>
  <si>
    <t>2010/2009</t>
  </si>
  <si>
    <t>2009/2008</t>
  </si>
  <si>
    <t>2008/2007</t>
  </si>
  <si>
    <t>2007/2006</t>
  </si>
  <si>
    <t>2006/2005</t>
  </si>
  <si>
    <t>2005/2004</t>
  </si>
  <si>
    <t>2004/2003</t>
  </si>
  <si>
    <t>2003/2002</t>
  </si>
  <si>
    <t>H=A+B+C+E+G</t>
  </si>
  <si>
    <t>G</t>
  </si>
  <si>
    <t>F=A+B+C+D+E</t>
  </si>
  <si>
    <t>E</t>
  </si>
  <si>
    <t>D</t>
  </si>
  <si>
    <t>C</t>
  </si>
  <si>
    <t>B</t>
  </si>
  <si>
    <t>A</t>
  </si>
  <si>
    <t>K=A+B+C+F+G+J</t>
  </si>
  <si>
    <t>J</t>
  </si>
  <si>
    <t>I</t>
  </si>
  <si>
    <t>I=A+B+C+F+G</t>
  </si>
  <si>
    <t>H</t>
  </si>
  <si>
    <t>E = A +D</t>
  </si>
  <si>
    <t>Total Inversión</t>
  </si>
  <si>
    <t>2% ICFES - Artículos 10 y 11 Ley 1324/09</t>
  </si>
  <si>
    <t>ART.86</t>
  </si>
  <si>
    <t>Total Funcionamiento</t>
  </si>
  <si>
    <t>Devolución Descuento 10% Votación</t>
  </si>
  <si>
    <t>ART. 87</t>
  </si>
  <si>
    <t>Concurrencia Pensiones</t>
  </si>
  <si>
    <t>ART. 86</t>
  </si>
  <si>
    <t>Ajuste IPC 2008 asignado en 2010</t>
  </si>
  <si>
    <t>TOTAL AJUSTE</t>
  </si>
  <si>
    <t>Decreto de Aplazamiento  325 del 3-02-10 (Aporte Ordinario)</t>
  </si>
  <si>
    <t>1 Punto de Ajuste en Decreto de Liquidación</t>
  </si>
  <si>
    <t xml:space="preserve">Total Funcionamiento </t>
  </si>
  <si>
    <t>Adición Res.10680/09</t>
  </si>
  <si>
    <t>Ajuste IPC 2008 asignado en 2009</t>
  </si>
  <si>
    <t>Ajuste IPC 2007</t>
  </si>
  <si>
    <t xml:space="preserve">ART. 87 </t>
  </si>
  <si>
    <t>INVERSION</t>
  </si>
  <si>
    <t>FUNCIONAMIENTO</t>
  </si>
  <si>
    <t>TOTAL 2012</t>
  </si>
  <si>
    <t>TOTAL 2011</t>
  </si>
  <si>
    <t>TOTAL 2010</t>
  </si>
  <si>
    <t>Inversión</t>
  </si>
  <si>
    <t>Funcionamiento</t>
  </si>
  <si>
    <t>TOTAL ART.86 con art.87</t>
  </si>
  <si>
    <t>TOTAL 2009</t>
  </si>
  <si>
    <t>SERV.DEUDA</t>
  </si>
  <si>
    <t>TOTAL 2008</t>
  </si>
  <si>
    <t>VIGENCIA 2012</t>
  </si>
  <si>
    <t>VIGENCIA 2011</t>
  </si>
  <si>
    <t>PROYECCION 2011</t>
  </si>
  <si>
    <t xml:space="preserve">VARIACIONES  % </t>
  </si>
  <si>
    <t>VIGENCIA 2010</t>
  </si>
  <si>
    <t>AJUSTES PRESUPUESTALES 2010</t>
  </si>
  <si>
    <t>VIGENCIA 2010 - PRESUPUESTO SIN AJUSTES</t>
  </si>
  <si>
    <t xml:space="preserve">VIGENCIA 2009 </t>
  </si>
  <si>
    <t xml:space="preserve">VIGENCIA 2008  </t>
  </si>
  <si>
    <t>UNIVERSIDAD</t>
  </si>
  <si>
    <t>(Cifras en millones de pesos)</t>
  </si>
  <si>
    <t>DIRECCION GENERAL DEL PRESUPUESTO PUBLICO NACIONAL - GRUPO DE EDUCACION</t>
  </si>
  <si>
    <t>MINISTERIO DE HACIENDA Y CREDITO PUBLICO</t>
  </si>
  <si>
    <t xml:space="preserve"> </t>
  </si>
  <si>
    <t>APORTES DE LA NACION UNIVERSIDADES PUBLICAS EN CUMPLIMIENTO DE LA NORMATIVIDAD VIGENTE -  PERIODO 2008-2012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</si>
</sst>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0.0%"/>
    <numFmt numFmtId="169" formatCode="General_)"/>
  </numFmts>
  <fonts count="13" x14ac:knownFonts="1">
    <font>
      <sz val="10"/>
      <name val="Arial"/>
    </font>
    <font>
      <sz val="8"/>
      <name val="Arial"/>
      <family val="2"/>
    </font>
    <font>
      <sz val="8"/>
      <name val="Calibri"/>
      <family val="2"/>
    </font>
    <font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3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0" fontId="2" fillId="0" borderId="0" xfId="0" applyFont="1" applyBorder="1"/>
    <xf numFmtId="3" fontId="4" fillId="0" borderId="0" xfId="1" applyNumberFormat="1" applyFont="1" applyBorder="1"/>
    <xf numFmtId="166" fontId="6" fillId="0" borderId="0" xfId="1" applyNumberFormat="1" applyFont="1" applyBorder="1"/>
    <xf numFmtId="3" fontId="6" fillId="0" borderId="0" xfId="0" applyNumberFormat="1" applyFont="1" applyBorder="1"/>
    <xf numFmtId="164" fontId="6" fillId="0" borderId="0" xfId="0" applyNumberFormat="1" applyFont="1" applyBorder="1"/>
    <xf numFmtId="3" fontId="7" fillId="0" borderId="0" xfId="0" applyNumberFormat="1" applyFont="1" applyBorder="1"/>
    <xf numFmtId="3" fontId="7" fillId="2" borderId="1" xfId="0" applyNumberFormat="1" applyFont="1" applyFill="1" applyBorder="1"/>
    <xf numFmtId="164" fontId="7" fillId="0" borderId="2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169" fontId="2" fillId="2" borderId="1" xfId="0" applyNumberFormat="1" applyFont="1" applyFill="1" applyBorder="1" applyAlignment="1" applyProtection="1">
      <alignment horizontal="left" vertical="center" wrapText="1" shrinkToFit="1"/>
    </xf>
    <xf numFmtId="3" fontId="2" fillId="0" borderId="1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69" fontId="2" fillId="0" borderId="1" xfId="0" applyNumberFormat="1" applyFont="1" applyBorder="1" applyAlignment="1" applyProtection="1">
      <alignment horizontal="left" vertical="center" wrapText="1" shrinkToFit="1"/>
    </xf>
    <xf numFmtId="169" fontId="2" fillId="0" borderId="1" xfId="0" applyNumberFormat="1" applyFont="1" applyFill="1" applyBorder="1" applyAlignment="1" applyProtection="1">
      <alignment horizontal="left" vertical="center" wrapText="1" shrinkToFit="1"/>
    </xf>
    <xf numFmtId="164" fontId="7" fillId="0" borderId="14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 shrinkToFit="1"/>
    </xf>
    <xf numFmtId="0" fontId="1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 shrinkToFit="1"/>
    </xf>
    <xf numFmtId="0" fontId="8" fillId="3" borderId="1" xfId="0" applyFont="1" applyFill="1" applyBorder="1" applyAlignment="1">
      <alignment horizontal="center"/>
    </xf>
    <xf numFmtId="0" fontId="7" fillId="3" borderId="5" xfId="0" quotePrefix="1" applyFont="1" applyFill="1" applyBorder="1" applyAlignment="1">
      <alignment horizontal="center"/>
    </xf>
    <xf numFmtId="0" fontId="7" fillId="3" borderId="0" xfId="0" quotePrefix="1" applyFont="1" applyFill="1" applyBorder="1" applyAlignment="1">
      <alignment horizontal="center"/>
    </xf>
    <xf numFmtId="0" fontId="7" fillId="3" borderId="6" xfId="0" quotePrefix="1" applyFont="1" applyFill="1" applyBorder="1" applyAlignment="1">
      <alignment horizontal="center"/>
    </xf>
    <xf numFmtId="0" fontId="7" fillId="3" borderId="18" xfId="0" quotePrefix="1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2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Continuous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egiova/Configuraci&#243;n%20local/Archivos%20temporales%20de%20Internet/OLK61/consolidado90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aranjo/Dropbox/MEN/GESTION%20RECURSOS%20UNIVERSIDADES/2013/CONSOLIDADO%20APORTES%20NACION%20UNIVERSIDADES%20PUBLICAS%202002-2013%20%20(13-02-20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.86 FUN IPC POR BA ANT"/>
      <sheetName val="Art.86 FUN IPC ANT"/>
      <sheetName val="pesos constantes DE 2007"/>
      <sheetName val="pesos constantes"/>
      <sheetName val="PARTICIPACION  PIB"/>
      <sheetName val="TOTAL ASIGNACION"/>
      <sheetName val="TOTAL POR UNIVERSIDAD"/>
      <sheetName val="CHOCO"/>
      <sheetName val="PEDAGOGICA"/>
      <sheetName val="TOTAL UNIVERSIDADES"/>
      <sheetName val="ARTICULO 87"/>
      <sheetName val="Art.86 FUNCIONAMIENTO"/>
      <sheetName val="CARTAGENA"/>
      <sheetName val="TUNJA"/>
      <sheetName val="Art. 86 INVERSION"/>
      <sheetName val="TOTAL UNIV CON ART 87"/>
      <sheetName val="PAMPLONA"/>
      <sheetName val="PACIFICO"/>
      <sheetName val="OCAÑA"/>
      <sheetName val="MAGDALENA)"/>
      <sheetName val="SURCOLOMBIANA"/>
      <sheetName val="NACIONAL"/>
      <sheetName val="CAUCA"/>
      <sheetName val="FRAN PAULA C Y O"/>
      <sheetName val="CESAR"/>
      <sheetName val="ATLANTICO"/>
      <sheetName val="MILITAR"/>
      <sheetName val="VALLE"/>
      <sheetName val="PEREIRA"/>
      <sheetName val="CORDOBA"/>
      <sheetName val="CALDAS"/>
      <sheetName val="CUNDINAMAR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FI10">
            <v>436.75607500000001</v>
          </cell>
        </row>
        <row r="16">
          <cell r="GH16">
            <v>33949.282832999997</v>
          </cell>
        </row>
        <row r="24">
          <cell r="GI24">
            <v>2536.7687110000002</v>
          </cell>
        </row>
        <row r="32">
          <cell r="GI32">
            <v>1719.083455</v>
          </cell>
        </row>
        <row r="40">
          <cell r="GI40">
            <v>2528.9804880000002</v>
          </cell>
        </row>
        <row r="48">
          <cell r="GI48">
            <v>3504.360745</v>
          </cell>
        </row>
        <row r="56">
          <cell r="GI56">
            <v>1306.345366</v>
          </cell>
        </row>
        <row r="64">
          <cell r="GI64">
            <v>593.79371800000001</v>
          </cell>
        </row>
        <row r="72">
          <cell r="GI72">
            <v>973.47912499999995</v>
          </cell>
        </row>
        <row r="80">
          <cell r="GI80">
            <v>2246.6846909999999</v>
          </cell>
        </row>
        <row r="88">
          <cell r="GI88">
            <v>691.158772</v>
          </cell>
        </row>
        <row r="96">
          <cell r="GI96">
            <v>1625.5910819999999</v>
          </cell>
        </row>
        <row r="104">
          <cell r="GI104">
            <v>535.38810899999999</v>
          </cell>
        </row>
        <row r="112">
          <cell r="GI112">
            <v>780.73060999999996</v>
          </cell>
        </row>
        <row r="120">
          <cell r="GI120">
            <v>336.134953</v>
          </cell>
        </row>
        <row r="136">
          <cell r="GI136">
            <v>757.42409499999997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-2001"/>
      <sheetName val="2002-201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93"/>
  <sheetViews>
    <sheetView showGridLines="0" showZeros="0" tabSelected="1" zoomScale="115" zoomScaleNormal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12" sqref="I12"/>
    </sheetView>
  </sheetViews>
  <sheetFormatPr baseColWidth="10" defaultColWidth="32.140625" defaultRowHeight="11.25" x14ac:dyDescent="0.2"/>
  <cols>
    <col min="1" max="1" width="32.42578125" style="1" customWidth="1"/>
    <col min="2" max="2" width="10.140625" style="1" bestFit="1" customWidth="1"/>
    <col min="3" max="3" width="7.28515625" style="1" bestFit="1" customWidth="1"/>
    <col min="4" max="4" width="9.28515625" style="1" customWidth="1"/>
    <col min="5" max="5" width="8.140625" style="1" bestFit="1" customWidth="1"/>
    <col min="6" max="7" width="10.140625" style="1" bestFit="1" customWidth="1"/>
    <col min="8" max="8" width="9.85546875" style="1" bestFit="1" customWidth="1"/>
    <col min="9" max="9" width="7.7109375" style="1" bestFit="1" customWidth="1"/>
    <col min="10" max="10" width="8" style="1" customWidth="1"/>
    <col min="11" max="12" width="8.7109375" style="1" customWidth="1"/>
    <col min="13" max="13" width="7.28515625" style="1" bestFit="1" customWidth="1"/>
    <col min="14" max="14" width="11.85546875" style="1" bestFit="1" customWidth="1"/>
    <col min="15" max="15" width="0.140625" style="1" customWidth="1"/>
    <col min="16" max="16" width="8.140625" style="1" bestFit="1" customWidth="1"/>
    <col min="17" max="17" width="10.42578125" style="1" customWidth="1"/>
    <col min="18" max="18" width="11.85546875" style="1" hidden="1" customWidth="1"/>
    <col min="19" max="19" width="9.85546875" style="1" hidden="1" customWidth="1"/>
    <col min="20" max="21" width="9.42578125" style="1" hidden="1" customWidth="1"/>
    <col min="22" max="22" width="10.7109375" style="1" hidden="1" customWidth="1"/>
    <col min="23" max="23" width="11.85546875" style="1" hidden="1" customWidth="1"/>
    <col min="24" max="24" width="10.140625" style="1" hidden="1" customWidth="1"/>
    <col min="25" max="25" width="12.28515625" style="1" hidden="1" customWidth="1"/>
    <col min="26" max="26" width="13.85546875" style="1" hidden="1" customWidth="1"/>
    <col min="27" max="30" width="10.140625" style="1" hidden="1" customWidth="1"/>
    <col min="31" max="31" width="7.85546875" style="1" bestFit="1" customWidth="1"/>
    <col min="32" max="32" width="9.85546875" style="1" bestFit="1" customWidth="1"/>
    <col min="33" max="33" width="8.42578125" style="1" bestFit="1" customWidth="1"/>
    <col min="34" max="34" width="6.140625" style="1" bestFit="1" customWidth="1"/>
    <col min="35" max="35" width="8.42578125" style="1" customWidth="1"/>
    <col min="36" max="36" width="8.7109375" style="1" customWidth="1"/>
    <col min="37" max="37" width="7.28515625" style="1" customWidth="1"/>
    <col min="38" max="38" width="8.42578125" style="1" bestFit="1" customWidth="1"/>
    <col min="39" max="39" width="7.28515625" style="1" customWidth="1"/>
    <col min="40" max="40" width="8.28515625" style="1" customWidth="1"/>
    <col min="41" max="41" width="10.140625" style="1" bestFit="1" customWidth="1"/>
    <col min="42" max="44" width="5.140625" style="1" hidden="1" customWidth="1"/>
    <col min="45" max="45" width="5.42578125" style="1" hidden="1" customWidth="1"/>
    <col min="46" max="46" width="5.28515625" style="1" hidden="1" customWidth="1"/>
    <col min="47" max="47" width="5.42578125" style="1" hidden="1" customWidth="1"/>
    <col min="48" max="48" width="5.28515625" style="1" hidden="1" customWidth="1"/>
    <col min="49" max="49" width="5.5703125" style="1" hidden="1" customWidth="1"/>
    <col min="50" max="50" width="8" style="1" hidden="1" customWidth="1"/>
    <col min="51" max="52" width="8.5703125" style="1" hidden="1" customWidth="1"/>
    <col min="53" max="53" width="10.42578125" style="1" hidden="1" customWidth="1"/>
    <col min="54" max="54" width="9.42578125" style="1" hidden="1" customWidth="1"/>
    <col min="55" max="55" width="7.42578125" style="1" hidden="1" customWidth="1"/>
    <col min="56" max="56" width="7.140625" style="1" hidden="1" customWidth="1"/>
    <col min="57" max="57" width="6.42578125" style="1" hidden="1" customWidth="1"/>
    <col min="58" max="58" width="6.28515625" style="1" hidden="1" customWidth="1"/>
    <col min="59" max="59" width="7.7109375" style="1" hidden="1" customWidth="1"/>
    <col min="60" max="61" width="6.140625" style="1" hidden="1" customWidth="1"/>
    <col min="62" max="62" width="5.85546875" style="1" hidden="1" customWidth="1"/>
    <col min="63" max="63" width="6.85546875" style="1" hidden="1" customWidth="1"/>
    <col min="64" max="64" width="6.140625" style="1" hidden="1" customWidth="1"/>
    <col min="65" max="65" width="6.28515625" style="1" hidden="1" customWidth="1"/>
    <col min="66" max="66" width="6.140625" style="1" hidden="1" customWidth="1"/>
    <col min="67" max="67" width="7.140625" style="1" hidden="1" customWidth="1"/>
    <col min="68" max="69" width="5.85546875" style="1" hidden="1" customWidth="1"/>
    <col min="70" max="70" width="5.7109375" style="1" hidden="1" customWidth="1"/>
    <col min="71" max="71" width="5.42578125" style="1" hidden="1" customWidth="1"/>
    <col min="72" max="72" width="6.7109375" style="1" hidden="1" customWidth="1"/>
    <col min="73" max="73" width="6.85546875" style="1" hidden="1" customWidth="1"/>
    <col min="74" max="74" width="9.28515625" style="1" hidden="1" customWidth="1"/>
    <col min="75" max="75" width="13.140625" style="1" hidden="1" customWidth="1"/>
    <col min="76" max="76" width="10.140625" style="1" hidden="1" customWidth="1"/>
    <col min="77" max="77" width="11.85546875" style="1" hidden="1" customWidth="1"/>
    <col min="78" max="78" width="7.85546875" style="1" bestFit="1" customWidth="1"/>
    <col min="79" max="79" width="9.85546875" style="1" bestFit="1" customWidth="1"/>
    <col min="80" max="80" width="7.28515625" style="1" bestFit="1" customWidth="1"/>
    <col min="81" max="81" width="8.85546875" style="1" customWidth="1"/>
    <col min="82" max="82" width="8.140625" style="1" customWidth="1"/>
    <col min="83" max="83" width="7.28515625" style="1" bestFit="1" customWidth="1"/>
    <col min="84" max="84" width="7.42578125" style="1" customWidth="1"/>
    <col min="85" max="85" width="8.140625" style="1" customWidth="1"/>
    <col min="86" max="87" width="7.85546875" style="1" bestFit="1" customWidth="1"/>
    <col min="88" max="88" width="9.85546875" style="1" bestFit="1" customWidth="1"/>
    <col min="89" max="89" width="7.5703125" style="1" customWidth="1"/>
    <col min="90" max="90" width="6" style="1" bestFit="1" customWidth="1"/>
    <col min="91" max="91" width="8.5703125" style="1" customWidth="1"/>
    <col min="92" max="92" width="12" style="1" customWidth="1"/>
    <col min="93" max="93" width="5.7109375" style="1" bestFit="1" customWidth="1"/>
    <col min="94" max="94" width="10.5703125" style="1" customWidth="1"/>
    <col min="95" max="95" width="7.140625" style="1" bestFit="1" customWidth="1"/>
    <col min="96" max="96" width="7.85546875" style="1" bestFit="1" customWidth="1"/>
    <col min="97" max="16384" width="32.140625" style="1"/>
  </cols>
  <sheetData>
    <row r="1" spans="1:96" x14ac:dyDescent="0.2">
      <c r="A1" s="80" t="s">
        <v>121</v>
      </c>
    </row>
    <row r="2" spans="1:96" x14ac:dyDescent="0.2">
      <c r="A2" s="76" t="s">
        <v>120</v>
      </c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96" x14ac:dyDescent="0.2">
      <c r="A3" s="76" t="s">
        <v>119</v>
      </c>
      <c r="H3" s="79"/>
      <c r="I3" s="79"/>
      <c r="J3" s="79"/>
      <c r="K3" s="79"/>
      <c r="L3" s="79"/>
      <c r="M3" s="79"/>
      <c r="N3" s="79"/>
      <c r="O3" s="77"/>
      <c r="P3" s="78"/>
      <c r="Q3" s="77"/>
    </row>
    <row r="4" spans="1:96" ht="11.25" customHeight="1" x14ac:dyDescent="0.2">
      <c r="A4" s="76" t="s">
        <v>122</v>
      </c>
      <c r="G4" s="5"/>
    </row>
    <row r="5" spans="1:96" ht="12" thickBot="1" x14ac:dyDescent="0.25">
      <c r="A5" s="76" t="s">
        <v>118</v>
      </c>
      <c r="G5" s="5"/>
      <c r="H5" s="5"/>
      <c r="I5" s="5"/>
    </row>
    <row r="6" spans="1:96" ht="12.75" customHeight="1" thickBot="1" x14ac:dyDescent="0.3">
      <c r="A6" s="66" t="s">
        <v>117</v>
      </c>
      <c r="B6" s="72" t="s">
        <v>116</v>
      </c>
      <c r="C6" s="72"/>
      <c r="D6" s="72"/>
      <c r="E6" s="72"/>
      <c r="F6" s="72"/>
      <c r="G6" s="72" t="s">
        <v>115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68" t="s">
        <v>114</v>
      </c>
      <c r="S6" s="68"/>
      <c r="T6" s="68"/>
      <c r="U6" s="68"/>
      <c r="V6" s="68"/>
      <c r="W6" s="68"/>
      <c r="X6" s="68"/>
      <c r="Y6" s="68"/>
      <c r="Z6" s="68" t="s">
        <v>113</v>
      </c>
      <c r="AA6" s="68"/>
      <c r="AB6" s="68"/>
      <c r="AC6" s="68"/>
      <c r="AD6" s="68"/>
      <c r="AE6" s="72" t="s">
        <v>112</v>
      </c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5"/>
      <c r="AQ6" s="74"/>
      <c r="AR6" s="74"/>
      <c r="AS6" s="74"/>
      <c r="AT6" s="74"/>
      <c r="AU6" s="74"/>
      <c r="AV6" s="74"/>
      <c r="AW6" s="74"/>
      <c r="AX6" s="74"/>
      <c r="AY6" s="62" t="s">
        <v>111</v>
      </c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1"/>
      <c r="BW6" s="73" t="s">
        <v>110</v>
      </c>
      <c r="BX6" s="73"/>
      <c r="BY6" s="73"/>
      <c r="BZ6" s="72" t="s">
        <v>109</v>
      </c>
      <c r="CA6" s="72"/>
      <c r="CB6" s="72"/>
      <c r="CC6" s="72"/>
      <c r="CD6" s="72"/>
      <c r="CE6" s="72"/>
      <c r="CF6" s="72"/>
      <c r="CG6" s="72"/>
      <c r="CH6" s="72"/>
      <c r="CI6" s="72" t="s">
        <v>108</v>
      </c>
      <c r="CJ6" s="72"/>
      <c r="CK6" s="72"/>
      <c r="CL6" s="72"/>
      <c r="CM6" s="72"/>
      <c r="CN6" s="72"/>
      <c r="CO6" s="72"/>
      <c r="CP6" s="72"/>
      <c r="CQ6" s="72"/>
      <c r="CR6" s="72"/>
    </row>
    <row r="7" spans="1:96" ht="12.75" customHeight="1" thickBot="1" x14ac:dyDescent="0.25">
      <c r="A7" s="66"/>
      <c r="B7" s="66" t="s">
        <v>98</v>
      </c>
      <c r="C7" s="66"/>
      <c r="D7" s="66" t="s">
        <v>106</v>
      </c>
      <c r="E7" s="66" t="s">
        <v>97</v>
      </c>
      <c r="F7" s="57" t="s">
        <v>107</v>
      </c>
      <c r="G7" s="68" t="s">
        <v>98</v>
      </c>
      <c r="H7" s="68"/>
      <c r="I7" s="68"/>
      <c r="J7" s="68"/>
      <c r="K7" s="68"/>
      <c r="L7" s="68"/>
      <c r="M7" s="68"/>
      <c r="N7" s="68"/>
      <c r="O7" s="65" t="s">
        <v>106</v>
      </c>
      <c r="P7" s="66" t="s">
        <v>97</v>
      </c>
      <c r="Q7" s="57" t="s">
        <v>105</v>
      </c>
      <c r="R7" s="68" t="s">
        <v>103</v>
      </c>
      <c r="S7" s="68"/>
      <c r="T7" s="68"/>
      <c r="U7" s="68"/>
      <c r="V7" s="68"/>
      <c r="W7" s="68"/>
      <c r="X7" s="65" t="s">
        <v>97</v>
      </c>
      <c r="Y7" s="65" t="s">
        <v>104</v>
      </c>
      <c r="Z7" s="71" t="s">
        <v>103</v>
      </c>
      <c r="AA7" s="71"/>
      <c r="AB7" s="71"/>
      <c r="AC7" s="70" t="s">
        <v>102</v>
      </c>
      <c r="AD7" s="69"/>
      <c r="AE7" s="68" t="s">
        <v>98</v>
      </c>
      <c r="AF7" s="68"/>
      <c r="AG7" s="68"/>
      <c r="AH7" s="68"/>
      <c r="AI7" s="68"/>
      <c r="AJ7" s="68"/>
      <c r="AK7" s="67" t="s">
        <v>97</v>
      </c>
      <c r="AL7" s="67"/>
      <c r="AM7" s="67"/>
      <c r="AN7" s="67"/>
      <c r="AO7" s="57" t="s">
        <v>101</v>
      </c>
      <c r="AP7" s="64"/>
      <c r="AQ7" s="63"/>
      <c r="AR7" s="63"/>
      <c r="AS7" s="63"/>
      <c r="AT7" s="63"/>
      <c r="AU7" s="63"/>
      <c r="AV7" s="63"/>
      <c r="AW7" s="63"/>
      <c r="AX7" s="63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1"/>
      <c r="BW7" s="60" t="s">
        <v>98</v>
      </c>
      <c r="BX7" s="60" t="s">
        <v>97</v>
      </c>
      <c r="BY7" s="60" t="s">
        <v>100</v>
      </c>
      <c r="BZ7" s="68" t="s">
        <v>98</v>
      </c>
      <c r="CA7" s="68"/>
      <c r="CB7" s="68"/>
      <c r="CC7" s="68"/>
      <c r="CD7" s="68"/>
      <c r="CE7" s="67" t="s">
        <v>97</v>
      </c>
      <c r="CF7" s="67"/>
      <c r="CG7" s="67"/>
      <c r="CH7" s="57" t="s">
        <v>100</v>
      </c>
      <c r="CI7" s="68" t="s">
        <v>98</v>
      </c>
      <c r="CJ7" s="68"/>
      <c r="CK7" s="68"/>
      <c r="CL7" s="68"/>
      <c r="CM7" s="68"/>
      <c r="CN7" s="68"/>
      <c r="CO7" s="67" t="s">
        <v>97</v>
      </c>
      <c r="CP7" s="67"/>
      <c r="CQ7" s="67"/>
      <c r="CR7" s="57" t="s">
        <v>99</v>
      </c>
    </row>
    <row r="8" spans="1:96" ht="57" thickBot="1" x14ac:dyDescent="0.25">
      <c r="A8" s="66"/>
      <c r="B8" s="58" t="s">
        <v>87</v>
      </c>
      <c r="C8" s="58" t="s">
        <v>96</v>
      </c>
      <c r="D8" s="66"/>
      <c r="E8" s="66"/>
      <c r="F8" s="57"/>
      <c r="G8" s="58" t="s">
        <v>87</v>
      </c>
      <c r="H8" s="59" t="s">
        <v>86</v>
      </c>
      <c r="I8" s="58" t="s">
        <v>95</v>
      </c>
      <c r="J8" s="58" t="s">
        <v>94</v>
      </c>
      <c r="K8" s="58" t="s">
        <v>84</v>
      </c>
      <c r="L8" s="59" t="s">
        <v>93</v>
      </c>
      <c r="M8" s="58" t="s">
        <v>85</v>
      </c>
      <c r="N8" s="58" t="s">
        <v>92</v>
      </c>
      <c r="O8" s="65"/>
      <c r="P8" s="66"/>
      <c r="Q8" s="57"/>
      <c r="R8" s="59" t="s">
        <v>87</v>
      </c>
      <c r="S8" s="59" t="s">
        <v>86</v>
      </c>
      <c r="T8" s="59" t="s">
        <v>88</v>
      </c>
      <c r="U8" s="59" t="s">
        <v>85</v>
      </c>
      <c r="V8" s="59" t="s">
        <v>84</v>
      </c>
      <c r="W8" s="59" t="s">
        <v>83</v>
      </c>
      <c r="X8" s="65"/>
      <c r="Y8" s="65"/>
      <c r="Z8" s="65" t="s">
        <v>91</v>
      </c>
      <c r="AA8" s="65"/>
      <c r="AB8" s="59" t="s">
        <v>90</v>
      </c>
      <c r="AC8" s="59"/>
      <c r="AD8" s="59" t="s">
        <v>89</v>
      </c>
      <c r="AE8" s="58" t="s">
        <v>87</v>
      </c>
      <c r="AF8" s="59" t="s">
        <v>86</v>
      </c>
      <c r="AG8" s="58" t="s">
        <v>88</v>
      </c>
      <c r="AH8" s="58" t="s">
        <v>85</v>
      </c>
      <c r="AI8" s="58" t="s">
        <v>84</v>
      </c>
      <c r="AJ8" s="58" t="s">
        <v>83</v>
      </c>
      <c r="AK8" s="58" t="s">
        <v>82</v>
      </c>
      <c r="AL8" s="58" t="s">
        <v>4</v>
      </c>
      <c r="AM8" s="58" t="s">
        <v>81</v>
      </c>
      <c r="AN8" s="58" t="s">
        <v>80</v>
      </c>
      <c r="AO8" s="57"/>
      <c r="AP8" s="64"/>
      <c r="AQ8" s="63"/>
      <c r="AR8" s="63"/>
      <c r="AS8" s="63"/>
      <c r="AT8" s="63"/>
      <c r="AU8" s="63"/>
      <c r="AV8" s="63"/>
      <c r="AW8" s="63"/>
      <c r="AX8" s="63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1"/>
      <c r="BW8" s="60"/>
      <c r="BX8" s="60"/>
      <c r="BY8" s="60"/>
      <c r="BZ8" s="58" t="s">
        <v>87</v>
      </c>
      <c r="CA8" s="59" t="s">
        <v>86</v>
      </c>
      <c r="CB8" s="58" t="s">
        <v>85</v>
      </c>
      <c r="CC8" s="58" t="s">
        <v>84</v>
      </c>
      <c r="CD8" s="58" t="s">
        <v>83</v>
      </c>
      <c r="CE8" s="58" t="s">
        <v>82</v>
      </c>
      <c r="CF8" s="58" t="s">
        <v>81</v>
      </c>
      <c r="CG8" s="58" t="s">
        <v>80</v>
      </c>
      <c r="CH8" s="57"/>
      <c r="CI8" s="58" t="s">
        <v>87</v>
      </c>
      <c r="CJ8" s="59" t="s">
        <v>86</v>
      </c>
      <c r="CK8" s="59" t="s">
        <v>3</v>
      </c>
      <c r="CL8" s="58" t="s">
        <v>85</v>
      </c>
      <c r="CM8" s="58" t="s">
        <v>84</v>
      </c>
      <c r="CN8" s="58" t="s">
        <v>83</v>
      </c>
      <c r="CO8" s="58" t="s">
        <v>82</v>
      </c>
      <c r="CP8" s="58" t="s">
        <v>81</v>
      </c>
      <c r="CQ8" s="58" t="s">
        <v>80</v>
      </c>
      <c r="CR8" s="57"/>
    </row>
    <row r="9" spans="1:96" ht="23.25" hidden="1" customHeight="1" thickBot="1" x14ac:dyDescent="0.25">
      <c r="A9" s="56"/>
      <c r="B9" s="55" t="s">
        <v>73</v>
      </c>
      <c r="C9" s="55" t="s">
        <v>72</v>
      </c>
      <c r="D9" s="55" t="s">
        <v>71</v>
      </c>
      <c r="E9" s="55" t="s">
        <v>70</v>
      </c>
      <c r="F9" s="44" t="s">
        <v>79</v>
      </c>
      <c r="G9" s="55" t="s">
        <v>73</v>
      </c>
      <c r="H9" s="55" t="s">
        <v>72</v>
      </c>
      <c r="I9" s="55" t="s">
        <v>71</v>
      </c>
      <c r="J9" s="55" t="s">
        <v>70</v>
      </c>
      <c r="K9" s="55" t="s">
        <v>67</v>
      </c>
      <c r="L9" s="55"/>
      <c r="M9" s="55" t="s">
        <v>78</v>
      </c>
      <c r="N9" s="55" t="s">
        <v>77</v>
      </c>
      <c r="O9" s="55" t="s">
        <v>76</v>
      </c>
      <c r="P9" s="55" t="s">
        <v>75</v>
      </c>
      <c r="Q9" s="44" t="s">
        <v>74</v>
      </c>
      <c r="R9" s="55" t="s">
        <v>73</v>
      </c>
      <c r="S9" s="55" t="s">
        <v>72</v>
      </c>
      <c r="T9" s="55" t="s">
        <v>71</v>
      </c>
      <c r="U9" s="55" t="s">
        <v>70</v>
      </c>
      <c r="V9" s="55" t="s">
        <v>69</v>
      </c>
      <c r="W9" s="55" t="s">
        <v>68</v>
      </c>
      <c r="X9" s="55" t="s">
        <v>67</v>
      </c>
      <c r="Y9" s="55" t="s">
        <v>66</v>
      </c>
      <c r="Z9" s="44"/>
      <c r="AA9" s="44"/>
      <c r="AB9" s="55"/>
      <c r="AC9" s="55"/>
      <c r="AD9" s="55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54" t="s">
        <v>65</v>
      </c>
      <c r="AQ9" s="53" t="s">
        <v>64</v>
      </c>
      <c r="AR9" s="53" t="s">
        <v>63</v>
      </c>
      <c r="AS9" s="53" t="s">
        <v>62</v>
      </c>
      <c r="AT9" s="53" t="s">
        <v>61</v>
      </c>
      <c r="AU9" s="53" t="s">
        <v>60</v>
      </c>
      <c r="AV9" s="53" t="s">
        <v>59</v>
      </c>
      <c r="AW9" s="52" t="s">
        <v>58</v>
      </c>
      <c r="AX9" s="51"/>
      <c r="AY9" s="50"/>
      <c r="AZ9" s="50"/>
      <c r="BC9" s="49" t="s">
        <v>57</v>
      </c>
      <c r="BD9" s="49" t="s">
        <v>56</v>
      </c>
      <c r="BE9" s="49" t="s">
        <v>55</v>
      </c>
      <c r="BF9" s="49" t="s">
        <v>54</v>
      </c>
      <c r="BG9" s="49" t="s">
        <v>53</v>
      </c>
      <c r="BH9" s="49" t="s">
        <v>52</v>
      </c>
      <c r="BI9" s="49" t="s">
        <v>51</v>
      </c>
      <c r="BJ9" s="49" t="s">
        <v>50</v>
      </c>
      <c r="BK9" s="49" t="s">
        <v>49</v>
      </c>
      <c r="BL9" s="49" t="s">
        <v>48</v>
      </c>
      <c r="BM9" s="49" t="s">
        <v>47</v>
      </c>
      <c r="BN9" s="49" t="s">
        <v>46</v>
      </c>
      <c r="BO9" s="49" t="s">
        <v>45</v>
      </c>
      <c r="BP9" s="49" t="s">
        <v>44</v>
      </c>
      <c r="BQ9" s="49" t="s">
        <v>43</v>
      </c>
      <c r="BR9" s="49" t="s">
        <v>42</v>
      </c>
      <c r="BS9" s="49" t="s">
        <v>41</v>
      </c>
      <c r="BT9" s="49" t="s">
        <v>40</v>
      </c>
      <c r="BU9" s="49" t="s">
        <v>39</v>
      </c>
      <c r="BV9" s="48"/>
      <c r="BW9" s="47"/>
      <c r="BX9" s="46"/>
      <c r="BY9" s="45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ht="16.5" thickBot="1" x14ac:dyDescent="0.25">
      <c r="A10" s="17" t="s">
        <v>38</v>
      </c>
      <c r="B10" s="18">
        <f>+SUM(B11:B26)</f>
        <v>1052263.5487612998</v>
      </c>
      <c r="C10" s="18">
        <f>+SUM(C11:C26)</f>
        <v>14569.713974999997</v>
      </c>
      <c r="D10" s="18">
        <f>+SUM(D11:D26)</f>
        <v>74.607748999999998</v>
      </c>
      <c r="E10" s="18">
        <f>+SUM(E11:E26)</f>
        <v>50743.791518999999</v>
      </c>
      <c r="F10" s="18">
        <f>+SUM(F11:F26)</f>
        <v>1117651.6620042999</v>
      </c>
      <c r="G10" s="18">
        <f>+SUM(G11:G26)</f>
        <v>917059.53205299983</v>
      </c>
      <c r="H10" s="18">
        <f>+SUM(H11:H26)</f>
        <v>193639.85490600005</v>
      </c>
      <c r="I10" s="18">
        <f>+SUM(I11:I26)</f>
        <v>15767.030504999999</v>
      </c>
      <c r="J10" s="18">
        <f>+SUM(J11:J26)</f>
        <v>8017.040825</v>
      </c>
      <c r="K10" s="18">
        <f>+SUM(K11:K26)</f>
        <v>8726.8681199999992</v>
      </c>
      <c r="L10" s="18">
        <f>+SUM(L11:L26)</f>
        <v>0</v>
      </c>
      <c r="M10" s="18">
        <f>+SUM(M11:M26)</f>
        <v>6829.4310810000006</v>
      </c>
      <c r="N10" s="18">
        <f>+SUM(N11:N26)</f>
        <v>1150039.75749</v>
      </c>
      <c r="O10" s="18">
        <f>+SUM(O11:O26)</f>
        <v>0</v>
      </c>
      <c r="P10" s="18">
        <f>+SUM(P11:P26)</f>
        <v>54085.206752999999</v>
      </c>
      <c r="Q10" s="18">
        <f>+SUM(Q11:Q26)</f>
        <v>1204124.9642429999</v>
      </c>
      <c r="R10" s="18">
        <f>+SUM(R11:R26)</f>
        <v>976473.46006700012</v>
      </c>
      <c r="S10" s="18">
        <f>+SUM(S11:S26)</f>
        <v>214721.42526500003</v>
      </c>
      <c r="T10" s="18">
        <f>+SUM(T11:T26)</f>
        <v>34442.020939000002</v>
      </c>
      <c r="U10" s="18">
        <f>+SUM(U11:U26)</f>
        <v>0</v>
      </c>
      <c r="V10" s="18">
        <f>+SUM(V11:V26)</f>
        <v>0</v>
      </c>
      <c r="W10" s="18">
        <f>+SUM(W11:W26)</f>
        <v>1225636.9062710002</v>
      </c>
      <c r="X10" s="18">
        <f>+SUM(X11:X26)</f>
        <v>56789.467091999992</v>
      </c>
      <c r="Y10" s="18">
        <f>+SUM(Y11:Y26)</f>
        <v>1282426.3733629999</v>
      </c>
      <c r="Z10" s="18">
        <f>+SUM(Z11:Z26)</f>
        <v>13680.167785000003</v>
      </c>
      <c r="AA10" s="18">
        <f>+SUM(AA11:AA26)</f>
        <v>2838.2286400000003</v>
      </c>
      <c r="AB10" s="18">
        <f>+SUM(AB11:AB26)</f>
        <v>9347.5076910000025</v>
      </c>
      <c r="AC10" s="18">
        <f>+SUM(AC11:AC26)</f>
        <v>0</v>
      </c>
      <c r="AD10" s="18">
        <f>+SUM(AD11:AD26)</f>
        <v>25865.904115999998</v>
      </c>
      <c r="AE10" s="18">
        <f>+SUM(AE11:AE26)</f>
        <v>958895.76000499993</v>
      </c>
      <c r="AF10" s="18">
        <f>+SUM(AF11:AF26)</f>
        <v>211883.19662500001</v>
      </c>
      <c r="AG10" s="18">
        <f>+SUM(AG11:AG26)</f>
        <v>34442.020939000002</v>
      </c>
      <c r="AH10" s="18">
        <f>+SUM(AH11:AH26)</f>
        <v>1058.6179779999998</v>
      </c>
      <c r="AI10" s="18">
        <f>+SUM(AI11:AI26)</f>
        <v>11430.363683000001</v>
      </c>
      <c r="AJ10" s="18">
        <f>+SUM(AJ11:AJ26)</f>
        <v>1217709.9592300002</v>
      </c>
      <c r="AK10" s="18">
        <f>+SUM(AK11:AK26)</f>
        <v>56789.467091999992</v>
      </c>
      <c r="AL10" s="18">
        <f>+SUM(AL11:AL26)</f>
        <v>31504</v>
      </c>
      <c r="AM10" s="18">
        <f>+SUM(AM11:AM26)</f>
        <v>25131.209385999995</v>
      </c>
      <c r="AN10" s="18">
        <f>+SUM(AN11:AN26)</f>
        <v>113424.67647800004</v>
      </c>
      <c r="AO10" s="18">
        <f>+SUM(AO11:AO26)</f>
        <v>1331134.635708</v>
      </c>
      <c r="AP10" s="38" t="e">
        <f>+((#REF!-#REF!)*100)/#REF!</f>
        <v>#REF!</v>
      </c>
      <c r="AQ10" s="37" t="e">
        <f>+((#REF!-#REF!)*100)/#REF!</f>
        <v>#REF!</v>
      </c>
      <c r="AR10" s="37" t="e">
        <f>+((#REF!-#REF!)*100)/#REF!</f>
        <v>#REF!</v>
      </c>
      <c r="AS10" s="37" t="e">
        <f>+((#REF!-#REF!)*100)/#REF!</f>
        <v>#REF!</v>
      </c>
      <c r="AT10" s="37" t="e">
        <f>+((#REF!-#REF!)*100)/#REF!</f>
        <v>#REF!</v>
      </c>
      <c r="AU10" s="37" t="e">
        <f>+((F10-#REF!)*100)/#REF!</f>
        <v>#REF!</v>
      </c>
      <c r="AV10" s="37">
        <f>+((Q10-F10)*100)/F10</f>
        <v>7.7370530710459668</v>
      </c>
      <c r="AW10" s="37">
        <f>+((Y10-Q10)*100)/Q10</f>
        <v>6.5027643679180676</v>
      </c>
      <c r="AX10" s="36" t="e">
        <f>+(((Y10/#REF!)^(0.125))-1)*100</f>
        <v>#REF!</v>
      </c>
      <c r="AY10" s="16" t="e">
        <f>+((#REF!-#REF!)*100)/#REF!</f>
        <v>#REF!</v>
      </c>
      <c r="AZ10" s="16" t="e">
        <f>+((#REF!-#REF!)*100)/#REF!</f>
        <v>#REF!</v>
      </c>
      <c r="BA10" s="16" t="e">
        <f>+((#REF!-#REF!)*100)/#REF!</f>
        <v>#REF!</v>
      </c>
      <c r="BB10" s="16" t="e">
        <f>+((#REF!-#REF!)*100)/#REF!</f>
        <v>#REF!</v>
      </c>
      <c r="BC10" s="20" t="e">
        <f>+(((#REF!+#REF!)-(#REF!+#REF!))/(#REF!+#REF!))</f>
        <v>#REF!</v>
      </c>
      <c r="BD10" s="20" t="e">
        <f>+(((#REF!+#REF!)-(#REF!+#REF!))/(#REF!+#REF!))</f>
        <v>#REF!</v>
      </c>
      <c r="BE10" s="20" t="e">
        <f>+(((#REF!+#REF!)-(#REF!+#REF!))/(#REF!+#REF!))</f>
        <v>#REF!</v>
      </c>
      <c r="BF10" s="20" t="e">
        <f>+(((#REF!+#REF!)-(#REF!+#REF!))/(#REF!+#REF!))</f>
        <v>#REF!</v>
      </c>
      <c r="BG10" s="20" t="e">
        <f>+(((#REF!+#REF!)-(#REF!+#REF!))/(#REF!+#REF!))</f>
        <v>#REF!</v>
      </c>
      <c r="BH10" s="20" t="e">
        <f>+(((#REF!+#REF!)-(#REF!+#REF!))/(#REF!+#REF!))</f>
        <v>#REF!</v>
      </c>
      <c r="BI10" s="20" t="e">
        <f>+(((#REF!+#REF!)-(#REF!+#REF!))/(#REF!+#REF!))</f>
        <v>#REF!</v>
      </c>
      <c r="BJ10" s="20" t="e">
        <f>+(((#REF!+#REF!)-(#REF!+#REF!))/(#REF!+#REF!))</f>
        <v>#REF!</v>
      </c>
      <c r="BK10" s="20" t="e">
        <f>+(((#REF!+#REF!)-(#REF!+#REF!))/(#REF!+#REF!))</f>
        <v>#REF!</v>
      </c>
      <c r="BL10" s="20" t="e">
        <f>+(((#REF!+#REF!)-(#REF!+#REF!))/(#REF!+#REF!))</f>
        <v>#REF!</v>
      </c>
      <c r="BM10" s="20" t="e">
        <f>+(((#REF!+#REF!)-(#REF!+#REF!))/(#REF!+#REF!))</f>
        <v>#REF!</v>
      </c>
      <c r="BN10" s="20" t="e">
        <f>+(((#REF!+#REF!)-(#REF!+#REF!))/(#REF!+#REF!))</f>
        <v>#REF!</v>
      </c>
      <c r="BO10" s="20" t="e">
        <f>+(((#REF!+#REF!)-(#REF!+#REF!))/(#REF!+#REF!))</f>
        <v>#REF!</v>
      </c>
      <c r="BP10" s="20" t="e">
        <f>+(((#REF!+#REF!)-(#REF!+#REF!))/(#REF!+#REF!))</f>
        <v>#REF!</v>
      </c>
      <c r="BQ10" s="20" t="e">
        <f>+(((#REF!+#REF!)-(#REF!+#REF!))/(#REF!+#REF!))</f>
        <v>#REF!</v>
      </c>
      <c r="BR10" s="20" t="e">
        <f>+(((#REF!+#REF!)-(#REF!+#REF!))/(#REF!+#REF!))</f>
        <v>#REF!</v>
      </c>
      <c r="BS10" s="20" t="e">
        <f>+(((#REF!+#REF!)-(#REF!+#REF!))/(#REF!+#REF!))</f>
        <v>#REF!</v>
      </c>
      <c r="BT10" s="20" t="e">
        <f>+(((B10+E10)-(#REF!+#REF!))/(#REF!+#REF!))</f>
        <v>#REF!</v>
      </c>
      <c r="BU10" s="20">
        <f>+(((G10+P10)-(B10+E10))/(B10+E10))</f>
        <v>-0.11954825381378746</v>
      </c>
      <c r="BV10" s="20" t="e">
        <f>+((((G10+P10)/(#REF!+#REF!))^(1/19))-1)</f>
        <v>#REF!</v>
      </c>
      <c r="BW10" s="16">
        <f>+SUM(BW11:BW26)</f>
        <v>1201878.6092800002</v>
      </c>
      <c r="BX10" s="16">
        <f>+SUM(BX11:BX26)</f>
        <v>58993.15110499999</v>
      </c>
      <c r="BY10" s="16">
        <f>+SUM(BY11:BY26)</f>
        <v>1260871.7603850001</v>
      </c>
      <c r="BZ10" s="18">
        <f>+SUM(BZ11:BZ26)</f>
        <v>1017315.1134270002</v>
      </c>
      <c r="CA10" s="18">
        <f>+SUM(CA11:CA26)</f>
        <v>218239.69252299995</v>
      </c>
      <c r="CB10" s="18">
        <f>+SUM(CB11:CB26)</f>
        <v>8499.1305569999986</v>
      </c>
      <c r="CC10" s="18">
        <f>+SUM(CC11:CC26)</f>
        <v>18563.638002</v>
      </c>
      <c r="CD10" s="18">
        <f>+SUM(CD11:CD26)</f>
        <v>1262617.5745089997</v>
      </c>
      <c r="CE10" s="18">
        <f>+SUM(CE11:CE26)</f>
        <v>58993.15110499999</v>
      </c>
      <c r="CF10" s="18">
        <f>+SUM(CF11:CF26)</f>
        <v>27322.187741999991</v>
      </c>
      <c r="CG10" s="18">
        <f>+SUM(CG11:CG26)</f>
        <v>86315.338846999977</v>
      </c>
      <c r="CH10" s="18">
        <f>+SUM(CH11:CH26)</f>
        <v>1348932.9133560003</v>
      </c>
      <c r="CI10" s="18">
        <f>+SUM(CI11:CI26)</f>
        <v>1105652.0281819999</v>
      </c>
      <c r="CJ10" s="18">
        <f>+SUM(CJ11:CJ26)</f>
        <v>240989.852311</v>
      </c>
      <c r="CK10" s="18">
        <f>+SUM(CK11:CK26)</f>
        <v>14464.818064999996</v>
      </c>
      <c r="CL10" s="18">
        <f>+SUM(CL11:CL26)</f>
        <v>25847.930134000002</v>
      </c>
      <c r="CM10" s="18">
        <f>+SUM(CM11:CM26)</f>
        <v>19171.751356000001</v>
      </c>
      <c r="CN10" s="18">
        <f>+SUM(CN11:CN26)</f>
        <v>1406126.380048</v>
      </c>
      <c r="CO10" s="18">
        <f>+SUM(CO11:CO26)</f>
        <v>60762.945638999998</v>
      </c>
      <c r="CP10" s="18">
        <f>+SUM(CP11:CP26)</f>
        <v>27903.364771</v>
      </c>
      <c r="CQ10" s="18">
        <f>+SUM(CQ11:CQ26)</f>
        <v>88666.310410000006</v>
      </c>
      <c r="CR10" s="18">
        <f>+SUM(CR11:CR26)</f>
        <v>1494792.6904580002</v>
      </c>
    </row>
    <row r="11" spans="1:96" ht="15" customHeight="1" x14ac:dyDescent="0.2">
      <c r="A11" s="40" t="s">
        <v>37</v>
      </c>
      <c r="B11" s="27">
        <v>534577.86447120004</v>
      </c>
      <c r="C11" s="27">
        <v>773.33308299999999</v>
      </c>
      <c r="D11" s="27">
        <v>74.607748999999998</v>
      </c>
      <c r="E11" s="27">
        <v>31820.491923000001</v>
      </c>
      <c r="F11" s="27">
        <f>+SUM(B11:E11)</f>
        <v>567246.2972262</v>
      </c>
      <c r="G11" s="27">
        <f>428398.66592</f>
        <v>428398.66592</v>
      </c>
      <c r="H11" s="27">
        <v>129826.97735299999</v>
      </c>
      <c r="I11" s="27">
        <f>4096.161127</f>
        <v>4096.1611270000003</v>
      </c>
      <c r="J11" s="27">
        <v>1777.4732550000001</v>
      </c>
      <c r="K11" s="27">
        <v>2017.3650339999999</v>
      </c>
      <c r="L11" s="27"/>
      <c r="M11" s="27">
        <v>511.35548999999997</v>
      </c>
      <c r="N11" s="27">
        <f>+SUM(G11:M11)</f>
        <v>566627.99817899999</v>
      </c>
      <c r="O11" s="27">
        <v>0</v>
      </c>
      <c r="P11" s="27">
        <f>+'[1]TOTAL POR UNIVERSIDAD'!$GH$16</f>
        <v>33949.282832999997</v>
      </c>
      <c r="Q11" s="27">
        <f>+N11+P11</f>
        <v>600577.28101199993</v>
      </c>
      <c r="R11" s="27">
        <v>454929.30984900001</v>
      </c>
      <c r="S11" s="27">
        <v>146313.60993100001</v>
      </c>
      <c r="T11" s="27">
        <v>7917.8040700000001</v>
      </c>
      <c r="U11" s="39"/>
      <c r="V11" s="39"/>
      <c r="W11" s="27">
        <f>+R11+S11+T11+U11+V11</f>
        <v>609160.72384999995</v>
      </c>
      <c r="X11" s="27">
        <v>35646.746975000002</v>
      </c>
      <c r="Y11" s="27">
        <f>+W11+X11</f>
        <v>644807.47082499997</v>
      </c>
      <c r="Z11" s="27">
        <f>(454929309849-446263989661)/1000000</f>
        <v>8665.3201879999997</v>
      </c>
      <c r="AA11" s="27">
        <f>(146313609931-144906781747)/1000000</f>
        <v>1406.828184</v>
      </c>
      <c r="AB11" s="27">
        <f>4332660094/1000000</f>
        <v>4332.6600939999998</v>
      </c>
      <c r="AC11" s="27"/>
      <c r="AD11" s="27">
        <f>+Z11+AA11+AB11+AC11</f>
        <v>14404.808465999999</v>
      </c>
      <c r="AE11" s="32">
        <v>441931.32956699998</v>
      </c>
      <c r="AF11" s="32">
        <v>144906.781747</v>
      </c>
      <c r="AG11" s="32">
        <f>+T11</f>
        <v>7917.8040700000001</v>
      </c>
      <c r="AH11" s="32">
        <v>98.316395999999997</v>
      </c>
      <c r="AI11" s="32">
        <v>2603.5451419999999</v>
      </c>
      <c r="AJ11" s="27">
        <f>+SUM(AE11:AI11)</f>
        <v>597457.77692199987</v>
      </c>
      <c r="AK11" s="27">
        <f>+X11</f>
        <v>35646.746975000002</v>
      </c>
      <c r="AL11" s="27">
        <v>8379</v>
      </c>
      <c r="AM11" s="27">
        <v>12608.053247</v>
      </c>
      <c r="AN11" s="27">
        <f>+SUM(AK11:AM11)</f>
        <v>56633.800222000005</v>
      </c>
      <c r="AO11" s="27">
        <f>+AJ11+AN11</f>
        <v>654091.57714399986</v>
      </c>
      <c r="AP11" s="31" t="e">
        <f>+((#REF!-#REF!)*100)/#REF!</f>
        <v>#REF!</v>
      </c>
      <c r="AQ11" s="29" t="e">
        <f>+((#REF!-#REF!)*100)/#REF!</f>
        <v>#REF!</v>
      </c>
      <c r="AR11" s="29" t="e">
        <f>+((#REF!-#REF!)*100)/#REF!</f>
        <v>#REF!</v>
      </c>
      <c r="AS11" s="29" t="e">
        <f>+((#REF!-#REF!)*100)/#REF!</f>
        <v>#REF!</v>
      </c>
      <c r="AT11" s="29" t="e">
        <f>+((#REF!-#REF!)*100)/#REF!</f>
        <v>#REF!</v>
      </c>
      <c r="AU11" s="29" t="e">
        <f>+((F11-#REF!)*100)/#REF!</f>
        <v>#REF!</v>
      </c>
      <c r="AV11" s="29">
        <f>+((Q11-F11)*100)/F11</f>
        <v>5.8759279608851438</v>
      </c>
      <c r="AW11" s="29">
        <f>+((Y11-Q11)*100)/Q11</f>
        <v>7.3646125505230842</v>
      </c>
      <c r="AX11" s="28" t="e">
        <f>+(((Y11/#REF!)^(0.125))-1)*100</f>
        <v>#REF!</v>
      </c>
      <c r="AY11" s="29" t="e">
        <f>+((#REF!-#REF!)*100)/#REF!</f>
        <v>#REF!</v>
      </c>
      <c r="AZ11" s="29" t="e">
        <f>+((#REF!-#REF!)*100)/#REF!</f>
        <v>#REF!</v>
      </c>
      <c r="BA11" s="29" t="e">
        <f>+((#REF!-#REF!)*100)/#REF!</f>
        <v>#REF!</v>
      </c>
      <c r="BB11" s="29" t="e">
        <f>+((#REF!-#REF!)*100)/#REF!</f>
        <v>#REF!</v>
      </c>
      <c r="BC11" s="20" t="e">
        <f>+(((#REF!+#REF!)-(#REF!+#REF!))/(#REF!+#REF!))</f>
        <v>#REF!</v>
      </c>
      <c r="BD11" s="20" t="e">
        <f>+(((#REF!+#REF!)-(#REF!+#REF!))/(#REF!+#REF!))</f>
        <v>#REF!</v>
      </c>
      <c r="BE11" s="20" t="e">
        <f>+(((#REF!+#REF!)-(#REF!+#REF!))/(#REF!+#REF!))</f>
        <v>#REF!</v>
      </c>
      <c r="BF11" s="20" t="e">
        <f>+(((#REF!+#REF!)-(#REF!+#REF!))/(#REF!+#REF!))</f>
        <v>#REF!</v>
      </c>
      <c r="BG11" s="20" t="e">
        <f>+(((#REF!+#REF!)-(#REF!+#REF!))/(#REF!+#REF!))</f>
        <v>#REF!</v>
      </c>
      <c r="BH11" s="20" t="e">
        <f>+(((#REF!+#REF!)-(#REF!+#REF!))/(#REF!+#REF!))</f>
        <v>#REF!</v>
      </c>
      <c r="BI11" s="20" t="e">
        <f>+(((#REF!+#REF!)-(#REF!+#REF!))/(#REF!+#REF!))</f>
        <v>#REF!</v>
      </c>
      <c r="BJ11" s="20" t="e">
        <f>+(((#REF!+#REF!)-(#REF!+#REF!))/(#REF!+#REF!))</f>
        <v>#REF!</v>
      </c>
      <c r="BK11" s="20" t="e">
        <f>+(((#REF!+#REF!)-(#REF!+#REF!))/(#REF!+#REF!))</f>
        <v>#REF!</v>
      </c>
      <c r="BL11" s="20" t="e">
        <f>+(((#REF!+#REF!)-(#REF!+#REF!))/(#REF!+#REF!))</f>
        <v>#REF!</v>
      </c>
      <c r="BM11" s="20" t="e">
        <f>+(((#REF!+#REF!)-(#REF!+#REF!))/(#REF!+#REF!))</f>
        <v>#REF!</v>
      </c>
      <c r="BN11" s="20" t="e">
        <f>+(((#REF!+#REF!)-(#REF!+#REF!))/(#REF!+#REF!))</f>
        <v>#REF!</v>
      </c>
      <c r="BO11" s="20" t="e">
        <f>+(((#REF!+#REF!)-(#REF!+#REF!))/(#REF!+#REF!))</f>
        <v>#REF!</v>
      </c>
      <c r="BP11" s="20" t="e">
        <f>+(((#REF!+#REF!)-(#REF!+#REF!))/(#REF!+#REF!))</f>
        <v>#REF!</v>
      </c>
      <c r="BQ11" s="20" t="e">
        <f>+(((#REF!+#REF!)-(#REF!+#REF!))/(#REF!+#REF!))</f>
        <v>#REF!</v>
      </c>
      <c r="BR11" s="20" t="e">
        <f>+(((#REF!+#REF!)-(#REF!+#REF!))/(#REF!+#REF!))</f>
        <v>#REF!</v>
      </c>
      <c r="BS11" s="20" t="e">
        <f>+(((#REF!+#REF!)-(#REF!+#REF!))/(#REF!+#REF!))</f>
        <v>#REF!</v>
      </c>
      <c r="BT11" s="20" t="e">
        <f>+(((B11+E11)-(#REF!+#REF!))/(#REF!+#REF!))</f>
        <v>#REF!</v>
      </c>
      <c r="BU11" s="20">
        <f>+(((G11+P11)-(B11+E11))/(B11+E11))</f>
        <v>-0.18370534883541109</v>
      </c>
      <c r="BV11" s="20" t="e">
        <f>+((((G11+P11)/(#REF!+#REF!))^(1/19))-1)</f>
        <v>#REF!</v>
      </c>
      <c r="BW11" s="30">
        <v>604443.25465300004</v>
      </c>
      <c r="BX11" s="29">
        <v>36716.149383999997</v>
      </c>
      <c r="BY11" s="28">
        <f>+BW11+BX11</f>
        <v>641159.40403700003</v>
      </c>
      <c r="BZ11" s="27">
        <f>455189.269454+8630.37</f>
        <v>463819.63945399999</v>
      </c>
      <c r="CA11" s="27">
        <v>149253.98519899999</v>
      </c>
      <c r="CB11" s="27">
        <v>687.18318699999998</v>
      </c>
      <c r="CC11" s="27">
        <v>3994.9037830000002</v>
      </c>
      <c r="CD11" s="27">
        <f>+SUM(BZ11:CC11)</f>
        <v>617755.71162299986</v>
      </c>
      <c r="CE11" s="27">
        <v>36716.149383999997</v>
      </c>
      <c r="CF11" s="27">
        <v>13618.305757</v>
      </c>
      <c r="CG11" s="27">
        <f>+CE11+CF11</f>
        <v>50334.455140999999</v>
      </c>
      <c r="CH11" s="27">
        <f>+CD11+CG11</f>
        <v>668090.16676399985</v>
      </c>
      <c r="CI11" s="27">
        <v>490592.96981400001</v>
      </c>
      <c r="CJ11" s="27">
        <f>156621.762399+16000</f>
        <v>172621.762399</v>
      </c>
      <c r="CK11" s="27">
        <f>(1980436846+4337911155-1545073484)/1000000</f>
        <v>4773.2745169999998</v>
      </c>
      <c r="CL11" s="27">
        <f>(421301881+69226613+1472900990)/1000000</f>
        <v>1963.429484</v>
      </c>
      <c r="CM11" s="27">
        <f>5021626863/1000000</f>
        <v>5021.6268630000004</v>
      </c>
      <c r="CN11" s="27">
        <f>+SUM(CI11:CM11)</f>
        <v>674973.06307699997</v>
      </c>
      <c r="CO11" s="27">
        <v>37817.633865999996</v>
      </c>
      <c r="CP11" s="27">
        <f>(13446122585/1000000)+252.296973</f>
        <v>13698.419558</v>
      </c>
      <c r="CQ11" s="27">
        <f>+CO11+CP11</f>
        <v>51516.053423999998</v>
      </c>
      <c r="CR11" s="27">
        <f>+CN11+CQ11</f>
        <v>726489.11650100001</v>
      </c>
    </row>
    <row r="12" spans="1:96" ht="15" customHeight="1" x14ac:dyDescent="0.2">
      <c r="A12" s="40" t="s">
        <v>36</v>
      </c>
      <c r="B12" s="27">
        <v>74869.681494999997</v>
      </c>
      <c r="C12" s="27">
        <v>773.33308299999999</v>
      </c>
      <c r="D12" s="27"/>
      <c r="E12" s="27">
        <v>2377.6999999999998</v>
      </c>
      <c r="F12" s="27">
        <f>+SUM(B12:E12)</f>
        <v>78020.714577999999</v>
      </c>
      <c r="G12" s="27">
        <f>64734.785419</f>
        <v>64734.785419</v>
      </c>
      <c r="H12" s="27">
        <v>13698.54039</v>
      </c>
      <c r="I12" s="27">
        <f>1584.161661</f>
        <v>1584.1616610000001</v>
      </c>
      <c r="J12" s="27">
        <v>835.95276899999999</v>
      </c>
      <c r="K12" s="27">
        <v>204.773877</v>
      </c>
      <c r="L12" s="27"/>
      <c r="M12" s="27">
        <v>419.202226</v>
      </c>
      <c r="N12" s="27">
        <f>+SUM(G12:M12)</f>
        <v>81477.416341999997</v>
      </c>
      <c r="O12" s="27"/>
      <c r="P12" s="27">
        <f>+'[1]TOTAL POR UNIVERSIDAD'!$GI$24</f>
        <v>2536.7687110000002</v>
      </c>
      <c r="Q12" s="27">
        <f>+N12+P12</f>
        <v>84014.185052999994</v>
      </c>
      <c r="R12" s="27">
        <v>69317.603098000007</v>
      </c>
      <c r="S12" s="27">
        <v>15477.047742999999</v>
      </c>
      <c r="T12" s="27">
        <v>3563.7986449999999</v>
      </c>
      <c r="U12" s="39"/>
      <c r="V12" s="39"/>
      <c r="W12" s="27">
        <f>+R12+S12+T12+U12+V12</f>
        <v>88358.449486000012</v>
      </c>
      <c r="X12" s="27">
        <v>2663.6071470000002</v>
      </c>
      <c r="Y12" s="27">
        <f>+W12+X12</f>
        <v>91022.056633000015</v>
      </c>
      <c r="Z12" s="27">
        <f>(69317603098-68651087684)/1000000</f>
        <v>666.51541399999996</v>
      </c>
      <c r="AA12" s="27">
        <f>(15477047743-15194535976)/1000000</f>
        <v>282.51176700000002</v>
      </c>
      <c r="AB12" s="27">
        <f>666515414/1000000</f>
        <v>666.51541399999996</v>
      </c>
      <c r="AC12" s="27"/>
      <c r="AD12" s="27">
        <f>+Z12+AA12+AB12+AC12</f>
        <v>1615.5425949999999</v>
      </c>
      <c r="AE12" s="32">
        <v>67984.572270000004</v>
      </c>
      <c r="AF12" s="32">
        <v>15194.535975999999</v>
      </c>
      <c r="AG12" s="32">
        <f>+T12</f>
        <v>3563.7986449999999</v>
      </c>
      <c r="AH12" s="32">
        <v>74.278514999999999</v>
      </c>
      <c r="AI12" s="32">
        <v>203.16601700000001</v>
      </c>
      <c r="AJ12" s="27">
        <f>+SUM(AE12:AI12)</f>
        <v>87020.351423</v>
      </c>
      <c r="AK12" s="27">
        <f>+X12</f>
        <v>2663.6071470000002</v>
      </c>
      <c r="AL12" s="27">
        <v>2423</v>
      </c>
      <c r="AM12" s="27">
        <v>1788.130281</v>
      </c>
      <c r="AN12" s="27">
        <f>+SUM(AK12:AM12)</f>
        <v>6874.7374280000004</v>
      </c>
      <c r="AO12" s="27">
        <f>+AJ12+AN12</f>
        <v>93895.088851000008</v>
      </c>
      <c r="AP12" s="31" t="e">
        <f>+((#REF!-#REF!)*100)/#REF!</f>
        <v>#REF!</v>
      </c>
      <c r="AQ12" s="29" t="e">
        <f>+((#REF!-#REF!)*100)/#REF!</f>
        <v>#REF!</v>
      </c>
      <c r="AR12" s="29" t="e">
        <f>+((#REF!-#REF!)*100)/#REF!</f>
        <v>#REF!</v>
      </c>
      <c r="AS12" s="29" t="e">
        <f>+((#REF!-#REF!)*100)/#REF!</f>
        <v>#REF!</v>
      </c>
      <c r="AT12" s="29" t="e">
        <f>+((#REF!-#REF!)*100)/#REF!</f>
        <v>#REF!</v>
      </c>
      <c r="AU12" s="29" t="e">
        <f>+((F12-#REF!)*100)/#REF!</f>
        <v>#REF!</v>
      </c>
      <c r="AV12" s="29">
        <f>+((Q12-F12)*100)/F12</f>
        <v>7.6818964135583698</v>
      </c>
      <c r="AW12" s="29">
        <f>+((Y12-Q12)*100)/Q12</f>
        <v>8.3412956699861276</v>
      </c>
      <c r="AX12" s="28" t="e">
        <f>+(((Y12/#REF!)^(0.125))-1)*100</f>
        <v>#REF!</v>
      </c>
      <c r="AY12" s="29" t="e">
        <f>+((#REF!-#REF!)*100)/#REF!</f>
        <v>#REF!</v>
      </c>
      <c r="AZ12" s="29" t="e">
        <f>+((#REF!-#REF!)*100)/#REF!</f>
        <v>#REF!</v>
      </c>
      <c r="BA12" s="29" t="e">
        <f>+((#REF!-#REF!)*100)/#REF!</f>
        <v>#REF!</v>
      </c>
      <c r="BB12" s="29" t="e">
        <f>+((#REF!-#REF!)*100)/#REF!</f>
        <v>#REF!</v>
      </c>
      <c r="BC12" s="20" t="e">
        <f>+(((#REF!+#REF!)-(#REF!+#REF!))/(#REF!+#REF!))</f>
        <v>#REF!</v>
      </c>
      <c r="BD12" s="20" t="e">
        <f>+(((#REF!+#REF!)-(#REF!+#REF!))/(#REF!+#REF!))</f>
        <v>#REF!</v>
      </c>
      <c r="BE12" s="20" t="e">
        <f>+(((#REF!+#REF!)-(#REF!+#REF!))/(#REF!+#REF!))</f>
        <v>#REF!</v>
      </c>
      <c r="BF12" s="20" t="e">
        <f>+(((#REF!+#REF!)-(#REF!+#REF!))/(#REF!+#REF!))</f>
        <v>#REF!</v>
      </c>
      <c r="BG12" s="20" t="e">
        <f>+(((#REF!+#REF!)-(#REF!+#REF!))/(#REF!+#REF!))</f>
        <v>#REF!</v>
      </c>
      <c r="BH12" s="20" t="e">
        <f>+(((#REF!+#REF!)-(#REF!+#REF!))/(#REF!+#REF!))</f>
        <v>#REF!</v>
      </c>
      <c r="BI12" s="20" t="e">
        <f>+(((#REF!+#REF!)-(#REF!+#REF!))/(#REF!+#REF!))</f>
        <v>#REF!</v>
      </c>
      <c r="BJ12" s="20" t="e">
        <f>+(((#REF!+#REF!)-(#REF!+#REF!))/(#REF!+#REF!))</f>
        <v>#REF!</v>
      </c>
      <c r="BK12" s="20" t="e">
        <f>+(((#REF!+#REF!)-(#REF!+#REF!))/(#REF!+#REF!))</f>
        <v>#REF!</v>
      </c>
      <c r="BL12" s="20" t="e">
        <f>+(((#REF!+#REF!)-(#REF!+#REF!))/(#REF!+#REF!))</f>
        <v>#REF!</v>
      </c>
      <c r="BM12" s="20" t="e">
        <f>+(((#REF!+#REF!)-(#REF!+#REF!))/(#REF!+#REF!))</f>
        <v>#REF!</v>
      </c>
      <c r="BN12" s="20" t="e">
        <f>+(((#REF!+#REF!)-(#REF!+#REF!))/(#REF!+#REF!))</f>
        <v>#REF!</v>
      </c>
      <c r="BO12" s="20" t="e">
        <f>+(((#REF!+#REF!)-(#REF!+#REF!))/(#REF!+#REF!))</f>
        <v>#REF!</v>
      </c>
      <c r="BP12" s="20" t="e">
        <f>+(((#REF!+#REF!)-(#REF!+#REF!))/(#REF!+#REF!))</f>
        <v>#REF!</v>
      </c>
      <c r="BQ12" s="20" t="e">
        <f>+(((#REF!+#REF!)-(#REF!+#REF!))/(#REF!+#REF!))</f>
        <v>#REF!</v>
      </c>
      <c r="BR12" s="20" t="e">
        <f>+(((#REF!+#REF!)-(#REF!+#REF!))/(#REF!+#REF!))</f>
        <v>#REF!</v>
      </c>
      <c r="BS12" s="20" t="e">
        <f>+(((#REF!+#REF!)-(#REF!+#REF!))/(#REF!+#REF!))</f>
        <v>#REF!</v>
      </c>
      <c r="BT12" s="20" t="e">
        <f>+(((B12+E12)-(#REF!+#REF!))/(#REF!+#REF!))</f>
        <v>#REF!</v>
      </c>
      <c r="BU12" s="20">
        <f>+(((G12+P12)-(B12+E12))/(B12+E12))</f>
        <v>-0.12914130125751508</v>
      </c>
      <c r="BV12" s="20" t="e">
        <f>+((((G12+P12)/(#REF!+#REF!))^(1/19))-1)</f>
        <v>#REF!</v>
      </c>
      <c r="BW12" s="30">
        <v>85674.481492999999</v>
      </c>
      <c r="BX12" s="29">
        <v>2743.5153610000002</v>
      </c>
      <c r="BY12" s="28">
        <f>+BW12+BX12</f>
        <v>88417.996853999997</v>
      </c>
      <c r="BZ12" s="27">
        <f>70024.109438+2495.69</f>
        <v>72519.799438000002</v>
      </c>
      <c r="CA12" s="27">
        <v>15650.372055</v>
      </c>
      <c r="CB12" s="27">
        <v>450.61631299999999</v>
      </c>
      <c r="CC12" s="27">
        <v>369.93099999999998</v>
      </c>
      <c r="CD12" s="27">
        <f>+SUM(BZ12:CC12)</f>
        <v>88990.718806000004</v>
      </c>
      <c r="CE12" s="27">
        <v>2743.5153610000002</v>
      </c>
      <c r="CF12" s="27">
        <v>1901.5104329999999</v>
      </c>
      <c r="CG12" s="27">
        <f>+CE12+CF12</f>
        <v>4645.0257940000001</v>
      </c>
      <c r="CH12" s="27">
        <f>+CD12+CG12</f>
        <v>93635.744600000005</v>
      </c>
      <c r="CI12" s="27">
        <v>76947.642265000002</v>
      </c>
      <c r="CJ12" s="27">
        <f>16422.937387+1500</f>
        <v>17922.937387000002</v>
      </c>
      <c r="CK12" s="27">
        <f>(282809491+621778477-162012257)/1000000</f>
        <v>742.57571099999996</v>
      </c>
      <c r="CL12" s="27">
        <f>(276266218+45394943+1242446678)/1000000</f>
        <v>1564.107839</v>
      </c>
      <c r="CM12" s="27">
        <f>421814407/1000000</f>
        <v>421.81440700000002</v>
      </c>
      <c r="CN12" s="27">
        <f>+SUM(CI12:CM12)</f>
        <v>97599.077609</v>
      </c>
      <c r="CO12" s="27">
        <v>2825.8208220000001</v>
      </c>
      <c r="CP12" s="27">
        <f>(1881475925/1000000)+37.246827</f>
        <v>1918.7227519999999</v>
      </c>
      <c r="CQ12" s="27">
        <f>+CO12+CP12</f>
        <v>4744.5435740000003</v>
      </c>
      <c r="CR12" s="27">
        <f>+CN12+CQ12</f>
        <v>102343.621183</v>
      </c>
    </row>
    <row r="13" spans="1:96" ht="15" customHeight="1" x14ac:dyDescent="0.2">
      <c r="A13" s="40" t="s">
        <v>35</v>
      </c>
      <c r="B13" s="27">
        <v>38728.011462000002</v>
      </c>
      <c r="C13" s="27">
        <v>844.87074099999995</v>
      </c>
      <c r="D13" s="27"/>
      <c r="E13" s="27">
        <v>1661.28827</v>
      </c>
      <c r="F13" s="27">
        <f>+SUM(B13:E13)</f>
        <v>41234.170472999998</v>
      </c>
      <c r="G13" s="27">
        <f>40930.797855</f>
        <v>40930.797854999997</v>
      </c>
      <c r="H13" s="27"/>
      <c r="I13" s="27">
        <f>1037.953232</f>
        <v>1037.9532320000001</v>
      </c>
      <c r="J13" s="27">
        <v>545.30272400000001</v>
      </c>
      <c r="K13" s="27">
        <v>177.47992500000001</v>
      </c>
      <c r="L13" s="27"/>
      <c r="M13" s="27">
        <v>439.61116399999997</v>
      </c>
      <c r="N13" s="27">
        <f>+SUM(G13:M13)</f>
        <v>43131.144899999999</v>
      </c>
      <c r="O13" s="27"/>
      <c r="P13" s="27">
        <f>+'[1]TOTAL POR UNIVERSIDAD'!$GI$32</f>
        <v>1719.083455</v>
      </c>
      <c r="Q13" s="27">
        <f>+N13+P13</f>
        <v>44850.228354999999</v>
      </c>
      <c r="R13" s="27">
        <v>43859.327896000003</v>
      </c>
      <c r="S13" s="27"/>
      <c r="T13" s="27">
        <v>2324.7116139999998</v>
      </c>
      <c r="U13" s="39"/>
      <c r="V13" s="39"/>
      <c r="W13" s="27">
        <f>+R13+S13+T13+U13+V13</f>
        <v>46184.039510000002</v>
      </c>
      <c r="X13" s="27">
        <v>1805.037628</v>
      </c>
      <c r="Y13" s="27">
        <f>+W13+X13</f>
        <v>47989.077138000001</v>
      </c>
      <c r="Z13" s="27">
        <f>(43859327896-43437603589)/1000000</f>
        <v>421.72430700000001</v>
      </c>
      <c r="AA13" s="27"/>
      <c r="AB13" s="27">
        <f>421724307/1000000</f>
        <v>421.72430700000001</v>
      </c>
      <c r="AC13" s="27"/>
      <c r="AD13" s="27">
        <f>+Z13+AA13+AB13+AC13</f>
        <v>843.44861400000002</v>
      </c>
      <c r="AE13" s="32">
        <v>43015.879282000002</v>
      </c>
      <c r="AF13" s="32">
        <f>+S13-AA13</f>
        <v>0</v>
      </c>
      <c r="AG13" s="32">
        <f>+T13</f>
        <v>2324.7116139999998</v>
      </c>
      <c r="AH13" s="32">
        <v>77.383688000000006</v>
      </c>
      <c r="AI13" s="32">
        <v>234.50750400000001</v>
      </c>
      <c r="AJ13" s="27">
        <f>+SUM(AE13:AI13)</f>
        <v>45652.482088000004</v>
      </c>
      <c r="AK13" s="27">
        <f>+X13</f>
        <v>1805.037628</v>
      </c>
      <c r="AL13" s="27">
        <v>1477</v>
      </c>
      <c r="AM13" s="27">
        <v>942.91256999999996</v>
      </c>
      <c r="AN13" s="27">
        <f>+SUM(AK13:AM13)</f>
        <v>4224.9501980000005</v>
      </c>
      <c r="AO13" s="27">
        <f>+AJ13+AN13</f>
        <v>49877.432286000003</v>
      </c>
      <c r="AP13" s="31" t="e">
        <f>+((#REF!-#REF!)*100)/#REF!</f>
        <v>#REF!</v>
      </c>
      <c r="AQ13" s="29" t="e">
        <f>+((#REF!-#REF!)*100)/#REF!</f>
        <v>#REF!</v>
      </c>
      <c r="AR13" s="29" t="e">
        <f>+((#REF!-#REF!)*100)/#REF!</f>
        <v>#REF!</v>
      </c>
      <c r="AS13" s="29" t="e">
        <f>+((#REF!-#REF!)*100)/#REF!</f>
        <v>#REF!</v>
      </c>
      <c r="AT13" s="29" t="e">
        <f>+((#REF!-#REF!)*100)/#REF!</f>
        <v>#REF!</v>
      </c>
      <c r="AU13" s="29" t="e">
        <f>+((F13-#REF!)*100)/#REF!</f>
        <v>#REF!</v>
      </c>
      <c r="AV13" s="29">
        <f>+((Q13-F13)*100)/F13</f>
        <v>8.7695662129732508</v>
      </c>
      <c r="AW13" s="29">
        <f>+((Y13-Q13)*100)/Q13</f>
        <v>6.9985123780313492</v>
      </c>
      <c r="AX13" s="28" t="e">
        <f>+(((Y13/#REF!)^(0.125))-1)*100</f>
        <v>#REF!</v>
      </c>
      <c r="AY13" s="29" t="e">
        <f>+((#REF!-#REF!)*100)/#REF!</f>
        <v>#REF!</v>
      </c>
      <c r="AZ13" s="29" t="e">
        <f>+((#REF!-#REF!)*100)/#REF!</f>
        <v>#REF!</v>
      </c>
      <c r="BA13" s="29" t="e">
        <f>+((#REF!-#REF!)*100)/#REF!</f>
        <v>#REF!</v>
      </c>
      <c r="BB13" s="29" t="e">
        <f>+((#REF!-#REF!)*100)/#REF!</f>
        <v>#REF!</v>
      </c>
      <c r="BC13" s="20" t="e">
        <f>+(((#REF!+#REF!)-(#REF!+#REF!))/(#REF!+#REF!))</f>
        <v>#REF!</v>
      </c>
      <c r="BD13" s="20" t="e">
        <f>+(((#REF!+#REF!)-(#REF!+#REF!))/(#REF!+#REF!))</f>
        <v>#REF!</v>
      </c>
      <c r="BE13" s="20" t="e">
        <f>+(((#REF!+#REF!)-(#REF!+#REF!))/(#REF!+#REF!))</f>
        <v>#REF!</v>
      </c>
      <c r="BF13" s="20" t="e">
        <f>+(((#REF!+#REF!)-(#REF!+#REF!))/(#REF!+#REF!))</f>
        <v>#REF!</v>
      </c>
      <c r="BG13" s="20" t="e">
        <f>+(((#REF!+#REF!)-(#REF!+#REF!))/(#REF!+#REF!))</f>
        <v>#REF!</v>
      </c>
      <c r="BH13" s="20" t="e">
        <f>+(((#REF!+#REF!)-(#REF!+#REF!))/(#REF!+#REF!))</f>
        <v>#REF!</v>
      </c>
      <c r="BI13" s="20" t="e">
        <f>+(((#REF!+#REF!)-(#REF!+#REF!))/(#REF!+#REF!))</f>
        <v>#REF!</v>
      </c>
      <c r="BJ13" s="20" t="e">
        <f>+(((#REF!+#REF!)-(#REF!+#REF!))/(#REF!+#REF!))</f>
        <v>#REF!</v>
      </c>
      <c r="BK13" s="20" t="e">
        <f>+(((#REF!+#REF!)-(#REF!+#REF!))/(#REF!+#REF!))</f>
        <v>#REF!</v>
      </c>
      <c r="BL13" s="20" t="e">
        <f>+(((#REF!+#REF!)-(#REF!+#REF!))/(#REF!+#REF!))</f>
        <v>#REF!</v>
      </c>
      <c r="BM13" s="20" t="e">
        <f>+(((#REF!+#REF!)-(#REF!+#REF!))/(#REF!+#REF!))</f>
        <v>#REF!</v>
      </c>
      <c r="BN13" s="20" t="e">
        <f>+(((#REF!+#REF!)-(#REF!+#REF!))/(#REF!+#REF!))</f>
        <v>#REF!</v>
      </c>
      <c r="BO13" s="20" t="e">
        <f>+(((#REF!+#REF!)-(#REF!+#REF!))/(#REF!+#REF!))</f>
        <v>#REF!</v>
      </c>
      <c r="BP13" s="20" t="e">
        <f>+(((#REF!+#REF!)-(#REF!+#REF!))/(#REF!+#REF!))</f>
        <v>#REF!</v>
      </c>
      <c r="BQ13" s="20" t="e">
        <f>+(((#REF!+#REF!)-(#REF!+#REF!))/(#REF!+#REF!))</f>
        <v>#REF!</v>
      </c>
      <c r="BR13" s="20" t="e">
        <f>+(((#REF!+#REF!)-(#REF!+#REF!))/(#REF!+#REF!))</f>
        <v>#REF!</v>
      </c>
      <c r="BS13" s="20" t="e">
        <f>+(((#REF!+#REF!)-(#REF!+#REF!))/(#REF!+#REF!))</f>
        <v>#REF!</v>
      </c>
      <c r="BT13" s="20" t="e">
        <f>+(((B13+E13)-(#REF!+#REF!))/(#REF!+#REF!))</f>
        <v>#REF!</v>
      </c>
      <c r="BU13" s="20">
        <f>+(((G13+P13)-(B13+E13))/(B13+E13))</f>
        <v>5.5969813613999442E-2</v>
      </c>
      <c r="BV13" s="20" t="e">
        <f>+((((G13+P13)/(#REF!+#REF!))^(1/19))-1)</f>
        <v>#REF!</v>
      </c>
      <c r="BW13" s="30">
        <v>44306.355660000001</v>
      </c>
      <c r="BX13" s="29">
        <v>1859.1887569999999</v>
      </c>
      <c r="BY13" s="28">
        <f>+BW13+BX13</f>
        <v>46165.544416999997</v>
      </c>
      <c r="BZ13" s="27">
        <f>44306.35566+1521.31</f>
        <v>45827.665659999999</v>
      </c>
      <c r="CA13" s="27"/>
      <c r="CB13" s="27">
        <v>536.50323900000001</v>
      </c>
      <c r="CC13" s="27">
        <v>307.61834399999998</v>
      </c>
      <c r="CD13" s="27">
        <f>+SUM(BZ13:CC13)</f>
        <v>46671.787242999999</v>
      </c>
      <c r="CE13" s="27">
        <v>1859.1887569999999</v>
      </c>
      <c r="CF13" s="27">
        <v>999.71686999999997</v>
      </c>
      <c r="CG13" s="27">
        <f>+CE13+CF13</f>
        <v>2858.9056270000001</v>
      </c>
      <c r="CH13" s="27">
        <f>+CD13+CG13</f>
        <v>49530.692869999999</v>
      </c>
      <c r="CI13" s="27">
        <v>48787.225827000002</v>
      </c>
      <c r="CJ13" s="27"/>
      <c r="CK13" s="27">
        <f>(146634977+322805398)/1000000</f>
        <v>469.44037500000002</v>
      </c>
      <c r="CL13" s="27">
        <f>(328922227+54047164+1159398559)/1000000</f>
        <v>1542.3679500000001</v>
      </c>
      <c r="CM13" s="27">
        <f>266812615/1000000</f>
        <v>266.81261499999999</v>
      </c>
      <c r="CN13" s="27">
        <f>+SUM(CI13:CM13)</f>
        <v>51065.846767000003</v>
      </c>
      <c r="CO13" s="27">
        <v>1914.96442</v>
      </c>
      <c r="CP13" s="27">
        <f>(986840041/1000000)+26.510543</f>
        <v>1013.350584</v>
      </c>
      <c r="CQ13" s="27">
        <f>+CO13+CP13</f>
        <v>2928.315004</v>
      </c>
      <c r="CR13" s="27">
        <f>+CN13+CQ13</f>
        <v>53994.161770999999</v>
      </c>
    </row>
    <row r="14" spans="1:96" ht="15" customHeight="1" x14ac:dyDescent="0.2">
      <c r="A14" s="40" t="s">
        <v>34</v>
      </c>
      <c r="B14" s="27">
        <v>59950.405574999997</v>
      </c>
      <c r="C14" s="27">
        <v>1243.3118300000001</v>
      </c>
      <c r="D14" s="27"/>
      <c r="E14" s="27">
        <v>2370.400682</v>
      </c>
      <c r="F14" s="27">
        <f>+SUM(B14:E14)</f>
        <v>63564.118086999995</v>
      </c>
      <c r="G14" s="27">
        <f>50080.809839</f>
        <v>50080.809839000001</v>
      </c>
      <c r="H14" s="27">
        <v>13614.221733</v>
      </c>
      <c r="I14" s="27">
        <f>1090.500611</f>
        <v>1090.5006109999999</v>
      </c>
      <c r="J14" s="27">
        <v>588.38343499999996</v>
      </c>
      <c r="K14" s="27">
        <v>207.734531</v>
      </c>
      <c r="L14" s="27"/>
      <c r="M14" s="27">
        <v>513.16332199999999</v>
      </c>
      <c r="N14" s="27">
        <f>+SUM(G14:M14)</f>
        <v>66094.813471000001</v>
      </c>
      <c r="O14" s="27"/>
      <c r="P14" s="27">
        <f>+'[1]TOTAL POR UNIVERSIDAD'!$GI$40</f>
        <v>2528.9804880000002</v>
      </c>
      <c r="Q14" s="27">
        <f>+N14+P14</f>
        <v>68623.793959000002</v>
      </c>
      <c r="R14" s="27">
        <v>53520.488938000002</v>
      </c>
      <c r="S14" s="27">
        <v>14378.333941999999</v>
      </c>
      <c r="T14" s="27">
        <v>2508.3714869999999</v>
      </c>
      <c r="U14" s="39"/>
      <c r="V14" s="39"/>
      <c r="W14" s="27">
        <f>+R14+S14+T14+U14+V14</f>
        <v>70407.194367000004</v>
      </c>
      <c r="X14" s="27">
        <v>2655.4295120000002</v>
      </c>
      <c r="Y14" s="27">
        <f>+W14+X14</f>
        <v>73062.623879000006</v>
      </c>
      <c r="Z14" s="27">
        <f>(53520488938-53005868852)/1000000</f>
        <v>514.62008600000001</v>
      </c>
      <c r="AA14" s="27">
        <f>(14378333942-14015540731)/1000000</f>
        <v>362.79321099999999</v>
      </c>
      <c r="AB14" s="27">
        <f>514620086/1000000</f>
        <v>514.62008600000001</v>
      </c>
      <c r="AC14" s="27"/>
      <c r="AD14" s="27">
        <f>+Z14+AA14+AB14+AC14</f>
        <v>1392.033383</v>
      </c>
      <c r="AE14" s="32">
        <v>52491.248765999997</v>
      </c>
      <c r="AF14" s="32">
        <v>14015.540730999999</v>
      </c>
      <c r="AG14" s="32">
        <f>+T14</f>
        <v>2508.3714869999999</v>
      </c>
      <c r="AH14" s="32">
        <v>81.750754999999998</v>
      </c>
      <c r="AI14" s="32">
        <v>332.21854000000002</v>
      </c>
      <c r="AJ14" s="27">
        <f>+SUM(AE14:AI14)</f>
        <v>69429.13027899999</v>
      </c>
      <c r="AK14" s="27">
        <f>+X14</f>
        <v>2655.4295120000002</v>
      </c>
      <c r="AL14" s="27"/>
      <c r="AM14" s="27">
        <v>1433.4118100000001</v>
      </c>
      <c r="AN14" s="27">
        <f>+SUM(AK14:AM14)</f>
        <v>4088.8413220000002</v>
      </c>
      <c r="AO14" s="27">
        <f>+AJ14+AN14</f>
        <v>73517.971600999997</v>
      </c>
      <c r="AP14" s="31" t="e">
        <f>+((#REF!-#REF!)*100)/#REF!</f>
        <v>#REF!</v>
      </c>
      <c r="AQ14" s="29" t="e">
        <f>+((#REF!-#REF!)*100)/#REF!</f>
        <v>#REF!</v>
      </c>
      <c r="AR14" s="29" t="e">
        <f>+((#REF!-#REF!)*100)/#REF!</f>
        <v>#REF!</v>
      </c>
      <c r="AS14" s="29" t="e">
        <f>+((#REF!-#REF!)*100)/#REF!</f>
        <v>#REF!</v>
      </c>
      <c r="AT14" s="29" t="e">
        <f>+((#REF!-#REF!)*100)/#REF!</f>
        <v>#REF!</v>
      </c>
      <c r="AU14" s="29" t="e">
        <f>+((F14-#REF!)*100)/#REF!</f>
        <v>#REF!</v>
      </c>
      <c r="AV14" s="29">
        <f>+((Q14-F14)*100)/F14</f>
        <v>7.9599560636943716</v>
      </c>
      <c r="AW14" s="29">
        <f>+((Y14-Q14)*100)/Q14</f>
        <v>6.4683539978160178</v>
      </c>
      <c r="AX14" s="28" t="e">
        <f>+(((Y14/#REF!)^(0.125))-1)*100</f>
        <v>#REF!</v>
      </c>
      <c r="AY14" s="29" t="e">
        <f>+((#REF!-#REF!)*100)/#REF!</f>
        <v>#REF!</v>
      </c>
      <c r="AZ14" s="29" t="e">
        <f>+((#REF!-#REF!)*100)/#REF!</f>
        <v>#REF!</v>
      </c>
      <c r="BA14" s="29" t="e">
        <f>+((#REF!-#REF!)*100)/#REF!</f>
        <v>#REF!</v>
      </c>
      <c r="BB14" s="29" t="e">
        <f>+((#REF!-#REF!)*100)/#REF!</f>
        <v>#REF!</v>
      </c>
      <c r="BC14" s="20" t="e">
        <f>+(((#REF!+#REF!)-(#REF!+#REF!))/(#REF!+#REF!))</f>
        <v>#REF!</v>
      </c>
      <c r="BD14" s="20" t="e">
        <f>+(((#REF!+#REF!)-(#REF!+#REF!))/(#REF!+#REF!))</f>
        <v>#REF!</v>
      </c>
      <c r="BE14" s="20" t="e">
        <f>+(((#REF!+#REF!)-(#REF!+#REF!))/(#REF!+#REF!))</f>
        <v>#REF!</v>
      </c>
      <c r="BF14" s="20" t="e">
        <f>+(((#REF!+#REF!)-(#REF!+#REF!))/(#REF!+#REF!))</f>
        <v>#REF!</v>
      </c>
      <c r="BG14" s="20" t="e">
        <f>+(((#REF!+#REF!)-(#REF!+#REF!))/(#REF!+#REF!))</f>
        <v>#REF!</v>
      </c>
      <c r="BH14" s="20" t="e">
        <f>+(((#REF!+#REF!)-(#REF!+#REF!))/(#REF!+#REF!))</f>
        <v>#REF!</v>
      </c>
      <c r="BI14" s="20" t="e">
        <f>+(((#REF!+#REF!)-(#REF!+#REF!))/(#REF!+#REF!))</f>
        <v>#REF!</v>
      </c>
      <c r="BJ14" s="20" t="e">
        <f>+(((#REF!+#REF!)-(#REF!+#REF!))/(#REF!+#REF!))</f>
        <v>#REF!</v>
      </c>
      <c r="BK14" s="20" t="e">
        <f>+(((#REF!+#REF!)-(#REF!+#REF!))/(#REF!+#REF!))</f>
        <v>#REF!</v>
      </c>
      <c r="BL14" s="20" t="e">
        <f>+(((#REF!+#REF!)-(#REF!+#REF!))/(#REF!+#REF!))</f>
        <v>#REF!</v>
      </c>
      <c r="BM14" s="20" t="e">
        <f>+(((#REF!+#REF!)-(#REF!+#REF!))/(#REF!+#REF!))</f>
        <v>#REF!</v>
      </c>
      <c r="BN14" s="20" t="e">
        <f>+(((#REF!+#REF!)-(#REF!+#REF!))/(#REF!+#REF!))</f>
        <v>#REF!</v>
      </c>
      <c r="BO14" s="20" t="e">
        <f>+(((#REF!+#REF!)-(#REF!+#REF!))/(#REF!+#REF!))</f>
        <v>#REF!</v>
      </c>
      <c r="BP14" s="20" t="e">
        <f>+(((#REF!+#REF!)-(#REF!+#REF!))/(#REF!+#REF!))</f>
        <v>#REF!</v>
      </c>
      <c r="BQ14" s="20" t="e">
        <f>+(((#REF!+#REF!)-(#REF!+#REF!))/(#REF!+#REF!))</f>
        <v>#REF!</v>
      </c>
      <c r="BR14" s="20" t="e">
        <f>+(((#REF!+#REF!)-(#REF!+#REF!))/(#REF!+#REF!))</f>
        <v>#REF!</v>
      </c>
      <c r="BS14" s="20" t="e">
        <f>+(((#REF!+#REF!)-(#REF!+#REF!))/(#REF!+#REF!))</f>
        <v>#REF!</v>
      </c>
      <c r="BT14" s="20" t="e">
        <f>+(((B14+E14)-(#REF!+#REF!))/(#REF!+#REF!))</f>
        <v>#REF!</v>
      </c>
      <c r="BU14" s="20">
        <f>+(((G14+P14)-(B14+E14))/(B14+E14))</f>
        <v>-0.1558230150289372</v>
      </c>
      <c r="BV14" s="20" t="e">
        <f>+((((G14+P14)/(#REF!+#REF!))^(1/19))-1)</f>
        <v>#REF!</v>
      </c>
      <c r="BW14" s="30">
        <v>68501.993182000006</v>
      </c>
      <c r="BX14" s="29">
        <v>2735.0923979999998</v>
      </c>
      <c r="BY14" s="28">
        <f>+BW14+BX14</f>
        <v>71237.085579999999</v>
      </c>
      <c r="BZ14" s="27">
        <f>54065.986229+0</f>
        <v>54065.986229000002</v>
      </c>
      <c r="CA14" s="27">
        <v>14436.006953</v>
      </c>
      <c r="CB14" s="27">
        <v>677.24294599999996</v>
      </c>
      <c r="CC14" s="27">
        <v>387.22953999999999</v>
      </c>
      <c r="CD14" s="27">
        <f>+SUM(BZ14:CC14)</f>
        <v>69566.465668000004</v>
      </c>
      <c r="CE14" s="27">
        <v>2735.0923979999998</v>
      </c>
      <c r="CF14" s="27">
        <v>1491.951896</v>
      </c>
      <c r="CG14" s="27">
        <f>+CE14+CF14</f>
        <v>4227.0442939999994</v>
      </c>
      <c r="CH14" s="27">
        <f>+CD14+CG14</f>
        <v>73793.509962000011</v>
      </c>
      <c r="CI14" s="27">
        <v>57478.860163999998</v>
      </c>
      <c r="CJ14" s="27">
        <f>15148.626336+1000</f>
        <v>16148.626335999999</v>
      </c>
      <c r="CK14" s="27">
        <f>(222830030+486300873-149441179)/1000000</f>
        <v>559.68972399999996</v>
      </c>
      <c r="CL14" s="27">
        <f>(415207666+68225237+1415535911)/1000000</f>
        <v>1898.9688140000001</v>
      </c>
      <c r="CM14" s="27">
        <f>552722041/1000000</f>
        <v>552.72204099999999</v>
      </c>
      <c r="CN14" s="27">
        <f>+SUM(CI14:CM14)</f>
        <v>76638.867079000003</v>
      </c>
      <c r="CO14" s="27">
        <v>2817.1451699999998</v>
      </c>
      <c r="CP14" s="27">
        <f>(1474269631/1000000)+34.148794</f>
        <v>1508.4184249999998</v>
      </c>
      <c r="CQ14" s="27">
        <f>+CO14+CP14</f>
        <v>4325.5635949999996</v>
      </c>
      <c r="CR14" s="27">
        <f>+CN14+CQ14</f>
        <v>80964.430674000003</v>
      </c>
    </row>
    <row r="15" spans="1:96" ht="15.75" customHeight="1" x14ac:dyDescent="0.2">
      <c r="A15" s="40" t="s">
        <v>33</v>
      </c>
      <c r="B15" s="27">
        <v>72307.348689999999</v>
      </c>
      <c r="C15" s="27">
        <v>1175.002211</v>
      </c>
      <c r="D15" s="27"/>
      <c r="E15" s="27">
        <v>3284.6196880000002</v>
      </c>
      <c r="F15" s="27">
        <f>+SUM(B15:E15)</f>
        <v>76766.970589000004</v>
      </c>
      <c r="G15" s="27">
        <f>76416.288247</f>
        <v>76416.288247000004</v>
      </c>
      <c r="H15" s="27"/>
      <c r="I15" s="27">
        <f>1930.828297</f>
        <v>1930.828297</v>
      </c>
      <c r="J15" s="27">
        <v>1017.379604</v>
      </c>
      <c r="K15" s="27">
        <v>967.72655399999996</v>
      </c>
      <c r="L15" s="27"/>
      <c r="M15" s="27">
        <v>461.59770700000001</v>
      </c>
      <c r="N15" s="27">
        <f>+SUM(G15:M15)</f>
        <v>80793.820408999993</v>
      </c>
      <c r="O15" s="27"/>
      <c r="P15" s="27">
        <f>+'[1]TOTAL POR UNIVERSIDAD'!$GI$48</f>
        <v>3504.360745</v>
      </c>
      <c r="Q15" s="27">
        <f>+N15+P15</f>
        <v>84298.181153999991</v>
      </c>
      <c r="R15" s="27">
        <v>81883.745701000007</v>
      </c>
      <c r="S15" s="27"/>
      <c r="T15" s="27">
        <v>4337.2498910000004</v>
      </c>
      <c r="U15" s="39"/>
      <c r="V15" s="39"/>
      <c r="W15" s="27">
        <f>+R15+S15+T15+U15+V15</f>
        <v>86220.995592000007</v>
      </c>
      <c r="X15" s="27">
        <v>3679.578782</v>
      </c>
      <c r="Y15" s="27">
        <f>+W15+X15</f>
        <v>89900.574374000003</v>
      </c>
      <c r="Z15" s="27">
        <f>(81883745701-81096401992)/1000000</f>
        <v>787.34370899999999</v>
      </c>
      <c r="AA15" s="27"/>
      <c r="AB15" s="27">
        <f>787343709/1000000</f>
        <v>787.34370899999999</v>
      </c>
      <c r="AC15" s="27"/>
      <c r="AD15" s="27">
        <f>+Z15+AA15+AB15+AC15</f>
        <v>1574.687418</v>
      </c>
      <c r="AE15" s="32">
        <v>80309.058283000006</v>
      </c>
      <c r="AF15" s="32">
        <f>+S15-AA15</f>
        <v>0</v>
      </c>
      <c r="AG15" s="32">
        <f>+T15</f>
        <v>4337.2498910000004</v>
      </c>
      <c r="AH15" s="32">
        <v>69.339730000000003</v>
      </c>
      <c r="AI15" s="32">
        <v>1241.851486</v>
      </c>
      <c r="AJ15" s="27">
        <f>+SUM(AE15:AI15)</f>
        <v>85957.499390000012</v>
      </c>
      <c r="AK15" s="27">
        <f>+X15</f>
        <v>3679.578782</v>
      </c>
      <c r="AL15" s="27">
        <v>4117</v>
      </c>
      <c r="AM15" s="27">
        <v>1766.5177389999999</v>
      </c>
      <c r="AN15" s="27">
        <f>+SUM(AK15:AM15)</f>
        <v>9563.0965209999995</v>
      </c>
      <c r="AO15" s="27">
        <f>+AJ15+AN15</f>
        <v>95520.595911000011</v>
      </c>
      <c r="AP15" s="31" t="e">
        <f>+((#REF!-#REF!)*100)/#REF!</f>
        <v>#REF!</v>
      </c>
      <c r="AQ15" s="29" t="e">
        <f>+((#REF!-#REF!)*100)/#REF!</f>
        <v>#REF!</v>
      </c>
      <c r="AR15" s="29" t="e">
        <f>+((#REF!-#REF!)*100)/#REF!</f>
        <v>#REF!</v>
      </c>
      <c r="AS15" s="29" t="e">
        <f>+((#REF!-#REF!)*100)/#REF!</f>
        <v>#REF!</v>
      </c>
      <c r="AT15" s="29" t="e">
        <f>+((#REF!-#REF!)*100)/#REF!</f>
        <v>#REF!</v>
      </c>
      <c r="AU15" s="29" t="e">
        <f>+((F15-#REF!)*100)/#REF!</f>
        <v>#REF!</v>
      </c>
      <c r="AV15" s="29">
        <f>+((Q15-F15)*100)/F15</f>
        <v>9.8104829553859449</v>
      </c>
      <c r="AW15" s="29">
        <f>+((Y15-Q15)*100)/Q15</f>
        <v>6.6459241982520245</v>
      </c>
      <c r="AX15" s="28" t="e">
        <f>+(((Y15/#REF!)^(0.125))-1)*100</f>
        <v>#REF!</v>
      </c>
      <c r="AY15" s="29" t="e">
        <f>+((#REF!-#REF!)*100)/#REF!</f>
        <v>#REF!</v>
      </c>
      <c r="AZ15" s="29" t="e">
        <f>+((#REF!-#REF!)*100)/#REF!</f>
        <v>#REF!</v>
      </c>
      <c r="BA15" s="29" t="e">
        <f>+((#REF!-#REF!)*100)/#REF!</f>
        <v>#REF!</v>
      </c>
      <c r="BB15" s="29" t="e">
        <f>+((#REF!-#REF!)*100)/#REF!</f>
        <v>#REF!</v>
      </c>
      <c r="BC15" s="20" t="e">
        <f>+(((#REF!+#REF!)-(#REF!+#REF!))/(#REF!+#REF!))</f>
        <v>#REF!</v>
      </c>
      <c r="BD15" s="20" t="e">
        <f>+(((#REF!+#REF!)-(#REF!+#REF!))/(#REF!+#REF!))</f>
        <v>#REF!</v>
      </c>
      <c r="BE15" s="20" t="e">
        <f>+(((#REF!+#REF!)-(#REF!+#REF!))/(#REF!+#REF!))</f>
        <v>#REF!</v>
      </c>
      <c r="BF15" s="20" t="e">
        <f>+(((#REF!+#REF!)-(#REF!+#REF!))/(#REF!+#REF!))</f>
        <v>#REF!</v>
      </c>
      <c r="BG15" s="20" t="e">
        <f>+(((#REF!+#REF!)-(#REF!+#REF!))/(#REF!+#REF!))</f>
        <v>#REF!</v>
      </c>
      <c r="BH15" s="20" t="e">
        <f>+(((#REF!+#REF!)-(#REF!+#REF!))/(#REF!+#REF!))</f>
        <v>#REF!</v>
      </c>
      <c r="BI15" s="20" t="e">
        <f>+(((#REF!+#REF!)-(#REF!+#REF!))/(#REF!+#REF!))</f>
        <v>#REF!</v>
      </c>
      <c r="BJ15" s="20" t="e">
        <f>+(((#REF!+#REF!)-(#REF!+#REF!))/(#REF!+#REF!))</f>
        <v>#REF!</v>
      </c>
      <c r="BK15" s="20" t="e">
        <f>+(((#REF!+#REF!)-(#REF!+#REF!))/(#REF!+#REF!))</f>
        <v>#REF!</v>
      </c>
      <c r="BL15" s="20" t="e">
        <f>+(((#REF!+#REF!)-(#REF!+#REF!))/(#REF!+#REF!))</f>
        <v>#REF!</v>
      </c>
      <c r="BM15" s="20" t="e">
        <f>+(((#REF!+#REF!)-(#REF!+#REF!))/(#REF!+#REF!))</f>
        <v>#REF!</v>
      </c>
      <c r="BN15" s="20" t="e">
        <f>+(((#REF!+#REF!)-(#REF!+#REF!))/(#REF!+#REF!))</f>
        <v>#REF!</v>
      </c>
      <c r="BO15" s="20" t="e">
        <f>+(((#REF!+#REF!)-(#REF!+#REF!))/(#REF!+#REF!))</f>
        <v>#REF!</v>
      </c>
      <c r="BP15" s="20" t="e">
        <f>+(((#REF!+#REF!)-(#REF!+#REF!))/(#REF!+#REF!))</f>
        <v>#REF!</v>
      </c>
      <c r="BQ15" s="20" t="e">
        <f>+(((#REF!+#REF!)-(#REF!+#REF!))/(#REF!+#REF!))</f>
        <v>#REF!</v>
      </c>
      <c r="BR15" s="20" t="e">
        <f>+(((#REF!+#REF!)-(#REF!+#REF!))/(#REF!+#REF!))</f>
        <v>#REF!</v>
      </c>
      <c r="BS15" s="20" t="e">
        <f>+(((#REF!+#REF!)-(#REF!+#REF!))/(#REF!+#REF!))</f>
        <v>#REF!</v>
      </c>
      <c r="BT15" s="20" t="e">
        <f>+(((B15+E15)-(#REF!+#REF!))/(#REF!+#REF!))</f>
        <v>#REF!</v>
      </c>
      <c r="BU15" s="20">
        <f>+(((G15+P15)-(B15+E15))/(B15+E15))</f>
        <v>5.7263763689209601E-2</v>
      </c>
      <c r="BV15" s="20" t="e">
        <f>+((((G15+P15)/(#REF!+#REF!))^(1/19))-1)</f>
        <v>#REF!</v>
      </c>
      <c r="BW15" s="30">
        <v>82718.330031000005</v>
      </c>
      <c r="BX15" s="29">
        <v>3789.9661460000002</v>
      </c>
      <c r="BY15" s="28">
        <f>+BW15+BX15</f>
        <v>86508.296177000011</v>
      </c>
      <c r="BZ15" s="27">
        <f>82718.330031+4240.51</f>
        <v>86958.840031</v>
      </c>
      <c r="CA15" s="27"/>
      <c r="CB15" s="27">
        <v>503.19885900000003</v>
      </c>
      <c r="CC15" s="27">
        <v>1777.9574070000001</v>
      </c>
      <c r="CD15" s="27">
        <f>+SUM(BZ15:CC15)</f>
        <v>89239.996296999991</v>
      </c>
      <c r="CE15" s="27">
        <v>3789.9661460000002</v>
      </c>
      <c r="CF15" s="27">
        <v>1926.8330570000001</v>
      </c>
      <c r="CG15" s="27">
        <f>+CE15+CF15</f>
        <v>5716.7992030000005</v>
      </c>
      <c r="CH15" s="27">
        <f>+CD15+CG15</f>
        <v>94956.795499999993</v>
      </c>
      <c r="CI15" s="27">
        <v>92257.749630000006</v>
      </c>
      <c r="CJ15" s="27"/>
      <c r="CK15" s="27">
        <f>(276073230+610278933)/1000000</f>
        <v>886.35216300000002</v>
      </c>
      <c r="CL15" s="27">
        <f>(308503802+50692091+1476312341)/1000000</f>
        <v>1835.5082339999999</v>
      </c>
      <c r="CM15" s="27">
        <f>1697771465/1000000</f>
        <v>1697.771465</v>
      </c>
      <c r="CN15" s="27">
        <f>+SUM(CI15:CM15)</f>
        <v>96677.381492</v>
      </c>
      <c r="CO15" s="27">
        <v>3903.6651299999999</v>
      </c>
      <c r="CP15" s="27">
        <f>(1877903472/1000000)+66.435165</f>
        <v>1944.3386370000001</v>
      </c>
      <c r="CQ15" s="27">
        <f>+CO15+CP15</f>
        <v>5848.0037670000002</v>
      </c>
      <c r="CR15" s="27">
        <f>+CN15+CQ15</f>
        <v>102525.385259</v>
      </c>
    </row>
    <row r="16" spans="1:96" ht="15" customHeight="1" x14ac:dyDescent="0.2">
      <c r="A16" s="40" t="s">
        <v>32</v>
      </c>
      <c r="B16" s="27">
        <v>68413.136434999993</v>
      </c>
      <c r="C16" s="27">
        <v>924.18967799999996</v>
      </c>
      <c r="D16" s="27"/>
      <c r="E16" s="27">
        <v>1224.430936</v>
      </c>
      <c r="F16" s="27">
        <f>+SUM(B16:E16)</f>
        <v>70561.757048999993</v>
      </c>
      <c r="G16" s="27">
        <f>49309.943002</f>
        <v>49309.943002</v>
      </c>
      <c r="H16" s="27">
        <v>23466.510750000001</v>
      </c>
      <c r="I16" s="27">
        <f>1091.160759</f>
        <v>1091.1607590000001</v>
      </c>
      <c r="J16" s="27">
        <v>587.41825400000005</v>
      </c>
      <c r="K16" s="27">
        <v>113.273066</v>
      </c>
      <c r="L16" s="27"/>
      <c r="M16" s="27">
        <v>324.14470499999999</v>
      </c>
      <c r="N16" s="27">
        <f>+SUM(G16:M16)</f>
        <v>74892.450536000004</v>
      </c>
      <c r="O16" s="27"/>
      <c r="P16" s="27">
        <f>+'[1]TOTAL POR UNIVERSIDAD'!$GI$56</f>
        <v>1306.345366</v>
      </c>
      <c r="Q16" s="27">
        <f>+N16+P16</f>
        <v>76198.795901999998</v>
      </c>
      <c r="R16" s="27">
        <v>52711.644495</v>
      </c>
      <c r="S16" s="27">
        <v>24785.528446</v>
      </c>
      <c r="T16" s="27">
        <v>2504.2567669999999</v>
      </c>
      <c r="U16" s="39"/>
      <c r="V16" s="39"/>
      <c r="W16" s="27">
        <f>+R16+S16+T16+U16+V16</f>
        <v>80001.429707999996</v>
      </c>
      <c r="X16" s="27">
        <v>1371.662634</v>
      </c>
      <c r="Y16" s="27">
        <f>+W16+X16</f>
        <v>81373.092341999989</v>
      </c>
      <c r="Z16" s="27">
        <f>(52711644495-52204801759)/1000000</f>
        <v>506.842736</v>
      </c>
      <c r="AA16" s="27">
        <f>(24785528446-24277140057)/1000000</f>
        <v>508.38838900000002</v>
      </c>
      <c r="AB16" s="27">
        <f>506842735/1000000</f>
        <v>506.842735</v>
      </c>
      <c r="AC16" s="27"/>
      <c r="AD16" s="27">
        <f>+Z16+AA16+AB16+AC16</f>
        <v>1522.07386</v>
      </c>
      <c r="AE16" s="32">
        <v>51697.959024000003</v>
      </c>
      <c r="AF16" s="32">
        <v>24277.140057000001</v>
      </c>
      <c r="AG16" s="32">
        <f>+T16</f>
        <v>2504.2567669999999</v>
      </c>
      <c r="AH16" s="32">
        <v>36.667101000000002</v>
      </c>
      <c r="AI16" s="32">
        <v>98.910884999999993</v>
      </c>
      <c r="AJ16" s="27">
        <f>+SUM(AE16:AI16)</f>
        <v>78614.93383400001</v>
      </c>
      <c r="AK16" s="27">
        <f>+X16</f>
        <v>1371.662634</v>
      </c>
      <c r="AL16" s="27">
        <v>1100</v>
      </c>
      <c r="AM16" s="27">
        <v>1597.02037</v>
      </c>
      <c r="AN16" s="27">
        <f>+SUM(AK16:AM16)</f>
        <v>4068.6830040000004</v>
      </c>
      <c r="AO16" s="27">
        <f>+AJ16+AN16</f>
        <v>82683.616838000016</v>
      </c>
      <c r="AP16" s="31" t="e">
        <f>+((#REF!-#REF!)*100)/#REF!</f>
        <v>#REF!</v>
      </c>
      <c r="AQ16" s="29" t="e">
        <f>+((#REF!-#REF!)*100)/#REF!</f>
        <v>#REF!</v>
      </c>
      <c r="AR16" s="29" t="e">
        <f>+((#REF!-#REF!)*100)/#REF!</f>
        <v>#REF!</v>
      </c>
      <c r="AS16" s="29" t="e">
        <f>+((#REF!-#REF!)*100)/#REF!</f>
        <v>#REF!</v>
      </c>
      <c r="AT16" s="29" t="e">
        <f>+((#REF!-#REF!)*100)/#REF!</f>
        <v>#REF!</v>
      </c>
      <c r="AU16" s="29" t="e">
        <f>+((F16-#REF!)*100)/#REF!</f>
        <v>#REF!</v>
      </c>
      <c r="AV16" s="29">
        <f>+((Q16-F16)*100)/F16</f>
        <v>7.9888017089561609</v>
      </c>
      <c r="AW16" s="29">
        <f>+((Y16-Q16)*100)/Q16</f>
        <v>6.7905225781450707</v>
      </c>
      <c r="AX16" s="28" t="e">
        <f>+(((Y16/#REF!)^(0.125))-1)*100</f>
        <v>#REF!</v>
      </c>
      <c r="AY16" s="29" t="e">
        <f>+((#REF!-#REF!)*100)/#REF!</f>
        <v>#REF!</v>
      </c>
      <c r="AZ16" s="29" t="e">
        <f>+((#REF!-#REF!)*100)/#REF!</f>
        <v>#REF!</v>
      </c>
      <c r="BA16" s="29" t="e">
        <f>+((#REF!-#REF!)*100)/#REF!</f>
        <v>#REF!</v>
      </c>
      <c r="BB16" s="29" t="e">
        <f>+((#REF!-#REF!)*100)/#REF!</f>
        <v>#REF!</v>
      </c>
      <c r="BC16" s="20" t="e">
        <f>+(((#REF!+#REF!)-(#REF!+#REF!))/(#REF!+#REF!))</f>
        <v>#REF!</v>
      </c>
      <c r="BD16" s="20" t="e">
        <f>+(((#REF!+#REF!)-(#REF!+#REF!))/(#REF!+#REF!))</f>
        <v>#REF!</v>
      </c>
      <c r="BE16" s="20" t="e">
        <f>+(((#REF!+#REF!)-(#REF!+#REF!))/(#REF!+#REF!))</f>
        <v>#REF!</v>
      </c>
      <c r="BF16" s="20" t="e">
        <f>+(((#REF!+#REF!)-(#REF!+#REF!))/(#REF!+#REF!))</f>
        <v>#REF!</v>
      </c>
      <c r="BG16" s="20" t="e">
        <f>+(((#REF!+#REF!)-(#REF!+#REF!))/(#REF!+#REF!))</f>
        <v>#REF!</v>
      </c>
      <c r="BH16" s="20" t="e">
        <f>+(((#REF!+#REF!)-(#REF!+#REF!))/(#REF!+#REF!))</f>
        <v>#REF!</v>
      </c>
      <c r="BI16" s="20" t="e">
        <f>+(((#REF!+#REF!)-(#REF!+#REF!))/(#REF!+#REF!))</f>
        <v>#REF!</v>
      </c>
      <c r="BJ16" s="20" t="e">
        <f>+(((#REF!+#REF!)-(#REF!+#REF!))/(#REF!+#REF!))</f>
        <v>#REF!</v>
      </c>
      <c r="BK16" s="20" t="e">
        <f>+(((#REF!+#REF!)-(#REF!+#REF!))/(#REF!+#REF!))</f>
        <v>#REF!</v>
      </c>
      <c r="BL16" s="20" t="e">
        <f>+(((#REF!+#REF!)-(#REF!+#REF!))/(#REF!+#REF!))</f>
        <v>#REF!</v>
      </c>
      <c r="BM16" s="20" t="e">
        <f>+(((#REF!+#REF!)-(#REF!+#REF!))/(#REF!+#REF!))</f>
        <v>#REF!</v>
      </c>
      <c r="BN16" s="20" t="e">
        <f>+(((#REF!+#REF!)-(#REF!+#REF!))/(#REF!+#REF!))</f>
        <v>#REF!</v>
      </c>
      <c r="BO16" s="20" t="e">
        <f>+(((#REF!+#REF!)-(#REF!+#REF!))/(#REF!+#REF!))</f>
        <v>#REF!</v>
      </c>
      <c r="BP16" s="20" t="e">
        <f>+(((#REF!+#REF!)-(#REF!+#REF!))/(#REF!+#REF!))</f>
        <v>#REF!</v>
      </c>
      <c r="BQ16" s="20" t="e">
        <f>+(((#REF!+#REF!)-(#REF!+#REF!))/(#REF!+#REF!))</f>
        <v>#REF!</v>
      </c>
      <c r="BR16" s="20" t="e">
        <f>+(((#REF!+#REF!)-(#REF!+#REF!))/(#REF!+#REF!))</f>
        <v>#REF!</v>
      </c>
      <c r="BS16" s="20" t="e">
        <f>+(((#REF!+#REF!)-(#REF!+#REF!))/(#REF!+#REF!))</f>
        <v>#REF!</v>
      </c>
      <c r="BT16" s="20" t="e">
        <f>+(((B16+E16)-(#REF!+#REF!))/(#REF!+#REF!))</f>
        <v>#REF!</v>
      </c>
      <c r="BU16" s="20">
        <f>+(((G16+P16)-(B16+E16))/(B16+E16))</f>
        <v>-0.27314680453529533</v>
      </c>
      <c r="BV16" s="20" t="e">
        <f>+((((G16+P16)/(#REF!+#REF!))^(1/19))-1)</f>
        <v>#REF!</v>
      </c>
      <c r="BW16" s="30">
        <v>78254.352052999995</v>
      </c>
      <c r="BX16" s="29">
        <v>1412.8125130000001</v>
      </c>
      <c r="BY16" s="28">
        <f>+BW16+BX16</f>
        <v>79667.164565999992</v>
      </c>
      <c r="BZ16" s="27">
        <f>53248.897795+1133</f>
        <v>54381.897794999997</v>
      </c>
      <c r="CA16" s="27">
        <v>25005.454258999998</v>
      </c>
      <c r="CB16" s="27">
        <v>490.09210999999999</v>
      </c>
      <c r="CC16" s="27">
        <v>244.82717</v>
      </c>
      <c r="CD16" s="27">
        <f>+SUM(BZ16:CC16)</f>
        <v>80122.27133399999</v>
      </c>
      <c r="CE16" s="27">
        <v>1412.8125130000001</v>
      </c>
      <c r="CF16" s="27">
        <v>1688.265852</v>
      </c>
      <c r="CG16" s="27">
        <f>+CE16+CF16</f>
        <v>3101.0783650000003</v>
      </c>
      <c r="CH16" s="27">
        <f>+CD16+CG16</f>
        <v>83223.349698999984</v>
      </c>
      <c r="CI16" s="27">
        <f>57848.759549+1600</f>
        <v>59448.759549000002</v>
      </c>
      <c r="CJ16" s="27">
        <f>26239.824085+2000</f>
        <v>28239.824085</v>
      </c>
      <c r="CK16" s="27">
        <f>(256423463+561693613-258855831)/1000000</f>
        <v>559.26124500000003</v>
      </c>
      <c r="CL16" s="27">
        <f>(300468247+49371722+1165547030)/1000000</f>
        <v>1515.3869990000001</v>
      </c>
      <c r="CM16" s="27">
        <f>41540311/1000000</f>
        <v>41.540311000000003</v>
      </c>
      <c r="CN16" s="27">
        <f>+SUM(CI16:CM16)</f>
        <v>89804.77218900001</v>
      </c>
      <c r="CO16" s="27">
        <v>1455.1968879999999</v>
      </c>
      <c r="CP16" s="27">
        <f>(1672311029/1000000)</f>
        <v>1672.311029</v>
      </c>
      <c r="CQ16" s="27">
        <f>+CO16+CP16</f>
        <v>3127.5079169999999</v>
      </c>
      <c r="CR16" s="27">
        <f>+CN16+CQ16</f>
        <v>92932.280106000006</v>
      </c>
    </row>
    <row r="17" spans="1:96" ht="15" customHeight="1" x14ac:dyDescent="0.2">
      <c r="A17" s="40" t="s">
        <v>31</v>
      </c>
      <c r="B17" s="27">
        <v>25681.123866999998</v>
      </c>
      <c r="C17" s="27">
        <v>947.69796699999995</v>
      </c>
      <c r="D17" s="27"/>
      <c r="E17" s="27">
        <v>556.55986299999995</v>
      </c>
      <c r="F17" s="27">
        <f>+SUM(B17:E17)</f>
        <v>27185.381696999997</v>
      </c>
      <c r="G17" s="27">
        <f>26637.73359+205.180483</f>
        <v>26842.914073</v>
      </c>
      <c r="H17" s="27">
        <v>1315.4065029999999</v>
      </c>
      <c r="I17" s="27">
        <f>625.010875</f>
        <v>625.01087500000006</v>
      </c>
      <c r="J17" s="27">
        <v>334.313782</v>
      </c>
      <c r="K17" s="27">
        <v>398.49351999999999</v>
      </c>
      <c r="L17" s="27"/>
      <c r="M17" s="27">
        <v>385.93672700000002</v>
      </c>
      <c r="N17" s="27">
        <f>+SUM(G17:M17)</f>
        <v>29902.07548</v>
      </c>
      <c r="O17" s="27"/>
      <c r="P17" s="27">
        <f>+'[1]TOTAL POR UNIVERSIDAD'!$GI$64</f>
        <v>593.79371800000001</v>
      </c>
      <c r="Q17" s="27">
        <f>+N17+P17</f>
        <v>30495.869198</v>
      </c>
      <c r="R17" s="27">
        <v>28502.204579000001</v>
      </c>
      <c r="S17" s="27">
        <v>1389.6577050000001</v>
      </c>
      <c r="T17" s="27">
        <v>1425.2324369999999</v>
      </c>
      <c r="U17" s="39"/>
      <c r="V17" s="39"/>
      <c r="W17" s="27">
        <f>+R17+S17+T17+U17+V17</f>
        <v>31317.094721000001</v>
      </c>
      <c r="X17" s="27">
        <v>623.48340399999995</v>
      </c>
      <c r="Y17" s="27">
        <f>+W17+X17</f>
        <v>31940.578125</v>
      </c>
      <c r="Z17" s="27">
        <f>(28502204579-28228144920)/1000000</f>
        <v>274.05965900000001</v>
      </c>
      <c r="AA17" s="27">
        <f>(1389657705-1352090611)/1000000</f>
        <v>37.567093999999997</v>
      </c>
      <c r="AB17" s="27">
        <f>274059659/1000000</f>
        <v>274.05965900000001</v>
      </c>
      <c r="AC17" s="27"/>
      <c r="AD17" s="27">
        <f>+Z17+AA17+AB17+AC17</f>
        <v>585.68641200000002</v>
      </c>
      <c r="AE17" s="32">
        <f>27954.085261+211.335897+900</f>
        <v>29065.421158000001</v>
      </c>
      <c r="AF17" s="32">
        <v>1352.0906110000001</v>
      </c>
      <c r="AG17" s="32">
        <f>+T17</f>
        <v>1425.2324369999999</v>
      </c>
      <c r="AH17" s="32">
        <v>41.837682999999998</v>
      </c>
      <c r="AI17" s="32">
        <v>515.33463800000004</v>
      </c>
      <c r="AJ17" s="27">
        <f>+SUM(AE17:AI17)</f>
        <v>32399.916527000001</v>
      </c>
      <c r="AK17" s="27">
        <f>+X17</f>
        <v>623.48340399999995</v>
      </c>
      <c r="AL17" s="27">
        <v>792</v>
      </c>
      <c r="AM17" s="27">
        <v>627.09783400000003</v>
      </c>
      <c r="AN17" s="27">
        <f>+SUM(AK17:AM17)</f>
        <v>2042.5812380000002</v>
      </c>
      <c r="AO17" s="27">
        <f>+AJ17+AN17</f>
        <v>34442.497765</v>
      </c>
      <c r="AP17" s="31" t="e">
        <f>+((#REF!-#REF!)*100)/#REF!</f>
        <v>#REF!</v>
      </c>
      <c r="AQ17" s="29" t="e">
        <f>+((#REF!-#REF!)*100)/#REF!</f>
        <v>#REF!</v>
      </c>
      <c r="AR17" s="29" t="e">
        <f>+((#REF!-#REF!)*100)/#REF!</f>
        <v>#REF!</v>
      </c>
      <c r="AS17" s="29" t="e">
        <f>+((#REF!-#REF!)*100)/#REF!</f>
        <v>#REF!</v>
      </c>
      <c r="AT17" s="29" t="e">
        <f>+((#REF!-#REF!)*100)/#REF!</f>
        <v>#REF!</v>
      </c>
      <c r="AU17" s="29" t="e">
        <f>+((F17-#REF!)*100)/#REF!</f>
        <v>#REF!</v>
      </c>
      <c r="AV17" s="29">
        <f>+((Q17-F17)*100)/F17</f>
        <v>12.177454552221082</v>
      </c>
      <c r="AW17" s="29">
        <f>+((Y17-Q17)*100)/Q17</f>
        <v>4.7373921943984056</v>
      </c>
      <c r="AX17" s="28" t="e">
        <f>+(((Y17/#REF!)^(0.125))-1)*100</f>
        <v>#REF!</v>
      </c>
      <c r="AY17" s="29" t="e">
        <f>+((#REF!-#REF!)*100)/#REF!</f>
        <v>#REF!</v>
      </c>
      <c r="AZ17" s="29" t="e">
        <f>+((#REF!-#REF!)*100)/#REF!</f>
        <v>#REF!</v>
      </c>
      <c r="BA17" s="29" t="e">
        <f>+((#REF!-#REF!)*100)/#REF!</f>
        <v>#REF!</v>
      </c>
      <c r="BB17" s="29" t="e">
        <f>+((#REF!-#REF!)*100)/#REF!</f>
        <v>#REF!</v>
      </c>
      <c r="BC17" s="20" t="e">
        <f>+(((#REF!+#REF!)-(#REF!+#REF!))/(#REF!+#REF!))</f>
        <v>#REF!</v>
      </c>
      <c r="BD17" s="20" t="e">
        <f>+(((#REF!+#REF!)-(#REF!+#REF!))/(#REF!+#REF!))</f>
        <v>#REF!</v>
      </c>
      <c r="BE17" s="20" t="e">
        <f>+(((#REF!+#REF!)-(#REF!+#REF!))/(#REF!+#REF!))</f>
        <v>#REF!</v>
      </c>
      <c r="BF17" s="20" t="e">
        <f>+(((#REF!+#REF!)-(#REF!+#REF!))/(#REF!+#REF!))</f>
        <v>#REF!</v>
      </c>
      <c r="BG17" s="20" t="e">
        <f>+(((#REF!+#REF!)-(#REF!+#REF!))/(#REF!+#REF!))</f>
        <v>#REF!</v>
      </c>
      <c r="BH17" s="20" t="e">
        <f>+(((#REF!+#REF!)-(#REF!+#REF!))/(#REF!+#REF!))</f>
        <v>#REF!</v>
      </c>
      <c r="BI17" s="20" t="e">
        <f>+(((#REF!+#REF!)-(#REF!+#REF!))/(#REF!+#REF!))</f>
        <v>#REF!</v>
      </c>
      <c r="BJ17" s="20" t="e">
        <f>+(((#REF!+#REF!)-(#REF!+#REF!))/(#REF!+#REF!))</f>
        <v>#REF!</v>
      </c>
      <c r="BK17" s="20" t="e">
        <f>+(((#REF!+#REF!)-(#REF!+#REF!))/(#REF!+#REF!))</f>
        <v>#REF!</v>
      </c>
      <c r="BL17" s="20" t="e">
        <f>+(((#REF!+#REF!)-(#REF!+#REF!))/(#REF!+#REF!))</f>
        <v>#REF!</v>
      </c>
      <c r="BM17" s="20" t="e">
        <f>+(((#REF!+#REF!)-(#REF!+#REF!))/(#REF!+#REF!))</f>
        <v>#REF!</v>
      </c>
      <c r="BN17" s="20" t="e">
        <f>+(((#REF!+#REF!)-(#REF!+#REF!))/(#REF!+#REF!))</f>
        <v>#REF!</v>
      </c>
      <c r="BO17" s="20" t="e">
        <f>+(((#REF!+#REF!)-(#REF!+#REF!))/(#REF!+#REF!))</f>
        <v>#REF!</v>
      </c>
      <c r="BP17" s="20" t="e">
        <f>+(((#REF!+#REF!)-(#REF!+#REF!))/(#REF!+#REF!))</f>
        <v>#REF!</v>
      </c>
      <c r="BQ17" s="20" t="e">
        <f>+(((#REF!+#REF!)-(#REF!+#REF!))/(#REF!+#REF!))</f>
        <v>#REF!</v>
      </c>
      <c r="BR17" s="20" t="e">
        <f>+(((#REF!+#REF!)-(#REF!+#REF!))/(#REF!+#REF!))</f>
        <v>#REF!</v>
      </c>
      <c r="BS17" s="20" t="e">
        <f>+(((#REF!+#REF!)-(#REF!+#REF!))/(#REF!+#REF!))</f>
        <v>#REF!</v>
      </c>
      <c r="BT17" s="20" t="e">
        <f>+(((B17+E17)-(#REF!+#REF!))/(#REF!+#REF!))</f>
        <v>#REF!</v>
      </c>
      <c r="BU17" s="20">
        <f>+(((G17+P17)-(B17+E17))/(B17+E17))</f>
        <v>4.5698548444238138E-2</v>
      </c>
      <c r="BV17" s="20" t="e">
        <f>+((((G17+P17)/(#REF!+#REF!))^(1/19))-1)</f>
        <v>#REF!</v>
      </c>
      <c r="BW17" s="30">
        <v>30403.037122000002</v>
      </c>
      <c r="BX17" s="29">
        <v>642.187906</v>
      </c>
      <c r="BY17" s="28">
        <f>+BW17+BX17</f>
        <v>31045.225028000001</v>
      </c>
      <c r="BZ17" s="27">
        <f>29010.383793+815.76+211.168694</f>
        <v>30037.312486999999</v>
      </c>
      <c r="CA17" s="27">
        <v>1392.653329</v>
      </c>
      <c r="CB17" s="27">
        <v>518.95189100000005</v>
      </c>
      <c r="CC17" s="27">
        <v>651.61950200000001</v>
      </c>
      <c r="CD17" s="27">
        <f>+SUM(BZ17:CC17)</f>
        <v>32600.537209000002</v>
      </c>
      <c r="CE17" s="27">
        <v>642.187906</v>
      </c>
      <c r="CF17" s="27">
        <v>677.05108399999995</v>
      </c>
      <c r="CG17" s="27">
        <f>+CE17+CF17</f>
        <v>1319.2389899999998</v>
      </c>
      <c r="CH17" s="27">
        <f>+CD17+CG17</f>
        <v>33919.776199</v>
      </c>
      <c r="CI17" s="27">
        <v>34234.702316000003</v>
      </c>
      <c r="CJ17" s="27">
        <f>1461.400301+500</f>
        <v>1961.4003009999999</v>
      </c>
      <c r="CK17" s="27">
        <f>(1027244393+226838679-14416712)/1000000</f>
        <v>1239.6663599999999</v>
      </c>
      <c r="CL17" s="27">
        <f>(318161753+52279047+1106700539)/1000000</f>
        <v>1477.141339</v>
      </c>
      <c r="CM17" s="27">
        <f>591534102/1000000</f>
        <v>591.53410199999996</v>
      </c>
      <c r="CN17" s="27">
        <f>+SUM(CI17:CM17)</f>
        <v>39504.444418000006</v>
      </c>
      <c r="CO17" s="27">
        <v>661.45354299999997</v>
      </c>
      <c r="CP17" s="27">
        <f>(701388894/1000000)+48.910382</f>
        <v>750.29927600000008</v>
      </c>
      <c r="CQ17" s="27">
        <f>+CO17+CP17</f>
        <v>1411.752819</v>
      </c>
      <c r="CR17" s="27">
        <f>+CN17+CQ17</f>
        <v>40916.197237000008</v>
      </c>
    </row>
    <row r="18" spans="1:96" s="41" customFormat="1" ht="15" customHeight="1" x14ac:dyDescent="0.2">
      <c r="A18" s="43" t="s">
        <v>30</v>
      </c>
      <c r="B18" s="32">
        <v>17735.485896099999</v>
      </c>
      <c r="C18" s="32">
        <v>920.14896599999997</v>
      </c>
      <c r="D18" s="32"/>
      <c r="E18" s="32">
        <v>912.43708400000003</v>
      </c>
      <c r="F18" s="27">
        <f>+SUM(B18:E18)</f>
        <v>19568.071946100001</v>
      </c>
      <c r="G18" s="32">
        <f>18745.035711+218.836821</f>
        <v>18963.872532000001</v>
      </c>
      <c r="H18" s="32"/>
      <c r="I18" s="32">
        <f>476.851596</f>
        <v>476.85159599999997</v>
      </c>
      <c r="J18" s="32">
        <v>249.877826</v>
      </c>
      <c r="K18" s="32">
        <v>95.811756000000003</v>
      </c>
      <c r="L18" s="32"/>
      <c r="M18" s="32">
        <v>411.623783</v>
      </c>
      <c r="N18" s="27">
        <f>+SUM(G18:M18)</f>
        <v>20198.037493</v>
      </c>
      <c r="O18" s="32"/>
      <c r="P18" s="32">
        <f>+'[1]TOTAL POR UNIVERSIDAD'!$GI$72</f>
        <v>973.47912499999995</v>
      </c>
      <c r="Q18" s="27">
        <f>+N18+P18</f>
        <v>21171.516618000001</v>
      </c>
      <c r="R18" s="32">
        <v>20086.211625</v>
      </c>
      <c r="S18" s="32"/>
      <c r="T18" s="32">
        <v>1065.268626</v>
      </c>
      <c r="U18" s="42"/>
      <c r="V18" s="42"/>
      <c r="W18" s="27">
        <f>+R18+S18+T18+U18+V18</f>
        <v>21151.480251000001</v>
      </c>
      <c r="X18" s="32">
        <v>1022.153081</v>
      </c>
      <c r="Y18" s="27">
        <f>+W18+X18</f>
        <v>22173.633332000001</v>
      </c>
      <c r="Z18" s="27">
        <f>(20086211625-19893074975)/1000000</f>
        <v>193.13665</v>
      </c>
      <c r="AA18" s="27"/>
      <c r="AB18" s="27">
        <f>193136650/1000000</f>
        <v>193.13665</v>
      </c>
      <c r="AC18" s="27"/>
      <c r="AD18" s="27">
        <f>+Z18+AA18+AB18+AC18</f>
        <v>386.27330000000001</v>
      </c>
      <c r="AE18" s="32">
        <f>19699.938325+225.401926</f>
        <v>19925.340250999998</v>
      </c>
      <c r="AF18" s="32">
        <f>+S18-AA18</f>
        <v>0</v>
      </c>
      <c r="AG18" s="32">
        <f>+T18</f>
        <v>1065.268626</v>
      </c>
      <c r="AH18" s="32">
        <v>45.693038999999999</v>
      </c>
      <c r="AI18" s="32">
        <v>107.701369</v>
      </c>
      <c r="AJ18" s="27">
        <f>+SUM(AE18:AI18)</f>
        <v>21144.003284999999</v>
      </c>
      <c r="AK18" s="27">
        <f>+X18</f>
        <v>1022.153081</v>
      </c>
      <c r="AL18" s="27"/>
      <c r="AM18" s="27">
        <v>435.74720100000002</v>
      </c>
      <c r="AN18" s="27">
        <f>+SUM(AK18:AM18)</f>
        <v>1457.9002820000001</v>
      </c>
      <c r="AO18" s="27">
        <f>+AJ18+AN18</f>
        <v>22601.903566999998</v>
      </c>
      <c r="AP18" s="31" t="e">
        <f>+((#REF!-#REF!)*100)/#REF!</f>
        <v>#REF!</v>
      </c>
      <c r="AQ18" s="29" t="e">
        <f>+((#REF!-#REF!)*100)/#REF!</f>
        <v>#REF!</v>
      </c>
      <c r="AR18" s="29" t="e">
        <f>+((#REF!-#REF!)*100)/#REF!</f>
        <v>#REF!</v>
      </c>
      <c r="AS18" s="29" t="e">
        <f>+((#REF!-#REF!)*100)/#REF!</f>
        <v>#REF!</v>
      </c>
      <c r="AT18" s="29" t="e">
        <f>+((#REF!-#REF!)*100)/#REF!</f>
        <v>#REF!</v>
      </c>
      <c r="AU18" s="29" t="e">
        <f>+((F18-#REF!)*100)/#REF!</f>
        <v>#REF!</v>
      </c>
      <c r="AV18" s="29">
        <f>+((Q18-F18)*100)/F18</f>
        <v>8.1941883508843798</v>
      </c>
      <c r="AW18" s="29">
        <f>+((Y18-Q18)*100)/Q18</f>
        <v>4.7333251182770777</v>
      </c>
      <c r="AX18" s="28" t="e">
        <f>+(((Y18/#REF!)^(0.125))-1)*100</f>
        <v>#REF!</v>
      </c>
      <c r="AY18" s="29" t="e">
        <f>+((#REF!-#REF!)*100)/#REF!</f>
        <v>#REF!</v>
      </c>
      <c r="AZ18" s="29" t="e">
        <f>+((#REF!-#REF!)*100)/#REF!</f>
        <v>#REF!</v>
      </c>
      <c r="BA18" s="29" t="e">
        <f>+((#REF!-#REF!)*100)/#REF!</f>
        <v>#REF!</v>
      </c>
      <c r="BB18" s="29" t="e">
        <f>+((#REF!-#REF!)*100)/#REF!</f>
        <v>#REF!</v>
      </c>
      <c r="BC18" s="20" t="e">
        <f>+(((#REF!+#REF!)-(#REF!+#REF!))/(#REF!+#REF!))</f>
        <v>#REF!</v>
      </c>
      <c r="BD18" s="20" t="e">
        <f>+(((#REF!+#REF!)-(#REF!+#REF!))/(#REF!+#REF!))</f>
        <v>#REF!</v>
      </c>
      <c r="BE18" s="20" t="e">
        <f>+(((#REF!+#REF!)-(#REF!+#REF!))/(#REF!+#REF!))</f>
        <v>#REF!</v>
      </c>
      <c r="BF18" s="20" t="e">
        <f>+(((#REF!+#REF!)-(#REF!+#REF!))/(#REF!+#REF!))</f>
        <v>#REF!</v>
      </c>
      <c r="BG18" s="20" t="e">
        <f>+(((#REF!+#REF!)-(#REF!+#REF!))/(#REF!+#REF!))</f>
        <v>#REF!</v>
      </c>
      <c r="BH18" s="20" t="e">
        <f>+(((#REF!+#REF!)-(#REF!+#REF!))/(#REF!+#REF!))</f>
        <v>#REF!</v>
      </c>
      <c r="BI18" s="20" t="e">
        <f>+(((#REF!+#REF!)-(#REF!+#REF!))/(#REF!+#REF!))</f>
        <v>#REF!</v>
      </c>
      <c r="BJ18" s="20" t="e">
        <f>+(((#REF!+#REF!)-(#REF!+#REF!))/(#REF!+#REF!))</f>
        <v>#REF!</v>
      </c>
      <c r="BK18" s="20" t="e">
        <f>+(((#REF!+#REF!)-(#REF!+#REF!))/(#REF!+#REF!))</f>
        <v>#REF!</v>
      </c>
      <c r="BL18" s="20" t="e">
        <f>+(((#REF!+#REF!)-(#REF!+#REF!))/(#REF!+#REF!))</f>
        <v>#REF!</v>
      </c>
      <c r="BM18" s="20" t="e">
        <f>+(((#REF!+#REF!)-(#REF!+#REF!))/(#REF!+#REF!))</f>
        <v>#REF!</v>
      </c>
      <c r="BN18" s="20" t="e">
        <f>+(((#REF!+#REF!)-(#REF!+#REF!))/(#REF!+#REF!))</f>
        <v>#REF!</v>
      </c>
      <c r="BO18" s="20" t="e">
        <f>+(((#REF!+#REF!)-(#REF!+#REF!))/(#REF!+#REF!))</f>
        <v>#REF!</v>
      </c>
      <c r="BP18" s="20" t="e">
        <f>+(((#REF!+#REF!)-(#REF!+#REF!))/(#REF!+#REF!))</f>
        <v>#REF!</v>
      </c>
      <c r="BQ18" s="20" t="e">
        <f>+(((#REF!+#REF!)-(#REF!+#REF!))/(#REF!+#REF!))</f>
        <v>#REF!</v>
      </c>
      <c r="BR18" s="20" t="e">
        <f>+(((#REF!+#REF!)-(#REF!+#REF!))/(#REF!+#REF!))</f>
        <v>#REF!</v>
      </c>
      <c r="BS18" s="20" t="e">
        <f>+(((#REF!+#REF!)-(#REF!+#REF!))/(#REF!+#REF!))</f>
        <v>#REF!</v>
      </c>
      <c r="BT18" s="20" t="e">
        <f>+(((B18+E18)-(#REF!+#REF!))/(#REF!+#REF!))</f>
        <v>#REF!</v>
      </c>
      <c r="BU18" s="20">
        <f>+(((G18+P18)-(B18+E18))/(B18+E18))</f>
        <v>6.9145967530861607E-2</v>
      </c>
      <c r="BV18" s="20" t="e">
        <f>+((((G18+P18)/(#REF!+#REF!))^(1/19))-1)</f>
        <v>#REF!</v>
      </c>
      <c r="BW18" s="30">
        <v>20523.100459000001</v>
      </c>
      <c r="BX18" s="29">
        <v>1052.8176739999999</v>
      </c>
      <c r="BY18" s="28">
        <f>+BW18+BX18</f>
        <v>21575.918132999999</v>
      </c>
      <c r="BZ18" s="27">
        <f>20523.100459+0+226.507573</f>
        <v>20749.608032</v>
      </c>
      <c r="CA18" s="27"/>
      <c r="CB18" s="27">
        <v>556.64753700000006</v>
      </c>
      <c r="CC18" s="27">
        <v>189.13806099999999</v>
      </c>
      <c r="CD18" s="27">
        <f>+SUM(BZ18:CC18)</f>
        <v>21495.393630000002</v>
      </c>
      <c r="CE18" s="27">
        <v>1052.8176739999999</v>
      </c>
      <c r="CF18" s="27">
        <v>453.342219</v>
      </c>
      <c r="CG18" s="27">
        <f>+CE18+CF18</f>
        <v>1506.159893</v>
      </c>
      <c r="CH18" s="27">
        <f>+CD18+CG18</f>
        <v>23001.553523000002</v>
      </c>
      <c r="CI18" s="27">
        <v>22450.376930999999</v>
      </c>
      <c r="CJ18" s="27"/>
      <c r="CK18" s="27">
        <f>(66759562+145695056)/1000000</f>
        <v>212.45461800000001</v>
      </c>
      <c r="CL18" s="27">
        <f>(341272399+56076494+1190747444)/1000000</f>
        <v>1588.0963369999999</v>
      </c>
      <c r="CM18" s="27">
        <f>157264723/1000000</f>
        <v>157.264723</v>
      </c>
      <c r="CN18" s="27">
        <f>+SUM(CI18:CM18)</f>
        <v>24408.192608999998</v>
      </c>
      <c r="CO18" s="27">
        <v>1084.402204</v>
      </c>
      <c r="CP18" s="27">
        <f>(451162946/1000000)+19.326087</f>
        <v>470.48903299999995</v>
      </c>
      <c r="CQ18" s="27">
        <f>+CO18+CP18</f>
        <v>1554.8912369999998</v>
      </c>
      <c r="CR18" s="27">
        <f>+CN18+CQ18</f>
        <v>25963.083845999998</v>
      </c>
    </row>
    <row r="19" spans="1:96" ht="15" customHeight="1" x14ac:dyDescent="0.2">
      <c r="A19" s="40" t="s">
        <v>29</v>
      </c>
      <c r="B19" s="27">
        <v>57438.337775</v>
      </c>
      <c r="C19" s="27">
        <v>1111.1136019999999</v>
      </c>
      <c r="D19" s="27"/>
      <c r="E19" s="27">
        <v>2105.8062530000002</v>
      </c>
      <c r="F19" s="27">
        <f>+SUM(B19:E19)</f>
        <v>60655.25763</v>
      </c>
      <c r="G19" s="27">
        <f>49212.259585</f>
        <v>49212.259585</v>
      </c>
      <c r="H19" s="27">
        <v>11718.198177</v>
      </c>
      <c r="I19" s="27">
        <f>1189.575593</f>
        <v>1189.575593</v>
      </c>
      <c r="J19" s="27">
        <v>629.22175900000002</v>
      </c>
      <c r="K19" s="27">
        <v>315.00660299999998</v>
      </c>
      <c r="L19" s="27"/>
      <c r="M19" s="27">
        <v>472.13476700000001</v>
      </c>
      <c r="N19" s="27">
        <f>+SUM(G19:M19)</f>
        <v>63536.396484000004</v>
      </c>
      <c r="O19" s="27"/>
      <c r="P19" s="27">
        <f>+'[1]TOTAL POR UNIVERSIDAD'!$GI$80</f>
        <v>2246.6846909999999</v>
      </c>
      <c r="Q19" s="27">
        <f>+N19+P19</f>
        <v>65783.081174999999</v>
      </c>
      <c r="R19" s="27">
        <v>52684.923054999999</v>
      </c>
      <c r="S19" s="27">
        <v>12377.247498000001</v>
      </c>
      <c r="T19" s="27">
        <v>2682.4717110000001</v>
      </c>
      <c r="U19" s="39"/>
      <c r="V19" s="39"/>
      <c r="W19" s="27">
        <f>+R19+S19+T19+U19+V19</f>
        <v>67744.642264000009</v>
      </c>
      <c r="X19" s="27">
        <v>2359.0189260000002</v>
      </c>
      <c r="Y19" s="27">
        <f>+W19+X19</f>
        <v>70103.661190000013</v>
      </c>
      <c r="Z19" s="27">
        <f>(52684923055-52178337256)/1000000</f>
        <v>506.58579900000001</v>
      </c>
      <c r="AA19" s="27">
        <f>(12377247498-12137107503)/1000000</f>
        <v>240.139995</v>
      </c>
      <c r="AB19" s="27">
        <f>506585799/1000000</f>
        <v>506.58579900000001</v>
      </c>
      <c r="AC19" s="27"/>
      <c r="AD19" s="27">
        <f>+Z19+AA19+AB19+AC19</f>
        <v>1253.3115929999999</v>
      </c>
      <c r="AE19" s="32">
        <v>51671.751456999998</v>
      </c>
      <c r="AF19" s="32">
        <v>12137.107502999999</v>
      </c>
      <c r="AG19" s="32">
        <f>+T19</f>
        <v>2682.4717110000001</v>
      </c>
      <c r="AH19" s="32">
        <v>86.351061000000001</v>
      </c>
      <c r="AI19" s="32">
        <v>475.46510599999999</v>
      </c>
      <c r="AJ19" s="27">
        <f>+SUM(AE19:AI19)</f>
        <v>67053.146838000001</v>
      </c>
      <c r="AK19" s="27">
        <f>+X19</f>
        <v>2359.0189260000002</v>
      </c>
      <c r="AL19" s="27">
        <v>2722</v>
      </c>
      <c r="AM19" s="27">
        <v>1377.0069920000001</v>
      </c>
      <c r="AN19" s="27">
        <f>+SUM(AK19:AM19)</f>
        <v>6458.0259180000012</v>
      </c>
      <c r="AO19" s="27">
        <f>+AJ19+AN19</f>
        <v>73511.172756</v>
      </c>
      <c r="AP19" s="31" t="e">
        <f>+((#REF!-#REF!)*100)/#REF!</f>
        <v>#REF!</v>
      </c>
      <c r="AQ19" s="29" t="e">
        <f>+((#REF!-#REF!)*100)/#REF!</f>
        <v>#REF!</v>
      </c>
      <c r="AR19" s="29" t="e">
        <f>+((#REF!-#REF!)*100)/#REF!</f>
        <v>#REF!</v>
      </c>
      <c r="AS19" s="29" t="e">
        <f>+((#REF!-#REF!)*100)/#REF!</f>
        <v>#REF!</v>
      </c>
      <c r="AT19" s="29" t="e">
        <f>+((#REF!-#REF!)*100)/#REF!</f>
        <v>#REF!</v>
      </c>
      <c r="AU19" s="29" t="e">
        <f>+((F19-#REF!)*100)/#REF!</f>
        <v>#REF!</v>
      </c>
      <c r="AV19" s="29">
        <f>+((Q19-F19)*100)/F19</f>
        <v>8.4540462696242589</v>
      </c>
      <c r="AW19" s="29">
        <f>+((Y19-Q19)*100)/Q19</f>
        <v>6.567919802215032</v>
      </c>
      <c r="AX19" s="28" t="e">
        <f>+(((Y19/#REF!)^(0.125))-1)*100</f>
        <v>#REF!</v>
      </c>
      <c r="AY19" s="29" t="e">
        <f>+((#REF!-#REF!)*100)/#REF!</f>
        <v>#REF!</v>
      </c>
      <c r="AZ19" s="29" t="e">
        <f>+((#REF!-#REF!)*100)/#REF!</f>
        <v>#REF!</v>
      </c>
      <c r="BA19" s="29" t="e">
        <f>+((#REF!-#REF!)*100)/#REF!</f>
        <v>#REF!</v>
      </c>
      <c r="BB19" s="29" t="e">
        <f>+((#REF!-#REF!)*100)/#REF!</f>
        <v>#REF!</v>
      </c>
      <c r="BC19" s="20" t="e">
        <f>+(((#REF!+#REF!)-(#REF!+#REF!))/(#REF!+#REF!))</f>
        <v>#REF!</v>
      </c>
      <c r="BD19" s="20" t="e">
        <f>+(((#REF!+#REF!)-(#REF!+#REF!))/(#REF!+#REF!))</f>
        <v>#REF!</v>
      </c>
      <c r="BE19" s="20" t="e">
        <f>+(((#REF!+#REF!)-(#REF!+#REF!))/(#REF!+#REF!))</f>
        <v>#REF!</v>
      </c>
      <c r="BF19" s="20" t="e">
        <f>+(((#REF!+#REF!)-(#REF!+#REF!))/(#REF!+#REF!))</f>
        <v>#REF!</v>
      </c>
      <c r="BG19" s="20" t="e">
        <f>+(((#REF!+#REF!)-(#REF!+#REF!))/(#REF!+#REF!))</f>
        <v>#REF!</v>
      </c>
      <c r="BH19" s="20" t="e">
        <f>+(((#REF!+#REF!)-(#REF!+#REF!))/(#REF!+#REF!))</f>
        <v>#REF!</v>
      </c>
      <c r="BI19" s="20" t="e">
        <f>+(((#REF!+#REF!)-(#REF!+#REF!))/(#REF!+#REF!))</f>
        <v>#REF!</v>
      </c>
      <c r="BJ19" s="20" t="e">
        <f>+(((#REF!+#REF!)-(#REF!+#REF!))/(#REF!+#REF!))</f>
        <v>#REF!</v>
      </c>
      <c r="BK19" s="20" t="e">
        <f>+(((#REF!+#REF!)-(#REF!+#REF!))/(#REF!+#REF!))</f>
        <v>#REF!</v>
      </c>
      <c r="BL19" s="20" t="e">
        <f>+(((#REF!+#REF!)-(#REF!+#REF!))/(#REF!+#REF!))</f>
        <v>#REF!</v>
      </c>
      <c r="BM19" s="20" t="e">
        <f>+(((#REF!+#REF!)-(#REF!+#REF!))/(#REF!+#REF!))</f>
        <v>#REF!</v>
      </c>
      <c r="BN19" s="20" t="e">
        <f>+(((#REF!+#REF!)-(#REF!+#REF!))/(#REF!+#REF!))</f>
        <v>#REF!</v>
      </c>
      <c r="BO19" s="20" t="e">
        <f>+(((#REF!+#REF!)-(#REF!+#REF!))/(#REF!+#REF!))</f>
        <v>#REF!</v>
      </c>
      <c r="BP19" s="20" t="e">
        <f>+(((#REF!+#REF!)-(#REF!+#REF!))/(#REF!+#REF!))</f>
        <v>#REF!</v>
      </c>
      <c r="BQ19" s="20" t="e">
        <f>+(((#REF!+#REF!)-(#REF!+#REF!))/(#REF!+#REF!))</f>
        <v>#REF!</v>
      </c>
      <c r="BR19" s="20" t="e">
        <f>+(((#REF!+#REF!)-(#REF!+#REF!))/(#REF!+#REF!))</f>
        <v>#REF!</v>
      </c>
      <c r="BS19" s="20" t="e">
        <f>+(((#REF!+#REF!)-(#REF!+#REF!))/(#REF!+#REF!))</f>
        <v>#REF!</v>
      </c>
      <c r="BT19" s="20" t="e">
        <f>+(((B19+E19)-(#REF!+#REF!))/(#REF!+#REF!))</f>
        <v>#REF!</v>
      </c>
      <c r="BU19" s="20">
        <f>+(((G19+P19)-(B19+E19))/(B19+E19))</f>
        <v>-0.13578496901723905</v>
      </c>
      <c r="BV19" s="20" t="e">
        <f>+((((G19+P19)/(#REF!+#REF!))^(1/19))-1)</f>
        <v>#REF!</v>
      </c>
      <c r="BW19" s="30">
        <v>65723.124729000003</v>
      </c>
      <c r="BX19" s="29">
        <v>2429.7894930000002</v>
      </c>
      <c r="BY19" s="28">
        <f>+BW19+BX19</f>
        <v>68152.914222000007</v>
      </c>
      <c r="BZ19" s="27">
        <f>53221.904001+2803.66</f>
        <v>56025.564001000006</v>
      </c>
      <c r="CA19" s="27">
        <v>12501.220728</v>
      </c>
      <c r="CB19" s="27">
        <v>688.43890099999999</v>
      </c>
      <c r="CC19" s="27">
        <v>878.394136</v>
      </c>
      <c r="CD19" s="27">
        <f>+SUM(BZ19:CC19)</f>
        <v>70093.61776600001</v>
      </c>
      <c r="CE19" s="27">
        <v>2429.7894930000002</v>
      </c>
      <c r="CF19" s="27">
        <v>1496.139688</v>
      </c>
      <c r="CG19" s="27">
        <f>+CE19+CF19</f>
        <v>3925.9291810000004</v>
      </c>
      <c r="CH19" s="27">
        <f>+CD19+CG19</f>
        <v>74019.54694700001</v>
      </c>
      <c r="CI19" s="27">
        <v>68657.732105999996</v>
      </c>
      <c r="CJ19" s="27">
        <v>4095.3018029999998</v>
      </c>
      <c r="CK19" s="27">
        <f>(218418053+481816674-129412321)/1000000</f>
        <v>570.822406</v>
      </c>
      <c r="CL19" s="27">
        <f>(422071741+69353114+1391623416)/1000000</f>
        <v>1883.0482710000001</v>
      </c>
      <c r="CM19" s="27">
        <f>911398585/1000000</f>
        <v>911.39858500000003</v>
      </c>
      <c r="CN19" s="27">
        <f>+SUM(CI19:CM19)</f>
        <v>76118.303171000007</v>
      </c>
      <c r="CO19" s="27">
        <v>2502.6831780000002</v>
      </c>
      <c r="CP19" s="27">
        <f>(1468403701/1000000)+43.03921</f>
        <v>1511.4429109999999</v>
      </c>
      <c r="CQ19" s="27">
        <f>+CO19+CP19</f>
        <v>4014.1260890000003</v>
      </c>
      <c r="CR19" s="27">
        <f>+CN19+CQ19</f>
        <v>80132.429260000004</v>
      </c>
    </row>
    <row r="20" spans="1:96" ht="15" customHeight="1" x14ac:dyDescent="0.2">
      <c r="A20" s="40" t="s">
        <v>28</v>
      </c>
      <c r="B20" s="27">
        <v>15848.872723</v>
      </c>
      <c r="C20" s="27">
        <v>713.06922499999996</v>
      </c>
      <c r="D20" s="27"/>
      <c r="E20" s="27">
        <v>647.81963800000005</v>
      </c>
      <c r="F20" s="27">
        <f>+SUM(B20:E20)</f>
        <v>17209.761586000001</v>
      </c>
      <c r="G20" s="27">
        <f>17171.822082+203.152996</f>
        <v>17374.975077999999</v>
      </c>
      <c r="H20" s="27"/>
      <c r="I20" s="27">
        <f>414.517718</f>
        <v>414.517718</v>
      </c>
      <c r="J20" s="27">
        <v>222.069378</v>
      </c>
      <c r="K20" s="27">
        <v>145.47841399999999</v>
      </c>
      <c r="L20" s="27"/>
      <c r="M20" s="27">
        <v>382.12310100000002</v>
      </c>
      <c r="N20" s="27">
        <f>+SUM(G20:M20)</f>
        <v>18539.163689000001</v>
      </c>
      <c r="O20" s="27"/>
      <c r="P20" s="27">
        <f>+'[1]TOTAL POR UNIVERSIDAD'!$GI$88</f>
        <v>691.158772</v>
      </c>
      <c r="Q20" s="27">
        <f>+N20+P20</f>
        <v>19230.322461</v>
      </c>
      <c r="R20" s="27">
        <v>18386.96213</v>
      </c>
      <c r="S20" s="27"/>
      <c r="T20" s="27">
        <v>946.71682299999998</v>
      </c>
      <c r="U20" s="39"/>
      <c r="V20" s="39"/>
      <c r="W20" s="27">
        <f>+R20+S20+T20+U20+V20</f>
        <v>19333.678952999999</v>
      </c>
      <c r="X20" s="27">
        <v>725.71671100000003</v>
      </c>
      <c r="Y20" s="27">
        <f>+W20+X20</f>
        <v>20059.395664</v>
      </c>
      <c r="Z20" s="27">
        <f>(18386962130-18210164417)/1000000</f>
        <v>176.79771299999999</v>
      </c>
      <c r="AA20" s="27"/>
      <c r="AB20" s="27">
        <f>176797713/1000000</f>
        <v>176.79771299999999</v>
      </c>
      <c r="AC20" s="27"/>
      <c r="AD20" s="27">
        <f>+Z20+AA20+AB20+AC20</f>
        <v>353.59542599999997</v>
      </c>
      <c r="AE20" s="32">
        <f>18033.366704+209.247586+514.19628</f>
        <v>18756.810570000001</v>
      </c>
      <c r="AF20" s="32">
        <f>+S20-AA20</f>
        <v>0</v>
      </c>
      <c r="AG20" s="32">
        <f>+T20</f>
        <v>946.71682299999998</v>
      </c>
      <c r="AH20" s="32">
        <v>54.479770000000002</v>
      </c>
      <c r="AI20" s="32">
        <v>20.841813999999999</v>
      </c>
      <c r="AJ20" s="27">
        <f>+SUM(AE20:AI20)</f>
        <v>19778.848977000001</v>
      </c>
      <c r="AK20" s="27">
        <f>+X20</f>
        <v>725.71671100000003</v>
      </c>
      <c r="AL20" s="27"/>
      <c r="AM20" s="27">
        <v>394.11600499999997</v>
      </c>
      <c r="AN20" s="27">
        <f>+SUM(AK20:AM20)</f>
        <v>1119.8327159999999</v>
      </c>
      <c r="AO20" s="27">
        <f>+AJ20+AN20</f>
        <v>20898.681693000002</v>
      </c>
      <c r="AP20" s="31" t="e">
        <f>+((#REF!-#REF!)*100)/#REF!</f>
        <v>#REF!</v>
      </c>
      <c r="AQ20" s="29" t="e">
        <f>+((#REF!-#REF!)*100)/#REF!</f>
        <v>#REF!</v>
      </c>
      <c r="AR20" s="29" t="e">
        <f>+((#REF!-#REF!)*100)/#REF!</f>
        <v>#REF!</v>
      </c>
      <c r="AS20" s="29" t="e">
        <f>+((#REF!-#REF!)*100)/#REF!</f>
        <v>#REF!</v>
      </c>
      <c r="AT20" s="29" t="e">
        <f>+((#REF!-#REF!)*100)/#REF!</f>
        <v>#REF!</v>
      </c>
      <c r="AU20" s="29" t="e">
        <f>+((F20-#REF!)*100)/#REF!</f>
        <v>#REF!</v>
      </c>
      <c r="AV20" s="29">
        <f>+((Q20-F20)*100)/F20</f>
        <v>11.740783652945597</v>
      </c>
      <c r="AW20" s="29">
        <f>+((Y20-Q20)*100)/Q20</f>
        <v>4.3112808153966187</v>
      </c>
      <c r="AX20" s="28" t="e">
        <f>+(((Y20/#REF!)^(0.125))-1)*100</f>
        <v>#REF!</v>
      </c>
      <c r="AY20" s="29" t="e">
        <f>+((#REF!-#REF!)*100)/#REF!</f>
        <v>#REF!</v>
      </c>
      <c r="AZ20" s="29" t="e">
        <f>+((#REF!-#REF!)*100)/#REF!</f>
        <v>#REF!</v>
      </c>
      <c r="BA20" s="29" t="e">
        <f>+((#REF!-#REF!)*100)/#REF!</f>
        <v>#REF!</v>
      </c>
      <c r="BB20" s="29" t="e">
        <f>+((#REF!-#REF!)*100)/#REF!</f>
        <v>#REF!</v>
      </c>
      <c r="BC20" s="20" t="e">
        <f>+(((#REF!+#REF!)-(#REF!+#REF!))/(#REF!+#REF!))</f>
        <v>#REF!</v>
      </c>
      <c r="BD20" s="20" t="e">
        <f>+(((#REF!+#REF!)-(#REF!+#REF!))/(#REF!+#REF!))</f>
        <v>#REF!</v>
      </c>
      <c r="BE20" s="20" t="e">
        <f>+(((#REF!+#REF!)-(#REF!+#REF!))/(#REF!+#REF!))</f>
        <v>#REF!</v>
      </c>
      <c r="BF20" s="20" t="e">
        <f>+(((#REF!+#REF!)-(#REF!+#REF!))/(#REF!+#REF!))</f>
        <v>#REF!</v>
      </c>
      <c r="BG20" s="20" t="e">
        <f>+(((#REF!+#REF!)-(#REF!+#REF!))/(#REF!+#REF!))</f>
        <v>#REF!</v>
      </c>
      <c r="BH20" s="20" t="e">
        <f>+(((#REF!+#REF!)-(#REF!+#REF!))/(#REF!+#REF!))</f>
        <v>#REF!</v>
      </c>
      <c r="BI20" s="20" t="e">
        <f>+(((#REF!+#REF!)-(#REF!+#REF!))/(#REF!+#REF!))</f>
        <v>#REF!</v>
      </c>
      <c r="BJ20" s="20" t="e">
        <f>+(((#REF!+#REF!)-(#REF!+#REF!))/(#REF!+#REF!))</f>
        <v>#REF!</v>
      </c>
      <c r="BK20" s="20" t="e">
        <f>+(((#REF!+#REF!)-(#REF!+#REF!))/(#REF!+#REF!))</f>
        <v>#REF!</v>
      </c>
      <c r="BL20" s="20" t="e">
        <f>+(((#REF!+#REF!)-(#REF!+#REF!))/(#REF!+#REF!))</f>
        <v>#REF!</v>
      </c>
      <c r="BM20" s="20" t="e">
        <f>+(((#REF!+#REF!)-(#REF!+#REF!))/(#REF!+#REF!))</f>
        <v>#REF!</v>
      </c>
      <c r="BN20" s="20" t="e">
        <f>+(((#REF!+#REF!)-(#REF!+#REF!))/(#REF!+#REF!))</f>
        <v>#REF!</v>
      </c>
      <c r="BO20" s="20" t="e">
        <f>+(((#REF!+#REF!)-(#REF!+#REF!))/(#REF!+#REF!))</f>
        <v>#REF!</v>
      </c>
      <c r="BP20" s="20" t="e">
        <f>+(((#REF!+#REF!)-(#REF!+#REF!))/(#REF!+#REF!))</f>
        <v>#REF!</v>
      </c>
      <c r="BQ20" s="20" t="e">
        <f>+(((#REF!+#REF!)-(#REF!+#REF!))/(#REF!+#REF!))</f>
        <v>#REF!</v>
      </c>
      <c r="BR20" s="20" t="e">
        <f>+(((#REF!+#REF!)-(#REF!+#REF!))/(#REF!+#REF!))</f>
        <v>#REF!</v>
      </c>
      <c r="BS20" s="20" t="e">
        <f>+(((#REF!+#REF!)-(#REF!+#REF!))/(#REF!+#REF!))</f>
        <v>#REF!</v>
      </c>
      <c r="BT20" s="20" t="e">
        <f>+(((B20+E20)-(#REF!+#REF!))/(#REF!+#REF!))</f>
        <v>#REF!</v>
      </c>
      <c r="BU20" s="20">
        <f>+(((G20+P20)-(B20+E20))/(B20+E20))</f>
        <v>9.5136737392904874E-2</v>
      </c>
      <c r="BV20" s="20" t="e">
        <f>+((((G20+P20)/(#REF!+#REF!))^(1/19))-1)</f>
        <v>#REF!</v>
      </c>
      <c r="BW20" s="30">
        <v>18789.892718999999</v>
      </c>
      <c r="BX20" s="29">
        <v>747.48821199999998</v>
      </c>
      <c r="BY20" s="28">
        <f>+BW20+BX20</f>
        <v>19537.380931</v>
      </c>
      <c r="BZ20" s="27">
        <f>18789.892719+0+160.029984</f>
        <v>18949.922703</v>
      </c>
      <c r="CA20" s="27"/>
      <c r="CB20" s="27">
        <v>393.27734299999997</v>
      </c>
      <c r="CC20" s="27">
        <v>171.84687600000001</v>
      </c>
      <c r="CD20" s="27">
        <f>+SUM(BZ20:CC20)</f>
        <v>19515.046922000001</v>
      </c>
      <c r="CE20" s="27">
        <v>747.48821199999998</v>
      </c>
      <c r="CF20" s="27">
        <v>410.52133700000002</v>
      </c>
      <c r="CG20" s="27">
        <f>+CE20+CF20</f>
        <v>1158.0095489999999</v>
      </c>
      <c r="CH20" s="27">
        <f>+CD20+CG20</f>
        <v>20673.056471</v>
      </c>
      <c r="CI20" s="27">
        <v>22045.140486</v>
      </c>
      <c r="CJ20" s="27"/>
      <c r="CK20" s="27">
        <f>(590743782+137144514)/1000000</f>
        <v>727.88829599999997</v>
      </c>
      <c r="CL20" s="27">
        <f>(241112541+39618633+1253966462)/1000000</f>
        <v>1534.6976360000001</v>
      </c>
      <c r="CM20" s="27">
        <f>35579581/1000000</f>
        <v>35.579580999999997</v>
      </c>
      <c r="CN20" s="27">
        <f>+SUM(CI20:CM20)</f>
        <v>24343.305999000004</v>
      </c>
      <c r="CO20" s="27">
        <v>769.91285800000003</v>
      </c>
      <c r="CP20" s="27">
        <f>(429130614/1000000)+33.913628</f>
        <v>463.044242</v>
      </c>
      <c r="CQ20" s="27">
        <f>+CO20+CP20</f>
        <v>1232.9571000000001</v>
      </c>
      <c r="CR20" s="27">
        <f>+CN20+CQ20</f>
        <v>25576.263099000003</v>
      </c>
    </row>
    <row r="21" spans="1:96" ht="15" customHeight="1" x14ac:dyDescent="0.2">
      <c r="A21" s="40" t="s">
        <v>27</v>
      </c>
      <c r="B21" s="27">
        <v>31376.626021</v>
      </c>
      <c r="C21" s="27">
        <v>840.83002999999997</v>
      </c>
      <c r="D21" s="27"/>
      <c r="E21" s="27">
        <v>1523.6583390000001</v>
      </c>
      <c r="F21" s="27">
        <f>+SUM(B21:E21)</f>
        <v>33741.114390000002</v>
      </c>
      <c r="G21" s="27">
        <f>33148.913822</f>
        <v>33148.913822000002</v>
      </c>
      <c r="H21" s="27"/>
      <c r="I21" s="27">
        <f>817.774878</f>
        <v>817.77487799999994</v>
      </c>
      <c r="J21" s="27">
        <v>439.40547600000002</v>
      </c>
      <c r="K21" s="27">
        <v>204.058682</v>
      </c>
      <c r="L21" s="27"/>
      <c r="M21" s="27">
        <v>440.91688799999997</v>
      </c>
      <c r="N21" s="27">
        <f>+SUM(G21:M21)</f>
        <v>35051.069746000001</v>
      </c>
      <c r="O21" s="27"/>
      <c r="P21" s="27">
        <f>+'[1]TOTAL POR UNIVERSIDAD'!$GI$96</f>
        <v>1625.5910819999999</v>
      </c>
      <c r="Q21" s="27">
        <f>+N21+P21</f>
        <v>36676.660828</v>
      </c>
      <c r="R21" s="27">
        <v>35520.663094000003</v>
      </c>
      <c r="S21" s="27"/>
      <c r="T21" s="27">
        <v>1873.254925</v>
      </c>
      <c r="U21" s="39"/>
      <c r="V21" s="39"/>
      <c r="W21" s="27">
        <f>+R21+S21+T21+U21+V21</f>
        <v>37393.918019000004</v>
      </c>
      <c r="X21" s="27">
        <v>1706.8706360000001</v>
      </c>
      <c r="Y21" s="27">
        <f>+W21+X21</f>
        <v>39100.788655000004</v>
      </c>
      <c r="Z21" s="27">
        <f>(35520663094-35179118257)/1000000</f>
        <v>341.54483699999997</v>
      </c>
      <c r="AA21" s="27"/>
      <c r="AB21" s="27">
        <f>341544837/1000000</f>
        <v>341.54483699999997</v>
      </c>
      <c r="AC21" s="27"/>
      <c r="AD21" s="27">
        <f>+Z21+AA21+AB21+AC21</f>
        <v>683.08967399999995</v>
      </c>
      <c r="AE21" s="32">
        <v>34837.573420000001</v>
      </c>
      <c r="AF21" s="32">
        <f>+S21-AA21</f>
        <v>0</v>
      </c>
      <c r="AG21" s="32">
        <f>+T21</f>
        <v>1873.254925</v>
      </c>
      <c r="AH21" s="32">
        <v>60.824632000000001</v>
      </c>
      <c r="AI21" s="32">
        <v>291.58722299999999</v>
      </c>
      <c r="AJ21" s="27">
        <f>+SUM(AE21:AI21)</f>
        <v>37063.240200000007</v>
      </c>
      <c r="AK21" s="27">
        <f>+X21</f>
        <v>1706.8706360000001</v>
      </c>
      <c r="AL21" s="27">
        <v>1644</v>
      </c>
      <c r="AM21" s="27">
        <v>768.35397999999998</v>
      </c>
      <c r="AN21" s="27">
        <f>+SUM(AK21:AM21)</f>
        <v>4119.2246160000004</v>
      </c>
      <c r="AO21" s="27">
        <f>+AJ21+AN21</f>
        <v>41182.464816000007</v>
      </c>
      <c r="AP21" s="31" t="e">
        <f>+((#REF!-#REF!)*100)/#REF!</f>
        <v>#REF!</v>
      </c>
      <c r="AQ21" s="29" t="e">
        <f>+((#REF!-#REF!)*100)/#REF!</f>
        <v>#REF!</v>
      </c>
      <c r="AR21" s="29" t="e">
        <f>+((#REF!-#REF!)*100)/#REF!</f>
        <v>#REF!</v>
      </c>
      <c r="AS21" s="29" t="e">
        <f>+((#REF!-#REF!)*100)/#REF!</f>
        <v>#REF!</v>
      </c>
      <c r="AT21" s="29" t="e">
        <f>+((#REF!-#REF!)*100)/#REF!</f>
        <v>#REF!</v>
      </c>
      <c r="AU21" s="29" t="e">
        <f>+((F21-#REF!)*100)/#REF!</f>
        <v>#REF!</v>
      </c>
      <c r="AV21" s="29">
        <f>+((Q21-F21)*100)/F21</f>
        <v>8.7002059388708801</v>
      </c>
      <c r="AW21" s="29">
        <f>+((Y21-Q21)*100)/Q21</f>
        <v>6.6094561835066408</v>
      </c>
      <c r="AX21" s="28" t="e">
        <f>+(((Y21/#REF!)^(0.125))-1)*100</f>
        <v>#REF!</v>
      </c>
      <c r="AY21" s="29" t="e">
        <f>+((#REF!-#REF!)*100)/#REF!</f>
        <v>#REF!</v>
      </c>
      <c r="AZ21" s="29" t="e">
        <f>+((#REF!-#REF!)*100)/#REF!</f>
        <v>#REF!</v>
      </c>
      <c r="BA21" s="29" t="e">
        <f>+((#REF!-#REF!)*100)/#REF!</f>
        <v>#REF!</v>
      </c>
      <c r="BB21" s="29" t="e">
        <f>+((#REF!-#REF!)*100)/#REF!</f>
        <v>#REF!</v>
      </c>
      <c r="BC21" s="20" t="e">
        <f>+(((#REF!+#REF!)-(#REF!+#REF!))/(#REF!+#REF!))</f>
        <v>#REF!</v>
      </c>
      <c r="BD21" s="20" t="e">
        <f>+(((#REF!+#REF!)-(#REF!+#REF!))/(#REF!+#REF!))</f>
        <v>#REF!</v>
      </c>
      <c r="BE21" s="20" t="e">
        <f>+(((#REF!+#REF!)-(#REF!+#REF!))/(#REF!+#REF!))</f>
        <v>#REF!</v>
      </c>
      <c r="BF21" s="20" t="e">
        <f>+(((#REF!+#REF!)-(#REF!+#REF!))/(#REF!+#REF!))</f>
        <v>#REF!</v>
      </c>
      <c r="BG21" s="20" t="e">
        <f>+(((#REF!+#REF!)-(#REF!+#REF!))/(#REF!+#REF!))</f>
        <v>#REF!</v>
      </c>
      <c r="BH21" s="20" t="e">
        <f>+(((#REF!+#REF!)-(#REF!+#REF!))/(#REF!+#REF!))</f>
        <v>#REF!</v>
      </c>
      <c r="BI21" s="20" t="e">
        <f>+(((#REF!+#REF!)-(#REF!+#REF!))/(#REF!+#REF!))</f>
        <v>#REF!</v>
      </c>
      <c r="BJ21" s="20" t="e">
        <f>+(((#REF!+#REF!)-(#REF!+#REF!))/(#REF!+#REF!))</f>
        <v>#REF!</v>
      </c>
      <c r="BK21" s="20" t="e">
        <f>+(((#REF!+#REF!)-(#REF!+#REF!))/(#REF!+#REF!))</f>
        <v>#REF!</v>
      </c>
      <c r="BL21" s="20" t="e">
        <f>+(((#REF!+#REF!)-(#REF!+#REF!))/(#REF!+#REF!))</f>
        <v>#REF!</v>
      </c>
      <c r="BM21" s="20" t="e">
        <f>+(((#REF!+#REF!)-(#REF!+#REF!))/(#REF!+#REF!))</f>
        <v>#REF!</v>
      </c>
      <c r="BN21" s="20" t="e">
        <f>+(((#REF!+#REF!)-(#REF!+#REF!))/(#REF!+#REF!))</f>
        <v>#REF!</v>
      </c>
      <c r="BO21" s="20" t="e">
        <f>+(((#REF!+#REF!)-(#REF!+#REF!))/(#REF!+#REF!))</f>
        <v>#REF!</v>
      </c>
      <c r="BP21" s="20" t="e">
        <f>+(((#REF!+#REF!)-(#REF!+#REF!))/(#REF!+#REF!))</f>
        <v>#REF!</v>
      </c>
      <c r="BQ21" s="20" t="e">
        <f>+(((#REF!+#REF!)-(#REF!+#REF!))/(#REF!+#REF!))</f>
        <v>#REF!</v>
      </c>
      <c r="BR21" s="20" t="e">
        <f>+(((#REF!+#REF!)-(#REF!+#REF!))/(#REF!+#REF!))</f>
        <v>#REF!</v>
      </c>
      <c r="BS21" s="20" t="e">
        <f>+(((#REF!+#REF!)-(#REF!+#REF!))/(#REF!+#REF!))</f>
        <v>#REF!</v>
      </c>
      <c r="BT21" s="20" t="e">
        <f>+(((B21+E21)-(#REF!+#REF!))/(#REF!+#REF!))</f>
        <v>#REF!</v>
      </c>
      <c r="BU21" s="20">
        <f>+(((G21+P21)-(B21+E21))/(B21+E21))</f>
        <v>5.6966697414891389E-2</v>
      </c>
      <c r="BV21" s="20" t="e">
        <f>+((((G21+P21)/(#REF!+#REF!))^(1/19))-1)</f>
        <v>#REF!</v>
      </c>
      <c r="BW21" s="30">
        <v>35882.700622999997</v>
      </c>
      <c r="BX21" s="29">
        <v>1758.076755</v>
      </c>
      <c r="BY21" s="28">
        <f>+BW21+BX21</f>
        <v>37640.777377999999</v>
      </c>
      <c r="BZ21" s="27">
        <f>35882.700623+1693.32+219.005503</f>
        <v>37795.026125999997</v>
      </c>
      <c r="CA21" s="27"/>
      <c r="CB21" s="27">
        <v>538.21102699999994</v>
      </c>
      <c r="CC21" s="27">
        <v>389.59562199999999</v>
      </c>
      <c r="CD21" s="27">
        <f>+SUM(BZ21:CC21)</f>
        <v>38722.832774999995</v>
      </c>
      <c r="CE21" s="27">
        <v>1758.076755</v>
      </c>
      <c r="CF21" s="27">
        <v>827.38276599999995</v>
      </c>
      <c r="CG21" s="27">
        <f>+CE21+CF21</f>
        <v>2585.4595209999998</v>
      </c>
      <c r="CH21" s="27">
        <f>+CD21+CG21</f>
        <v>41308.292295999992</v>
      </c>
      <c r="CI21" s="27">
        <v>40268.251102000002</v>
      </c>
      <c r="CJ21" s="27"/>
      <c r="CK21" s="27">
        <f>(119517582+263940428)/1000000</f>
        <v>383.45801</v>
      </c>
      <c r="CL21" s="27">
        <f>(329969246+54219206+1144678365)/1000000</f>
        <v>1528.8668170000001</v>
      </c>
      <c r="CM21" s="27">
        <f>298801201/1000000</f>
        <v>298.80120099999999</v>
      </c>
      <c r="CN21" s="27">
        <f>+SUM(CI21:CM21)</f>
        <v>42479.377130000008</v>
      </c>
      <c r="CO21" s="27">
        <v>1810.819058</v>
      </c>
      <c r="CP21" s="27">
        <f>(818461856/1000000)+23.958933</f>
        <v>842.42078900000001</v>
      </c>
      <c r="CQ21" s="27">
        <f>+CO21+CP21</f>
        <v>2653.2398469999998</v>
      </c>
      <c r="CR21" s="27">
        <f>+CN21+CQ21</f>
        <v>45132.616977000005</v>
      </c>
    </row>
    <row r="22" spans="1:96" s="41" customFormat="1" ht="15" customHeight="1" x14ac:dyDescent="0.2">
      <c r="A22" s="43" t="s">
        <v>26</v>
      </c>
      <c r="B22" s="32">
        <v>13490.82589</v>
      </c>
      <c r="C22" s="32">
        <v>920.14896599999997</v>
      </c>
      <c r="D22" s="32"/>
      <c r="E22" s="32">
        <v>501.81657999999999</v>
      </c>
      <c r="F22" s="27">
        <f>+SUM(B22:E22)</f>
        <v>14912.791436000001</v>
      </c>
      <c r="G22" s="32">
        <f>14989.931251+220.34093</f>
        <v>15210.272181</v>
      </c>
      <c r="H22" s="32"/>
      <c r="I22" s="32">
        <f>352.757176</f>
        <v>352.75717600000002</v>
      </c>
      <c r="J22" s="32">
        <v>189.04650899999999</v>
      </c>
      <c r="K22" s="32">
        <v>202.59394599999999</v>
      </c>
      <c r="L22" s="32"/>
      <c r="M22" s="32">
        <v>414.45295399999998</v>
      </c>
      <c r="N22" s="27">
        <f>+SUM(G22:M22)</f>
        <v>16369.122766</v>
      </c>
      <c r="O22" s="32"/>
      <c r="P22" s="32">
        <f>+'[1]TOTAL POR UNIVERSIDAD'!$GI$104</f>
        <v>535.38810899999999</v>
      </c>
      <c r="Q22" s="27">
        <f>+N22+P22</f>
        <v>16904.510875</v>
      </c>
      <c r="R22" s="32">
        <v>16039.20119</v>
      </c>
      <c r="S22" s="32"/>
      <c r="T22" s="32">
        <v>805.93511699999999</v>
      </c>
      <c r="U22" s="42"/>
      <c r="V22" s="42"/>
      <c r="W22" s="27">
        <f>+R22+S22+T22+U22+V22</f>
        <v>16845.136307000001</v>
      </c>
      <c r="X22" s="32">
        <v>562.15751399999999</v>
      </c>
      <c r="Y22" s="27">
        <f>+W22+X22</f>
        <v>17407.293820999999</v>
      </c>
      <c r="Z22" s="27">
        <f>(16039201190-15884978102)/1000000</f>
        <v>154.22308799999999</v>
      </c>
      <c r="AA22" s="27"/>
      <c r="AB22" s="27">
        <f>154223088/1000000</f>
        <v>154.22308799999999</v>
      </c>
      <c r="AC22" s="27"/>
      <c r="AD22" s="27">
        <f>+Z22+AA22+AB22+AC22</f>
        <v>308.44617599999998</v>
      </c>
      <c r="AE22" s="32">
        <f>15730.755014+226.951158+676.153718</f>
        <v>16633.85989</v>
      </c>
      <c r="AF22" s="32">
        <f>+S22-AA22</f>
        <v>0</v>
      </c>
      <c r="AG22" s="32">
        <f>+T22</f>
        <v>805.93511699999999</v>
      </c>
      <c r="AH22" s="32">
        <v>71.639373000000006</v>
      </c>
      <c r="AI22" s="32">
        <v>227.678033</v>
      </c>
      <c r="AJ22" s="27">
        <f>+SUM(AE22:AI22)</f>
        <v>17739.112413000003</v>
      </c>
      <c r="AK22" s="27">
        <f>+X22</f>
        <v>562.15751399999999</v>
      </c>
      <c r="AL22" s="27">
        <v>500</v>
      </c>
      <c r="AM22" s="27">
        <v>341.97695299999998</v>
      </c>
      <c r="AN22" s="27">
        <f>+SUM(AK22:AM22)</f>
        <v>1404.1344669999999</v>
      </c>
      <c r="AO22" s="27">
        <f>+AJ22+AN22</f>
        <v>19143.246880000002</v>
      </c>
      <c r="AP22" s="31" t="e">
        <f>+((#REF!-#REF!)*100)/#REF!</f>
        <v>#REF!</v>
      </c>
      <c r="AQ22" s="29" t="e">
        <f>+((#REF!-#REF!)*100)/#REF!</f>
        <v>#REF!</v>
      </c>
      <c r="AR22" s="29" t="e">
        <f>+((#REF!-#REF!)*100)/#REF!</f>
        <v>#REF!</v>
      </c>
      <c r="AS22" s="29" t="e">
        <f>+((#REF!-#REF!)*100)/#REF!</f>
        <v>#REF!</v>
      </c>
      <c r="AT22" s="29" t="e">
        <f>+((#REF!-#REF!)*100)/#REF!</f>
        <v>#REF!</v>
      </c>
      <c r="AU22" s="29" t="e">
        <f>+((F22-#REF!)*100)/#REF!</f>
        <v>#REF!</v>
      </c>
      <c r="AV22" s="29">
        <f>+((Q22-F22)*100)/F22</f>
        <v>13.355778812757471</v>
      </c>
      <c r="AW22" s="29">
        <f>+((Y22-Q22)*100)/Q22</f>
        <v>2.9742531429499248</v>
      </c>
      <c r="AX22" s="28" t="e">
        <f>+(((Y22/#REF!)^(0.125))-1)*100</f>
        <v>#REF!</v>
      </c>
      <c r="AY22" s="29" t="e">
        <f>+((#REF!-#REF!)*100)/#REF!</f>
        <v>#REF!</v>
      </c>
      <c r="AZ22" s="29" t="e">
        <f>+((#REF!-#REF!)*100)/#REF!</f>
        <v>#REF!</v>
      </c>
      <c r="BA22" s="29" t="e">
        <f>+((#REF!-#REF!)*100)/#REF!</f>
        <v>#REF!</v>
      </c>
      <c r="BB22" s="29" t="e">
        <f>+((#REF!-#REF!)*100)/#REF!</f>
        <v>#REF!</v>
      </c>
      <c r="BC22" s="20" t="e">
        <f>+(((#REF!+#REF!)-(#REF!+#REF!))/(#REF!+#REF!))</f>
        <v>#REF!</v>
      </c>
      <c r="BD22" s="20" t="e">
        <f>+(((#REF!+#REF!)-(#REF!+#REF!))/(#REF!+#REF!))</f>
        <v>#REF!</v>
      </c>
      <c r="BE22" s="20" t="e">
        <f>+(((#REF!+#REF!)-(#REF!+#REF!))/(#REF!+#REF!))</f>
        <v>#REF!</v>
      </c>
      <c r="BF22" s="20" t="e">
        <f>+(((#REF!+#REF!)-(#REF!+#REF!))/(#REF!+#REF!))</f>
        <v>#REF!</v>
      </c>
      <c r="BG22" s="20" t="e">
        <f>+(((#REF!+#REF!)-(#REF!+#REF!))/(#REF!+#REF!))</f>
        <v>#REF!</v>
      </c>
      <c r="BH22" s="20" t="e">
        <f>+(((#REF!+#REF!)-(#REF!+#REF!))/(#REF!+#REF!))</f>
        <v>#REF!</v>
      </c>
      <c r="BI22" s="20" t="e">
        <f>+(((#REF!+#REF!)-(#REF!+#REF!))/(#REF!+#REF!))</f>
        <v>#REF!</v>
      </c>
      <c r="BJ22" s="20" t="e">
        <f>+(((#REF!+#REF!)-(#REF!+#REF!))/(#REF!+#REF!))</f>
        <v>#REF!</v>
      </c>
      <c r="BK22" s="20" t="e">
        <f>+(((#REF!+#REF!)-(#REF!+#REF!))/(#REF!+#REF!))</f>
        <v>#REF!</v>
      </c>
      <c r="BL22" s="20" t="e">
        <f>+(((#REF!+#REF!)-(#REF!+#REF!))/(#REF!+#REF!))</f>
        <v>#REF!</v>
      </c>
      <c r="BM22" s="20" t="e">
        <f>+(((#REF!+#REF!)-(#REF!+#REF!))/(#REF!+#REF!))</f>
        <v>#REF!</v>
      </c>
      <c r="BN22" s="20" t="e">
        <f>+(((#REF!+#REF!)-(#REF!+#REF!))/(#REF!+#REF!))</f>
        <v>#REF!</v>
      </c>
      <c r="BO22" s="20" t="e">
        <f>+(((#REF!+#REF!)-(#REF!+#REF!))/(#REF!+#REF!))</f>
        <v>#REF!</v>
      </c>
      <c r="BP22" s="20" t="e">
        <f>+(((#REF!+#REF!)-(#REF!+#REF!))/(#REF!+#REF!))</f>
        <v>#REF!</v>
      </c>
      <c r="BQ22" s="20" t="e">
        <f>+(((#REF!+#REF!)-(#REF!+#REF!))/(#REF!+#REF!))</f>
        <v>#REF!</v>
      </c>
      <c r="BR22" s="20" t="e">
        <f>+(((#REF!+#REF!)-(#REF!+#REF!))/(#REF!+#REF!))</f>
        <v>#REF!</v>
      </c>
      <c r="BS22" s="20" t="e">
        <f>+(((#REF!+#REF!)-(#REF!+#REF!))/(#REF!+#REF!))</f>
        <v>#REF!</v>
      </c>
      <c r="BT22" s="20" t="e">
        <f>+(((B22+E22)-(#REF!+#REF!))/(#REF!+#REF!))</f>
        <v>#REF!</v>
      </c>
      <c r="BU22" s="20">
        <f>+(((G22+P22)-(B22+E22))/(B22+E22))</f>
        <v>0.12528139868923549</v>
      </c>
      <c r="BV22" s="20" t="e">
        <f>+((((G22+P22)/(#REF!+#REF!))^(1/19))-1)</f>
        <v>#REF!</v>
      </c>
      <c r="BW22" s="30">
        <v>16436.437356999999</v>
      </c>
      <c r="BX22" s="29">
        <v>579.02224000000001</v>
      </c>
      <c r="BY22" s="28">
        <f>+BW22+BX22</f>
        <v>17015.459596999997</v>
      </c>
      <c r="BZ22" s="27">
        <f>16436.437357+515+184.607078</f>
        <v>17136.044435</v>
      </c>
      <c r="CA22" s="27"/>
      <c r="CB22" s="27">
        <v>453.67611199999999</v>
      </c>
      <c r="CC22" s="27">
        <v>349.80898400000001</v>
      </c>
      <c r="CD22" s="27">
        <f>+SUM(BZ22:CC22)</f>
        <v>17939.529531</v>
      </c>
      <c r="CE22" s="27">
        <v>579.02224000000001</v>
      </c>
      <c r="CF22" s="27">
        <v>372.34693900000002</v>
      </c>
      <c r="CG22" s="27">
        <f>+CE22+CF22</f>
        <v>951.36917900000003</v>
      </c>
      <c r="CH22" s="27">
        <f>+CD22+CG22</f>
        <v>18890.898710000001</v>
      </c>
      <c r="CI22" s="27">
        <v>20315.975702</v>
      </c>
      <c r="CJ22" s="27"/>
      <c r="CK22" s="27">
        <f>(750754392+124419444)/1000000</f>
        <v>875.17383600000005</v>
      </c>
      <c r="CL22" s="27">
        <f>(278142136+45703186+1157562833)/1000000</f>
        <v>1481.4081550000001</v>
      </c>
      <c r="CM22" s="27">
        <f>285125600/1000000</f>
        <v>285.12560000000002</v>
      </c>
      <c r="CN22" s="27">
        <f>+SUM(CI22:CM22)</f>
        <v>22957.683293000002</v>
      </c>
      <c r="CO22" s="27">
        <v>596.39290700000004</v>
      </c>
      <c r="CP22" s="27">
        <f>(394868440/1000000)+38.201377</f>
        <v>433.069817</v>
      </c>
      <c r="CQ22" s="27">
        <f>+CO22+CP22</f>
        <v>1029.462724</v>
      </c>
      <c r="CR22" s="27">
        <f>+CN22+CQ22</f>
        <v>23987.146017000003</v>
      </c>
    </row>
    <row r="23" spans="1:96" ht="15" customHeight="1" x14ac:dyDescent="0.2">
      <c r="A23" s="40" t="s">
        <v>25</v>
      </c>
      <c r="B23" s="27">
        <v>10873.203078</v>
      </c>
      <c r="C23" s="27">
        <v>738.95419300000003</v>
      </c>
      <c r="D23" s="27"/>
      <c r="E23" s="27">
        <v>731.77487099999996</v>
      </c>
      <c r="F23" s="27">
        <f>+SUM(B23:E23)</f>
        <v>12343.932142</v>
      </c>
      <c r="G23" s="27">
        <f>11940.317558+226.303568</f>
        <v>12166.621126</v>
      </c>
      <c r="H23" s="27"/>
      <c r="I23" s="27">
        <f>269.113982</f>
        <v>269.11398200000002</v>
      </c>
      <c r="J23" s="27">
        <v>154.711951</v>
      </c>
      <c r="K23" s="27">
        <v>305.97107299999999</v>
      </c>
      <c r="L23" s="27"/>
      <c r="M23" s="27">
        <v>425.668451</v>
      </c>
      <c r="N23" s="27">
        <f>+SUM(G23:M23)</f>
        <v>13322.086583</v>
      </c>
      <c r="O23" s="27"/>
      <c r="P23" s="27">
        <f>+'[1]TOTAL POR UNIVERSIDAD'!$GI$112</f>
        <v>780.73060999999996</v>
      </c>
      <c r="Q23" s="27">
        <f>+N23+P23</f>
        <v>14102.817193000001</v>
      </c>
      <c r="R23" s="27">
        <v>12801.649584000001</v>
      </c>
      <c r="S23" s="27"/>
      <c r="T23" s="27">
        <v>659.56147599999997</v>
      </c>
      <c r="U23" s="39"/>
      <c r="V23" s="39"/>
      <c r="W23" s="27">
        <f>+R23+S23+T23+U23+V23</f>
        <v>13461.211060000001</v>
      </c>
      <c r="X23" s="27">
        <v>819.76714100000004</v>
      </c>
      <c r="Y23" s="27">
        <f>+W23+X23</f>
        <v>14280.978201000002</v>
      </c>
      <c r="Z23" s="27">
        <f>(12801649584-12678556800)/1000000</f>
        <v>123.09278399999999</v>
      </c>
      <c r="AA23" s="27"/>
      <c r="AB23" s="27">
        <f>123092785/1000000</f>
        <v>123.09278500000001</v>
      </c>
      <c r="AC23" s="27"/>
      <c r="AD23" s="27">
        <f>+Z23+AA23+AB23+AC23</f>
        <v>246.18556899999999</v>
      </c>
      <c r="AE23" s="32">
        <f>12555.464015+233.092675+666.021574</f>
        <v>13454.578264</v>
      </c>
      <c r="AF23" s="32">
        <f>+S23-AA23</f>
        <v>0</v>
      </c>
      <c r="AG23" s="32">
        <f>+T23</f>
        <v>659.56147599999997</v>
      </c>
      <c r="AH23" s="32">
        <v>70.565859000000003</v>
      </c>
      <c r="AI23" s="32">
        <v>293.87588499999998</v>
      </c>
      <c r="AJ23" s="27">
        <f>+SUM(AE23:AI23)</f>
        <v>14478.581484</v>
      </c>
      <c r="AK23" s="27">
        <f>+X23</f>
        <v>819.76714100000004</v>
      </c>
      <c r="AL23" s="27"/>
      <c r="AM23" s="27">
        <v>280.695853</v>
      </c>
      <c r="AN23" s="27">
        <f>+SUM(AK23:AM23)</f>
        <v>1100.462994</v>
      </c>
      <c r="AO23" s="27">
        <f>+AJ23+AN23</f>
        <v>15579.044478</v>
      </c>
      <c r="AP23" s="31" t="e">
        <f>+((#REF!-#REF!)*100)/#REF!</f>
        <v>#REF!</v>
      </c>
      <c r="AQ23" s="29" t="e">
        <f>+((#REF!-#REF!)*100)/#REF!</f>
        <v>#REF!</v>
      </c>
      <c r="AR23" s="29" t="e">
        <f>+((#REF!-#REF!)*100)/#REF!</f>
        <v>#REF!</v>
      </c>
      <c r="AS23" s="29" t="e">
        <f>+((#REF!-#REF!)*100)/#REF!</f>
        <v>#REF!</v>
      </c>
      <c r="AT23" s="29" t="e">
        <f>+((#REF!-#REF!)*100)/#REF!</f>
        <v>#REF!</v>
      </c>
      <c r="AU23" s="29" t="e">
        <f>+((F23-#REF!)*100)/#REF!</f>
        <v>#REF!</v>
      </c>
      <c r="AV23" s="29">
        <f>+((Q23-F23)*100)/F23</f>
        <v>14.24898509459095</v>
      </c>
      <c r="AW23" s="29">
        <f>+((Y23-Q23)*100)/Q23</f>
        <v>1.2633008395544685</v>
      </c>
      <c r="AX23" s="28" t="e">
        <f>+(((Y23/#REF!)^(0.125))-1)*100</f>
        <v>#REF!</v>
      </c>
      <c r="AY23" s="29" t="e">
        <f>+((#REF!-#REF!)*100)/#REF!</f>
        <v>#REF!</v>
      </c>
      <c r="AZ23" s="29" t="e">
        <f>+((#REF!-#REF!)*100)/#REF!</f>
        <v>#REF!</v>
      </c>
      <c r="BA23" s="29" t="e">
        <f>+((#REF!-#REF!)*100)/#REF!</f>
        <v>#REF!</v>
      </c>
      <c r="BB23" s="29" t="e">
        <f>+((#REF!-#REF!)*100)/#REF!</f>
        <v>#REF!</v>
      </c>
      <c r="BC23" s="20" t="e">
        <f>+(((#REF!+#REF!)-(#REF!+#REF!))/(#REF!+#REF!))</f>
        <v>#REF!</v>
      </c>
      <c r="BD23" s="20" t="e">
        <f>+(((#REF!+#REF!)-(#REF!+#REF!))/(#REF!+#REF!))</f>
        <v>#REF!</v>
      </c>
      <c r="BE23" s="20" t="e">
        <f>+(((#REF!+#REF!)-(#REF!+#REF!))/(#REF!+#REF!))</f>
        <v>#REF!</v>
      </c>
      <c r="BF23" s="20" t="e">
        <f>+(((#REF!+#REF!)-(#REF!+#REF!))/(#REF!+#REF!))</f>
        <v>#REF!</v>
      </c>
      <c r="BG23" s="20" t="e">
        <f>+(((#REF!+#REF!)-(#REF!+#REF!))/(#REF!+#REF!))</f>
        <v>#REF!</v>
      </c>
      <c r="BH23" s="20" t="e">
        <f>+(((#REF!+#REF!)-(#REF!+#REF!))/(#REF!+#REF!))</f>
        <v>#REF!</v>
      </c>
      <c r="BI23" s="20" t="e">
        <f>+(((#REF!+#REF!)-(#REF!+#REF!))/(#REF!+#REF!))</f>
        <v>#REF!</v>
      </c>
      <c r="BJ23" s="20" t="e">
        <f>+(((#REF!+#REF!)-(#REF!+#REF!))/(#REF!+#REF!))</f>
        <v>#REF!</v>
      </c>
      <c r="BK23" s="20" t="e">
        <f>+(((#REF!+#REF!)-(#REF!+#REF!))/(#REF!+#REF!))</f>
        <v>#REF!</v>
      </c>
      <c r="BL23" s="20" t="e">
        <f>+(((#REF!+#REF!)-(#REF!+#REF!))/(#REF!+#REF!))</f>
        <v>#REF!</v>
      </c>
      <c r="BM23" s="20" t="e">
        <f>+(((#REF!+#REF!)-(#REF!+#REF!))/(#REF!+#REF!))</f>
        <v>#REF!</v>
      </c>
      <c r="BN23" s="20" t="e">
        <f>+(((#REF!+#REF!)-(#REF!+#REF!))/(#REF!+#REF!))</f>
        <v>#REF!</v>
      </c>
      <c r="BO23" s="20" t="e">
        <f>+(((#REF!+#REF!)-(#REF!+#REF!))/(#REF!+#REF!))</f>
        <v>#REF!</v>
      </c>
      <c r="BP23" s="20" t="e">
        <f>+(((#REF!+#REF!)-(#REF!+#REF!))/(#REF!+#REF!))</f>
        <v>#REF!</v>
      </c>
      <c r="BQ23" s="20" t="e">
        <f>+(((#REF!+#REF!)-(#REF!+#REF!))/(#REF!+#REF!))</f>
        <v>#REF!</v>
      </c>
      <c r="BR23" s="20" t="e">
        <f>+(((#REF!+#REF!)-(#REF!+#REF!))/(#REF!+#REF!))</f>
        <v>#REF!</v>
      </c>
      <c r="BS23" s="20" t="e">
        <f>+(((#REF!+#REF!)-(#REF!+#REF!))/(#REF!+#REF!))</f>
        <v>#REF!</v>
      </c>
      <c r="BT23" s="20" t="e">
        <f>+(((B23+E23)-(#REF!+#REF!))/(#REF!+#REF!))</f>
        <v>#REF!</v>
      </c>
      <c r="BU23" s="20">
        <f>+(((G23+P23)-(B23+E23))/(B23+E23))</f>
        <v>0.11567223935274024</v>
      </c>
      <c r="BV23" s="20" t="e">
        <f>+((((G23+P23)/(#REF!+#REF!))^(1/19))-1)</f>
        <v>#REF!</v>
      </c>
      <c r="BW23" s="30">
        <v>13172.213390999999</v>
      </c>
      <c r="BX23" s="29">
        <v>844.36015499999996</v>
      </c>
      <c r="BY23" s="28">
        <f>+BW23+BX23</f>
        <v>14016.573546</v>
      </c>
      <c r="BZ23" s="27">
        <f>13172.213391+0</f>
        <v>13172.213390999999</v>
      </c>
      <c r="CA23" s="27"/>
      <c r="CB23" s="27">
        <v>465.89434799999998</v>
      </c>
      <c r="CC23" s="27">
        <v>454.649</v>
      </c>
      <c r="CD23" s="27">
        <f>+SUM(BZ23:CC23)</f>
        <v>14092.756738999999</v>
      </c>
      <c r="CE23" s="27">
        <v>844.36015499999996</v>
      </c>
      <c r="CF23" s="27">
        <v>301.285327</v>
      </c>
      <c r="CG23" s="27">
        <f>+CE23+CF23</f>
        <v>1145.6454819999999</v>
      </c>
      <c r="CH23" s="27">
        <f>+CD23+CG23</f>
        <v>15238.402220999998</v>
      </c>
      <c r="CI23" s="27">
        <v>16193.204175000001</v>
      </c>
      <c r="CJ23" s="27"/>
      <c r="CK23" s="27">
        <f>(728850094+98372505)/1000000</f>
        <v>827.22259899999995</v>
      </c>
      <c r="CL23" s="27">
        <f>(285632956+46934047+1185772565)/1000000</f>
        <v>1518.3395680000001</v>
      </c>
      <c r="CM23" s="27">
        <f>340005784/1000000</f>
        <v>340.00578400000001</v>
      </c>
      <c r="CN23" s="27">
        <f>+SUM(CI23:CM23)</f>
        <v>18878.772126</v>
      </c>
      <c r="CO23" s="27">
        <v>869.69096000000002</v>
      </c>
      <c r="CP23" s="27">
        <f>(317897918/1000000)+39.284076</f>
        <v>357.18199400000003</v>
      </c>
      <c r="CQ23" s="27">
        <f>+CO23+CP23</f>
        <v>1226.8729539999999</v>
      </c>
      <c r="CR23" s="27">
        <f>+CN23+CQ23</f>
        <v>20105.645079999998</v>
      </c>
    </row>
    <row r="24" spans="1:96" ht="15" customHeight="1" x14ac:dyDescent="0.2">
      <c r="A24" s="40" t="s">
        <v>24</v>
      </c>
      <c r="B24" s="27">
        <v>6292.3336609999997</v>
      </c>
      <c r="C24" s="27">
        <v>814.94506200000001</v>
      </c>
      <c r="D24" s="27"/>
      <c r="E24" s="27">
        <v>315.05759999999998</v>
      </c>
      <c r="F24" s="27">
        <f>+SUM(B24:E24)</f>
        <v>7422.3363229999995</v>
      </c>
      <c r="G24" s="27">
        <f>6637.813988+221.52781</f>
        <v>6859.3417979999995</v>
      </c>
      <c r="H24" s="27"/>
      <c r="I24" s="27">
        <f>145.387802</f>
        <v>145.38780199999999</v>
      </c>
      <c r="J24" s="27">
        <v>86.200295999999994</v>
      </c>
      <c r="K24" s="27">
        <v>3.8257859999999999</v>
      </c>
      <c r="L24" s="27"/>
      <c r="M24" s="27">
        <v>416.68543099999999</v>
      </c>
      <c r="N24" s="27">
        <f>+SUM(G24:M24)</f>
        <v>7511.4411129999999</v>
      </c>
      <c r="O24" s="27"/>
      <c r="P24" s="27">
        <f>+'[1]TOTAL POR UNIVERSIDAD'!$GI$120</f>
        <v>336.134953</v>
      </c>
      <c r="Q24" s="27">
        <f>+N24+P24</f>
        <v>7847.5760659999996</v>
      </c>
      <c r="R24" s="27">
        <v>6201.5444680000001</v>
      </c>
      <c r="S24" s="27"/>
      <c r="T24" s="27">
        <v>367.48547200000002</v>
      </c>
      <c r="U24" s="39"/>
      <c r="V24" s="39"/>
      <c r="W24" s="27">
        <f>+R24+S24+T24+U24+V24</f>
        <v>6569.0299400000004</v>
      </c>
      <c r="X24" s="27">
        <v>352.94170100000002</v>
      </c>
      <c r="Y24" s="27">
        <f>+W24+X24</f>
        <v>6921.9716410000001</v>
      </c>
      <c r="Z24" s="27">
        <f>(7112738463-7044346747)/1000000</f>
        <v>68.391716000000002</v>
      </c>
      <c r="AA24" s="27"/>
      <c r="AB24" s="27">
        <f>68391716/1000000</f>
        <v>68.391716000000002</v>
      </c>
      <c r="AC24" s="27"/>
      <c r="AD24" s="27">
        <f>+Z24+AA24+AB24+AC24</f>
        <v>136.783432</v>
      </c>
      <c r="AE24" s="32">
        <f>6975.955031+228.173644+604.100424</f>
        <v>7808.229099000001</v>
      </c>
      <c r="AF24" s="32">
        <f>+S24-AA24</f>
        <v>0</v>
      </c>
      <c r="AG24" s="32">
        <f>+T24</f>
        <v>367.48547200000002</v>
      </c>
      <c r="AH24" s="32">
        <v>64.005232000000007</v>
      </c>
      <c r="AI24" s="32">
        <v>2.0376270000000001</v>
      </c>
      <c r="AJ24" s="27">
        <f>+SUM(AE24:AI24)</f>
        <v>8241.7574300000015</v>
      </c>
      <c r="AK24" s="27">
        <f>+X24</f>
        <v>352.94170100000002</v>
      </c>
      <c r="AL24" s="27">
        <v>771</v>
      </c>
      <c r="AM24" s="27">
        <v>153.92764399999999</v>
      </c>
      <c r="AN24" s="27">
        <f>+SUM(AK24:AM24)</f>
        <v>1277.8693450000001</v>
      </c>
      <c r="AO24" s="27">
        <f>+AJ24+AN24</f>
        <v>9519.6267750000006</v>
      </c>
      <c r="AP24" s="31" t="e">
        <f>+((#REF!-#REF!)*100)/#REF!</f>
        <v>#REF!</v>
      </c>
      <c r="AQ24" s="29" t="e">
        <f>+((#REF!-#REF!)*100)/#REF!</f>
        <v>#REF!</v>
      </c>
      <c r="AR24" s="29" t="e">
        <f>+((#REF!-#REF!)*100)/#REF!</f>
        <v>#REF!</v>
      </c>
      <c r="AS24" s="29" t="e">
        <f>+((#REF!-#REF!)*100)/#REF!</f>
        <v>#REF!</v>
      </c>
      <c r="AT24" s="29" t="e">
        <f>+((#REF!-#REF!)*100)/#REF!</f>
        <v>#REF!</v>
      </c>
      <c r="AU24" s="29" t="e">
        <f>+((F24-#REF!)*100)/#REF!</f>
        <v>#REF!</v>
      </c>
      <c r="AV24" s="29">
        <f>+((Q24-F24)*100)/F24</f>
        <v>5.7291899005207627</v>
      </c>
      <c r="AW24" s="29">
        <f>+((Y24-Q24)*100)/Q24</f>
        <v>-11.794781181035315</v>
      </c>
      <c r="AX24" s="28" t="e">
        <f>+(((Y24/#REF!)^(0.125))-1)*100</f>
        <v>#REF!</v>
      </c>
      <c r="AY24" s="29"/>
      <c r="AZ24" s="29" t="e">
        <f>+((#REF!-#REF!)*100)/#REF!</f>
        <v>#REF!</v>
      </c>
      <c r="BA24" s="29" t="e">
        <f>+((#REF!-#REF!)*100)/#REF!</f>
        <v>#REF!</v>
      </c>
      <c r="BB24" s="29" t="e">
        <f>+((#REF!-#REF!)*100)/#REF!</f>
        <v>#REF!</v>
      </c>
      <c r="BC24" s="20" t="e">
        <f>+(((#REF!+#REF!)-(#REF!+#REF!))/(#REF!+#REF!))</f>
        <v>#REF!</v>
      </c>
      <c r="BD24" s="20" t="e">
        <f>+(((#REF!+#REF!)-(#REF!+#REF!))/(#REF!+#REF!))</f>
        <v>#REF!</v>
      </c>
      <c r="BE24" s="20" t="e">
        <f>+(((#REF!+#REF!)-(#REF!+#REF!))/(#REF!+#REF!))</f>
        <v>#REF!</v>
      </c>
      <c r="BF24" s="20" t="e">
        <f>+(((#REF!+#REF!)-(#REF!+#REF!))/(#REF!+#REF!))</f>
        <v>#REF!</v>
      </c>
      <c r="BG24" s="20" t="e">
        <f>+(((#REF!+#REF!)-(#REF!+#REF!))/(#REF!+#REF!))</f>
        <v>#REF!</v>
      </c>
      <c r="BH24" s="20" t="e">
        <f>+(((#REF!+#REF!)-(#REF!+#REF!))/(#REF!+#REF!))</f>
        <v>#REF!</v>
      </c>
      <c r="BI24" s="20" t="e">
        <f>+(((#REF!+#REF!)-(#REF!+#REF!))/(#REF!+#REF!))</f>
        <v>#REF!</v>
      </c>
      <c r="BJ24" s="20" t="e">
        <f>+(((#REF!+#REF!)-(#REF!+#REF!))/(#REF!+#REF!))</f>
        <v>#REF!</v>
      </c>
      <c r="BK24" s="20" t="e">
        <f>+(((#REF!+#REF!)-(#REF!+#REF!))/(#REF!+#REF!))</f>
        <v>#REF!</v>
      </c>
      <c r="BL24" s="20" t="e">
        <f>+(((#REF!+#REF!)-(#REF!+#REF!))/(#REF!+#REF!))</f>
        <v>#REF!</v>
      </c>
      <c r="BM24" s="20" t="e">
        <f>+(((#REF!+#REF!)-(#REF!+#REF!))/(#REF!+#REF!))</f>
        <v>#REF!</v>
      </c>
      <c r="BN24" s="20" t="e">
        <f>+(((#REF!+#REF!)-(#REF!+#REF!))/(#REF!+#REF!))</f>
        <v>#REF!</v>
      </c>
      <c r="BO24" s="20" t="e">
        <f>+(((#REF!+#REF!)-(#REF!+#REF!))/(#REF!+#REF!))</f>
        <v>#REF!</v>
      </c>
      <c r="BP24" s="20" t="e">
        <f>+(((#REF!+#REF!)-(#REF!+#REF!))/(#REF!+#REF!))</f>
        <v>#REF!</v>
      </c>
      <c r="BQ24" s="20" t="e">
        <f>+(((#REF!+#REF!)-(#REF!+#REF!))/(#REF!+#REF!))</f>
        <v>#REF!</v>
      </c>
      <c r="BR24" s="20" t="e">
        <f>+(((#REF!+#REF!)-(#REF!+#REF!))/(#REF!+#REF!))</f>
        <v>#REF!</v>
      </c>
      <c r="BS24" s="20" t="e">
        <f>+(((#REF!+#REF!)-(#REF!+#REF!))/(#REF!+#REF!))</f>
        <v>#REF!</v>
      </c>
      <c r="BT24" s="20" t="e">
        <f>+(((B24+E24)-(#REF!+#REF!))/(#REF!+#REF!))</f>
        <v>#REF!</v>
      </c>
      <c r="BU24" s="20">
        <f>+(((G24+P24)-(B24+E24))/(B24+E24))</f>
        <v>8.9004187397099185E-2</v>
      </c>
      <c r="BV24" s="20" t="e">
        <f>+((((G24+P24)/(#REF!+#REF!))^(1/19))-1)</f>
        <v>#REF!</v>
      </c>
      <c r="BW24" s="30">
        <v>7420.2525349999996</v>
      </c>
      <c r="BX24" s="29">
        <v>363.52995199999998</v>
      </c>
      <c r="BY24" s="28">
        <f>+BW24+BX24</f>
        <v>7783.7824869999995</v>
      </c>
      <c r="BZ24" s="27">
        <f>7420.252535+794.13+225.757837</f>
        <v>8440.140371999998</v>
      </c>
      <c r="CA24" s="27"/>
      <c r="CB24" s="27">
        <v>554.80504099999996</v>
      </c>
      <c r="CC24" s="27">
        <v>10.559125999999999</v>
      </c>
      <c r="CD24" s="27">
        <f>+SUM(BZ24:CC24)</f>
        <v>9005.5045389999977</v>
      </c>
      <c r="CE24" s="27">
        <v>363.52995199999998</v>
      </c>
      <c r="CF24" s="27">
        <v>178.91460599999999</v>
      </c>
      <c r="CG24" s="27">
        <f>+CE24+CF24</f>
        <v>542.44455799999992</v>
      </c>
      <c r="CH24" s="27">
        <f>+CD24+CG24</f>
        <v>9547.949096999997</v>
      </c>
      <c r="CI24" s="27">
        <v>11971.714583999999</v>
      </c>
      <c r="CJ24" s="27"/>
      <c r="CK24" s="27">
        <f>(647671465+61404472)/1000000</f>
        <v>709.07593699999995</v>
      </c>
      <c r="CL24" s="27">
        <f>(340142791+55890881+1041900466)/1000000</f>
        <v>1437.9341380000001</v>
      </c>
      <c r="CM24" s="27">
        <f>14051356/1000000</f>
        <v>14.051356</v>
      </c>
      <c r="CN24" s="27">
        <f>+SUM(CI24:CM24)</f>
        <v>14132.776014999999</v>
      </c>
      <c r="CO24" s="27">
        <v>374.43585100000001</v>
      </c>
      <c r="CP24" s="27">
        <f>(207406130/1000000)+47.355795</f>
        <v>254.76192499999999</v>
      </c>
      <c r="CQ24" s="27">
        <f>+CO24+CP24</f>
        <v>629.19777599999998</v>
      </c>
      <c r="CR24" s="27">
        <f>+CN24+CQ24</f>
        <v>14761.973791</v>
      </c>
    </row>
    <row r="25" spans="1:96" ht="15" customHeight="1" x14ac:dyDescent="0.2">
      <c r="A25" s="40" t="s">
        <v>23</v>
      </c>
      <c r="B25" s="27">
        <v>5073.7276879999999</v>
      </c>
      <c r="C25" s="27">
        <v>1135.7068409999999</v>
      </c>
      <c r="D25" s="27"/>
      <c r="E25" s="27">
        <v>0</v>
      </c>
      <c r="F25" s="27">
        <f>+SUM(B25:E25)</f>
        <v>6209.4345290000001</v>
      </c>
      <c r="G25" s="27">
        <f>5800.378008</f>
        <v>5800.3780079999997</v>
      </c>
      <c r="H25" s="27"/>
      <c r="I25" s="27">
        <f>134.755271</f>
        <v>134.75527099999999</v>
      </c>
      <c r="J25" s="27">
        <v>71.313261999999995</v>
      </c>
      <c r="K25" s="27">
        <v>1342.9179469999999</v>
      </c>
      <c r="L25" s="27"/>
      <c r="M25" s="27">
        <v>428.68303100000003</v>
      </c>
      <c r="N25" s="27">
        <f>+SUM(G25:M25)</f>
        <v>7778.0475189999997</v>
      </c>
      <c r="O25" s="27"/>
      <c r="P25" s="27">
        <v>0</v>
      </c>
      <c r="Q25" s="27">
        <f>+N25+P25</f>
        <v>7778.0475189999997</v>
      </c>
      <c r="R25" s="27">
        <v>7112.7384629999997</v>
      </c>
      <c r="S25" s="27"/>
      <c r="T25" s="27">
        <v>304.01969700000001</v>
      </c>
      <c r="U25" s="39"/>
      <c r="V25" s="39"/>
      <c r="W25" s="27">
        <f>+R25+S25+T25+U25+V25</f>
        <v>7416.7581599999994</v>
      </c>
      <c r="X25" s="27"/>
      <c r="Y25" s="27">
        <f>+W25+X25</f>
        <v>7416.7581599999994</v>
      </c>
      <c r="Z25" s="27">
        <f>(6201544468-6141914233)/1000000</f>
        <v>59.630234999999999</v>
      </c>
      <c r="AA25" s="27"/>
      <c r="AB25" s="27">
        <f>59630235/1000000</f>
        <v>59.630234999999999</v>
      </c>
      <c r="AC25" s="27"/>
      <c r="AD25" s="27">
        <f>+Z25+AA25+AB25+AC25</f>
        <v>119.26047</v>
      </c>
      <c r="AE25" s="32">
        <v>6082.2839979999999</v>
      </c>
      <c r="AF25" s="32">
        <f>+S25-AA25</f>
        <v>0</v>
      </c>
      <c r="AG25" s="32">
        <f>+T25</f>
        <v>304.01969700000001</v>
      </c>
      <c r="AH25" s="32">
        <v>67.630595999999997</v>
      </c>
      <c r="AI25" s="32">
        <v>1357.8985749999999</v>
      </c>
      <c r="AJ25" s="27">
        <f>+SUM(AE25:AI25)</f>
        <v>7811.8328659999997</v>
      </c>
      <c r="AK25" s="27">
        <f>+X25</f>
        <v>0</v>
      </c>
      <c r="AL25" s="27">
        <v>2301</v>
      </c>
      <c r="AM25" s="27">
        <v>127.726074</v>
      </c>
      <c r="AN25" s="27">
        <f>+SUM(AK25:AM25)</f>
        <v>2428.7260740000002</v>
      </c>
      <c r="AO25" s="27">
        <f>+AJ25+AN25</f>
        <v>10240.558939999999</v>
      </c>
      <c r="AP25" s="31"/>
      <c r="AQ25" s="29" t="e">
        <f>+((#REF!-#REF!)*100)/#REF!</f>
        <v>#REF!</v>
      </c>
      <c r="AR25" s="29" t="e">
        <f>+((#REF!-#REF!)*100)/#REF!</f>
        <v>#REF!</v>
      </c>
      <c r="AS25" s="29" t="e">
        <f>+((#REF!-#REF!)*100)/#REF!</f>
        <v>#REF!</v>
      </c>
      <c r="AT25" s="29" t="e">
        <f>+((#REF!-#REF!)*100)/#REF!</f>
        <v>#REF!</v>
      </c>
      <c r="AU25" s="29" t="e">
        <f>+((F25-#REF!)*100)/#REF!</f>
        <v>#REF!</v>
      </c>
      <c r="AV25" s="29">
        <f>+((Q25-F25)*100)/F25</f>
        <v>25.261768727475694</v>
      </c>
      <c r="AW25" s="29">
        <f>+((Y25-Q25)*100)/Q25</f>
        <v>-4.6449878085400309</v>
      </c>
      <c r="AX25" s="28" t="e">
        <f>+(((Y25/#REF!)^(1/7))-1)*100</f>
        <v>#REF!</v>
      </c>
      <c r="AY25" s="29"/>
      <c r="AZ25" s="29"/>
      <c r="BA25" s="29" t="e">
        <f>+((#REF!-#REF!)*100)/#REF!</f>
        <v>#REF!</v>
      </c>
      <c r="BB25" s="29" t="e">
        <f>+((#REF!-#REF!)*100)/#REF!</f>
        <v>#REF!</v>
      </c>
      <c r="BC25" s="20" t="e">
        <f>+(((#REF!+#REF!)-(#REF!+#REF!))/(#REF!+#REF!))</f>
        <v>#REF!</v>
      </c>
      <c r="BD25" s="20" t="e">
        <f>+(((#REF!+#REF!)-(#REF!+#REF!))/(#REF!+#REF!))</f>
        <v>#REF!</v>
      </c>
      <c r="BE25" s="20" t="e">
        <f>+(((#REF!+#REF!)-(#REF!+#REF!))/(#REF!+#REF!))</f>
        <v>#REF!</v>
      </c>
      <c r="BF25" s="20" t="e">
        <f>+(((#REF!+#REF!)-(#REF!+#REF!))/(#REF!+#REF!))</f>
        <v>#REF!</v>
      </c>
      <c r="BG25" s="20" t="e">
        <f>+(((#REF!+#REF!)-(#REF!+#REF!))/(#REF!+#REF!))</f>
        <v>#REF!</v>
      </c>
      <c r="BH25" s="20" t="e">
        <f>+(((#REF!+#REF!)-(#REF!+#REF!))/(#REF!+#REF!))</f>
        <v>#REF!</v>
      </c>
      <c r="BI25" s="20" t="e">
        <f>+(((#REF!+#REF!)-(#REF!+#REF!))/(#REF!+#REF!))</f>
        <v>#REF!</v>
      </c>
      <c r="BJ25" s="20" t="e">
        <f>+(((#REF!+#REF!)-(#REF!+#REF!))/(#REF!+#REF!))</f>
        <v>#REF!</v>
      </c>
      <c r="BK25" s="20" t="e">
        <f>+(((#REF!+#REF!)-(#REF!+#REF!))/(#REF!+#REF!))</f>
        <v>#REF!</v>
      </c>
      <c r="BL25" s="20" t="e">
        <f>+(((#REF!+#REF!)-(#REF!+#REF!))/(#REF!+#REF!))</f>
        <v>#REF!</v>
      </c>
      <c r="BM25" s="20" t="e">
        <f>+(((#REF!+#REF!)-(#REF!+#REF!))/(#REF!+#REF!))</f>
        <v>#REF!</v>
      </c>
      <c r="BN25" s="20" t="e">
        <f>+(((#REF!+#REF!)-(#REF!+#REF!))/(#REF!+#REF!))</f>
        <v>#REF!</v>
      </c>
      <c r="BO25" s="20" t="e">
        <f>+(((#REF!+#REF!)-(#REF!+#REF!))/(#REF!+#REF!))</f>
        <v>#REF!</v>
      </c>
      <c r="BP25" s="20" t="e">
        <f>+(((#REF!+#REF!)-(#REF!+#REF!))/(#REF!+#REF!))</f>
        <v>#REF!</v>
      </c>
      <c r="BQ25" s="20" t="e">
        <f>+(((#REF!+#REF!)-(#REF!+#REF!))/(#REF!+#REF!))</f>
        <v>#REF!</v>
      </c>
      <c r="BR25" s="20" t="e">
        <f>+(((#REF!+#REF!)-(#REF!+#REF!))/(#REF!+#REF!))</f>
        <v>#REF!</v>
      </c>
      <c r="BS25" s="20" t="e">
        <f>+(((#REF!+#REF!)-(#REF!+#REF!))/(#REF!+#REF!))</f>
        <v>#REF!</v>
      </c>
      <c r="BT25" s="20" t="e">
        <f>+(((B25+E25)-(#REF!+#REF!))/(#REF!+#REF!))</f>
        <v>#REF!</v>
      </c>
      <c r="BU25" s="20">
        <f>+(((G25+P25)-(B25+E25))/(B25+E25))</f>
        <v>0.14321823414343238</v>
      </c>
      <c r="BV25" s="20" t="e">
        <f>+((((G25+P25)/(#REF!+#REF!))^(1/19))-1)</f>
        <v>#REF!</v>
      </c>
      <c r="BW25" s="30">
        <v>6264.7525180000002</v>
      </c>
      <c r="BX25" s="29"/>
      <c r="BY25" s="28">
        <f>+BW25+BX25</f>
        <v>6264.7525180000002</v>
      </c>
      <c r="BZ25" s="27">
        <f>6264.752518+2370.03</f>
        <v>8634.782518</v>
      </c>
      <c r="CA25" s="27"/>
      <c r="CB25" s="27">
        <v>590.10441300000002</v>
      </c>
      <c r="CC25" s="27">
        <v>3040.0417510000002</v>
      </c>
      <c r="CD25" s="27">
        <f>+SUM(BZ25:CC25)</f>
        <v>12264.928682000002</v>
      </c>
      <c r="CE25" s="27">
        <v>0</v>
      </c>
      <c r="CF25" s="27">
        <v>241.97341499999999</v>
      </c>
      <c r="CG25" s="27">
        <f>+CE25+CF25</f>
        <v>241.97341499999999</v>
      </c>
      <c r="CH25" s="27">
        <f>+CD25+CG25</f>
        <v>12506.902097000002</v>
      </c>
      <c r="CI25" s="27">
        <v>10984.927356</v>
      </c>
      <c r="CJ25" s="27"/>
      <c r="CK25" s="27">
        <f>(24290304+57359556)/1000000</f>
        <v>81.649860000000004</v>
      </c>
      <c r="CL25" s="27">
        <f>(361784316+59446929+1181147138)/1000000</f>
        <v>1602.378383</v>
      </c>
      <c r="CM25" s="27">
        <f>3288948403/1000000</f>
        <v>3288.9484029999999</v>
      </c>
      <c r="CN25" s="27">
        <f>+SUM(CI25:CM25)</f>
        <v>15957.904001999999</v>
      </c>
      <c r="CO25" s="27"/>
      <c r="CP25" s="27">
        <f>(178655909/1000000)+97.611633</f>
        <v>276.26754199999999</v>
      </c>
      <c r="CQ25" s="27">
        <f>+CO25+CP25</f>
        <v>276.26754199999999</v>
      </c>
      <c r="CR25" s="32">
        <f>+CN25+CQ25</f>
        <v>16234.171543999999</v>
      </c>
    </row>
    <row r="26" spans="1:96" ht="15" customHeight="1" thickBot="1" x14ac:dyDescent="0.25">
      <c r="A26" s="40" t="s">
        <v>22</v>
      </c>
      <c r="B26" s="27">
        <v>19606.564034000003</v>
      </c>
      <c r="C26" s="27">
        <v>693.05849699999999</v>
      </c>
      <c r="D26" s="27"/>
      <c r="E26" s="27">
        <v>709.92979200000002</v>
      </c>
      <c r="F26" s="27">
        <f>+SUM(B26:E26)</f>
        <v>21009.552323</v>
      </c>
      <c r="G26" s="27">
        <f>21405.536196+203.157372</f>
        <v>21608.693568000002</v>
      </c>
      <c r="H26" s="27"/>
      <c r="I26" s="27">
        <f>510.519927</f>
        <v>510.519927</v>
      </c>
      <c r="J26" s="27">
        <v>288.97054500000002</v>
      </c>
      <c r="K26" s="27">
        <v>2024.3574060000001</v>
      </c>
      <c r="L26" s="27"/>
      <c r="M26" s="27">
        <v>382.13133399999998</v>
      </c>
      <c r="N26" s="27">
        <f>+SUM(G26:M26)</f>
        <v>24814.672780000004</v>
      </c>
      <c r="O26" s="27"/>
      <c r="P26" s="27">
        <f>+'[1]TOTAL POR UNIVERSIDAD'!$GI$136</f>
        <v>757.42409499999997</v>
      </c>
      <c r="Q26" s="27">
        <f>+N26+P26</f>
        <v>25572.096875000003</v>
      </c>
      <c r="R26" s="27">
        <v>22915.241902000002</v>
      </c>
      <c r="S26" s="27"/>
      <c r="T26" s="27">
        <v>1155.8821809999999</v>
      </c>
      <c r="U26" s="39"/>
      <c r="V26" s="39"/>
      <c r="W26" s="27">
        <f>+R26+S26+T26+U26+V26</f>
        <v>24071.124083000002</v>
      </c>
      <c r="X26" s="27">
        <v>795.2953</v>
      </c>
      <c r="Y26" s="27">
        <f>+W26+X26</f>
        <v>24866.419383000004</v>
      </c>
      <c r="Z26" s="27">
        <f>(22915241902-22694903038)/1000000</f>
        <v>220.338864</v>
      </c>
      <c r="AA26" s="27"/>
      <c r="AB26" s="27">
        <f>220338864/1000000</f>
        <v>220.338864</v>
      </c>
      <c r="AC26" s="27"/>
      <c r="AD26" s="27">
        <f>+Z26+AA26+AB26+AC26</f>
        <v>440.677728</v>
      </c>
      <c r="AE26" s="32">
        <f>22474.564174+209.252093+546.048439</f>
        <v>23229.864705999997</v>
      </c>
      <c r="AF26" s="32">
        <f>+S26-AA26</f>
        <v>0</v>
      </c>
      <c r="AG26" s="32">
        <f>+T26</f>
        <v>1155.8821809999999</v>
      </c>
      <c r="AH26" s="32">
        <v>57.854548000000001</v>
      </c>
      <c r="AI26" s="32">
        <v>3423.7438390000002</v>
      </c>
      <c r="AJ26" s="27">
        <f>+SUM(AE26:AI26)</f>
        <v>27867.345273999996</v>
      </c>
      <c r="AK26" s="27">
        <f>+X26</f>
        <v>795.2953</v>
      </c>
      <c r="AL26" s="27">
        <v>5278</v>
      </c>
      <c r="AM26" s="27">
        <v>488.51483300000001</v>
      </c>
      <c r="AN26" s="27">
        <f>+SUM(AK26:AM26)</f>
        <v>6561.810133</v>
      </c>
      <c r="AO26" s="27">
        <f>+AJ26+AN26</f>
        <v>34429.155406999998</v>
      </c>
      <c r="AP26" s="31"/>
      <c r="AQ26" s="29"/>
      <c r="AR26" s="29"/>
      <c r="AS26" s="29"/>
      <c r="AT26" s="29" t="e">
        <f>+((#REF!-#REF!)*100)/#REF!</f>
        <v>#REF!</v>
      </c>
      <c r="AU26" s="29" t="e">
        <f>+((F26-#REF!)*100)/#REF!</f>
        <v>#REF!</v>
      </c>
      <c r="AV26" s="29">
        <f>+((Q26-F26)*100)/F26</f>
        <v>21.716524378319107</v>
      </c>
      <c r="AW26" s="29">
        <f>+((Y26-Q26)*100)/Q26</f>
        <v>-2.7595605297815409</v>
      </c>
      <c r="AX26" s="28" t="e">
        <f>+(((Y26/#REF!)^(1/4))-1)*100</f>
        <v>#REF!</v>
      </c>
      <c r="AY26" s="29"/>
      <c r="AZ26" s="29"/>
      <c r="BA26" s="29"/>
      <c r="BB26" s="29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30">
        <v>23364.330754999999</v>
      </c>
      <c r="BX26" s="29">
        <f>1319.154159</f>
        <v>1319.1541589999999</v>
      </c>
      <c r="BY26" s="28">
        <f>+BW26+BX26</f>
        <v>24683.484914000001</v>
      </c>
      <c r="BZ26" s="27">
        <f>23364.330755+5436.34</f>
        <v>28800.670754999999</v>
      </c>
      <c r="CA26" s="27"/>
      <c r="CB26" s="27">
        <v>394.28728999999998</v>
      </c>
      <c r="CC26" s="27">
        <v>5345.5177000000003</v>
      </c>
      <c r="CD26" s="27">
        <f>+SUM(BZ26:CC26)</f>
        <v>34540.475745000003</v>
      </c>
      <c r="CE26" s="27">
        <v>1319.1541589999999</v>
      </c>
      <c r="CF26" s="27">
        <v>736.64649599999996</v>
      </c>
      <c r="CG26" s="27">
        <f>+CE26+CF26</f>
        <v>2055.800655</v>
      </c>
      <c r="CH26" s="27">
        <f>+CD26+CG26</f>
        <v>36596.276400000002</v>
      </c>
      <c r="CI26" s="27">
        <v>33016.796175000003</v>
      </c>
      <c r="CJ26" s="27"/>
      <c r="CK26" s="27">
        <f>(647404288+199408120)/1000000</f>
        <v>846.812408</v>
      </c>
      <c r="CL26" s="27">
        <f>(241731725+39720375+1194798070)/1000000</f>
        <v>1476.25017</v>
      </c>
      <c r="CM26" s="27">
        <f>5246754319/1000000</f>
        <v>5246.7543189999997</v>
      </c>
      <c r="CN26" s="27">
        <f>+SUM(CI26:CM26)</f>
        <v>40586.613072</v>
      </c>
      <c r="CO26" s="27">
        <v>1358.7287839999999</v>
      </c>
      <c r="CP26" s="27">
        <f>(645981758/1000000)+142.844499</f>
        <v>788.82625700000006</v>
      </c>
      <c r="CQ26" s="27">
        <f>+CO26+CP26</f>
        <v>2147.5550410000001</v>
      </c>
      <c r="CR26" s="27">
        <f>+CN26+CQ26</f>
        <v>42734.168113</v>
      </c>
    </row>
    <row r="27" spans="1:96" ht="15" customHeight="1" thickBot="1" x14ac:dyDescent="0.25">
      <c r="A27" s="17" t="s">
        <v>21</v>
      </c>
      <c r="B27" s="18">
        <f>+SUM(B28:B43)</f>
        <v>709231.39123499999</v>
      </c>
      <c r="C27" s="18">
        <f>+SUM(C28:C43)</f>
        <v>15116.905463000001</v>
      </c>
      <c r="D27" s="18">
        <f>+SUM(D28:D43)</f>
        <v>0</v>
      </c>
      <c r="E27" s="18">
        <f>+SUM(E28:E43)</f>
        <v>0</v>
      </c>
      <c r="F27" s="18">
        <f>+SUM(F28:F43)</f>
        <v>724348.29669800005</v>
      </c>
      <c r="G27" s="18">
        <f>+SUM(G28:G43)</f>
        <v>758173.87135300005</v>
      </c>
      <c r="H27" s="18">
        <f>+SUM(H28:H43)</f>
        <v>0</v>
      </c>
      <c r="I27" s="18">
        <f>+SUM(I28:I43)</f>
        <v>18931.763081000005</v>
      </c>
      <c r="J27" s="18">
        <f>+SUM(J28:J43)</f>
        <v>9965.9749120000015</v>
      </c>
      <c r="K27" s="18">
        <f>+SUM(K28:K43)</f>
        <v>4894.6310400000002</v>
      </c>
      <c r="L27" s="18">
        <f>+SUM(L28:L43)</f>
        <v>0</v>
      </c>
      <c r="M27" s="18">
        <f>+SUM(M28:M43)</f>
        <v>6762.8580789999996</v>
      </c>
      <c r="N27" s="18">
        <f>+SUM(N28:N43)</f>
        <v>798729.09846499981</v>
      </c>
      <c r="O27" s="18">
        <f>+SUM(O28:O43)</f>
        <v>0</v>
      </c>
      <c r="P27" s="18">
        <f>+SUM(P28:P43)</f>
        <v>0</v>
      </c>
      <c r="Q27" s="18">
        <f>+SUM(Q28:Q43)</f>
        <v>798729.09846499981</v>
      </c>
      <c r="R27" s="18">
        <f>+SUM(R28:R43)</f>
        <v>808247.1876200001</v>
      </c>
      <c r="S27" s="18">
        <f>+SUM(S28:S43)</f>
        <v>0</v>
      </c>
      <c r="T27" s="18">
        <f>+SUM(T28:T43)</f>
        <v>42486.524619000011</v>
      </c>
      <c r="U27" s="18">
        <f>+SUM(U28:U43)</f>
        <v>0</v>
      </c>
      <c r="V27" s="18">
        <f>+SUM(V28:V43)</f>
        <v>0</v>
      </c>
      <c r="W27" s="18">
        <f>+SUM(W28:W43)</f>
        <v>850733.71223899978</v>
      </c>
      <c r="X27" s="18">
        <f>+SUM(X28:X43)</f>
        <v>0</v>
      </c>
      <c r="Y27" s="18">
        <f>+SUM(Y28:Y43)</f>
        <v>850733.71223899978</v>
      </c>
      <c r="Z27" s="18">
        <f>+SUM(Z28:Z43)</f>
        <v>7771.6075739999997</v>
      </c>
      <c r="AA27" s="18">
        <f>+SUM(AA28:AA43)</f>
        <v>0</v>
      </c>
      <c r="AB27" s="18">
        <f>+SUM(AB28:AB43)</f>
        <v>7771.6075749999991</v>
      </c>
      <c r="AC27" s="18">
        <f>+SUM(AC28:AC43)</f>
        <v>0</v>
      </c>
      <c r="AD27" s="18">
        <f>+SUM(AD28:AD43)</f>
        <v>15543.215148999998</v>
      </c>
      <c r="AE27" s="18">
        <f>+SUM(AE28:AE43)</f>
        <v>802434.97891099995</v>
      </c>
      <c r="AF27" s="18">
        <f>+SUM(AF28:AF43)</f>
        <v>0</v>
      </c>
      <c r="AG27" s="18">
        <f>+SUM(AG28:AG43)</f>
        <v>42486.524619000011</v>
      </c>
      <c r="AH27" s="18">
        <f>+SUM(AH28:AH43)</f>
        <v>1089.7847370000002</v>
      </c>
      <c r="AI27" s="18">
        <f>+SUM(AI28:AI43)</f>
        <v>6569.6363169999995</v>
      </c>
      <c r="AJ27" s="18">
        <f>+SUM(AJ28:AJ43)</f>
        <v>852580.92458400002</v>
      </c>
      <c r="AK27" s="18">
        <f>+SUM(AK28:AK43)</f>
        <v>0</v>
      </c>
      <c r="AL27" s="18">
        <f>+SUM(AL28:AL43)</f>
        <v>38496</v>
      </c>
      <c r="AM27" s="18">
        <f>+SUM(AM28:AM43)</f>
        <v>16703.809942</v>
      </c>
      <c r="AN27" s="18">
        <f>+SUM(AN28:AN43)</f>
        <v>55199.809941999993</v>
      </c>
      <c r="AO27" s="18">
        <f>+SUM(AO28:AO43)</f>
        <v>907780.73452599999</v>
      </c>
      <c r="AP27" s="38" t="e">
        <f>+((#REF!-#REF!)*100)/#REF!</f>
        <v>#REF!</v>
      </c>
      <c r="AQ27" s="37" t="e">
        <f>+((#REF!-#REF!)*100)/#REF!</f>
        <v>#REF!</v>
      </c>
      <c r="AR27" s="37" t="e">
        <f>+((#REF!-#REF!)*100)/#REF!</f>
        <v>#REF!</v>
      </c>
      <c r="AS27" s="37" t="e">
        <f>+((#REF!-#REF!)*100)/#REF!</f>
        <v>#REF!</v>
      </c>
      <c r="AT27" s="37" t="e">
        <f>+((#REF!-#REF!)*100)/#REF!</f>
        <v>#REF!</v>
      </c>
      <c r="AU27" s="37" t="e">
        <f>+((F27-#REF!)*100)/#REF!</f>
        <v>#REF!</v>
      </c>
      <c r="AV27" s="37">
        <f>+((Q27-F27)*100)/F27</f>
        <v>10.268651435513913</v>
      </c>
      <c r="AW27" s="37">
        <f>+((Y27-Q27)*100)/Q27</f>
        <v>6.5109201447577911</v>
      </c>
      <c r="AX27" s="36" t="e">
        <f>+(((Y27/#REF!)^(0.125))-1)*100</f>
        <v>#REF!</v>
      </c>
      <c r="AY27" s="35" t="e">
        <f>+((#REF!-#REF!)*100)/#REF!</f>
        <v>#REF!</v>
      </c>
      <c r="AZ27" s="35" t="e">
        <f>+((#REF!-#REF!)*100)/#REF!</f>
        <v>#REF!</v>
      </c>
      <c r="BA27" s="35" t="e">
        <f>+((#REF!-#REF!)*100)/#REF!</f>
        <v>#REF!</v>
      </c>
      <c r="BB27" s="35" t="e">
        <f>+((#REF!-#REF!)*100)/#REF!</f>
        <v>#REF!</v>
      </c>
      <c r="BC27" s="20" t="e">
        <f>+(((#REF!+#REF!)-(#REF!+#REF!))/(#REF!+#REF!))</f>
        <v>#REF!</v>
      </c>
      <c r="BD27" s="20" t="e">
        <f>+(((#REF!+#REF!)-(#REF!+#REF!))/(#REF!+#REF!))</f>
        <v>#REF!</v>
      </c>
      <c r="BE27" s="20" t="e">
        <f>+(((#REF!+#REF!)-(#REF!+#REF!))/(#REF!+#REF!))</f>
        <v>#REF!</v>
      </c>
      <c r="BF27" s="20" t="e">
        <f>+(((#REF!+#REF!)-(#REF!+#REF!))/(#REF!+#REF!))</f>
        <v>#REF!</v>
      </c>
      <c r="BG27" s="20" t="e">
        <f>+(((#REF!+#REF!)-(#REF!+#REF!))/(#REF!+#REF!))</f>
        <v>#REF!</v>
      </c>
      <c r="BH27" s="20" t="e">
        <f>+(((#REF!+#REF!)-(#REF!+#REF!))/(#REF!+#REF!))</f>
        <v>#REF!</v>
      </c>
      <c r="BI27" s="20" t="e">
        <f>+(((#REF!+#REF!)-(#REF!+#REF!))/(#REF!+#REF!))</f>
        <v>#REF!</v>
      </c>
      <c r="BJ27" s="20" t="e">
        <f>+(((#REF!+#REF!)-(#REF!+#REF!))/(#REF!+#REF!))</f>
        <v>#REF!</v>
      </c>
      <c r="BK27" s="20" t="e">
        <f>+(((#REF!+#REF!)-(#REF!+#REF!))/(#REF!+#REF!))</f>
        <v>#REF!</v>
      </c>
      <c r="BL27" s="20" t="e">
        <f>+(((#REF!+#REF!)-(#REF!+#REF!))/(#REF!+#REF!))</f>
        <v>#REF!</v>
      </c>
      <c r="BM27" s="20" t="e">
        <f>+(((#REF!+#REF!)-(#REF!+#REF!))/(#REF!+#REF!))</f>
        <v>#REF!</v>
      </c>
      <c r="BN27" s="20" t="e">
        <f>+(((#REF!+#REF!)-(#REF!+#REF!))/(#REF!+#REF!))</f>
        <v>#REF!</v>
      </c>
      <c r="BO27" s="20" t="e">
        <f>+(((#REF!+#REF!)-(#REF!+#REF!))/(#REF!+#REF!))</f>
        <v>#REF!</v>
      </c>
      <c r="BP27" s="20" t="e">
        <f>+(((#REF!+#REF!)-(#REF!+#REF!))/(#REF!+#REF!))</f>
        <v>#REF!</v>
      </c>
      <c r="BQ27" s="20" t="e">
        <f>+(((#REF!+#REF!)-(#REF!+#REF!))/(#REF!+#REF!))</f>
        <v>#REF!</v>
      </c>
      <c r="BR27" s="20" t="e">
        <f>+(((#REF!+#REF!)-(#REF!+#REF!))/(#REF!+#REF!))</f>
        <v>#REF!</v>
      </c>
      <c r="BS27" s="20" t="e">
        <f>+(((#REF!+#REF!)-(#REF!+#REF!))/(#REF!+#REF!))</f>
        <v>#REF!</v>
      </c>
      <c r="BT27" s="20" t="e">
        <f>+(((B27+E27)-(#REF!+#REF!))/(#REF!+#REF!))</f>
        <v>#REF!</v>
      </c>
      <c r="BU27" s="20">
        <f>+(((G27+P27)-(B27+E27))/(B27+E27))</f>
        <v>6.9007774786696147E-2</v>
      </c>
      <c r="BV27" s="20" t="e">
        <f>+((((G27+P27)/(#REF!+#REF!))^(1/19))-1)</f>
        <v>#REF!</v>
      </c>
      <c r="BW27" s="35">
        <f>+SUM(BW28:BW43)</f>
        <v>820438.53551800002</v>
      </c>
      <c r="BX27" s="35">
        <f>+SUM(BX28:BX43)</f>
        <v>0</v>
      </c>
      <c r="BY27" s="16">
        <f>+SUM(BY28:BY43)</f>
        <v>820438.53551800002</v>
      </c>
      <c r="BZ27" s="18">
        <f>+SUM(BZ28:BZ43)</f>
        <v>861211.19401500013</v>
      </c>
      <c r="CA27" s="18">
        <f>+SUM(CA28:CA43)</f>
        <v>0</v>
      </c>
      <c r="CB27" s="18">
        <f>+SUM(CB28:CB43)</f>
        <v>8350.2095559999998</v>
      </c>
      <c r="CC27" s="18">
        <f>+SUM(CC28:CC43)</f>
        <v>8255.4152000000013</v>
      </c>
      <c r="CD27" s="18">
        <f>+SUM(CD28:CD43)</f>
        <v>877816.81877100002</v>
      </c>
      <c r="CE27" s="18">
        <f>+SUM(CE28:CE43)</f>
        <v>0</v>
      </c>
      <c r="CF27" s="18">
        <f>+SUM(CF28:CF43)</f>
        <v>18086.379405999996</v>
      </c>
      <c r="CG27" s="18">
        <f>+SUM(CG28:CG43)</f>
        <v>18086.379405999996</v>
      </c>
      <c r="CH27" s="18">
        <f>+SUM(CH28:CH43)</f>
        <v>895903.19817700004</v>
      </c>
      <c r="CI27" s="18">
        <f>+SUM(CI28:CI43)</f>
        <v>934787.54703100002</v>
      </c>
      <c r="CJ27" s="18">
        <f>+SUM(CJ28:CJ43)</f>
        <v>0</v>
      </c>
      <c r="CK27" s="18">
        <f>+SUM(CK28:CK43)</f>
        <v>14886.689350000001</v>
      </c>
      <c r="CL27" s="18">
        <f>+SUM(CL28:CL43)</f>
        <v>25642.384851000003</v>
      </c>
      <c r="CM27" s="18">
        <f>+SUM(CM28:CM43)</f>
        <v>8451.8734420000001</v>
      </c>
      <c r="CN27" s="18">
        <f>+SUM(CN28:CN43)</f>
        <v>983768.49467399996</v>
      </c>
      <c r="CO27" s="18">
        <f>+SUM(CO28:CO43)</f>
        <v>0</v>
      </c>
      <c r="CP27" s="18">
        <f>+SUM(CP28:CP43)</f>
        <v>18841.911917000001</v>
      </c>
      <c r="CQ27" s="18">
        <f>+SUM(CQ28:CQ43)</f>
        <v>18841.911917000001</v>
      </c>
      <c r="CR27" s="18">
        <f>+SUM(CR28:CR43)</f>
        <v>1002610.4065909999</v>
      </c>
    </row>
    <row r="28" spans="1:96" ht="15" customHeight="1" x14ac:dyDescent="0.2">
      <c r="A28" s="33" t="s">
        <v>20</v>
      </c>
      <c r="B28" s="27">
        <v>180118.32379299999</v>
      </c>
      <c r="C28" s="27">
        <v>1193.9922570000001</v>
      </c>
      <c r="D28" s="27"/>
      <c r="E28" s="27">
        <v>0</v>
      </c>
      <c r="F28" s="27">
        <f>+SUM(B28:E28)</f>
        <v>181312.31604999999</v>
      </c>
      <c r="G28" s="27">
        <f>190371.414636</f>
        <v>190371.414636</v>
      </c>
      <c r="H28" s="27"/>
      <c r="I28" s="27">
        <f>4842.824217</f>
        <v>4842.8242170000003</v>
      </c>
      <c r="J28" s="27">
        <v>2537.7169669999998</v>
      </c>
      <c r="K28" s="27">
        <v>596.93468600000006</v>
      </c>
      <c r="L28" s="27"/>
      <c r="M28" s="27">
        <v>512.86938899999996</v>
      </c>
      <c r="N28" s="27">
        <f>+SUM(G28:M28)</f>
        <v>198861.75989499997</v>
      </c>
      <c r="O28" s="27"/>
      <c r="P28" s="27">
        <v>0</v>
      </c>
      <c r="Q28" s="27">
        <f>+N28+P28</f>
        <v>198861.75989499997</v>
      </c>
      <c r="R28" s="27">
        <v>203992.17055000001</v>
      </c>
      <c r="S28" s="27"/>
      <c r="T28" s="27">
        <v>10818.688120999999</v>
      </c>
      <c r="U28" s="27"/>
      <c r="V28" s="27"/>
      <c r="W28" s="27">
        <f>+R28+S28+T28+U28+V28</f>
        <v>214810.85867099999</v>
      </c>
      <c r="X28" s="27"/>
      <c r="Y28" s="27">
        <f>+W28+X28</f>
        <v>214810.85867099999</v>
      </c>
      <c r="Z28" s="27">
        <f>(203992170550-202030707372)/1000000</f>
        <v>1961.463178</v>
      </c>
      <c r="AA28" s="27"/>
      <c r="AB28" s="27">
        <f>1961463179/1000000</f>
        <v>1961.4631790000001</v>
      </c>
      <c r="AC28" s="27"/>
      <c r="AD28" s="27">
        <f>+Z28+AA28+AB28+AC28</f>
        <v>3922.9263570000003</v>
      </c>
      <c r="AE28" s="32">
        <v>200069.24419299999</v>
      </c>
      <c r="AF28" s="32">
        <f>+S28-AA28</f>
        <v>0</v>
      </c>
      <c r="AG28" s="32">
        <f>+T28</f>
        <v>10818.688120999999</v>
      </c>
      <c r="AH28" s="32">
        <v>100.777525</v>
      </c>
      <c r="AI28" s="32">
        <v>819.31875000000002</v>
      </c>
      <c r="AJ28" s="27">
        <f>+SUM(AE28:AI28)</f>
        <v>211808.02858899999</v>
      </c>
      <c r="AK28" s="27"/>
      <c r="AL28" s="27">
        <v>11273</v>
      </c>
      <c r="AM28" s="27">
        <v>4217.7586460000002</v>
      </c>
      <c r="AN28" s="27">
        <f>+SUM(AK28:AM28)</f>
        <v>15490.758646</v>
      </c>
      <c r="AO28" s="27">
        <f>+AJ28+AN28</f>
        <v>227298.787235</v>
      </c>
      <c r="AP28" s="31" t="e">
        <f>+((#REF!-#REF!)*100)/#REF!</f>
        <v>#REF!</v>
      </c>
      <c r="AQ28" s="29" t="e">
        <f>+((#REF!-#REF!)*100)/#REF!</f>
        <v>#REF!</v>
      </c>
      <c r="AR28" s="29" t="e">
        <f>+((#REF!-#REF!)*100)/#REF!</f>
        <v>#REF!</v>
      </c>
      <c r="AS28" s="29" t="e">
        <f>+((#REF!-#REF!)*100)/#REF!</f>
        <v>#REF!</v>
      </c>
      <c r="AT28" s="29" t="e">
        <f>+((#REF!-#REF!)*100)/#REF!</f>
        <v>#REF!</v>
      </c>
      <c r="AU28" s="29" t="e">
        <f>+((F28-#REF!)*100)/#REF!</f>
        <v>#REF!</v>
      </c>
      <c r="AV28" s="29">
        <f>+((Q28-F28)*100)/F28</f>
        <v>9.679123970905767</v>
      </c>
      <c r="AW28" s="29">
        <f>+((Y28-Q28)*100)/Q28</f>
        <v>8.0201939198472516</v>
      </c>
      <c r="AX28" s="28" t="e">
        <f>+(((Y28/#REF!)^(0.125))-1)*100</f>
        <v>#REF!</v>
      </c>
      <c r="AY28" s="29" t="e">
        <f>+((#REF!-#REF!)*100)/#REF!</f>
        <v>#REF!</v>
      </c>
      <c r="AZ28" s="29" t="e">
        <f>+((#REF!-#REF!)*100)/#REF!</f>
        <v>#REF!</v>
      </c>
      <c r="BA28" s="29" t="e">
        <f>+((#REF!-#REF!)*100)/#REF!</f>
        <v>#REF!</v>
      </c>
      <c r="BB28" s="29" t="e">
        <f>+((#REF!-#REF!)*100)/#REF!</f>
        <v>#REF!</v>
      </c>
      <c r="BC28" s="20" t="e">
        <f>+(((#REF!+#REF!)-(#REF!+#REF!))/(#REF!+#REF!))</f>
        <v>#REF!</v>
      </c>
      <c r="BD28" s="20" t="e">
        <f>+(((#REF!+#REF!)-(#REF!+#REF!))/(#REF!+#REF!))</f>
        <v>#REF!</v>
      </c>
      <c r="BE28" s="20" t="e">
        <f>+(((#REF!+#REF!)-(#REF!+#REF!))/(#REF!+#REF!))</f>
        <v>#REF!</v>
      </c>
      <c r="BF28" s="20" t="e">
        <f>+(((#REF!+#REF!)-(#REF!+#REF!))/(#REF!+#REF!))</f>
        <v>#REF!</v>
      </c>
      <c r="BG28" s="20" t="e">
        <f>+(((#REF!+#REF!)-(#REF!+#REF!))/(#REF!+#REF!))</f>
        <v>#REF!</v>
      </c>
      <c r="BH28" s="20" t="e">
        <f>+(((#REF!+#REF!)-(#REF!+#REF!))/(#REF!+#REF!))</f>
        <v>#REF!</v>
      </c>
      <c r="BI28" s="20" t="e">
        <f>+(((#REF!+#REF!)-(#REF!+#REF!))/(#REF!+#REF!))</f>
        <v>#REF!</v>
      </c>
      <c r="BJ28" s="20" t="e">
        <f>+(((#REF!+#REF!)-(#REF!+#REF!))/(#REF!+#REF!))</f>
        <v>#REF!</v>
      </c>
      <c r="BK28" s="20" t="e">
        <f>+(((#REF!+#REF!)-(#REF!+#REF!))/(#REF!+#REF!))</f>
        <v>#REF!</v>
      </c>
      <c r="BL28" s="20" t="e">
        <f>+(((#REF!+#REF!)-(#REF!+#REF!))/(#REF!+#REF!))</f>
        <v>#REF!</v>
      </c>
      <c r="BM28" s="20" t="e">
        <f>+(((#REF!+#REF!)-(#REF!+#REF!))/(#REF!+#REF!))</f>
        <v>#REF!</v>
      </c>
      <c r="BN28" s="20" t="e">
        <f>+(((#REF!+#REF!)-(#REF!+#REF!))/(#REF!+#REF!))</f>
        <v>#REF!</v>
      </c>
      <c r="BO28" s="20" t="e">
        <f>+(((#REF!+#REF!)-(#REF!+#REF!))/(#REF!+#REF!))</f>
        <v>#REF!</v>
      </c>
      <c r="BP28" s="20" t="e">
        <f>+(((#REF!+#REF!)-(#REF!+#REF!))/(#REF!+#REF!))</f>
        <v>#REF!</v>
      </c>
      <c r="BQ28" s="20" t="e">
        <f>+(((#REF!+#REF!)-(#REF!+#REF!))/(#REF!+#REF!))</f>
        <v>#REF!</v>
      </c>
      <c r="BR28" s="20" t="e">
        <f>+(((#REF!+#REF!)-(#REF!+#REF!))/(#REF!+#REF!))</f>
        <v>#REF!</v>
      </c>
      <c r="BS28" s="20" t="e">
        <f>+(((#REF!+#REF!)-(#REF!+#REF!))/(#REF!+#REF!))</f>
        <v>#REF!</v>
      </c>
      <c r="BT28" s="20" t="e">
        <f>+(((B28+E28)-(#REF!+#REF!))/(#REF!+#REF!))</f>
        <v>#REF!</v>
      </c>
      <c r="BU28" s="20">
        <f>+(((G28+P28)-(B28+E28))/(B28+E28))</f>
        <v>5.6924196423143059E-2</v>
      </c>
      <c r="BV28" s="20" t="e">
        <f>+((((G28+P28)/(#REF!+#REF!))^(1/19))-1)</f>
        <v>#REF!</v>
      </c>
      <c r="BW28" s="30">
        <v>206071.32151899999</v>
      </c>
      <c r="BX28" s="29"/>
      <c r="BY28" s="28">
        <f>+BW28+BX28</f>
        <v>206071.32151899999</v>
      </c>
      <c r="BZ28" s="27">
        <f>206071.321519+11611.19</f>
        <v>217682.51151899999</v>
      </c>
      <c r="CA28" s="27"/>
      <c r="CB28" s="27">
        <v>555.36559899999997</v>
      </c>
      <c r="CC28" s="27">
        <v>1037.6362389999999</v>
      </c>
      <c r="CD28" s="27">
        <f>+SUM(BZ28:CC28)</f>
        <v>219275.51335700002</v>
      </c>
      <c r="CE28" s="27"/>
      <c r="CF28" s="27">
        <v>4556.0530170000002</v>
      </c>
      <c r="CG28" s="27">
        <f>+CE28+CF28</f>
        <v>4556.0530170000002</v>
      </c>
      <c r="CH28" s="27">
        <f>+CD28+CG28</f>
        <v>223831.56637400002</v>
      </c>
      <c r="CI28" s="27">
        <v>230146.308838</v>
      </c>
      <c r="CJ28" s="27"/>
      <c r="CK28" s="27">
        <f>(689493189+1526044826)/1000000</f>
        <v>2215.5380150000001</v>
      </c>
      <c r="CL28" s="27">
        <f>(340486461+55947352+1491535485)/1000000</f>
        <v>1887.969298</v>
      </c>
      <c r="CM28" s="27">
        <f>976137465/1000000</f>
        <v>976.13746500000002</v>
      </c>
      <c r="CN28" s="27">
        <f>+SUM(CI28:CM28)</f>
        <v>235225.95361600001</v>
      </c>
      <c r="CO28" s="27"/>
      <c r="CP28" s="27">
        <f>(4505450806/1000000)+91.380774</f>
        <v>4596.83158</v>
      </c>
      <c r="CQ28" s="27">
        <f>+CO28+CP28</f>
        <v>4596.83158</v>
      </c>
      <c r="CR28" s="27">
        <f>+CN28+CQ28</f>
        <v>239822.78519600001</v>
      </c>
    </row>
    <row r="29" spans="1:96" ht="15" customHeight="1" x14ac:dyDescent="0.2">
      <c r="A29" s="33" t="s">
        <v>19</v>
      </c>
      <c r="B29" s="27">
        <v>50116.567479999998</v>
      </c>
      <c r="C29" s="27">
        <v>717.29303500000003</v>
      </c>
      <c r="D29" s="27"/>
      <c r="E29" s="27">
        <v>0</v>
      </c>
      <c r="F29" s="27">
        <f>+SUM(B29:E29)</f>
        <v>50833.860515</v>
      </c>
      <c r="G29" s="27">
        <f>52965.960968</f>
        <v>52965.960967999999</v>
      </c>
      <c r="H29" s="27"/>
      <c r="I29" s="27">
        <f>1340.835601</f>
        <v>1340.835601</v>
      </c>
      <c r="J29" s="27">
        <v>705.41661799999997</v>
      </c>
      <c r="K29" s="27">
        <v>156.34517500000001</v>
      </c>
      <c r="L29" s="27"/>
      <c r="M29" s="27">
        <v>387.28228300000001</v>
      </c>
      <c r="N29" s="27">
        <f>+SUM(G29:M29)</f>
        <v>55555.840645000004</v>
      </c>
      <c r="O29" s="27"/>
      <c r="P29" s="27">
        <v>0</v>
      </c>
      <c r="Q29" s="27">
        <f>+N29+P29</f>
        <v>55555.840645000004</v>
      </c>
      <c r="R29" s="27">
        <v>56755.586775999996</v>
      </c>
      <c r="S29" s="27"/>
      <c r="T29" s="27">
        <v>3007.302424</v>
      </c>
      <c r="U29" s="27"/>
      <c r="V29" s="27"/>
      <c r="W29" s="27">
        <f>+R29+S29+T29+U29+V29</f>
        <v>59762.889199999998</v>
      </c>
      <c r="X29" s="27"/>
      <c r="Y29" s="27">
        <f>+W29+X29</f>
        <v>59762.889199999998</v>
      </c>
      <c r="Z29" s="27">
        <f>(56755586776-56209859980)/1000000</f>
        <v>545.72679600000004</v>
      </c>
      <c r="AA29" s="27"/>
      <c r="AB29" s="27">
        <f>545726796/1000000</f>
        <v>545.72679600000004</v>
      </c>
      <c r="AC29" s="27"/>
      <c r="AD29" s="27">
        <f>+Z29+AA29+AB29+AC29</f>
        <v>1091.4535920000001</v>
      </c>
      <c r="AE29" s="32">
        <v>55664.133183999998</v>
      </c>
      <c r="AF29" s="32">
        <f>+S29-AA29</f>
        <v>0</v>
      </c>
      <c r="AG29" s="32">
        <f>+T29</f>
        <v>3007.302424</v>
      </c>
      <c r="AH29" s="32">
        <v>37.061033000000002</v>
      </c>
      <c r="AI29" s="32">
        <v>343.87233900000001</v>
      </c>
      <c r="AJ29" s="27">
        <f>+SUM(AE29:AI29)</f>
        <v>59052.368979999999</v>
      </c>
      <c r="AK29" s="27"/>
      <c r="AL29" s="27"/>
      <c r="AM29" s="27">
        <v>1173.4287119999999</v>
      </c>
      <c r="AN29" s="27">
        <f>+SUM(AK29:AM29)</f>
        <v>1173.4287119999999</v>
      </c>
      <c r="AO29" s="27">
        <f>+AJ29+AN29</f>
        <v>60225.797692</v>
      </c>
      <c r="AP29" s="31" t="e">
        <f>+((#REF!-#REF!)*100)/#REF!</f>
        <v>#REF!</v>
      </c>
      <c r="AQ29" s="29" t="e">
        <f>+((#REF!-#REF!)*100)/#REF!</f>
        <v>#REF!</v>
      </c>
      <c r="AR29" s="29" t="e">
        <f>+((#REF!-#REF!)*100)/#REF!</f>
        <v>#REF!</v>
      </c>
      <c r="AS29" s="29" t="e">
        <f>+((#REF!-#REF!)*100)/#REF!</f>
        <v>#REF!</v>
      </c>
      <c r="AT29" s="29" t="e">
        <f>+((#REF!-#REF!)*100)/#REF!</f>
        <v>#REF!</v>
      </c>
      <c r="AU29" s="29" t="e">
        <f>+((F29-#REF!)*100)/#REF!</f>
        <v>#REF!</v>
      </c>
      <c r="AV29" s="29">
        <f>+((Q29-F29)*100)/F29</f>
        <v>9.2890449046391961</v>
      </c>
      <c r="AW29" s="29">
        <f>+((Y29-Q29)*100)/Q29</f>
        <v>7.5726485391210181</v>
      </c>
      <c r="AX29" s="28" t="e">
        <f>+(((Y29/#REF!)^(0.125))-1)*100</f>
        <v>#REF!</v>
      </c>
      <c r="AY29" s="29" t="e">
        <f>+((#REF!-#REF!)*100)/#REF!</f>
        <v>#REF!</v>
      </c>
      <c r="AZ29" s="29" t="e">
        <f>+((#REF!-#REF!)*100)/#REF!</f>
        <v>#REF!</v>
      </c>
      <c r="BA29" s="29" t="e">
        <f>+((#REF!-#REF!)*100)/#REF!</f>
        <v>#REF!</v>
      </c>
      <c r="BB29" s="29" t="e">
        <f>+((#REF!-#REF!)*100)/#REF!</f>
        <v>#REF!</v>
      </c>
      <c r="BC29" s="20" t="e">
        <f>+(((#REF!+#REF!)-(#REF!+#REF!))/(#REF!+#REF!))</f>
        <v>#REF!</v>
      </c>
      <c r="BD29" s="20" t="e">
        <f>+(((#REF!+#REF!)-(#REF!+#REF!))/(#REF!+#REF!))</f>
        <v>#REF!</v>
      </c>
      <c r="BE29" s="20" t="e">
        <f>+(((#REF!+#REF!)-(#REF!+#REF!))/(#REF!+#REF!))</f>
        <v>#REF!</v>
      </c>
      <c r="BF29" s="20" t="e">
        <f>+(((#REF!+#REF!)-(#REF!+#REF!))/(#REF!+#REF!))</f>
        <v>#REF!</v>
      </c>
      <c r="BG29" s="20" t="e">
        <f>+(((#REF!+#REF!)-(#REF!+#REF!))/(#REF!+#REF!))</f>
        <v>#REF!</v>
      </c>
      <c r="BH29" s="20" t="e">
        <f>+(((#REF!+#REF!)-(#REF!+#REF!))/(#REF!+#REF!))</f>
        <v>#REF!</v>
      </c>
      <c r="BI29" s="20" t="e">
        <f>+(((#REF!+#REF!)-(#REF!+#REF!))/(#REF!+#REF!))</f>
        <v>#REF!</v>
      </c>
      <c r="BJ29" s="20" t="e">
        <f>+(((#REF!+#REF!)-(#REF!+#REF!))/(#REF!+#REF!))</f>
        <v>#REF!</v>
      </c>
      <c r="BK29" s="20" t="e">
        <f>+(((#REF!+#REF!)-(#REF!+#REF!))/(#REF!+#REF!))</f>
        <v>#REF!</v>
      </c>
      <c r="BL29" s="20" t="e">
        <f>+(((#REF!+#REF!)-(#REF!+#REF!))/(#REF!+#REF!))</f>
        <v>#REF!</v>
      </c>
      <c r="BM29" s="20" t="e">
        <f>+(((#REF!+#REF!)-(#REF!+#REF!))/(#REF!+#REF!))</f>
        <v>#REF!</v>
      </c>
      <c r="BN29" s="20" t="e">
        <f>+(((#REF!+#REF!)-(#REF!+#REF!))/(#REF!+#REF!))</f>
        <v>#REF!</v>
      </c>
      <c r="BO29" s="20" t="e">
        <f>+(((#REF!+#REF!)-(#REF!+#REF!))/(#REF!+#REF!))</f>
        <v>#REF!</v>
      </c>
      <c r="BP29" s="20" t="e">
        <f>+(((#REF!+#REF!)-(#REF!+#REF!))/(#REF!+#REF!))</f>
        <v>#REF!</v>
      </c>
      <c r="BQ29" s="20" t="e">
        <f>+(((#REF!+#REF!)-(#REF!+#REF!))/(#REF!+#REF!))</f>
        <v>#REF!</v>
      </c>
      <c r="BR29" s="20" t="e">
        <f>+(((#REF!+#REF!)-(#REF!+#REF!))/(#REF!+#REF!))</f>
        <v>#REF!</v>
      </c>
      <c r="BS29" s="20" t="e">
        <f>+(((#REF!+#REF!)-(#REF!+#REF!))/(#REF!+#REF!))</f>
        <v>#REF!</v>
      </c>
      <c r="BT29" s="20" t="e">
        <f>+(((B29+E29)-(#REF!+#REF!))/(#REF!+#REF!))</f>
        <v>#REF!</v>
      </c>
      <c r="BU29" s="20">
        <f>+(((G29+P29)-(B29+E29))/(B29+E29))</f>
        <v>5.6855320132152068E-2</v>
      </c>
      <c r="BV29" s="20" t="e">
        <f>+((((G29+P29)/(#REF!+#REF!))^(1/19))-1)</f>
        <v>#REF!</v>
      </c>
      <c r="BW29" s="30">
        <v>57334.057180000003</v>
      </c>
      <c r="BX29" s="29"/>
      <c r="BY29" s="28">
        <f>+BW29+BX29</f>
        <v>57334.057180000003</v>
      </c>
      <c r="BZ29" s="27">
        <f>57334.05718+0</f>
        <v>57334.057180000003</v>
      </c>
      <c r="CA29" s="27"/>
      <c r="CB29" s="27">
        <v>650.16918899999996</v>
      </c>
      <c r="CC29" s="27">
        <v>512.94755399999997</v>
      </c>
      <c r="CD29" s="27">
        <f>+SUM(BZ29:CC29)</f>
        <v>58497.173923000002</v>
      </c>
      <c r="CE29" s="27"/>
      <c r="CF29" s="27">
        <v>1204.885393</v>
      </c>
      <c r="CG29" s="27">
        <f>+CE29+CF29</f>
        <v>1204.885393</v>
      </c>
      <c r="CH29" s="27">
        <f>+CD29+CG29</f>
        <v>59702.059315999999</v>
      </c>
      <c r="CI29" s="27">
        <v>61219.519335999998</v>
      </c>
      <c r="CJ29" s="27"/>
      <c r="CK29" s="27">
        <f>(186501868+407018844)/1000000</f>
        <v>593.520712</v>
      </c>
      <c r="CL29" s="27">
        <f>(398609144+65497835+1396188603)/1000000</f>
        <v>1860.295582</v>
      </c>
      <c r="CM29" s="27">
        <f>387476478/1000000</f>
        <v>387.47647799999999</v>
      </c>
      <c r="CN29" s="27">
        <f>+SUM(CI29:CM29)</f>
        <v>64060.812107999991</v>
      </c>
      <c r="CO29" s="27"/>
      <c r="CP29" s="27">
        <f>(1192760973/1000000)+31.938553</f>
        <v>1224.6995259999999</v>
      </c>
      <c r="CQ29" s="27">
        <f>+CO29+CP29</f>
        <v>1224.6995259999999</v>
      </c>
      <c r="CR29" s="27">
        <f>+CN29+CQ29</f>
        <v>65285.511633999988</v>
      </c>
    </row>
    <row r="30" spans="1:96" ht="15" customHeight="1" x14ac:dyDescent="0.2">
      <c r="A30" s="33" t="s">
        <v>18</v>
      </c>
      <c r="B30" s="27">
        <v>37448.069532000001</v>
      </c>
      <c r="C30" s="27">
        <v>770.172325</v>
      </c>
      <c r="D30" s="27"/>
      <c r="E30" s="27">
        <v>0</v>
      </c>
      <c r="F30" s="27">
        <f>+SUM(B30:E30)</f>
        <v>38218.241857000001</v>
      </c>
      <c r="G30" s="27">
        <f>39579.770798</f>
        <v>39579.770797999998</v>
      </c>
      <c r="H30" s="27"/>
      <c r="I30" s="27">
        <f>1006.862679</f>
        <v>1006.862679</v>
      </c>
      <c r="J30" s="27">
        <v>527.61206900000002</v>
      </c>
      <c r="K30" s="27">
        <v>65.478100999999995</v>
      </c>
      <c r="L30" s="27"/>
      <c r="M30" s="27">
        <v>413.05198799999999</v>
      </c>
      <c r="N30" s="27">
        <f>+SUM(G30:M30)</f>
        <v>41592.775634999998</v>
      </c>
      <c r="O30" s="27"/>
      <c r="P30" s="27">
        <v>0</v>
      </c>
      <c r="Q30" s="27">
        <f>+N30+P30</f>
        <v>41592.775634999998</v>
      </c>
      <c r="R30" s="27">
        <v>42411.637116999998</v>
      </c>
      <c r="S30" s="27"/>
      <c r="T30" s="27">
        <v>2249.2935560000001</v>
      </c>
      <c r="U30" s="27"/>
      <c r="V30" s="27"/>
      <c r="W30" s="27">
        <f>+R30+S30+T30+U30+V30</f>
        <v>44660.930672999995</v>
      </c>
      <c r="X30" s="27"/>
      <c r="Y30" s="27">
        <f>+W30+X30</f>
        <v>44660.930672999995</v>
      </c>
      <c r="Z30" s="27">
        <f>(42411637117-42003832914)/1000000</f>
        <v>407.80420299999997</v>
      </c>
      <c r="AA30" s="27"/>
      <c r="AB30" s="27">
        <f>407804203/1000000</f>
        <v>407.80420299999997</v>
      </c>
      <c r="AC30" s="27"/>
      <c r="AD30" s="27">
        <f>+Z30+AA30+AB30+AC30</f>
        <v>815.60840599999995</v>
      </c>
      <c r="AE30" s="32">
        <v>41596.028710999999</v>
      </c>
      <c r="AF30" s="32">
        <f>+S30-AA30</f>
        <v>0</v>
      </c>
      <c r="AG30" s="32">
        <f>+T30</f>
        <v>2249.2935560000001</v>
      </c>
      <c r="AH30" s="32">
        <v>44.23151</v>
      </c>
      <c r="AI30" s="32">
        <v>21.344791000000001</v>
      </c>
      <c r="AJ30" s="27">
        <f>+SUM(AE30:AI30)</f>
        <v>43910.898567999997</v>
      </c>
      <c r="AK30" s="27"/>
      <c r="AL30" s="27">
        <v>1765</v>
      </c>
      <c r="AM30" s="27">
        <v>876.90644499999996</v>
      </c>
      <c r="AN30" s="27">
        <f>+SUM(AK30:AM30)</f>
        <v>2641.9064450000001</v>
      </c>
      <c r="AO30" s="27">
        <f>+AJ30+AN30</f>
        <v>46552.805012999997</v>
      </c>
      <c r="AP30" s="31" t="e">
        <f>+((#REF!-#REF!)*100)/#REF!</f>
        <v>#REF!</v>
      </c>
      <c r="AQ30" s="29" t="e">
        <f>+((#REF!-#REF!)*100)/#REF!</f>
        <v>#REF!</v>
      </c>
      <c r="AR30" s="29" t="e">
        <f>+((#REF!-#REF!)*100)/#REF!</f>
        <v>#REF!</v>
      </c>
      <c r="AS30" s="29" t="e">
        <f>+((#REF!-#REF!)*100)/#REF!</f>
        <v>#REF!</v>
      </c>
      <c r="AT30" s="29" t="e">
        <f>+((#REF!-#REF!)*100)/#REF!</f>
        <v>#REF!</v>
      </c>
      <c r="AU30" s="29" t="e">
        <f>+((F30-#REF!)*100)/#REF!</f>
        <v>#REF!</v>
      </c>
      <c r="AV30" s="29">
        <f>+((Q30-F30)*100)/F30</f>
        <v>8.8296415900720522</v>
      </c>
      <c r="AW30" s="29">
        <f>+((Y30-Q30)*100)/Q30</f>
        <v>7.3766537365161282</v>
      </c>
      <c r="AX30" s="28" t="e">
        <f>+(((Y30/#REF!)^(0.125))-1)*100</f>
        <v>#REF!</v>
      </c>
      <c r="AY30" s="29" t="e">
        <f>+((#REF!-#REF!)*100)/#REF!</f>
        <v>#REF!</v>
      </c>
      <c r="AZ30" s="29" t="e">
        <f>+((#REF!-#REF!)*100)/#REF!</f>
        <v>#REF!</v>
      </c>
      <c r="BA30" s="29" t="e">
        <f>+((#REF!-#REF!)*100)/#REF!</f>
        <v>#REF!</v>
      </c>
      <c r="BB30" s="29" t="e">
        <f>+((#REF!-#REF!)*100)/#REF!</f>
        <v>#REF!</v>
      </c>
      <c r="BC30" s="20" t="e">
        <f>+(((#REF!+#REF!)-(#REF!+#REF!))/(#REF!+#REF!))</f>
        <v>#REF!</v>
      </c>
      <c r="BD30" s="20" t="e">
        <f>+(((#REF!+#REF!)-(#REF!+#REF!))/(#REF!+#REF!))</f>
        <v>#REF!</v>
      </c>
      <c r="BE30" s="20" t="e">
        <f>+(((#REF!+#REF!)-(#REF!+#REF!))/(#REF!+#REF!))</f>
        <v>#REF!</v>
      </c>
      <c r="BF30" s="20" t="e">
        <f>+(((#REF!+#REF!)-(#REF!+#REF!))/(#REF!+#REF!))</f>
        <v>#REF!</v>
      </c>
      <c r="BG30" s="20" t="e">
        <f>+(((#REF!+#REF!)-(#REF!+#REF!))/(#REF!+#REF!))</f>
        <v>#REF!</v>
      </c>
      <c r="BH30" s="20" t="e">
        <f>+(((#REF!+#REF!)-(#REF!+#REF!))/(#REF!+#REF!))</f>
        <v>#REF!</v>
      </c>
      <c r="BI30" s="20" t="e">
        <f>+(((#REF!+#REF!)-(#REF!+#REF!))/(#REF!+#REF!))</f>
        <v>#REF!</v>
      </c>
      <c r="BJ30" s="20" t="e">
        <f>+(((#REF!+#REF!)-(#REF!+#REF!))/(#REF!+#REF!))</f>
        <v>#REF!</v>
      </c>
      <c r="BK30" s="20" t="e">
        <f>+(((#REF!+#REF!)-(#REF!+#REF!))/(#REF!+#REF!))</f>
        <v>#REF!</v>
      </c>
      <c r="BL30" s="20" t="e">
        <f>+(((#REF!+#REF!)-(#REF!+#REF!))/(#REF!+#REF!))</f>
        <v>#REF!</v>
      </c>
      <c r="BM30" s="20" t="e">
        <f>+(((#REF!+#REF!)-(#REF!+#REF!))/(#REF!+#REF!))</f>
        <v>#REF!</v>
      </c>
      <c r="BN30" s="20" t="e">
        <f>+(((#REF!+#REF!)-(#REF!+#REF!))/(#REF!+#REF!))</f>
        <v>#REF!</v>
      </c>
      <c r="BO30" s="20" t="e">
        <f>+(((#REF!+#REF!)-(#REF!+#REF!))/(#REF!+#REF!))</f>
        <v>#REF!</v>
      </c>
      <c r="BP30" s="20" t="e">
        <f>+(((#REF!+#REF!)-(#REF!+#REF!))/(#REF!+#REF!))</f>
        <v>#REF!</v>
      </c>
      <c r="BQ30" s="20" t="e">
        <f>+(((#REF!+#REF!)-(#REF!+#REF!))/(#REF!+#REF!))</f>
        <v>#REF!</v>
      </c>
      <c r="BR30" s="20" t="e">
        <f>+(((#REF!+#REF!)-(#REF!+#REF!))/(#REF!+#REF!))</f>
        <v>#REF!</v>
      </c>
      <c r="BS30" s="20" t="e">
        <f>+(((#REF!+#REF!)-(#REF!+#REF!))/(#REF!+#REF!))</f>
        <v>#REF!</v>
      </c>
      <c r="BT30" s="20" t="e">
        <f>+(((B30+E30)-(#REF!+#REF!))/(#REF!+#REF!))</f>
        <v>#REF!</v>
      </c>
      <c r="BU30" s="20">
        <f>+(((G30+P30)-(B30+E30))/(B30+E30))</f>
        <v>5.6924196430964809E-2</v>
      </c>
      <c r="BV30" s="20" t="e">
        <f>+((((G30+P30)/(#REF!+#REF!))^(1/19))-1)</f>
        <v>#REF!</v>
      </c>
      <c r="BW30" s="30">
        <v>42843.909571999997</v>
      </c>
      <c r="BX30" s="29"/>
      <c r="BY30" s="28">
        <f>+BW30+BX30</f>
        <v>42843.909571999997</v>
      </c>
      <c r="BZ30" s="27">
        <f>42843.909572+1817.95</f>
        <v>44661.859571999994</v>
      </c>
      <c r="CA30" s="27"/>
      <c r="CB30" s="27">
        <v>674.48434399999996</v>
      </c>
      <c r="CC30" s="27">
        <v>63.518234</v>
      </c>
      <c r="CD30" s="27">
        <f>+SUM(BZ30:CC30)</f>
        <v>45399.862149999994</v>
      </c>
      <c r="CE30" s="27"/>
      <c r="CF30" s="27">
        <v>931.71331799999996</v>
      </c>
      <c r="CG30" s="27">
        <f>+CE30+CF30</f>
        <v>931.71331799999996</v>
      </c>
      <c r="CH30" s="27">
        <f>+CD30+CG30</f>
        <v>46331.575467999995</v>
      </c>
      <c r="CI30" s="27">
        <v>47658.147874000002</v>
      </c>
      <c r="CJ30" s="27"/>
      <c r="CK30" s="27">
        <f>(142367388+314036182)/1000000</f>
        <v>456.40357</v>
      </c>
      <c r="CL30" s="27">
        <f>(413516407+67947336+1229044682)/1000000</f>
        <v>1710.508425</v>
      </c>
      <c r="CM30" s="27">
        <f>17288810/1000000</f>
        <v>17.288810000000002</v>
      </c>
      <c r="CN30" s="27">
        <f>+SUM(CI30:CM30)</f>
        <v>49842.348679000002</v>
      </c>
      <c r="CO30" s="27"/>
      <c r="CP30" s="27">
        <f>(924400158/1000000)+23.442046</f>
        <v>947.84220400000004</v>
      </c>
      <c r="CQ30" s="27">
        <f>+CO30+CP30</f>
        <v>947.84220400000004</v>
      </c>
      <c r="CR30" s="27">
        <f>+CN30+CQ30</f>
        <v>50790.190883000003</v>
      </c>
    </row>
    <row r="31" spans="1:96" ht="15" customHeight="1" x14ac:dyDescent="0.2">
      <c r="A31" s="33" t="s">
        <v>17</v>
      </c>
      <c r="B31" s="27">
        <v>18448.429076</v>
      </c>
      <c r="C31" s="27">
        <v>1032.2585200000001</v>
      </c>
      <c r="D31" s="27"/>
      <c r="E31" s="27">
        <v>0</v>
      </c>
      <c r="F31" s="27">
        <f>+SUM(B31:E31)</f>
        <v>19480.687596</v>
      </c>
      <c r="G31" s="27">
        <f>20416.024187+2000</f>
        <v>22416.024186999999</v>
      </c>
      <c r="H31" s="27"/>
      <c r="I31" s="27">
        <f>460.130895</f>
        <v>460.13089500000001</v>
      </c>
      <c r="J31" s="27">
        <v>256.22221100000002</v>
      </c>
      <c r="K31" s="27">
        <v>962.78013399999998</v>
      </c>
      <c r="L31" s="27"/>
      <c r="M31" s="27">
        <v>420.81143300000002</v>
      </c>
      <c r="N31" s="27">
        <f>+SUM(G31:M31)</f>
        <v>24515.968859999997</v>
      </c>
      <c r="O31" s="27"/>
      <c r="P31" s="27">
        <v>0</v>
      </c>
      <c r="Q31" s="27">
        <f>+N31+P31</f>
        <v>24515.968859999997</v>
      </c>
      <c r="R31" s="27">
        <v>21847.208416000001</v>
      </c>
      <c r="S31" s="27"/>
      <c r="T31" s="27">
        <v>1092.3157409999999</v>
      </c>
      <c r="U31" s="27"/>
      <c r="V31" s="27"/>
      <c r="W31" s="27">
        <f>+R31+S31+T31+U31+V31</f>
        <v>22939.524157</v>
      </c>
      <c r="X31" s="27"/>
      <c r="Y31" s="27">
        <f>+W31+X31</f>
        <v>22939.524157</v>
      </c>
      <c r="Z31" s="27">
        <f>(21847208416-21637139104)/1000000</f>
        <v>210.069312</v>
      </c>
      <c r="AA31" s="27"/>
      <c r="AB31" s="27">
        <f>210069312/1000000</f>
        <v>210.069312</v>
      </c>
      <c r="AC31" s="27"/>
      <c r="AD31" s="27">
        <f>+Z31+AA31+AB31+AC31</f>
        <v>420.13862399999999</v>
      </c>
      <c r="AE31" s="32">
        <f>21427.069792+2060+747.422558</f>
        <v>24234.492349999997</v>
      </c>
      <c r="AF31" s="32">
        <f>+S31-AA31</f>
        <v>0</v>
      </c>
      <c r="AG31" s="32">
        <f>+T31</f>
        <v>1092.3157409999999</v>
      </c>
      <c r="AH31" s="32">
        <v>79.190399999999997</v>
      </c>
      <c r="AI31" s="32">
        <v>1237.4057539999999</v>
      </c>
      <c r="AJ31" s="27">
        <f>+SUM(AE31:AI31)</f>
        <v>26643.404244999994</v>
      </c>
      <c r="AK31" s="27"/>
      <c r="AL31" s="27">
        <v>2416</v>
      </c>
      <c r="AM31" s="27">
        <v>450.38771100000002</v>
      </c>
      <c r="AN31" s="27">
        <f>+SUM(AK31:AM31)</f>
        <v>2866.3877109999999</v>
      </c>
      <c r="AO31" s="27">
        <f>+AJ31+AN31</f>
        <v>29509.791955999994</v>
      </c>
      <c r="AP31" s="31" t="e">
        <f>+((#REF!-#REF!)*100)/#REF!</f>
        <v>#REF!</v>
      </c>
      <c r="AQ31" s="29" t="e">
        <f>+((#REF!-#REF!)*100)/#REF!</f>
        <v>#REF!</v>
      </c>
      <c r="AR31" s="29" t="e">
        <f>+((#REF!-#REF!)*100)/#REF!</f>
        <v>#REF!</v>
      </c>
      <c r="AS31" s="29" t="e">
        <f>+((#REF!-#REF!)*100)/#REF!</f>
        <v>#REF!</v>
      </c>
      <c r="AT31" s="29" t="e">
        <f>+((#REF!-#REF!)*100)/#REF!</f>
        <v>#REF!</v>
      </c>
      <c r="AU31" s="29" t="e">
        <f>+((F31-#REF!)*100)/#REF!</f>
        <v>#REF!</v>
      </c>
      <c r="AV31" s="29">
        <f>+((Q31-F31)*100)/F31</f>
        <v>25.847554092669188</v>
      </c>
      <c r="AW31" s="29">
        <f>+((Y31-Q31)*100)/Q31</f>
        <v>-6.430276983962516</v>
      </c>
      <c r="AX31" s="28" t="e">
        <f>+(((Y31/#REF!)^(0.125))-1)*100</f>
        <v>#REF!</v>
      </c>
      <c r="AY31" s="29" t="e">
        <f>+((#REF!-#REF!)*100)/#REF!</f>
        <v>#REF!</v>
      </c>
      <c r="AZ31" s="29" t="e">
        <f>+((#REF!-#REF!)*100)/#REF!</f>
        <v>#REF!</v>
      </c>
      <c r="BA31" s="29" t="e">
        <f>+((#REF!-#REF!)*100)/#REF!</f>
        <v>#REF!</v>
      </c>
      <c r="BB31" s="29" t="e">
        <f>+((#REF!-#REF!)*100)/#REF!</f>
        <v>#REF!</v>
      </c>
      <c r="BC31" s="20" t="e">
        <f>+(((#REF!+#REF!)-(#REF!+#REF!))/(#REF!+#REF!))</f>
        <v>#REF!</v>
      </c>
      <c r="BD31" s="20" t="e">
        <f>+(((#REF!+#REF!)-(#REF!+#REF!))/(#REF!+#REF!))</f>
        <v>#REF!</v>
      </c>
      <c r="BE31" s="20" t="e">
        <f>+(((#REF!+#REF!)-(#REF!+#REF!))/(#REF!+#REF!))</f>
        <v>#REF!</v>
      </c>
      <c r="BF31" s="20" t="e">
        <f>+(((#REF!+#REF!)-(#REF!+#REF!))/(#REF!+#REF!))</f>
        <v>#REF!</v>
      </c>
      <c r="BG31" s="20" t="e">
        <f>+(((#REF!+#REF!)-(#REF!+#REF!))/(#REF!+#REF!))</f>
        <v>#REF!</v>
      </c>
      <c r="BH31" s="20" t="e">
        <f>+(((#REF!+#REF!)-(#REF!+#REF!))/(#REF!+#REF!))</f>
        <v>#REF!</v>
      </c>
      <c r="BI31" s="20" t="e">
        <f>+(((#REF!+#REF!)-(#REF!+#REF!))/(#REF!+#REF!))</f>
        <v>#REF!</v>
      </c>
      <c r="BJ31" s="20" t="e">
        <f>+(((#REF!+#REF!)-(#REF!+#REF!))/(#REF!+#REF!))</f>
        <v>#REF!</v>
      </c>
      <c r="BK31" s="20" t="e">
        <f>+(((#REF!+#REF!)-(#REF!+#REF!))/(#REF!+#REF!))</f>
        <v>#REF!</v>
      </c>
      <c r="BL31" s="20" t="e">
        <f>+(((#REF!+#REF!)-(#REF!+#REF!))/(#REF!+#REF!))</f>
        <v>#REF!</v>
      </c>
      <c r="BM31" s="20" t="e">
        <f>+(((#REF!+#REF!)-(#REF!+#REF!))/(#REF!+#REF!))</f>
        <v>#REF!</v>
      </c>
      <c r="BN31" s="20" t="e">
        <f>+(((#REF!+#REF!)-(#REF!+#REF!))/(#REF!+#REF!))</f>
        <v>#REF!</v>
      </c>
      <c r="BO31" s="20" t="e">
        <f>+(((#REF!+#REF!)-(#REF!+#REF!))/(#REF!+#REF!))</f>
        <v>#REF!</v>
      </c>
      <c r="BP31" s="20" t="e">
        <f>+(((#REF!+#REF!)-(#REF!+#REF!))/(#REF!+#REF!))</f>
        <v>#REF!</v>
      </c>
      <c r="BQ31" s="20" t="e">
        <f>+(((#REF!+#REF!)-(#REF!+#REF!))/(#REF!+#REF!))</f>
        <v>#REF!</v>
      </c>
      <c r="BR31" s="20" t="e">
        <f>+(((#REF!+#REF!)-(#REF!+#REF!))/(#REF!+#REF!))</f>
        <v>#REF!</v>
      </c>
      <c r="BS31" s="20" t="e">
        <f>+(((#REF!+#REF!)-(#REF!+#REF!))/(#REF!+#REF!))</f>
        <v>#REF!</v>
      </c>
      <c r="BT31" s="20" t="e">
        <f>+(((B31+E31)-(#REF!+#REF!))/(#REF!+#REF!))</f>
        <v>#REF!</v>
      </c>
      <c r="BU31" s="20">
        <f>+(((G31+P31)-(B31+E31))/(B31+E31))</f>
        <v>0.21506411709393389</v>
      </c>
      <c r="BV31" s="20" t="e">
        <f>+((((G31+P31)/(#REF!+#REF!))^(1/19))-1)</f>
        <v>#REF!</v>
      </c>
      <c r="BW31" s="30">
        <v>24191.681885999998</v>
      </c>
      <c r="BX31" s="29"/>
      <c r="BY31" s="28">
        <f>+BW31+BX31</f>
        <v>24191.681885999998</v>
      </c>
      <c r="BZ31" s="27">
        <f>24191.681886+2488.48+167.721227</f>
        <v>26847.883112999996</v>
      </c>
      <c r="CA31" s="27"/>
      <c r="CB31" s="27">
        <v>412.17874499999999</v>
      </c>
      <c r="CC31" s="27">
        <v>724.547639</v>
      </c>
      <c r="CD31" s="27">
        <f>+SUM(BZ31:CC31)</f>
        <v>27984.609496999998</v>
      </c>
      <c r="CE31" s="27"/>
      <c r="CF31" s="27">
        <v>570.61131999999998</v>
      </c>
      <c r="CG31" s="27">
        <f>+CE31+CF31</f>
        <v>570.61131999999998</v>
      </c>
      <c r="CH31" s="27">
        <f>+CD31+CG31</f>
        <v>28555.220816999998</v>
      </c>
      <c r="CI31" s="27">
        <v>30486.12859</v>
      </c>
      <c r="CJ31" s="27"/>
      <c r="CK31" s="27">
        <f>(852345520+191024379)/1000000</f>
        <v>1043.369899</v>
      </c>
      <c r="CL31" s="27">
        <f>(252700712+41522754+1163120260)/1000000</f>
        <v>1457.3437260000001</v>
      </c>
      <c r="CM31" s="27">
        <f>1182989493/1000000</f>
        <v>1182.989493</v>
      </c>
      <c r="CN31" s="27">
        <f>+SUM(CI31:CM31)</f>
        <v>34169.831708000005</v>
      </c>
      <c r="CO31" s="27"/>
      <c r="CP31" s="27">
        <f>(586879240/1000000)+54.837877</f>
        <v>641.71711700000003</v>
      </c>
      <c r="CQ31" s="27">
        <f>+CO31+CP31</f>
        <v>641.71711700000003</v>
      </c>
      <c r="CR31" s="27">
        <f>+CN31+CQ31</f>
        <v>34811.548825000005</v>
      </c>
    </row>
    <row r="32" spans="1:96" ht="15" customHeight="1" x14ac:dyDescent="0.2">
      <c r="A32" s="33" t="s">
        <v>16</v>
      </c>
      <c r="B32" s="27">
        <v>73187.57200900001</v>
      </c>
      <c r="C32" s="27">
        <v>741.42241999999999</v>
      </c>
      <c r="D32" s="27"/>
      <c r="E32" s="27">
        <v>0</v>
      </c>
      <c r="F32" s="27">
        <f>+SUM(B32:E32)</f>
        <v>73928.994429000013</v>
      </c>
      <c r="G32" s="27">
        <f>75786.461142</f>
        <v>75786.461142</v>
      </c>
      <c r="H32" s="27"/>
      <c r="I32" s="27">
        <f>1927.91817</f>
        <v>1927.9181699999999</v>
      </c>
      <c r="J32" s="27">
        <v>1010.259805</v>
      </c>
      <c r="K32" s="27">
        <v>13.283175</v>
      </c>
      <c r="L32" s="27"/>
      <c r="M32" s="27">
        <v>340.350956</v>
      </c>
      <c r="N32" s="27">
        <f>+SUM(G32:M32)</f>
        <v>79078.273247999998</v>
      </c>
      <c r="O32" s="27"/>
      <c r="P32" s="27">
        <v>0</v>
      </c>
      <c r="Q32" s="27">
        <f>+N32+P32</f>
        <v>79078.273247999998</v>
      </c>
      <c r="R32" s="27">
        <v>81208.855521999998</v>
      </c>
      <c r="S32" s="27"/>
      <c r="T32" s="27">
        <v>4306.8970650000001</v>
      </c>
      <c r="U32" s="27"/>
      <c r="V32" s="27"/>
      <c r="W32" s="27">
        <f>+R32+S32+T32+U32+V32</f>
        <v>85515.752586999995</v>
      </c>
      <c r="X32" s="27"/>
      <c r="Y32" s="27">
        <f>+W32+X32</f>
        <v>85515.752586999995</v>
      </c>
      <c r="Z32" s="27">
        <f>(81208855522-80428001142)/1000000</f>
        <v>780.85437999999999</v>
      </c>
      <c r="AA32" s="27"/>
      <c r="AB32" s="27">
        <f>780854380/1000000</f>
        <v>780.85437999999999</v>
      </c>
      <c r="AC32" s="27"/>
      <c r="AD32" s="27">
        <f>+Z32+AA32+AB32+AC32</f>
        <v>1561.70876</v>
      </c>
      <c r="AE32" s="32">
        <v>79647.146762000004</v>
      </c>
      <c r="AF32" s="32">
        <f>+S32-AA32</f>
        <v>0</v>
      </c>
      <c r="AG32" s="32">
        <f>+T32</f>
        <v>4306.8970650000001</v>
      </c>
      <c r="AH32" s="32">
        <v>37.094638000000003</v>
      </c>
      <c r="AI32" s="32">
        <v>28.88092</v>
      </c>
      <c r="AJ32" s="27">
        <f>+SUM(AE32:AI32)</f>
        <v>84020.019384999992</v>
      </c>
      <c r="AK32" s="27"/>
      <c r="AL32" s="27">
        <v>771</v>
      </c>
      <c r="AM32" s="27">
        <v>1679.0808770000001</v>
      </c>
      <c r="AN32" s="27">
        <f>+SUM(AK32:AM32)</f>
        <v>2450.0808770000003</v>
      </c>
      <c r="AO32" s="27">
        <f>+AJ32+AN32</f>
        <v>86470.100261999993</v>
      </c>
      <c r="AP32" s="31" t="e">
        <f>+((#REF!-#REF!)*100)/#REF!</f>
        <v>#REF!</v>
      </c>
      <c r="AQ32" s="29" t="e">
        <f>+((#REF!-#REF!)*100)/#REF!</f>
        <v>#REF!</v>
      </c>
      <c r="AR32" s="29" t="e">
        <f>+((#REF!-#REF!)*100)/#REF!</f>
        <v>#REF!</v>
      </c>
      <c r="AS32" s="29" t="e">
        <f>+((#REF!-#REF!)*100)/#REF!</f>
        <v>#REF!</v>
      </c>
      <c r="AT32" s="29" t="e">
        <f>+((#REF!-#REF!)*100)/#REF!</f>
        <v>#REF!</v>
      </c>
      <c r="AU32" s="29" t="e">
        <f>+((F32-#REF!)*100)/#REF!</f>
        <v>#REF!</v>
      </c>
      <c r="AV32" s="29">
        <f>+((Q32-F32)*100)/F32</f>
        <v>6.9651682114319211</v>
      </c>
      <c r="AW32" s="29">
        <f>+((Y32-Q32)*100)/Q32</f>
        <v>8.1406422707425659</v>
      </c>
      <c r="AX32" s="28" t="e">
        <f>+(((Y32/#REF!)^(0.125))-1)*100</f>
        <v>#REF!</v>
      </c>
      <c r="AY32" s="29" t="e">
        <f>+((#REF!-#REF!)*100)/#REF!</f>
        <v>#REF!</v>
      </c>
      <c r="AZ32" s="29" t="e">
        <f>+((#REF!-#REF!)*100)/#REF!</f>
        <v>#REF!</v>
      </c>
      <c r="BA32" s="29" t="e">
        <f>+((#REF!-#REF!)*100)/#REF!</f>
        <v>#REF!</v>
      </c>
      <c r="BB32" s="29" t="e">
        <f>+((#REF!-#REF!)*100)/#REF!</f>
        <v>#REF!</v>
      </c>
      <c r="BC32" s="20" t="e">
        <f>+(((#REF!+#REF!)-(#REF!+#REF!))/(#REF!+#REF!))</f>
        <v>#REF!</v>
      </c>
      <c r="BD32" s="20" t="e">
        <f>+(((#REF!+#REF!)-(#REF!+#REF!))/(#REF!+#REF!))</f>
        <v>#REF!</v>
      </c>
      <c r="BE32" s="20" t="e">
        <f>+(((#REF!+#REF!)-(#REF!+#REF!))/(#REF!+#REF!))</f>
        <v>#REF!</v>
      </c>
      <c r="BF32" s="20" t="e">
        <f>+(((#REF!+#REF!)-(#REF!+#REF!))/(#REF!+#REF!))</f>
        <v>#REF!</v>
      </c>
      <c r="BG32" s="20" t="e">
        <f>+(((#REF!+#REF!)-(#REF!+#REF!))/(#REF!+#REF!))</f>
        <v>#REF!</v>
      </c>
      <c r="BH32" s="20" t="e">
        <f>+(((#REF!+#REF!)-(#REF!+#REF!))/(#REF!+#REF!))</f>
        <v>#REF!</v>
      </c>
      <c r="BI32" s="20" t="e">
        <f>+(((#REF!+#REF!)-(#REF!+#REF!))/(#REF!+#REF!))</f>
        <v>#REF!</v>
      </c>
      <c r="BJ32" s="20" t="e">
        <f>+(((#REF!+#REF!)-(#REF!+#REF!))/(#REF!+#REF!))</f>
        <v>#REF!</v>
      </c>
      <c r="BK32" s="20" t="e">
        <f>+(((#REF!+#REF!)-(#REF!+#REF!))/(#REF!+#REF!))</f>
        <v>#REF!</v>
      </c>
      <c r="BL32" s="20" t="e">
        <f>+(((#REF!+#REF!)-(#REF!+#REF!))/(#REF!+#REF!))</f>
        <v>#REF!</v>
      </c>
      <c r="BM32" s="20" t="e">
        <f>+(((#REF!+#REF!)-(#REF!+#REF!))/(#REF!+#REF!))</f>
        <v>#REF!</v>
      </c>
      <c r="BN32" s="20" t="e">
        <f>+(((#REF!+#REF!)-(#REF!+#REF!))/(#REF!+#REF!))</f>
        <v>#REF!</v>
      </c>
      <c r="BO32" s="20" t="e">
        <f>+(((#REF!+#REF!)-(#REF!+#REF!))/(#REF!+#REF!))</f>
        <v>#REF!</v>
      </c>
      <c r="BP32" s="20" t="e">
        <f>+(((#REF!+#REF!)-(#REF!+#REF!))/(#REF!+#REF!))</f>
        <v>#REF!</v>
      </c>
      <c r="BQ32" s="20" t="e">
        <f>+(((#REF!+#REF!)-(#REF!+#REF!))/(#REF!+#REF!))</f>
        <v>#REF!</v>
      </c>
      <c r="BR32" s="20" t="e">
        <f>+(((#REF!+#REF!)-(#REF!+#REF!))/(#REF!+#REF!))</f>
        <v>#REF!</v>
      </c>
      <c r="BS32" s="20" t="e">
        <f>+(((#REF!+#REF!)-(#REF!+#REF!))/(#REF!+#REF!))</f>
        <v>#REF!</v>
      </c>
      <c r="BT32" s="20" t="e">
        <f>+(((B32+E32)-(#REF!+#REF!))/(#REF!+#REF!))</f>
        <v>#REF!</v>
      </c>
      <c r="BU32" s="20">
        <f>+(((G32+P32)-(B32+E32))/(B32+E32))</f>
        <v>3.5509978834663343E-2</v>
      </c>
      <c r="BV32" s="20" t="e">
        <f>+((((G32+P32)/(#REF!+#REF!))^(1/19))-1)</f>
        <v>#REF!</v>
      </c>
      <c r="BW32" s="30">
        <v>82036.561165000006</v>
      </c>
      <c r="BX32" s="29"/>
      <c r="BY32" s="28">
        <f>+BW32+BX32</f>
        <v>82036.561165000006</v>
      </c>
      <c r="BZ32" s="27">
        <f>82036.561165+794.13</f>
        <v>82830.691165000011</v>
      </c>
      <c r="CA32" s="27"/>
      <c r="CB32" s="27">
        <v>483.625721</v>
      </c>
      <c r="CC32" s="27">
        <v>28.124490000000002</v>
      </c>
      <c r="CD32" s="27">
        <f>+SUM(BZ32:CC32)</f>
        <v>83342.441376000017</v>
      </c>
      <c r="CE32" s="27"/>
      <c r="CF32" s="27">
        <v>1726.14077</v>
      </c>
      <c r="CG32" s="27">
        <f>+CE32+CF32</f>
        <v>1726.14077</v>
      </c>
      <c r="CH32" s="27">
        <f>+CD32+CG32</f>
        <v>85068.582146000015</v>
      </c>
      <c r="CI32" s="27">
        <v>87797.531201999998</v>
      </c>
      <c r="CJ32" s="27"/>
      <c r="CK32" s="27">
        <f>(268167305+586701404)/1000000</f>
        <v>854.86870899999997</v>
      </c>
      <c r="CL32" s="27">
        <f>(296503800+48720300+1223269386)/1000000</f>
        <v>1568.4934860000001</v>
      </c>
      <c r="CM32" s="27">
        <f>47655566/1000000</f>
        <v>47.655566</v>
      </c>
      <c r="CN32" s="27">
        <f>+SUM(CI32:CM32)</f>
        <v>90268.548963000008</v>
      </c>
      <c r="CO32" s="27"/>
      <c r="CP32" s="27">
        <f>(1714491828/1000000)+32.825961</f>
        <v>1747.3177889999999</v>
      </c>
      <c r="CQ32" s="27">
        <f>+CO32+CP32</f>
        <v>1747.3177889999999</v>
      </c>
      <c r="CR32" s="27">
        <f>+CN32+CQ32</f>
        <v>92015.866752000002</v>
      </c>
    </row>
    <row r="33" spans="1:96" ht="15" customHeight="1" x14ac:dyDescent="0.2">
      <c r="A33" s="33" t="s">
        <v>15</v>
      </c>
      <c r="B33" s="27">
        <v>31132.648636000002</v>
      </c>
      <c r="C33" s="27">
        <v>767.86206500000003</v>
      </c>
      <c r="D33" s="27"/>
      <c r="E33" s="27">
        <v>0</v>
      </c>
      <c r="F33" s="27">
        <f>+SUM(B33:E33)</f>
        <v>31900.510701000003</v>
      </c>
      <c r="G33" s="27">
        <f>32904.849642+219.350764</f>
        <v>33124.200406000004</v>
      </c>
      <c r="H33" s="27"/>
      <c r="I33" s="27">
        <f>837.060558</f>
        <v>837.06055800000001</v>
      </c>
      <c r="J33" s="27">
        <v>438.63305500000001</v>
      </c>
      <c r="K33" s="27">
        <v>486.12048700000003</v>
      </c>
      <c r="L33" s="27"/>
      <c r="M33" s="27">
        <v>412.59048999999999</v>
      </c>
      <c r="N33" s="27">
        <f>+SUM(G33:M33)</f>
        <v>35298.604996000002</v>
      </c>
      <c r="O33" s="27"/>
      <c r="P33" s="27">
        <v>0</v>
      </c>
      <c r="Q33" s="27">
        <f>+N33+P33</f>
        <v>35298.604996000002</v>
      </c>
      <c r="R33" s="27">
        <v>35259.136530000003</v>
      </c>
      <c r="S33" s="27"/>
      <c r="T33" s="27">
        <v>1869.9619720000001</v>
      </c>
      <c r="U33" s="27"/>
      <c r="V33" s="27"/>
      <c r="W33" s="27">
        <f>+R33+S33+T33+U33+V33</f>
        <v>37129.098502000001</v>
      </c>
      <c r="X33" s="27"/>
      <c r="Y33" s="27">
        <f>+W33+X33</f>
        <v>37129.098502000001</v>
      </c>
      <c r="Z33" s="27">
        <f>(35259136530-34920106371)/1000000</f>
        <v>339.03015900000003</v>
      </c>
      <c r="AA33" s="27"/>
      <c r="AB33" s="27">
        <f>339030159/1000000</f>
        <v>339.03015900000003</v>
      </c>
      <c r="AC33" s="27"/>
      <c r="AD33" s="27">
        <f>+Z33+AA33+AB33+AC33</f>
        <v>678.06031800000005</v>
      </c>
      <c r="AE33" s="32">
        <f>34581.076212+225.931287+607.400997</f>
        <v>35414.408495999996</v>
      </c>
      <c r="AF33" s="32">
        <f>+S33-AA33</f>
        <v>0</v>
      </c>
      <c r="AG33" s="32">
        <f>+T33</f>
        <v>1869.9619720000001</v>
      </c>
      <c r="AH33" s="32">
        <v>64.354932000000005</v>
      </c>
      <c r="AI33" s="32">
        <v>639.43920000000003</v>
      </c>
      <c r="AJ33" s="27">
        <f>+SUM(AE33:AI33)</f>
        <v>37988.164599999996</v>
      </c>
      <c r="AK33" s="27"/>
      <c r="AL33" s="27">
        <v>480</v>
      </c>
      <c r="AM33" s="27">
        <v>729.02076399999999</v>
      </c>
      <c r="AN33" s="27">
        <f>+SUM(AK33:AM33)</f>
        <v>1209.0207639999999</v>
      </c>
      <c r="AO33" s="27">
        <f>+AJ33+AN33</f>
        <v>39197.185363999997</v>
      </c>
      <c r="AP33" s="31" t="e">
        <f>+((#REF!-#REF!)*100)/#REF!</f>
        <v>#REF!</v>
      </c>
      <c r="AQ33" s="29" t="e">
        <f>+((#REF!-#REF!)*100)/#REF!</f>
        <v>#REF!</v>
      </c>
      <c r="AR33" s="29" t="e">
        <f>+((#REF!-#REF!)*100)/#REF!</f>
        <v>#REF!</v>
      </c>
      <c r="AS33" s="29" t="e">
        <f>+((#REF!-#REF!)*100)/#REF!</f>
        <v>#REF!</v>
      </c>
      <c r="AT33" s="29" t="e">
        <f>+((#REF!-#REF!)*100)/#REF!</f>
        <v>#REF!</v>
      </c>
      <c r="AU33" s="29" t="e">
        <f>+((F33-#REF!)*100)/#REF!</f>
        <v>#REF!</v>
      </c>
      <c r="AV33" s="29">
        <f>+((Q33-F33)*100)/F33</f>
        <v>10.652162678052289</v>
      </c>
      <c r="AW33" s="29">
        <f>+((Y33-Q33)*100)/Q33</f>
        <v>5.1857389440954629</v>
      </c>
      <c r="AX33" s="28" t="e">
        <f>+(((Y33/#REF!)^(0.125))-1)*100</f>
        <v>#REF!</v>
      </c>
      <c r="AY33" s="29" t="e">
        <f>+((#REF!-#REF!)*100)/#REF!</f>
        <v>#REF!</v>
      </c>
      <c r="AZ33" s="29" t="e">
        <f>+((#REF!-#REF!)*100)/#REF!</f>
        <v>#REF!</v>
      </c>
      <c r="BA33" s="29" t="e">
        <f>+((#REF!-#REF!)*100)/#REF!</f>
        <v>#REF!</v>
      </c>
      <c r="BB33" s="29" t="e">
        <f>+((#REF!-#REF!)*100)/#REF!</f>
        <v>#REF!</v>
      </c>
      <c r="BC33" s="20" t="e">
        <f>+(((#REF!+#REF!)-(#REF!+#REF!))/(#REF!+#REF!))</f>
        <v>#REF!</v>
      </c>
      <c r="BD33" s="20" t="e">
        <f>+(((#REF!+#REF!)-(#REF!+#REF!))/(#REF!+#REF!))</f>
        <v>#REF!</v>
      </c>
      <c r="BE33" s="20" t="e">
        <f>+(((#REF!+#REF!)-(#REF!+#REF!))/(#REF!+#REF!))</f>
        <v>#REF!</v>
      </c>
      <c r="BF33" s="20" t="e">
        <f>+(((#REF!+#REF!)-(#REF!+#REF!))/(#REF!+#REF!))</f>
        <v>#REF!</v>
      </c>
      <c r="BG33" s="20" t="e">
        <f>+(((#REF!+#REF!)-(#REF!+#REF!))/(#REF!+#REF!))</f>
        <v>#REF!</v>
      </c>
      <c r="BH33" s="20" t="e">
        <f>+(((#REF!+#REF!)-(#REF!+#REF!))/(#REF!+#REF!))</f>
        <v>#REF!</v>
      </c>
      <c r="BI33" s="20" t="e">
        <f>+(((#REF!+#REF!)-(#REF!+#REF!))/(#REF!+#REF!))</f>
        <v>#REF!</v>
      </c>
      <c r="BJ33" s="20" t="e">
        <f>+(((#REF!+#REF!)-(#REF!+#REF!))/(#REF!+#REF!))</f>
        <v>#REF!</v>
      </c>
      <c r="BK33" s="20" t="e">
        <f>+(((#REF!+#REF!)-(#REF!+#REF!))/(#REF!+#REF!))</f>
        <v>#REF!</v>
      </c>
      <c r="BL33" s="20" t="e">
        <f>+(((#REF!+#REF!)-(#REF!+#REF!))/(#REF!+#REF!))</f>
        <v>#REF!</v>
      </c>
      <c r="BM33" s="20" t="e">
        <f>+(((#REF!+#REF!)-(#REF!+#REF!))/(#REF!+#REF!))</f>
        <v>#REF!</v>
      </c>
      <c r="BN33" s="20" t="e">
        <f>+(((#REF!+#REF!)-(#REF!+#REF!))/(#REF!+#REF!))</f>
        <v>#REF!</v>
      </c>
      <c r="BO33" s="20" t="e">
        <f>+(((#REF!+#REF!)-(#REF!+#REF!))/(#REF!+#REF!))</f>
        <v>#REF!</v>
      </c>
      <c r="BP33" s="20" t="e">
        <f>+(((#REF!+#REF!)-(#REF!+#REF!))/(#REF!+#REF!))</f>
        <v>#REF!</v>
      </c>
      <c r="BQ33" s="20" t="e">
        <f>+(((#REF!+#REF!)-(#REF!+#REF!))/(#REF!+#REF!))</f>
        <v>#REF!</v>
      </c>
      <c r="BR33" s="20" t="e">
        <f>+(((#REF!+#REF!)-(#REF!+#REF!))/(#REF!+#REF!))</f>
        <v>#REF!</v>
      </c>
      <c r="BS33" s="20" t="e">
        <f>+(((#REF!+#REF!)-(#REF!+#REF!))/(#REF!+#REF!))</f>
        <v>#REF!</v>
      </c>
      <c r="BT33" s="20" t="e">
        <f>+(((B33+E33)-(#REF!+#REF!))/(#REF!+#REF!))</f>
        <v>#REF!</v>
      </c>
      <c r="BU33" s="20">
        <f>+(((G33+P33)-(B33+E33))/(B33+E33))</f>
        <v>6.3969879122237158E-2</v>
      </c>
      <c r="BV33" s="20" t="e">
        <f>+((((G33+P33)/(#REF!+#REF!))^(1/19))-1)</f>
        <v>#REF!</v>
      </c>
      <c r="BW33" s="30">
        <v>35851.217724000002</v>
      </c>
      <c r="BX33" s="29"/>
      <c r="BY33" s="28">
        <f>+BW33+BX33</f>
        <v>35851.217724000002</v>
      </c>
      <c r="BZ33" s="27">
        <f>35851.217724+494.4+213.095439</f>
        <v>36558.713163</v>
      </c>
      <c r="CA33" s="27"/>
      <c r="CB33" s="27">
        <v>523.68691100000001</v>
      </c>
      <c r="CC33" s="27">
        <v>754.66098799999997</v>
      </c>
      <c r="CD33" s="27">
        <f>+SUM(BZ33:CC33)</f>
        <v>37837.061062000001</v>
      </c>
      <c r="CE33" s="27"/>
      <c r="CF33" s="27">
        <v>772.58149300000002</v>
      </c>
      <c r="CG33" s="27">
        <f>+CE33+CF33</f>
        <v>772.58149300000002</v>
      </c>
      <c r="CH33" s="27">
        <f>+CD33+CG33</f>
        <v>38609.642554999999</v>
      </c>
      <c r="CI33" s="27">
        <v>40790.936822000003</v>
      </c>
      <c r="CJ33" s="27"/>
      <c r="CK33" s="27">
        <f>(743059399+261632555)/1000000</f>
        <v>1004.691954</v>
      </c>
      <c r="CL33" s="27">
        <f>(321064725+52756051+1096097651)/1000000</f>
        <v>1469.9184270000001</v>
      </c>
      <c r="CM33" s="27">
        <f>605373434/1000000</f>
        <v>605.37343399999997</v>
      </c>
      <c r="CN33" s="27">
        <f>+SUM(CI33:CM33)</f>
        <v>43870.920637000003</v>
      </c>
      <c r="CO33" s="27"/>
      <c r="CP33" s="27">
        <f>(782094265/1000000)+50.866655</f>
        <v>832.96091999999999</v>
      </c>
      <c r="CQ33" s="27">
        <f>+CO33+CP33</f>
        <v>832.96091999999999</v>
      </c>
      <c r="CR33" s="27">
        <f>+CN33+CQ33</f>
        <v>44703.881557000001</v>
      </c>
    </row>
    <row r="34" spans="1:96" ht="15" customHeight="1" x14ac:dyDescent="0.2">
      <c r="A34" s="33" t="s">
        <v>14</v>
      </c>
      <c r="B34" s="27">
        <v>24989.342185000001</v>
      </c>
      <c r="C34" s="27">
        <v>1128.89274</v>
      </c>
      <c r="D34" s="27"/>
      <c r="E34" s="27">
        <v>0</v>
      </c>
      <c r="F34" s="27">
        <f>+SUM(B34:E34)</f>
        <v>26118.234925000001</v>
      </c>
      <c r="G34" s="27">
        <f>27407.611537+238.197042</f>
        <v>27645.808579</v>
      </c>
      <c r="H34" s="27"/>
      <c r="I34" s="27">
        <f>668.562938</f>
        <v>668.56293800000003</v>
      </c>
      <c r="J34" s="27">
        <v>351.736332</v>
      </c>
      <c r="K34" s="27">
        <v>679.99836200000004</v>
      </c>
      <c r="L34" s="27"/>
      <c r="M34" s="27">
        <v>448.039625</v>
      </c>
      <c r="N34" s="27">
        <f>+SUM(G34:M34)</f>
        <v>29794.145836</v>
      </c>
      <c r="O34" s="27"/>
      <c r="P34" s="27">
        <v>0</v>
      </c>
      <c r="Q34" s="27">
        <f>+N34+P34</f>
        <v>29794.145836</v>
      </c>
      <c r="R34" s="27">
        <v>29337.109348999998</v>
      </c>
      <c r="S34" s="27"/>
      <c r="T34" s="27">
        <v>1499.5075200000001</v>
      </c>
      <c r="U34" s="27"/>
      <c r="V34" s="27"/>
      <c r="W34" s="27">
        <f>+R34+S34+T34+U34+V34</f>
        <v>30836.616868999998</v>
      </c>
      <c r="X34" s="27"/>
      <c r="Y34" s="27">
        <f>+W34+X34</f>
        <v>30836.616868999998</v>
      </c>
      <c r="Z34" s="27">
        <f>(29337109349-29055021759)/1000000</f>
        <v>282.08758999999998</v>
      </c>
      <c r="AA34" s="27"/>
      <c r="AB34" s="27">
        <f>282087590/1000000</f>
        <v>282.08758999999998</v>
      </c>
      <c r="AC34" s="27"/>
      <c r="AD34" s="27">
        <f>+Z34+AA34+AB34+AC34</f>
        <v>564.17517999999995</v>
      </c>
      <c r="AE34" s="32">
        <f>28772.934169+245.342953+627.470159</f>
        <v>29645.747281</v>
      </c>
      <c r="AF34" s="32">
        <f>+S34-AA34</f>
        <v>0</v>
      </c>
      <c r="AG34" s="32">
        <f>+T34</f>
        <v>1499.5075200000001</v>
      </c>
      <c r="AH34" s="32">
        <v>66.481285999999997</v>
      </c>
      <c r="AI34" s="32">
        <v>1024.5324599999999</v>
      </c>
      <c r="AJ34" s="27">
        <f>+SUM(AE34:AI34)</f>
        <v>32236.268546999996</v>
      </c>
      <c r="AK34" s="27"/>
      <c r="AL34" s="27">
        <v>1902</v>
      </c>
      <c r="AM34" s="27">
        <v>605.44883400000003</v>
      </c>
      <c r="AN34" s="27">
        <f>+SUM(AK34:AM34)</f>
        <v>2507.4488339999998</v>
      </c>
      <c r="AO34" s="27">
        <f>+AJ34+AN34</f>
        <v>34743.717380999995</v>
      </c>
      <c r="AP34" s="31" t="e">
        <f>+((#REF!-#REF!)*100)/#REF!</f>
        <v>#REF!</v>
      </c>
      <c r="AQ34" s="29" t="e">
        <f>+((#REF!-#REF!)*100)/#REF!</f>
        <v>#REF!</v>
      </c>
      <c r="AR34" s="29" t="e">
        <f>+((#REF!-#REF!)*100)/#REF!</f>
        <v>#REF!</v>
      </c>
      <c r="AS34" s="29" t="e">
        <f>+((#REF!-#REF!)*100)/#REF!</f>
        <v>#REF!</v>
      </c>
      <c r="AT34" s="29" t="e">
        <f>+((#REF!-#REF!)*100)/#REF!</f>
        <v>#REF!</v>
      </c>
      <c r="AU34" s="29" t="e">
        <f>+((F34-#REF!)*100)/#REF!</f>
        <v>#REF!</v>
      </c>
      <c r="AV34" s="29">
        <f>+((Q34-F34)*100)/F34</f>
        <v>14.074116882536613</v>
      </c>
      <c r="AW34" s="29">
        <f>+((Y34-Q34)*100)/Q34</f>
        <v>3.4989122988731216</v>
      </c>
      <c r="AX34" s="28" t="e">
        <f>+(((Y34/#REF!)^(0.125))-1)*100</f>
        <v>#REF!</v>
      </c>
      <c r="AY34" s="29" t="e">
        <f>+((#REF!-#REF!)*100)/#REF!</f>
        <v>#REF!</v>
      </c>
      <c r="AZ34" s="29" t="e">
        <f>+((#REF!-#REF!)*100)/#REF!</f>
        <v>#REF!</v>
      </c>
      <c r="BA34" s="29" t="e">
        <f>+((#REF!-#REF!)*100)/#REF!</f>
        <v>#REF!</v>
      </c>
      <c r="BB34" s="29" t="e">
        <f>+((#REF!-#REF!)*100)/#REF!</f>
        <v>#REF!</v>
      </c>
      <c r="BC34" s="20" t="e">
        <f>+(((#REF!+#REF!)-(#REF!+#REF!))/(#REF!+#REF!))</f>
        <v>#REF!</v>
      </c>
      <c r="BD34" s="20" t="e">
        <f>+(((#REF!+#REF!)-(#REF!+#REF!))/(#REF!+#REF!))</f>
        <v>#REF!</v>
      </c>
      <c r="BE34" s="20" t="e">
        <f>+(((#REF!+#REF!)-(#REF!+#REF!))/(#REF!+#REF!))</f>
        <v>#REF!</v>
      </c>
      <c r="BF34" s="20" t="e">
        <f>+(((#REF!+#REF!)-(#REF!+#REF!))/(#REF!+#REF!))</f>
        <v>#REF!</v>
      </c>
      <c r="BG34" s="20" t="e">
        <f>+(((#REF!+#REF!)-(#REF!+#REF!))/(#REF!+#REF!))</f>
        <v>#REF!</v>
      </c>
      <c r="BH34" s="20" t="e">
        <f>+(((#REF!+#REF!)-(#REF!+#REF!))/(#REF!+#REF!))</f>
        <v>#REF!</v>
      </c>
      <c r="BI34" s="20" t="e">
        <f>+(((#REF!+#REF!)-(#REF!+#REF!))/(#REF!+#REF!))</f>
        <v>#REF!</v>
      </c>
      <c r="BJ34" s="20" t="e">
        <f>+(((#REF!+#REF!)-(#REF!+#REF!))/(#REF!+#REF!))</f>
        <v>#REF!</v>
      </c>
      <c r="BK34" s="20" t="e">
        <f>+(((#REF!+#REF!)-(#REF!+#REF!))/(#REF!+#REF!))</f>
        <v>#REF!</v>
      </c>
      <c r="BL34" s="20" t="e">
        <f>+(((#REF!+#REF!)-(#REF!+#REF!))/(#REF!+#REF!))</f>
        <v>#REF!</v>
      </c>
      <c r="BM34" s="20" t="e">
        <f>+(((#REF!+#REF!)-(#REF!+#REF!))/(#REF!+#REF!))</f>
        <v>#REF!</v>
      </c>
      <c r="BN34" s="20" t="e">
        <f>+(((#REF!+#REF!)-(#REF!+#REF!))/(#REF!+#REF!))</f>
        <v>#REF!</v>
      </c>
      <c r="BO34" s="20" t="e">
        <f>+(((#REF!+#REF!)-(#REF!+#REF!))/(#REF!+#REF!))</f>
        <v>#REF!</v>
      </c>
      <c r="BP34" s="20" t="e">
        <f>+(((#REF!+#REF!)-(#REF!+#REF!))/(#REF!+#REF!))</f>
        <v>#REF!</v>
      </c>
      <c r="BQ34" s="20" t="e">
        <f>+(((#REF!+#REF!)-(#REF!+#REF!))/(#REF!+#REF!))</f>
        <v>#REF!</v>
      </c>
      <c r="BR34" s="20" t="e">
        <f>+(((#REF!+#REF!)-(#REF!+#REF!))/(#REF!+#REF!))</f>
        <v>#REF!</v>
      </c>
      <c r="BS34" s="20" t="e">
        <f>+(((#REF!+#REF!)-(#REF!+#REF!))/(#REF!+#REF!))</f>
        <v>#REF!</v>
      </c>
      <c r="BT34" s="20" t="e">
        <f>+(((B34+E34)-(#REF!+#REF!))/(#REF!+#REF!))</f>
        <v>#REF!</v>
      </c>
      <c r="BU34" s="20">
        <f>+(((G34+P34)-(B34+E34))/(B34+E34))</f>
        <v>0.10630397448375246</v>
      </c>
      <c r="BV34" s="20" t="e">
        <f>+((((G34+P34)/(#REF!+#REF!))^(1/19))-1)</f>
        <v>#REF!</v>
      </c>
      <c r="BW34" s="30">
        <v>29888.825435999999</v>
      </c>
      <c r="BX34" s="29"/>
      <c r="BY34" s="28">
        <f>+BW34+BX34</f>
        <v>29888.825435999999</v>
      </c>
      <c r="BZ34" s="27">
        <f>29888.825436+1959.06</f>
        <v>31847.885436</v>
      </c>
      <c r="CA34" s="27"/>
      <c r="CB34" s="27">
        <v>516.023008</v>
      </c>
      <c r="CC34" s="27">
        <v>1668.395389</v>
      </c>
      <c r="CD34" s="27">
        <f>+SUM(BZ34:CC34)</f>
        <v>34032.303832999998</v>
      </c>
      <c r="CE34" s="27"/>
      <c r="CF34" s="27">
        <v>697.54479000000003</v>
      </c>
      <c r="CG34" s="27">
        <f>+CE34+CF34</f>
        <v>697.54479000000003</v>
      </c>
      <c r="CH34" s="27">
        <f>+CD34+CG34</f>
        <v>34729.848622999998</v>
      </c>
      <c r="CI34" s="27">
        <v>35967.421263999997</v>
      </c>
      <c r="CJ34" s="27"/>
      <c r="CK34" s="27">
        <f>(746752979+227414783)/1000000</f>
        <v>974.16776200000004</v>
      </c>
      <c r="CL34" s="27">
        <f>(316366099+51983992+1047223903)/1000000</f>
        <v>1415.5739940000001</v>
      </c>
      <c r="CM34" s="27">
        <f>1617793252/1000000</f>
        <v>1617.7932519999999</v>
      </c>
      <c r="CN34" s="27">
        <f>+SUM(CI34:CM34)</f>
        <v>39974.956271999996</v>
      </c>
      <c r="CO34" s="27"/>
      <c r="CP34" s="27">
        <f>(685397990/1000000)+70.414696</f>
        <v>755.8126860000001</v>
      </c>
      <c r="CQ34" s="27">
        <f>+CO34+CP34</f>
        <v>755.8126860000001</v>
      </c>
      <c r="CR34" s="27">
        <f>+CN34+CQ34</f>
        <v>40730.768957999993</v>
      </c>
    </row>
    <row r="35" spans="1:96" ht="15" customHeight="1" x14ac:dyDescent="0.2">
      <c r="A35" s="33" t="s">
        <v>13</v>
      </c>
      <c r="B35" s="27">
        <v>134786.34033499999</v>
      </c>
      <c r="C35" s="27">
        <v>1088.2336749999999</v>
      </c>
      <c r="D35" s="27"/>
      <c r="E35" s="27">
        <v>0</v>
      </c>
      <c r="F35" s="27">
        <f>+SUM(B35:E35)</f>
        <v>135874.57400999998</v>
      </c>
      <c r="G35" s="27">
        <f>142458.944447</f>
        <v>142458.94444699999</v>
      </c>
      <c r="H35" s="27"/>
      <c r="I35" s="27">
        <f>3623.987495</f>
        <v>3623.9874949999999</v>
      </c>
      <c r="J35" s="27">
        <v>1899.027126</v>
      </c>
      <c r="K35" s="27">
        <v>508.71972399999999</v>
      </c>
      <c r="L35" s="27"/>
      <c r="M35" s="27">
        <v>520.37175300000001</v>
      </c>
      <c r="N35" s="27">
        <f>+SUM(G35:M35)</f>
        <v>149011.05054500001</v>
      </c>
      <c r="O35" s="27"/>
      <c r="P35" s="27">
        <v>0</v>
      </c>
      <c r="Q35" s="27">
        <f>+N35+P35</f>
        <v>149011.05054500001</v>
      </c>
      <c r="R35" s="27">
        <v>152651.64335500001</v>
      </c>
      <c r="S35" s="27"/>
      <c r="T35" s="27">
        <v>8095.852484</v>
      </c>
      <c r="U35" s="27"/>
      <c r="V35" s="27"/>
      <c r="W35" s="27">
        <f>+R35+S35+T35+U35+V35</f>
        <v>160747.49583900001</v>
      </c>
      <c r="X35" s="27"/>
      <c r="Y35" s="27">
        <f>+W35+X35</f>
        <v>160747.49583900001</v>
      </c>
      <c r="Z35" s="27">
        <f>(152651643355-151183839092)/1000000</f>
        <v>1467.804263</v>
      </c>
      <c r="AA35" s="27"/>
      <c r="AB35" s="27">
        <f>1467804263/1000000</f>
        <v>1467.804263</v>
      </c>
      <c r="AC35" s="27"/>
      <c r="AD35" s="27">
        <f>+Z35+AA35+AB35+AC35</f>
        <v>2935.608526</v>
      </c>
      <c r="AE35" s="32">
        <v>149716.03482900001</v>
      </c>
      <c r="AF35" s="32">
        <f>+S35-AA35</f>
        <v>0</v>
      </c>
      <c r="AG35" s="32">
        <f>+T35</f>
        <v>8095.852484</v>
      </c>
      <c r="AH35" s="32">
        <v>85.897914999999998</v>
      </c>
      <c r="AI35" s="32">
        <v>620.21614099999999</v>
      </c>
      <c r="AJ35" s="27">
        <f>+SUM(AE35:AI35)</f>
        <v>158518.00136900003</v>
      </c>
      <c r="AK35" s="27"/>
      <c r="AL35" s="27">
        <v>9063</v>
      </c>
      <c r="AM35" s="27">
        <v>3156.2377459999998</v>
      </c>
      <c r="AN35" s="27">
        <f>+SUM(AK35:AM35)</f>
        <v>12219.237745999999</v>
      </c>
      <c r="AO35" s="27">
        <f>+AJ35+AN35</f>
        <v>170737.23911500003</v>
      </c>
      <c r="AP35" s="31" t="e">
        <f>+((#REF!-#REF!)*100)/#REF!</f>
        <v>#REF!</v>
      </c>
      <c r="AQ35" s="29" t="e">
        <f>+((#REF!-#REF!)*100)/#REF!</f>
        <v>#REF!</v>
      </c>
      <c r="AR35" s="29" t="e">
        <f>+((#REF!-#REF!)*100)/#REF!</f>
        <v>#REF!</v>
      </c>
      <c r="AS35" s="29" t="e">
        <f>+((#REF!-#REF!)*100)/#REF!</f>
        <v>#REF!</v>
      </c>
      <c r="AT35" s="29" t="e">
        <f>+((#REF!-#REF!)*100)/#REF!</f>
        <v>#REF!</v>
      </c>
      <c r="AU35" s="29" t="e">
        <f>+((F35-#REF!)*100)/#REF!</f>
        <v>#REF!</v>
      </c>
      <c r="AV35" s="29">
        <f>+((Q35-F35)*100)/F35</f>
        <v>9.6680903183793721</v>
      </c>
      <c r="AW35" s="29">
        <f>+((Y35-Q35)*100)/Q35</f>
        <v>7.8762247840509669</v>
      </c>
      <c r="AX35" s="28" t="e">
        <f>+(((Y35/#REF!)^(0.125))-1)*100</f>
        <v>#REF!</v>
      </c>
      <c r="AY35" s="29" t="e">
        <f>+((#REF!-#REF!)*100)/#REF!</f>
        <v>#REF!</v>
      </c>
      <c r="AZ35" s="29" t="e">
        <f>+((#REF!-#REF!)*100)/#REF!</f>
        <v>#REF!</v>
      </c>
      <c r="BA35" s="29" t="e">
        <f>+((#REF!-#REF!)*100)/#REF!</f>
        <v>#REF!</v>
      </c>
      <c r="BB35" s="29" t="e">
        <f>+((#REF!-#REF!)*100)/#REF!</f>
        <v>#REF!</v>
      </c>
      <c r="BC35" s="20" t="e">
        <f>+(((#REF!+#REF!)-(#REF!+#REF!))/(#REF!+#REF!))</f>
        <v>#REF!</v>
      </c>
      <c r="BD35" s="20" t="e">
        <f>+(((#REF!+#REF!)-(#REF!+#REF!))/(#REF!+#REF!))</f>
        <v>#REF!</v>
      </c>
      <c r="BE35" s="20" t="e">
        <f>+(((#REF!+#REF!)-(#REF!+#REF!))/(#REF!+#REF!))</f>
        <v>#REF!</v>
      </c>
      <c r="BF35" s="20" t="e">
        <f>+(((#REF!+#REF!)-(#REF!+#REF!))/(#REF!+#REF!))</f>
        <v>#REF!</v>
      </c>
      <c r="BG35" s="20" t="e">
        <f>+(((#REF!+#REF!)-(#REF!+#REF!))/(#REF!+#REF!))</f>
        <v>#REF!</v>
      </c>
      <c r="BH35" s="20" t="e">
        <f>+(((#REF!+#REF!)-(#REF!+#REF!))/(#REF!+#REF!))</f>
        <v>#REF!</v>
      </c>
      <c r="BI35" s="20" t="e">
        <f>+(((#REF!+#REF!)-(#REF!+#REF!))/(#REF!+#REF!))</f>
        <v>#REF!</v>
      </c>
      <c r="BJ35" s="20" t="e">
        <f>+(((#REF!+#REF!)-(#REF!+#REF!))/(#REF!+#REF!))</f>
        <v>#REF!</v>
      </c>
      <c r="BK35" s="20" t="e">
        <f>+(((#REF!+#REF!)-(#REF!+#REF!))/(#REF!+#REF!))</f>
        <v>#REF!</v>
      </c>
      <c r="BL35" s="20" t="e">
        <f>+(((#REF!+#REF!)-(#REF!+#REF!))/(#REF!+#REF!))</f>
        <v>#REF!</v>
      </c>
      <c r="BM35" s="20" t="e">
        <f>+(((#REF!+#REF!)-(#REF!+#REF!))/(#REF!+#REF!))</f>
        <v>#REF!</v>
      </c>
      <c r="BN35" s="20" t="e">
        <f>+(((#REF!+#REF!)-(#REF!+#REF!))/(#REF!+#REF!))</f>
        <v>#REF!</v>
      </c>
      <c r="BO35" s="20" t="e">
        <f>+(((#REF!+#REF!)-(#REF!+#REF!))/(#REF!+#REF!))</f>
        <v>#REF!</v>
      </c>
      <c r="BP35" s="20" t="e">
        <f>+(((#REF!+#REF!)-(#REF!+#REF!))/(#REF!+#REF!))</f>
        <v>#REF!</v>
      </c>
      <c r="BQ35" s="20" t="e">
        <f>+(((#REF!+#REF!)-(#REF!+#REF!))/(#REF!+#REF!))</f>
        <v>#REF!</v>
      </c>
      <c r="BR35" s="20" t="e">
        <f>+(((#REF!+#REF!)-(#REF!+#REF!))/(#REF!+#REF!))</f>
        <v>#REF!</v>
      </c>
      <c r="BS35" s="20" t="e">
        <f>+(((#REF!+#REF!)-(#REF!+#REF!))/(#REF!+#REF!))</f>
        <v>#REF!</v>
      </c>
      <c r="BT35" s="20" t="e">
        <f>+(((B35+E35)-(#REF!+#REF!))/(#REF!+#REF!))</f>
        <v>#REF!</v>
      </c>
      <c r="BU35" s="20">
        <f>+(((G35+P35)-(B35+E35))/(B35+E35))</f>
        <v>5.692419642027817E-2</v>
      </c>
      <c r="BV35" s="20" t="e">
        <f>+((((G35+P35)/(#REF!+#REF!))^(1/19))-1)</f>
        <v>#REF!</v>
      </c>
      <c r="BW35" s="30">
        <v>154207.515874</v>
      </c>
      <c r="BX35" s="29"/>
      <c r="BY35" s="28">
        <f>+BW35+BX35</f>
        <v>154207.515874</v>
      </c>
      <c r="BZ35" s="27">
        <f>154207.515874+9334.89</f>
        <v>163542.40587399999</v>
      </c>
      <c r="CA35" s="27"/>
      <c r="CB35" s="27">
        <v>614.35234000000003</v>
      </c>
      <c r="CC35" s="27">
        <v>969.10916599999996</v>
      </c>
      <c r="CD35" s="27">
        <f>+SUM(BZ35:CC35)</f>
        <v>165125.86738000001</v>
      </c>
      <c r="CE35" s="27"/>
      <c r="CF35" s="27">
        <v>3426.7822970000002</v>
      </c>
      <c r="CG35" s="27">
        <f>+CE35+CF35</f>
        <v>3426.7822970000002</v>
      </c>
      <c r="CH35" s="27">
        <f>+CD35+CG35</f>
        <v>168552.64967700001</v>
      </c>
      <c r="CI35" s="27">
        <v>173009.10970199999</v>
      </c>
      <c r="CJ35" s="27"/>
      <c r="CK35" s="27">
        <f>(517028494+1145483715)/1000000</f>
        <v>1662.512209</v>
      </c>
      <c r="CL35" s="27">
        <f>(376650362+61889657+1433571685)/1000000</f>
        <v>1872.1117039999999</v>
      </c>
      <c r="CM35" s="27">
        <f>797443862/1000000</f>
        <v>797.44386199999997</v>
      </c>
      <c r="CN35" s="27">
        <f>+SUM(CI35:CM35)</f>
        <v>177341.17747699999</v>
      </c>
      <c r="CO35" s="27"/>
      <c r="CP35" s="27">
        <f>(3384874573/1000000)+71.742377</f>
        <v>3456.6169500000001</v>
      </c>
      <c r="CQ35" s="27">
        <f>+CO35+CP35</f>
        <v>3456.6169500000001</v>
      </c>
      <c r="CR35" s="27">
        <f>+CN35+CQ35</f>
        <v>180797.79442699999</v>
      </c>
    </row>
    <row r="36" spans="1:96" x14ac:dyDescent="0.2">
      <c r="A36" s="33" t="s">
        <v>12</v>
      </c>
      <c r="B36" s="27">
        <v>10471.212686000001</v>
      </c>
      <c r="C36" s="27">
        <v>1036.7738879999999</v>
      </c>
      <c r="D36" s="27"/>
      <c r="E36" s="27">
        <v>0</v>
      </c>
      <c r="F36" s="27">
        <f>+SUM(B36:E36)</f>
        <v>11507.986574</v>
      </c>
      <c r="G36" s="27">
        <f>11943.749087</f>
        <v>11943.749087</v>
      </c>
      <c r="H36" s="27"/>
      <c r="I36" s="27">
        <f>281.548499</f>
        <v>281.54849899999999</v>
      </c>
      <c r="J36" s="27">
        <v>147.530654</v>
      </c>
      <c r="K36" s="27">
        <v>267.12031999999999</v>
      </c>
      <c r="L36" s="27"/>
      <c r="M36" s="27">
        <v>404.01367299999998</v>
      </c>
      <c r="N36" s="27">
        <f>+SUM(G36:M36)</f>
        <v>13043.962233</v>
      </c>
      <c r="O36" s="27"/>
      <c r="P36" s="27">
        <v>0</v>
      </c>
      <c r="Q36" s="27">
        <f>+N36+P36</f>
        <v>13043.962233</v>
      </c>
      <c r="R36" s="27">
        <v>12770.653139</v>
      </c>
      <c r="S36" s="27"/>
      <c r="T36" s="27">
        <v>628.94647199999997</v>
      </c>
      <c r="U36" s="27"/>
      <c r="V36" s="27"/>
      <c r="W36" s="27">
        <f>+R36+S36+T36+U36+V36</f>
        <v>13399.599611</v>
      </c>
      <c r="X36" s="27"/>
      <c r="Y36" s="27">
        <f>+W36+X36</f>
        <v>13399.599611</v>
      </c>
      <c r="Z36" s="27">
        <f>(12770653139-12647858397)/1000000</f>
        <v>122.794742</v>
      </c>
      <c r="AA36" s="27"/>
      <c r="AB36" s="27">
        <f>122794742/1000000</f>
        <v>122.794742</v>
      </c>
      <c r="AC36" s="27"/>
      <c r="AD36" s="27">
        <f>+Z36+AA36+AB36+AC36</f>
        <v>245.589484</v>
      </c>
      <c r="AE36" s="32">
        <v>12525.063655</v>
      </c>
      <c r="AF36" s="32">
        <f>+S36-AA36</f>
        <v>0</v>
      </c>
      <c r="AG36" s="32">
        <f>+T36</f>
        <v>628.94647199999997</v>
      </c>
      <c r="AH36" s="32">
        <v>79.202787000000001</v>
      </c>
      <c r="AI36" s="32">
        <v>293.968277</v>
      </c>
      <c r="AJ36" s="27">
        <f>+SUM(AE36:AI36)</f>
        <v>13527.181191</v>
      </c>
      <c r="AK36" s="27"/>
      <c r="AL36" s="27"/>
      <c r="AM36" s="27">
        <v>263.08020299999998</v>
      </c>
      <c r="AN36" s="27">
        <f>+SUM(AK36:AM36)</f>
        <v>263.08020299999998</v>
      </c>
      <c r="AO36" s="27">
        <f>+AJ36+AN36</f>
        <v>13790.261393999999</v>
      </c>
      <c r="AP36" s="31" t="e">
        <f>+((#REF!-#REF!)*100)/#REF!</f>
        <v>#REF!</v>
      </c>
      <c r="AQ36" s="29" t="e">
        <f>+((#REF!-#REF!)*100)/#REF!</f>
        <v>#REF!</v>
      </c>
      <c r="AR36" s="29" t="e">
        <f>+((#REF!-#REF!)*100)/#REF!</f>
        <v>#REF!</v>
      </c>
      <c r="AS36" s="29" t="e">
        <f>+((#REF!-#REF!)*100)/#REF!</f>
        <v>#REF!</v>
      </c>
      <c r="AT36" s="29" t="e">
        <f>+((#REF!-#REF!)*100)/#REF!</f>
        <v>#REF!</v>
      </c>
      <c r="AU36" s="29" t="e">
        <f>+((F36-#REF!)*100)/#REF!</f>
        <v>#REF!</v>
      </c>
      <c r="AV36" s="29">
        <f>+((Q36-F36)*100)/F36</f>
        <v>13.347040762718914</v>
      </c>
      <c r="AW36" s="29">
        <f>+((Y36-Q36)*100)/Q36</f>
        <v>2.7264520676107926</v>
      </c>
      <c r="AX36" s="28" t="e">
        <f>+(((Y36/#REF!)^(0.125))-1)*100</f>
        <v>#REF!</v>
      </c>
      <c r="AY36" s="29" t="e">
        <f>+((#REF!-#REF!)*100)/#REF!</f>
        <v>#REF!</v>
      </c>
      <c r="AZ36" s="29" t="e">
        <f>+((#REF!-#REF!)*100)/#REF!</f>
        <v>#REF!</v>
      </c>
      <c r="BA36" s="29" t="e">
        <f>+((#REF!-#REF!)*100)/#REF!</f>
        <v>#REF!</v>
      </c>
      <c r="BB36" s="29" t="e">
        <f>+((#REF!-#REF!)*100)/#REF!</f>
        <v>#REF!</v>
      </c>
      <c r="BC36" s="20" t="e">
        <f>+(((#REF!+#REF!)-(#REF!+#REF!))/(#REF!+#REF!))</f>
        <v>#REF!</v>
      </c>
      <c r="BD36" s="20" t="e">
        <f>+(((#REF!+#REF!)-(#REF!+#REF!))/(#REF!+#REF!))</f>
        <v>#REF!</v>
      </c>
      <c r="BE36" s="20" t="e">
        <f>+(((#REF!+#REF!)-(#REF!+#REF!))/(#REF!+#REF!))</f>
        <v>#REF!</v>
      </c>
      <c r="BF36" s="20" t="e">
        <f>+(((#REF!+#REF!)-(#REF!+#REF!))/(#REF!+#REF!))</f>
        <v>#REF!</v>
      </c>
      <c r="BG36" s="20" t="e">
        <f>+(((#REF!+#REF!)-(#REF!+#REF!))/(#REF!+#REF!))</f>
        <v>#REF!</v>
      </c>
      <c r="BH36" s="20" t="e">
        <f>+(((#REF!+#REF!)-(#REF!+#REF!))/(#REF!+#REF!))</f>
        <v>#REF!</v>
      </c>
      <c r="BI36" s="20" t="e">
        <f>+(((#REF!+#REF!)-(#REF!+#REF!))/(#REF!+#REF!))</f>
        <v>#REF!</v>
      </c>
      <c r="BJ36" s="20" t="e">
        <f>+(((#REF!+#REF!)-(#REF!+#REF!))/(#REF!+#REF!))</f>
        <v>#REF!</v>
      </c>
      <c r="BK36" s="20" t="e">
        <f>+(((#REF!+#REF!)-(#REF!+#REF!))/(#REF!+#REF!))</f>
        <v>#REF!</v>
      </c>
      <c r="BL36" s="20" t="e">
        <f>+(((#REF!+#REF!)-(#REF!+#REF!))/(#REF!+#REF!))</f>
        <v>#REF!</v>
      </c>
      <c r="BM36" s="20" t="e">
        <f>+(((#REF!+#REF!)-(#REF!+#REF!))/(#REF!+#REF!))</f>
        <v>#REF!</v>
      </c>
      <c r="BN36" s="20" t="e">
        <f>+(((#REF!+#REF!)-(#REF!+#REF!))/(#REF!+#REF!))</f>
        <v>#REF!</v>
      </c>
      <c r="BO36" s="20" t="e">
        <f>+(((#REF!+#REF!)-(#REF!+#REF!))/(#REF!+#REF!))</f>
        <v>#REF!</v>
      </c>
      <c r="BP36" s="20" t="e">
        <f>+(((#REF!+#REF!)-(#REF!+#REF!))/(#REF!+#REF!))</f>
        <v>#REF!</v>
      </c>
      <c r="BQ36" s="20" t="e">
        <f>+(((#REF!+#REF!)-(#REF!+#REF!))/(#REF!+#REF!))</f>
        <v>#REF!</v>
      </c>
      <c r="BR36" s="20" t="e">
        <f>+(((#REF!+#REF!)-(#REF!+#REF!))/(#REF!+#REF!))</f>
        <v>#REF!</v>
      </c>
      <c r="BS36" s="20" t="e">
        <f>+(((#REF!+#REF!)-(#REF!+#REF!))/(#REF!+#REF!))</f>
        <v>#REF!</v>
      </c>
      <c r="BT36" s="20" t="e">
        <f>+(((B36+E36)-(#REF!+#REF!))/(#REF!+#REF!))</f>
        <v>#REF!</v>
      </c>
      <c r="BU36" s="20">
        <f>+(((G36+P36)-(B36+E36))/(B36+E36))</f>
        <v>0.14062711217477025</v>
      </c>
      <c r="BV36" s="20" t="e">
        <f>+((((G36+P36)/(#REF!+#REF!))^(1/19))-1)</f>
        <v>#REF!</v>
      </c>
      <c r="BW36" s="30">
        <v>12900.815565000001</v>
      </c>
      <c r="BX36" s="29"/>
      <c r="BY36" s="28">
        <f>+BW36+BX36</f>
        <v>12900.815565000001</v>
      </c>
      <c r="BZ36" s="27">
        <f>12900.815565+0</f>
        <v>12900.815565000001</v>
      </c>
      <c r="CA36" s="27"/>
      <c r="CB36" s="27">
        <v>410.280486</v>
      </c>
      <c r="CC36" s="27">
        <v>494.78396099999998</v>
      </c>
      <c r="CD36" s="27">
        <f>+SUM(BZ36:CC36)</f>
        <v>13805.880012</v>
      </c>
      <c r="CE36" s="27"/>
      <c r="CF36" s="27">
        <v>278.86106799999999</v>
      </c>
      <c r="CG36" s="27">
        <f>+CE36+CF36</f>
        <v>278.86106799999999</v>
      </c>
      <c r="CH36" s="27">
        <f>+CD36+CG36</f>
        <v>14084.74108</v>
      </c>
      <c r="CI36" s="27">
        <v>13999.954526</v>
      </c>
      <c r="CJ36" s="27"/>
      <c r="CK36" s="27">
        <f>(41965043+91583874)/1000000</f>
        <v>133.54891699999999</v>
      </c>
      <c r="CL36" s="27">
        <f>(251536917+41331524+1125811676)/1000000</f>
        <v>1418.6801170000001</v>
      </c>
      <c r="CM36" s="27">
        <f>418112252/1000000</f>
        <v>418.11225200000001</v>
      </c>
      <c r="CN36" s="27">
        <f>+SUM(CI36:CM36)</f>
        <v>15970.295812</v>
      </c>
      <c r="CO36" s="27"/>
      <c r="CP36" s="27">
        <f>(267034729/1000000)+18.65233</f>
        <v>285.68705900000003</v>
      </c>
      <c r="CQ36" s="27">
        <f>+CO36+CP36</f>
        <v>285.68705900000003</v>
      </c>
      <c r="CR36" s="27">
        <f>+CN36+CQ36</f>
        <v>16255.982871</v>
      </c>
    </row>
    <row r="37" spans="1:96" ht="15" customHeight="1" x14ac:dyDescent="0.2">
      <c r="A37" s="33" t="s">
        <v>11</v>
      </c>
      <c r="B37" s="27">
        <v>72121.729208000004</v>
      </c>
      <c r="C37" s="27">
        <v>1326.190484</v>
      </c>
      <c r="D37" s="27"/>
      <c r="E37" s="27">
        <v>0</v>
      </c>
      <c r="F37" s="27">
        <f>+SUM(B37:E37)</f>
        <v>73447.91969200001</v>
      </c>
      <c r="G37" s="27">
        <f>76227.200688</f>
        <v>76227.200687999997</v>
      </c>
      <c r="H37" s="27"/>
      <c r="I37" s="27">
        <f>1939.130064</f>
        <v>1939.1300639999999</v>
      </c>
      <c r="J37" s="27">
        <v>1016.135016</v>
      </c>
      <c r="K37" s="27">
        <v>285.25257800000003</v>
      </c>
      <c r="L37" s="27"/>
      <c r="M37" s="27">
        <v>516.62537799999996</v>
      </c>
      <c r="N37" s="27">
        <f>+SUM(G37:M37)</f>
        <v>79984.343723999991</v>
      </c>
      <c r="O37" s="27"/>
      <c r="P37" s="27">
        <v>0</v>
      </c>
      <c r="Q37" s="27">
        <f>+N37+P37</f>
        <v>79984.343723999991</v>
      </c>
      <c r="R37" s="27">
        <v>81681.129243999996</v>
      </c>
      <c r="S37" s="27"/>
      <c r="T37" s="27">
        <v>4331.9440160000004</v>
      </c>
      <c r="U37" s="27"/>
      <c r="V37" s="27"/>
      <c r="W37" s="27">
        <f>+R37+S37+T37+U37+V37</f>
        <v>86013.07325999999</v>
      </c>
      <c r="X37" s="27"/>
      <c r="Y37" s="27">
        <f>+W37+X37</f>
        <v>86013.07325999999</v>
      </c>
      <c r="Z37" s="27">
        <f>(81681129244-80895733771)/1000000</f>
        <v>785.39547300000004</v>
      </c>
      <c r="AA37" s="27"/>
      <c r="AB37" s="27">
        <f>785395474/1000000</f>
        <v>785.39547400000004</v>
      </c>
      <c r="AC37" s="27"/>
      <c r="AD37" s="27">
        <f>+Z37+AA37+AB37+AC37</f>
        <v>1570.790947</v>
      </c>
      <c r="AE37" s="32">
        <v>80110.338296999995</v>
      </c>
      <c r="AF37" s="32">
        <f>+S37-AA37</f>
        <v>0</v>
      </c>
      <c r="AG37" s="32">
        <f>+T37</f>
        <v>4331.9440160000004</v>
      </c>
      <c r="AH37" s="32">
        <v>81.178827999999996</v>
      </c>
      <c r="AI37" s="32">
        <v>345.60689000000002</v>
      </c>
      <c r="AJ37" s="27">
        <f>+SUM(AE37:AI37)</f>
        <v>84869.068030999988</v>
      </c>
      <c r="AK37" s="27"/>
      <c r="AL37" s="27">
        <v>4015</v>
      </c>
      <c r="AM37" s="27">
        <v>1688.845646</v>
      </c>
      <c r="AN37" s="27">
        <f>+SUM(AK37:AM37)</f>
        <v>5703.8456459999998</v>
      </c>
      <c r="AO37" s="27">
        <f>+AJ37+AN37</f>
        <v>90572.91367699999</v>
      </c>
      <c r="AP37" s="31" t="e">
        <f>+((#REF!-#REF!)*100)/#REF!</f>
        <v>#REF!</v>
      </c>
      <c r="AQ37" s="29" t="e">
        <f>+((#REF!-#REF!)*100)/#REF!</f>
        <v>#REF!</v>
      </c>
      <c r="AR37" s="29" t="e">
        <f>+((#REF!-#REF!)*100)/#REF!</f>
        <v>#REF!</v>
      </c>
      <c r="AS37" s="29" t="e">
        <f>+((#REF!-#REF!)*100)/#REF!</f>
        <v>#REF!</v>
      </c>
      <c r="AT37" s="29" t="e">
        <f>+((#REF!-#REF!)*100)/#REF!</f>
        <v>#REF!</v>
      </c>
      <c r="AU37" s="29" t="e">
        <f>+((F37-#REF!)*100)/#REF!</f>
        <v>#REF!</v>
      </c>
      <c r="AV37" s="29">
        <f>+((Q37-F37)*100)/F37</f>
        <v>8.8993998188241843</v>
      </c>
      <c r="AW37" s="29">
        <f>+((Y37-Q37)*100)/Q37</f>
        <v>7.537387012642359</v>
      </c>
      <c r="AX37" s="28" t="e">
        <f>+(((Y37/#REF!)^(0.125))-1)*100</f>
        <v>#REF!</v>
      </c>
      <c r="AY37" s="29" t="e">
        <f>+((#REF!-#REF!)*100)/#REF!</f>
        <v>#REF!</v>
      </c>
      <c r="AZ37" s="29" t="e">
        <f>+((#REF!-#REF!)*100)/#REF!</f>
        <v>#REF!</v>
      </c>
      <c r="BA37" s="29" t="e">
        <f>+((#REF!-#REF!)*100)/#REF!</f>
        <v>#REF!</v>
      </c>
      <c r="BB37" s="29" t="e">
        <f>+((#REF!-#REF!)*100)/#REF!</f>
        <v>#REF!</v>
      </c>
      <c r="BC37" s="20" t="e">
        <f>+(((#REF!+#REF!)-(#REF!+#REF!))/(#REF!+#REF!))</f>
        <v>#REF!</v>
      </c>
      <c r="BD37" s="20" t="e">
        <f>+(((#REF!+#REF!)-(#REF!+#REF!))/(#REF!+#REF!))</f>
        <v>#REF!</v>
      </c>
      <c r="BE37" s="20" t="e">
        <f>+(((#REF!+#REF!)-(#REF!+#REF!))/(#REF!+#REF!))</f>
        <v>#REF!</v>
      </c>
      <c r="BF37" s="20" t="e">
        <f>+(((#REF!+#REF!)-(#REF!+#REF!))/(#REF!+#REF!))</f>
        <v>#REF!</v>
      </c>
      <c r="BG37" s="20" t="e">
        <f>+(((#REF!+#REF!)-(#REF!+#REF!))/(#REF!+#REF!))</f>
        <v>#REF!</v>
      </c>
      <c r="BH37" s="20" t="e">
        <f>+(((#REF!+#REF!)-(#REF!+#REF!))/(#REF!+#REF!))</f>
        <v>#REF!</v>
      </c>
      <c r="BI37" s="20" t="e">
        <f>+(((#REF!+#REF!)-(#REF!+#REF!))/(#REF!+#REF!))</f>
        <v>#REF!</v>
      </c>
      <c r="BJ37" s="20" t="e">
        <f>+(((#REF!+#REF!)-(#REF!+#REF!))/(#REF!+#REF!))</f>
        <v>#REF!</v>
      </c>
      <c r="BK37" s="20" t="e">
        <f>+(((#REF!+#REF!)-(#REF!+#REF!))/(#REF!+#REF!))</f>
        <v>#REF!</v>
      </c>
      <c r="BL37" s="20" t="e">
        <f>+(((#REF!+#REF!)-(#REF!+#REF!))/(#REF!+#REF!))</f>
        <v>#REF!</v>
      </c>
      <c r="BM37" s="20" t="e">
        <f>+(((#REF!+#REF!)-(#REF!+#REF!))/(#REF!+#REF!))</f>
        <v>#REF!</v>
      </c>
      <c r="BN37" s="20" t="e">
        <f>+(((#REF!+#REF!)-(#REF!+#REF!))/(#REF!+#REF!))</f>
        <v>#REF!</v>
      </c>
      <c r="BO37" s="20" t="e">
        <f>+(((#REF!+#REF!)-(#REF!+#REF!))/(#REF!+#REF!))</f>
        <v>#REF!</v>
      </c>
      <c r="BP37" s="20" t="e">
        <f>+(((#REF!+#REF!)-(#REF!+#REF!))/(#REF!+#REF!))</f>
        <v>#REF!</v>
      </c>
      <c r="BQ37" s="20" t="e">
        <f>+(((#REF!+#REF!)-(#REF!+#REF!))/(#REF!+#REF!))</f>
        <v>#REF!</v>
      </c>
      <c r="BR37" s="20" t="e">
        <f>+(((#REF!+#REF!)-(#REF!+#REF!))/(#REF!+#REF!))</f>
        <v>#REF!</v>
      </c>
      <c r="BS37" s="20" t="e">
        <f>+(((#REF!+#REF!)-(#REF!+#REF!))/(#REF!+#REF!))</f>
        <v>#REF!</v>
      </c>
      <c r="BT37" s="20" t="e">
        <f>+(((B37+E37)-(#REF!+#REF!))/(#REF!+#REF!))</f>
        <v>#REF!</v>
      </c>
      <c r="BU37" s="20">
        <f>+(((G37+P37)-(B37+E37))/(B37+E37))</f>
        <v>5.6924196425736824E-2</v>
      </c>
      <c r="BV37" s="20" t="e">
        <f>+((((G37+P37)/(#REF!+#REF!))^(1/19))-1)</f>
        <v>#REF!</v>
      </c>
      <c r="BW37" s="30">
        <v>82513.648446000007</v>
      </c>
      <c r="BX37" s="29"/>
      <c r="BY37" s="28">
        <f>+BW37+BX37</f>
        <v>82513.648446000007</v>
      </c>
      <c r="BZ37" s="27">
        <f>82513.648446+4135.45</f>
        <v>86649.098446000004</v>
      </c>
      <c r="CA37" s="27"/>
      <c r="CB37" s="27">
        <v>601.25126299999999</v>
      </c>
      <c r="CC37" s="27">
        <v>446.08684</v>
      </c>
      <c r="CD37" s="27">
        <f>+SUM(BZ37:CC37)</f>
        <v>87696.436549000005</v>
      </c>
      <c r="CE37" s="27"/>
      <c r="CF37" s="27">
        <v>1814.2240059999999</v>
      </c>
      <c r="CG37" s="27">
        <f>+CE37+CF37</f>
        <v>1814.2240059999999</v>
      </c>
      <c r="CH37" s="27">
        <f>+CD37+CG37</f>
        <v>89510.660555000009</v>
      </c>
      <c r="CI37" s="27">
        <v>91785.967942000003</v>
      </c>
      <c r="CJ37" s="27"/>
      <c r="CK37" s="27">
        <f>(275234022+608254682)/1000000</f>
        <v>883.48870399999998</v>
      </c>
      <c r="CL37" s="27">
        <f>(368618285+60569859+1385335024)/1000000</f>
        <v>1814.5231679999999</v>
      </c>
      <c r="CM37" s="27">
        <f>444664424/1000000</f>
        <v>444.664424</v>
      </c>
      <c r="CN37" s="27">
        <f>+SUM(CI37:CM37)</f>
        <v>94928.644238000008</v>
      </c>
      <c r="CO37" s="27"/>
      <c r="CP37" s="27">
        <f>(1793422178/1000000)+40.621863</f>
        <v>1834.0440410000001</v>
      </c>
      <c r="CQ37" s="27">
        <f>+CO37+CP37</f>
        <v>1834.0440410000001</v>
      </c>
      <c r="CR37" s="27">
        <f>+CN37+CQ37</f>
        <v>96762.688279000009</v>
      </c>
    </row>
    <row r="38" spans="1:96" ht="15" customHeight="1" x14ac:dyDescent="0.2">
      <c r="A38" s="33" t="s">
        <v>10</v>
      </c>
      <c r="B38" s="27">
        <v>26439.368468000001</v>
      </c>
      <c r="C38" s="27">
        <v>1128.89274</v>
      </c>
      <c r="D38" s="27"/>
      <c r="E38" s="27">
        <v>0</v>
      </c>
      <c r="F38" s="27">
        <f>+SUM(B38:E38)</f>
        <v>27568.261208</v>
      </c>
      <c r="G38" s="27">
        <f>29001.4202+218.612999</f>
        <v>29220.033199000001</v>
      </c>
      <c r="H38" s="27"/>
      <c r="I38" s="27">
        <f>707.549657</f>
        <v>707.54965700000002</v>
      </c>
      <c r="J38" s="27">
        <v>372.16599300000001</v>
      </c>
      <c r="K38" s="27">
        <v>348.75940900000001</v>
      </c>
      <c r="L38" s="27"/>
      <c r="M38" s="27">
        <v>411.20278100000002</v>
      </c>
      <c r="N38" s="27">
        <f>+SUM(G38:M38)</f>
        <v>31059.711038999998</v>
      </c>
      <c r="O38" s="27"/>
      <c r="P38" s="27">
        <v>0</v>
      </c>
      <c r="Q38" s="27">
        <f>+N38+P38</f>
        <v>31059.711038999998</v>
      </c>
      <c r="R38" s="27">
        <v>31043.020309</v>
      </c>
      <c r="S38" s="27"/>
      <c r="T38" s="27">
        <v>1586.6023909999999</v>
      </c>
      <c r="U38" s="27"/>
      <c r="V38" s="27"/>
      <c r="W38" s="27">
        <f>+R38+S38+T38+U38+V38</f>
        <v>32629.6227</v>
      </c>
      <c r="X38" s="27"/>
      <c r="Y38" s="27">
        <f>+W38+X38</f>
        <v>32629.6227</v>
      </c>
      <c r="Z38" s="27">
        <f>(31043020309-30744529729)/1000000</f>
        <v>298.49058000000002</v>
      </c>
      <c r="AA38" s="27"/>
      <c r="AB38" s="27">
        <f>298490580/1000000</f>
        <v>298.49058000000002</v>
      </c>
      <c r="AC38" s="27"/>
      <c r="AD38" s="27">
        <f>+Z38+AA38+AB38+AC38</f>
        <v>596.98116000000005</v>
      </c>
      <c r="AE38" s="32">
        <f>30446.039149+225.171389+652.028297</f>
        <v>31323.238835</v>
      </c>
      <c r="AF38" s="32">
        <f>+S38-AA38</f>
        <v>0</v>
      </c>
      <c r="AG38" s="32">
        <f>+T38</f>
        <v>1586.6023909999999</v>
      </c>
      <c r="AH38" s="32">
        <v>69.083252999999999</v>
      </c>
      <c r="AI38" s="32">
        <v>529.95790399999998</v>
      </c>
      <c r="AJ38" s="27">
        <f>+SUM(AE38:AI38)</f>
        <v>33508.882382999996</v>
      </c>
      <c r="AK38" s="27"/>
      <c r="AL38" s="27">
        <v>2200</v>
      </c>
      <c r="AM38" s="27">
        <v>640.65283099999999</v>
      </c>
      <c r="AN38" s="27">
        <f>+SUM(AK38:AM38)</f>
        <v>2840.6528309999999</v>
      </c>
      <c r="AO38" s="27">
        <f>+AJ38+AN38</f>
        <v>36349.535213999996</v>
      </c>
      <c r="AP38" s="31" t="e">
        <f>+((#REF!-#REF!)*100)/#REF!</f>
        <v>#REF!</v>
      </c>
      <c r="AQ38" s="29" t="e">
        <f>+((#REF!-#REF!)*100)/#REF!</f>
        <v>#REF!</v>
      </c>
      <c r="AR38" s="29" t="e">
        <f>+((#REF!-#REF!)*100)/#REF!</f>
        <v>#REF!</v>
      </c>
      <c r="AS38" s="29" t="e">
        <f>+((#REF!-#REF!)*100)/#REF!</f>
        <v>#REF!</v>
      </c>
      <c r="AT38" s="29" t="e">
        <f>+((#REF!-#REF!)*100)/#REF!</f>
        <v>#REF!</v>
      </c>
      <c r="AU38" s="29" t="e">
        <f>+((F38-#REF!)*100)/#REF!</f>
        <v>#REF!</v>
      </c>
      <c r="AV38" s="29">
        <f>+((Q38-F38)*100)/F38</f>
        <v>12.664744448905681</v>
      </c>
      <c r="AW38" s="29">
        <f>+((Y38-Q38)*100)/Q38</f>
        <v>5.0544953848049294</v>
      </c>
      <c r="AX38" s="28" t="e">
        <f>+(((Y38/#REF!)^(0.125))-1)*100</f>
        <v>#REF!</v>
      </c>
      <c r="AY38" s="29" t="e">
        <f>+((#REF!-#REF!)*100)/#REF!</f>
        <v>#REF!</v>
      </c>
      <c r="AZ38" s="29" t="e">
        <f>+((#REF!-#REF!)*100)/#REF!</f>
        <v>#REF!</v>
      </c>
      <c r="BA38" s="29" t="e">
        <f>+((#REF!-#REF!)*100)/#REF!</f>
        <v>#REF!</v>
      </c>
      <c r="BB38" s="29" t="e">
        <f>+((#REF!-#REF!)*100)/#REF!</f>
        <v>#REF!</v>
      </c>
      <c r="BC38" s="20" t="e">
        <f>+(((#REF!+#REF!)-(#REF!+#REF!))/(#REF!+#REF!))</f>
        <v>#REF!</v>
      </c>
      <c r="BD38" s="20" t="e">
        <f>+(((#REF!+#REF!)-(#REF!+#REF!))/(#REF!+#REF!))</f>
        <v>#REF!</v>
      </c>
      <c r="BE38" s="20" t="e">
        <f>+(((#REF!+#REF!)-(#REF!+#REF!))/(#REF!+#REF!))</f>
        <v>#REF!</v>
      </c>
      <c r="BF38" s="20" t="e">
        <f>+(((#REF!+#REF!)-(#REF!+#REF!))/(#REF!+#REF!))</f>
        <v>#REF!</v>
      </c>
      <c r="BG38" s="20" t="e">
        <f>+(((#REF!+#REF!)-(#REF!+#REF!))/(#REF!+#REF!))</f>
        <v>#REF!</v>
      </c>
      <c r="BH38" s="20" t="e">
        <f>+(((#REF!+#REF!)-(#REF!+#REF!))/(#REF!+#REF!))</f>
        <v>#REF!</v>
      </c>
      <c r="BI38" s="20" t="e">
        <f>+(((#REF!+#REF!)-(#REF!+#REF!))/(#REF!+#REF!))</f>
        <v>#REF!</v>
      </c>
      <c r="BJ38" s="20" t="e">
        <f>+(((#REF!+#REF!)-(#REF!+#REF!))/(#REF!+#REF!))</f>
        <v>#REF!</v>
      </c>
      <c r="BK38" s="20" t="e">
        <f>+(((#REF!+#REF!)-(#REF!+#REF!))/(#REF!+#REF!))</f>
        <v>#REF!</v>
      </c>
      <c r="BL38" s="20" t="e">
        <f>+(((#REF!+#REF!)-(#REF!+#REF!))/(#REF!+#REF!))</f>
        <v>#REF!</v>
      </c>
      <c r="BM38" s="20" t="e">
        <f>+(((#REF!+#REF!)-(#REF!+#REF!))/(#REF!+#REF!))</f>
        <v>#REF!</v>
      </c>
      <c r="BN38" s="20" t="e">
        <f>+(((#REF!+#REF!)-(#REF!+#REF!))/(#REF!+#REF!))</f>
        <v>#REF!</v>
      </c>
      <c r="BO38" s="20" t="e">
        <f>+(((#REF!+#REF!)-(#REF!+#REF!))/(#REF!+#REF!))</f>
        <v>#REF!</v>
      </c>
      <c r="BP38" s="20" t="e">
        <f>+(((#REF!+#REF!)-(#REF!+#REF!))/(#REF!+#REF!))</f>
        <v>#REF!</v>
      </c>
      <c r="BQ38" s="20" t="e">
        <f>+(((#REF!+#REF!)-(#REF!+#REF!))/(#REF!+#REF!))</f>
        <v>#REF!</v>
      </c>
      <c r="BR38" s="20" t="e">
        <f>+(((#REF!+#REF!)-(#REF!+#REF!))/(#REF!+#REF!))</f>
        <v>#REF!</v>
      </c>
      <c r="BS38" s="20" t="e">
        <f>+(((#REF!+#REF!)-(#REF!+#REF!))/(#REF!+#REF!))</f>
        <v>#REF!</v>
      </c>
      <c r="BT38" s="20" t="e">
        <f>+(((B38+E38)-(#REF!+#REF!))/(#REF!+#REF!))</f>
        <v>#REF!</v>
      </c>
      <c r="BU38" s="20">
        <f>+(((G38+P38)-(B38+E38))/(B38+E38))</f>
        <v>0.10517137481424658</v>
      </c>
      <c r="BV38" s="20" t="e">
        <f>+((((G38+P38)/(#REF!+#REF!))^(1/19))-1)</f>
        <v>#REF!</v>
      </c>
      <c r="BW38" s="30">
        <v>31591.346853999999</v>
      </c>
      <c r="BX38" s="29"/>
      <c r="BY38" s="28">
        <f>+BW38+BX38</f>
        <v>31591.346853999999</v>
      </c>
      <c r="BZ38" s="27">
        <f>31591.346854+2266</f>
        <v>33857.346854000003</v>
      </c>
      <c r="CA38" s="27"/>
      <c r="CB38" s="27">
        <v>594.33706400000005</v>
      </c>
      <c r="CC38" s="27">
        <v>576.10165400000005</v>
      </c>
      <c r="CD38" s="27">
        <f>+SUM(BZ38:CC38)</f>
        <v>35027.785572000001</v>
      </c>
      <c r="CE38" s="27"/>
      <c r="CF38" s="27">
        <v>717.09782099999995</v>
      </c>
      <c r="CG38" s="27">
        <f>+CE38+CF38</f>
        <v>717.09782099999995</v>
      </c>
      <c r="CH38" s="27">
        <f>+CD38+CG38</f>
        <v>35744.883393000004</v>
      </c>
      <c r="CI38" s="27">
        <v>38063.307526999997</v>
      </c>
      <c r="CJ38" s="27"/>
      <c r="CK38" s="27">
        <f>(778092590+241349187)/1000000</f>
        <v>1019.441777</v>
      </c>
      <c r="CL38" s="27">
        <f>(364379292+59873325+1108977513)/1000000</f>
        <v>1533.2301299999999</v>
      </c>
      <c r="CM38" s="27">
        <f>670578205/1000000</f>
        <v>670.57820500000003</v>
      </c>
      <c r="CN38" s="27">
        <f>+SUM(CI38:CM38)</f>
        <v>41286.557638999991</v>
      </c>
      <c r="CO38" s="27"/>
      <c r="CP38" s="27">
        <f>(728009083/1000000)+52.664988</f>
        <v>780.67407100000003</v>
      </c>
      <c r="CQ38" s="27">
        <f>+CO38+CP38</f>
        <v>780.67407100000003</v>
      </c>
      <c r="CR38" s="27">
        <f>+CN38+CQ38</f>
        <v>42067.231709999993</v>
      </c>
    </row>
    <row r="39" spans="1:96" ht="15" customHeight="1" x14ac:dyDescent="0.2">
      <c r="A39" s="33" t="s">
        <v>9</v>
      </c>
      <c r="B39" s="27">
        <v>18891.251555999999</v>
      </c>
      <c r="C39" s="27">
        <v>999.46790199999998</v>
      </c>
      <c r="D39" s="27"/>
      <c r="E39" s="27">
        <v>0</v>
      </c>
      <c r="F39" s="27">
        <f>+SUM(B39:E39)</f>
        <v>19890.719458</v>
      </c>
      <c r="G39" s="27">
        <f>20400.367883+215.653097</f>
        <v>20616.020979999998</v>
      </c>
      <c r="H39" s="27"/>
      <c r="I39" s="27">
        <f>504.604157</f>
        <v>504.60415699999999</v>
      </c>
      <c r="J39" s="27">
        <v>265.819321</v>
      </c>
      <c r="K39" s="27">
        <v>154.18391800000001</v>
      </c>
      <c r="L39" s="27"/>
      <c r="M39" s="27">
        <v>405.63531699999999</v>
      </c>
      <c r="N39" s="27">
        <f>+SUM(G39:M39)</f>
        <v>21946.263692999997</v>
      </c>
      <c r="O39" s="27"/>
      <c r="P39" s="27">
        <v>0</v>
      </c>
      <c r="Q39" s="27">
        <f>+N39+P39</f>
        <v>21946.263692999997</v>
      </c>
      <c r="R39" s="27">
        <v>21846.240065999998</v>
      </c>
      <c r="S39" s="27"/>
      <c r="T39" s="27">
        <v>1133.2297349999999</v>
      </c>
      <c r="U39" s="27"/>
      <c r="V39" s="27"/>
      <c r="W39" s="27">
        <f>+R39+S39+T39+U39+V39</f>
        <v>22979.469800999999</v>
      </c>
      <c r="X39" s="27"/>
      <c r="Y39" s="27">
        <f>+W39+X39</f>
        <v>22979.469800999999</v>
      </c>
      <c r="Z39" s="27">
        <f>(21846240066-21636180065)/1000000</f>
        <v>210.060001</v>
      </c>
      <c r="AA39" s="27"/>
      <c r="AB39" s="27">
        <f>210060001/1000000</f>
        <v>210.060001</v>
      </c>
      <c r="AC39" s="27"/>
      <c r="AD39" s="27">
        <f>+Z39+AA39+AB39+AC39</f>
        <v>420.120002</v>
      </c>
      <c r="AE39" s="32">
        <f>21426.120064+222.12269+737.890585</f>
        <v>22386.133339</v>
      </c>
      <c r="AF39" s="32">
        <f>+S39-AA39</f>
        <v>0</v>
      </c>
      <c r="AG39" s="32">
        <f>+T39</f>
        <v>1133.2297349999999</v>
      </c>
      <c r="AH39" s="32">
        <v>78.180475000000001</v>
      </c>
      <c r="AI39" s="32">
        <v>177.58612099999999</v>
      </c>
      <c r="AJ39" s="27">
        <f>+SUM(AE39:AI39)</f>
        <v>23775.129670000002</v>
      </c>
      <c r="AK39" s="27"/>
      <c r="AL39" s="27">
        <v>938</v>
      </c>
      <c r="AM39" s="27">
        <v>451.18699600000002</v>
      </c>
      <c r="AN39" s="27">
        <f>+SUM(AK39:AM39)</f>
        <v>1389.1869959999999</v>
      </c>
      <c r="AO39" s="27">
        <f>+AJ39+AN39</f>
        <v>25164.316666000002</v>
      </c>
      <c r="AP39" s="31" t="e">
        <f>+((#REF!-#REF!)*100)/#REF!</f>
        <v>#REF!</v>
      </c>
      <c r="AQ39" s="29" t="e">
        <f>+((#REF!-#REF!)*100)/#REF!</f>
        <v>#REF!</v>
      </c>
      <c r="AR39" s="29" t="e">
        <f>+((#REF!-#REF!)*100)/#REF!</f>
        <v>#REF!</v>
      </c>
      <c r="AS39" s="29" t="e">
        <f>+((#REF!-#REF!)*100)/#REF!</f>
        <v>#REF!</v>
      </c>
      <c r="AT39" s="29" t="e">
        <f>+((#REF!-#REF!)*100)/#REF!</f>
        <v>#REF!</v>
      </c>
      <c r="AU39" s="29" t="e">
        <f>+((F39-#REF!)*100)/#REF!</f>
        <v>#REF!</v>
      </c>
      <c r="AV39" s="29">
        <f>+((Q39-F39)*100)/F39</f>
        <v>10.334187455312295</v>
      </c>
      <c r="AW39" s="29">
        <f>+((Y39-Q39)*100)/Q39</f>
        <v>4.707890702732942</v>
      </c>
      <c r="AX39" s="28" t="e">
        <f>+(((Y39/#REF!)^(0.125))-1)*100</f>
        <v>#REF!</v>
      </c>
      <c r="AY39" s="29" t="e">
        <f>+((#REF!-#REF!)*100)/#REF!</f>
        <v>#REF!</v>
      </c>
      <c r="AZ39" s="29" t="e">
        <f>+((#REF!-#REF!)*100)/#REF!</f>
        <v>#REF!</v>
      </c>
      <c r="BA39" s="29" t="e">
        <f>+((#REF!-#REF!)*100)/#REF!</f>
        <v>#REF!</v>
      </c>
      <c r="BB39" s="29" t="e">
        <f>+((#REF!-#REF!)*100)/#REF!</f>
        <v>#REF!</v>
      </c>
      <c r="BC39" s="20" t="e">
        <f>+(((#REF!+#REF!)-(#REF!+#REF!))/(#REF!+#REF!))</f>
        <v>#REF!</v>
      </c>
      <c r="BD39" s="20" t="e">
        <f>+(((#REF!+#REF!)-(#REF!+#REF!))/(#REF!+#REF!))</f>
        <v>#REF!</v>
      </c>
      <c r="BE39" s="20" t="e">
        <f>+(((#REF!+#REF!)-(#REF!+#REF!))/(#REF!+#REF!))</f>
        <v>#REF!</v>
      </c>
      <c r="BF39" s="20" t="e">
        <f>+(((#REF!+#REF!)-(#REF!+#REF!))/(#REF!+#REF!))</f>
        <v>#REF!</v>
      </c>
      <c r="BG39" s="20" t="e">
        <f>+(((#REF!+#REF!)-(#REF!+#REF!))/(#REF!+#REF!))</f>
        <v>#REF!</v>
      </c>
      <c r="BH39" s="20" t="e">
        <f>+(((#REF!+#REF!)-(#REF!+#REF!))/(#REF!+#REF!))</f>
        <v>#REF!</v>
      </c>
      <c r="BI39" s="20" t="e">
        <f>+(((#REF!+#REF!)-(#REF!+#REF!))/(#REF!+#REF!))</f>
        <v>#REF!</v>
      </c>
      <c r="BJ39" s="20" t="e">
        <f>+(((#REF!+#REF!)-(#REF!+#REF!))/(#REF!+#REF!))</f>
        <v>#REF!</v>
      </c>
      <c r="BK39" s="20" t="e">
        <f>+(((#REF!+#REF!)-(#REF!+#REF!))/(#REF!+#REF!))</f>
        <v>#REF!</v>
      </c>
      <c r="BL39" s="20" t="e">
        <f>+(((#REF!+#REF!)-(#REF!+#REF!))/(#REF!+#REF!))</f>
        <v>#REF!</v>
      </c>
      <c r="BM39" s="20" t="e">
        <f>+(((#REF!+#REF!)-(#REF!+#REF!))/(#REF!+#REF!))</f>
        <v>#REF!</v>
      </c>
      <c r="BN39" s="20" t="e">
        <f>+(((#REF!+#REF!)-(#REF!+#REF!))/(#REF!+#REF!))</f>
        <v>#REF!</v>
      </c>
      <c r="BO39" s="20" t="e">
        <f>+(((#REF!+#REF!)-(#REF!+#REF!))/(#REF!+#REF!))</f>
        <v>#REF!</v>
      </c>
      <c r="BP39" s="20" t="e">
        <f>+(((#REF!+#REF!)-(#REF!+#REF!))/(#REF!+#REF!))</f>
        <v>#REF!</v>
      </c>
      <c r="BQ39" s="20" t="e">
        <f>+(((#REF!+#REF!)-(#REF!+#REF!))/(#REF!+#REF!))</f>
        <v>#REF!</v>
      </c>
      <c r="BR39" s="20" t="e">
        <f>+(((#REF!+#REF!)-(#REF!+#REF!))/(#REF!+#REF!))</f>
        <v>#REF!</v>
      </c>
      <c r="BS39" s="20" t="e">
        <f>+(((#REF!+#REF!)-(#REF!+#REF!))/(#REF!+#REF!))</f>
        <v>#REF!</v>
      </c>
      <c r="BT39" s="20" t="e">
        <f>+(((B39+E39)-(#REF!+#REF!))/(#REF!+#REF!))</f>
        <v>#REF!</v>
      </c>
      <c r="BU39" s="20">
        <f>+(((G39+P39)-(B39+E39))/(B39+E39))</f>
        <v>9.1299902438290226E-2</v>
      </c>
      <c r="BV39" s="20" t="e">
        <f>+((((G39+P39)/(#REF!+#REF!))^(1/19))-1)</f>
        <v>#REF!</v>
      </c>
      <c r="BW39" s="30">
        <v>22297.690037</v>
      </c>
      <c r="BX39" s="29"/>
      <c r="BY39" s="28">
        <f>+BW39+BX39</f>
        <v>22297.690037</v>
      </c>
      <c r="BZ39" s="27">
        <f>22297.690037+966.14</f>
        <v>23263.830037</v>
      </c>
      <c r="CA39" s="27"/>
      <c r="CB39" s="27">
        <v>493.52425899999997</v>
      </c>
      <c r="CC39" s="27">
        <v>286.38353999999998</v>
      </c>
      <c r="CD39" s="27">
        <f>+SUM(BZ39:CC39)</f>
        <v>24043.737836</v>
      </c>
      <c r="CE39" s="27"/>
      <c r="CF39" s="27">
        <v>490.49170099999998</v>
      </c>
      <c r="CG39" s="27">
        <f>+CE39+CF39</f>
        <v>490.49170099999998</v>
      </c>
      <c r="CH39" s="27">
        <f>+CD39+CG39</f>
        <v>24534.229536999999</v>
      </c>
      <c r="CI39" s="27">
        <v>26996.646321</v>
      </c>
      <c r="CJ39" s="27"/>
      <c r="CK39" s="27">
        <f>(834154025+168932403)/1000000</f>
        <v>1003.086428</v>
      </c>
      <c r="CL39" s="27">
        <f>(302572448+49717475+1285650014)/1000000</f>
        <v>1637.9399370000001</v>
      </c>
      <c r="CM39" s="27">
        <f>406751980/1000000</f>
        <v>406.75198</v>
      </c>
      <c r="CN39" s="27">
        <f>+SUM(CI39:CM39)</f>
        <v>30044.424665999999</v>
      </c>
      <c r="CO39" s="27"/>
      <c r="CP39" s="27">
        <f>(512365512/1000000)+44.981976</f>
        <v>557.347488</v>
      </c>
      <c r="CQ39" s="27">
        <f>+CO39+CP39</f>
        <v>557.347488</v>
      </c>
      <c r="CR39" s="27">
        <f>+CN39+CQ39</f>
        <v>30601.772153999998</v>
      </c>
    </row>
    <row r="40" spans="1:96" ht="15" customHeight="1" x14ac:dyDescent="0.2">
      <c r="A40" s="33" t="s">
        <v>8</v>
      </c>
      <c r="B40" s="27">
        <v>5131.6541139999999</v>
      </c>
      <c r="C40" s="27">
        <v>737.29015900000002</v>
      </c>
      <c r="D40" s="27"/>
      <c r="E40" s="27">
        <v>0</v>
      </c>
      <c r="F40" s="27">
        <f>+SUM(B40:E40)</f>
        <v>5868.9442730000001</v>
      </c>
      <c r="G40" s="27">
        <f>6241.696275+216.885535</f>
        <v>6458.5818100000006</v>
      </c>
      <c r="H40" s="27"/>
      <c r="I40" s="27">
        <f>118.891121</f>
        <v>118.891121</v>
      </c>
      <c r="J40" s="27">
        <v>70.332993999999999</v>
      </c>
      <c r="K40" s="27">
        <v>15.691205</v>
      </c>
      <c r="L40" s="27"/>
      <c r="M40" s="27">
        <v>407.953487</v>
      </c>
      <c r="N40" s="27">
        <f>+SUM(G40:M40)</f>
        <v>7071.4506170000004</v>
      </c>
      <c r="O40" s="27"/>
      <c r="P40" s="27">
        <v>0</v>
      </c>
      <c r="Q40" s="27">
        <f>+N40+P40</f>
        <v>7071.4506170000004</v>
      </c>
      <c r="R40" s="27">
        <v>6662.1534789999996</v>
      </c>
      <c r="S40" s="27"/>
      <c r="T40" s="27">
        <v>299.84066100000001</v>
      </c>
      <c r="U40" s="27"/>
      <c r="V40" s="27"/>
      <c r="W40" s="27">
        <f>+R40+S40+T40+U40+V40</f>
        <v>6961.9941399999998</v>
      </c>
      <c r="X40" s="27"/>
      <c r="Y40" s="27">
        <f>+W40+X40</f>
        <v>6961.9941399999998</v>
      </c>
      <c r="Z40" s="27">
        <f>(6662153479-6598094311)/1000000</f>
        <v>64.059168</v>
      </c>
      <c r="AA40" s="27"/>
      <c r="AB40" s="27">
        <f>64059168/1000000</f>
        <v>64.059168</v>
      </c>
      <c r="AC40" s="27"/>
      <c r="AD40" s="27">
        <f>+Z40+AA40+AB40+AC40</f>
        <v>128.118336</v>
      </c>
      <c r="AE40" s="32">
        <f>6534.035143+223.392101+691.436757</f>
        <v>7448.8640009999999</v>
      </c>
      <c r="AF40" s="32">
        <f>+S40-AA40</f>
        <v>0</v>
      </c>
      <c r="AG40" s="32">
        <f>+T40</f>
        <v>299.84066100000001</v>
      </c>
      <c r="AH40" s="32">
        <v>73.258630999999994</v>
      </c>
      <c r="AI40" s="32">
        <v>1.742567</v>
      </c>
      <c r="AJ40" s="27">
        <f>+SUM(AE40:AI40)</f>
        <v>7823.70586</v>
      </c>
      <c r="AK40" s="27"/>
      <c r="AL40" s="27">
        <v>995</v>
      </c>
      <c r="AM40" s="27">
        <v>136.677516</v>
      </c>
      <c r="AN40" s="27">
        <f>+SUM(AK40:AM40)</f>
        <v>1131.677516</v>
      </c>
      <c r="AO40" s="27">
        <f>+AJ40+AN40</f>
        <v>8955.3833759999998</v>
      </c>
      <c r="AP40" s="31" t="e">
        <f>+((#REF!-#REF!)*100)/#REF!</f>
        <v>#REF!</v>
      </c>
      <c r="AQ40" s="29" t="e">
        <f>+((#REF!-#REF!)*100)/#REF!</f>
        <v>#REF!</v>
      </c>
      <c r="AR40" s="29" t="e">
        <f>+((#REF!-#REF!)*100)/#REF!</f>
        <v>#REF!</v>
      </c>
      <c r="AS40" s="29" t="e">
        <f>+((#REF!-#REF!)*100)/#REF!</f>
        <v>#REF!</v>
      </c>
      <c r="AT40" s="29" t="e">
        <f>+((#REF!-#REF!)*100)/#REF!</f>
        <v>#REF!</v>
      </c>
      <c r="AU40" s="29" t="e">
        <f>+((F40-#REF!)*100)/#REF!</f>
        <v>#REF!</v>
      </c>
      <c r="AV40" s="29">
        <f>+((Q40-F40)*100)/F40</f>
        <v>20.489312695165889</v>
      </c>
      <c r="AW40" s="29">
        <f>+((Y40-Q40)*100)/Q40</f>
        <v>-1.5478645461634655</v>
      </c>
      <c r="AX40" s="28" t="e">
        <f>+(((Y40/#REF!)^(0.125))-1)*100</f>
        <v>#REF!</v>
      </c>
      <c r="AY40" s="29" t="e">
        <f>+((#REF!-#REF!)*100)/#REF!</f>
        <v>#REF!</v>
      </c>
      <c r="AZ40" s="29" t="e">
        <f>+((#REF!-#REF!)*100)/#REF!</f>
        <v>#REF!</v>
      </c>
      <c r="BA40" s="29" t="e">
        <f>+((#REF!-#REF!)*100)/#REF!</f>
        <v>#REF!</v>
      </c>
      <c r="BB40" s="29" t="e">
        <f>+((#REF!-#REF!)*100)/#REF!</f>
        <v>#REF!</v>
      </c>
      <c r="BC40" s="20" t="e">
        <f>+(((#REF!+#REF!)-(#REF!+#REF!))/(#REF!+#REF!))</f>
        <v>#REF!</v>
      </c>
      <c r="BD40" s="20" t="e">
        <f>+(((#REF!+#REF!)-(#REF!+#REF!))/(#REF!+#REF!))</f>
        <v>#REF!</v>
      </c>
      <c r="BE40" s="20" t="e">
        <f>+(((#REF!+#REF!)-(#REF!+#REF!))/(#REF!+#REF!))</f>
        <v>#REF!</v>
      </c>
      <c r="BF40" s="20" t="e">
        <f>+(((#REF!+#REF!)-(#REF!+#REF!))/(#REF!+#REF!))</f>
        <v>#REF!</v>
      </c>
      <c r="BG40" s="20" t="e">
        <f>+(((#REF!+#REF!)-(#REF!+#REF!))/(#REF!+#REF!))</f>
        <v>#REF!</v>
      </c>
      <c r="BH40" s="20" t="e">
        <f>+(((#REF!+#REF!)-(#REF!+#REF!))/(#REF!+#REF!))</f>
        <v>#REF!</v>
      </c>
      <c r="BI40" s="20" t="e">
        <f>+(((#REF!+#REF!)-(#REF!+#REF!))/(#REF!+#REF!))</f>
        <v>#REF!</v>
      </c>
      <c r="BJ40" s="20" t="e">
        <f>+(((#REF!+#REF!)-(#REF!+#REF!))/(#REF!+#REF!))</f>
        <v>#REF!</v>
      </c>
      <c r="BK40" s="20" t="e">
        <f>+(((#REF!+#REF!)-(#REF!+#REF!))/(#REF!+#REF!))</f>
        <v>#REF!</v>
      </c>
      <c r="BL40" s="20" t="e">
        <f>+(((#REF!+#REF!)-(#REF!+#REF!))/(#REF!+#REF!))</f>
        <v>#REF!</v>
      </c>
      <c r="BM40" s="20" t="e">
        <f>+(((#REF!+#REF!)-(#REF!+#REF!))/(#REF!+#REF!))</f>
        <v>#REF!</v>
      </c>
      <c r="BN40" s="20" t="e">
        <f>+(((#REF!+#REF!)-(#REF!+#REF!))/(#REF!+#REF!))</f>
        <v>#REF!</v>
      </c>
      <c r="BO40" s="20" t="e">
        <f>+(((#REF!+#REF!)-(#REF!+#REF!))/(#REF!+#REF!))</f>
        <v>#REF!</v>
      </c>
      <c r="BP40" s="20" t="e">
        <f>+(((#REF!+#REF!)-(#REF!+#REF!))/(#REF!+#REF!))</f>
        <v>#REF!</v>
      </c>
      <c r="BQ40" s="20" t="e">
        <f>+(((#REF!+#REF!)-(#REF!+#REF!))/(#REF!+#REF!))</f>
        <v>#REF!</v>
      </c>
      <c r="BR40" s="20" t="e">
        <f>+(((#REF!+#REF!)-(#REF!+#REF!))/(#REF!+#REF!))</f>
        <v>#REF!</v>
      </c>
      <c r="BS40" s="20" t="e">
        <f>+(((#REF!+#REF!)-(#REF!+#REF!))/(#REF!+#REF!))</f>
        <v>#REF!</v>
      </c>
      <c r="BT40" s="20" t="e">
        <f>+(((B40+E40)-(#REF!+#REF!))/(#REF!+#REF!))</f>
        <v>#REF!</v>
      </c>
      <c r="BU40" s="20">
        <f>+(((G40+P40)-(B40+E40))/(B40+E40))</f>
        <v>0.25857699418593366</v>
      </c>
      <c r="BV40" s="20" t="e">
        <f>+((((G40+P40)/(#REF!+#REF!))^(1/19))-1)</f>
        <v>#REF!</v>
      </c>
      <c r="BW40" s="30">
        <v>6960.1500610000003</v>
      </c>
      <c r="BX40" s="29"/>
      <c r="BY40" s="28">
        <f>+BW40+BX40</f>
        <v>6960.1500610000003</v>
      </c>
      <c r="BZ40" s="27">
        <f>6960.150061+1024.85+200.887268</f>
        <v>8185.887329000001</v>
      </c>
      <c r="CA40" s="27"/>
      <c r="CB40" s="27">
        <v>493.68505099999999</v>
      </c>
      <c r="CC40" s="27">
        <v>16.116935000000002</v>
      </c>
      <c r="CD40" s="27">
        <f>+SUM(BZ40:CC40)</f>
        <v>8695.6893150000014</v>
      </c>
      <c r="CE40" s="27"/>
      <c r="CF40" s="27">
        <v>166.676298</v>
      </c>
      <c r="CG40" s="27">
        <f>+CE40+CF40</f>
        <v>166.676298</v>
      </c>
      <c r="CH40" s="27">
        <f>+CD40+CG40</f>
        <v>8862.3656130000018</v>
      </c>
      <c r="CI40" s="27">
        <v>12034.188179999999</v>
      </c>
      <c r="CJ40" s="27"/>
      <c r="CK40" s="27">
        <f>(736512021+60030125)/1000000</f>
        <v>796.542146</v>
      </c>
      <c r="CL40" s="27">
        <f>(302671026+49733673+1277446320)/1000000</f>
        <v>1629.851019</v>
      </c>
      <c r="CM40" s="27">
        <f>12785719/1000000</f>
        <v>12.785719</v>
      </c>
      <c r="CN40" s="27">
        <f>+SUM(CI40:CM40)</f>
        <v>14473.367063999998</v>
      </c>
      <c r="CO40" s="27"/>
      <c r="CP40" s="27">
        <f>(204301915/1000000)+46.109301</f>
        <v>250.41121600000002</v>
      </c>
      <c r="CQ40" s="27">
        <f>+CO40+CP40</f>
        <v>250.41121600000002</v>
      </c>
      <c r="CR40" s="27">
        <f>+CN40+CQ40</f>
        <v>14723.778279999999</v>
      </c>
    </row>
    <row r="41" spans="1:96" ht="15" customHeight="1" x14ac:dyDescent="0.2">
      <c r="A41" s="34" t="s">
        <v>7</v>
      </c>
      <c r="B41" s="32">
        <v>9772.7833609999998</v>
      </c>
      <c r="C41" s="32">
        <v>894.26399800000002</v>
      </c>
      <c r="D41" s="32"/>
      <c r="E41" s="32">
        <v>0</v>
      </c>
      <c r="F41" s="27">
        <f>+SUM(B41:E41)</f>
        <v>10667.047359</v>
      </c>
      <c r="G41" s="32">
        <f>10846.550818+221.52781</f>
        <v>11068.078627999999</v>
      </c>
      <c r="H41" s="32"/>
      <c r="I41" s="32">
        <f>261.098333</f>
        <v>261.09833300000003</v>
      </c>
      <c r="J41" s="32">
        <v>141.95090400000001</v>
      </c>
      <c r="K41" s="32">
        <v>112.87650600000001</v>
      </c>
      <c r="L41" s="32"/>
      <c r="M41" s="32">
        <v>416.68543099999999</v>
      </c>
      <c r="N41" s="27">
        <f>+SUM(G41:M41)</f>
        <v>12000.689801999999</v>
      </c>
      <c r="O41" s="32"/>
      <c r="P41" s="32">
        <v>0</v>
      </c>
      <c r="Q41" s="27">
        <f>+N41+P41</f>
        <v>12000.689801999999</v>
      </c>
      <c r="R41" s="32">
        <v>11630.509023000001</v>
      </c>
      <c r="S41" s="32"/>
      <c r="T41" s="32">
        <v>605.15911500000004</v>
      </c>
      <c r="U41" s="32"/>
      <c r="V41" s="32"/>
      <c r="W41" s="32">
        <f>+R41+S41+T41+U41+V41</f>
        <v>12235.668138000001</v>
      </c>
      <c r="X41" s="32"/>
      <c r="Y41" s="32">
        <f>+W41+X41</f>
        <v>12235.668138000001</v>
      </c>
      <c r="Z41" s="32">
        <f>(11630509023-11518677205)/1000000</f>
        <v>111.831818</v>
      </c>
      <c r="AA41" s="32"/>
      <c r="AB41" s="32">
        <f>111831818/1000000</f>
        <v>111.831818</v>
      </c>
      <c r="AC41" s="32"/>
      <c r="AD41" s="32">
        <f>+Z41+AA41+AB41+AC41</f>
        <v>223.663636</v>
      </c>
      <c r="AE41" s="32">
        <f>11406.845387+228.173644+686.500282</f>
        <v>12321.519313000001</v>
      </c>
      <c r="AF41" s="32">
        <f>+S41-AA41</f>
        <v>0</v>
      </c>
      <c r="AG41" s="32">
        <f>+T41</f>
        <v>605.15911500000004</v>
      </c>
      <c r="AH41" s="32">
        <v>72.735605000000007</v>
      </c>
      <c r="AI41" s="32">
        <v>84.206636000000003</v>
      </c>
      <c r="AJ41" s="27">
        <f>+SUM(AE41:AI41)</f>
        <v>13083.620669000002</v>
      </c>
      <c r="AK41" s="32"/>
      <c r="AL41" s="32">
        <v>770</v>
      </c>
      <c r="AM41" s="32">
        <v>240.24009000000001</v>
      </c>
      <c r="AN41" s="27">
        <f>+SUM(AK41:AM41)</f>
        <v>1010.24009</v>
      </c>
      <c r="AO41" s="27">
        <f>+AJ41+AN41</f>
        <v>14093.860759000001</v>
      </c>
      <c r="AP41" s="31" t="e">
        <f>+((#REF!-#REF!)*100)/#REF!</f>
        <v>#REF!</v>
      </c>
      <c r="AQ41" s="29" t="e">
        <f>+((#REF!-#REF!)*100)/#REF!</f>
        <v>#REF!</v>
      </c>
      <c r="AR41" s="29" t="e">
        <f>+((#REF!-#REF!)*100)/#REF!</f>
        <v>#REF!</v>
      </c>
      <c r="AS41" s="29" t="e">
        <f>+((#REF!-#REF!)*100)/#REF!</f>
        <v>#REF!</v>
      </c>
      <c r="AT41" s="29" t="e">
        <f>+((#REF!-#REF!)*100)/#REF!</f>
        <v>#REF!</v>
      </c>
      <c r="AU41" s="29" t="e">
        <f>+((F41-#REF!)*100)/#REF!</f>
        <v>#REF!</v>
      </c>
      <c r="AV41" s="29">
        <f>+((Q41-F41)*100)/F41</f>
        <v>12.502451691796212</v>
      </c>
      <c r="AW41" s="29">
        <f>+((Y41-Q41)*100)/Q41</f>
        <v>1.9580402449935932</v>
      </c>
      <c r="AX41" s="28" t="e">
        <f>+(((Y41/#REF!)^(0.125))-1)*100</f>
        <v>#REF!</v>
      </c>
      <c r="AY41" s="29" t="e">
        <f>+((#REF!-#REF!)*100)/#REF!</f>
        <v>#REF!</v>
      </c>
      <c r="AZ41" s="29" t="e">
        <f>+((#REF!-#REF!)*100)/#REF!</f>
        <v>#REF!</v>
      </c>
      <c r="BA41" s="29" t="e">
        <f>+((#REF!-#REF!)*100)/#REF!</f>
        <v>#REF!</v>
      </c>
      <c r="BB41" s="29" t="e">
        <f>+((#REF!-#REF!)*100)/#REF!</f>
        <v>#REF!</v>
      </c>
      <c r="BC41" s="20" t="e">
        <f>+(((#REF!+#REF!)-(#REF!+#REF!))/(#REF!+#REF!))</f>
        <v>#REF!</v>
      </c>
      <c r="BD41" s="20" t="e">
        <f>+(((#REF!+#REF!)-(#REF!+#REF!))/(#REF!+#REF!))</f>
        <v>#REF!</v>
      </c>
      <c r="BE41" s="20" t="e">
        <f>+(((#REF!+#REF!)-(#REF!+#REF!))/(#REF!+#REF!))</f>
        <v>#REF!</v>
      </c>
      <c r="BF41" s="20" t="e">
        <f>+(((#REF!+#REF!)-(#REF!+#REF!))/(#REF!+#REF!))</f>
        <v>#REF!</v>
      </c>
      <c r="BG41" s="20" t="e">
        <f>+(((#REF!+#REF!)-(#REF!+#REF!))/(#REF!+#REF!))</f>
        <v>#REF!</v>
      </c>
      <c r="BH41" s="20" t="e">
        <f>+(((#REF!+#REF!)-(#REF!+#REF!))/(#REF!+#REF!))</f>
        <v>#REF!</v>
      </c>
      <c r="BI41" s="20" t="e">
        <f>+(((#REF!+#REF!)-(#REF!+#REF!))/(#REF!+#REF!))</f>
        <v>#REF!</v>
      </c>
      <c r="BJ41" s="20" t="e">
        <f>+(((#REF!+#REF!)-(#REF!+#REF!))/(#REF!+#REF!))</f>
        <v>#REF!</v>
      </c>
      <c r="BK41" s="20" t="e">
        <f>+(((#REF!+#REF!)-(#REF!+#REF!))/(#REF!+#REF!))</f>
        <v>#REF!</v>
      </c>
      <c r="BL41" s="20" t="e">
        <f>+(((#REF!+#REF!)-(#REF!+#REF!))/(#REF!+#REF!))</f>
        <v>#REF!</v>
      </c>
      <c r="BM41" s="20" t="e">
        <f>+(((#REF!+#REF!)-(#REF!+#REF!))/(#REF!+#REF!))</f>
        <v>#REF!</v>
      </c>
      <c r="BN41" s="20" t="e">
        <f>+(((#REF!+#REF!)-(#REF!+#REF!))/(#REF!+#REF!))</f>
        <v>#REF!</v>
      </c>
      <c r="BO41" s="20" t="e">
        <f>+(((#REF!+#REF!)-(#REF!+#REF!))/(#REF!+#REF!))</f>
        <v>#REF!</v>
      </c>
      <c r="BP41" s="20" t="e">
        <f>+(((#REF!+#REF!)-(#REF!+#REF!))/(#REF!+#REF!))</f>
        <v>#REF!</v>
      </c>
      <c r="BQ41" s="20" t="e">
        <f>+(((#REF!+#REF!)-(#REF!+#REF!))/(#REF!+#REF!))</f>
        <v>#REF!</v>
      </c>
      <c r="BR41" s="20" t="e">
        <f>+(((#REF!+#REF!)-(#REF!+#REF!))/(#REF!+#REF!))</f>
        <v>#REF!</v>
      </c>
      <c r="BS41" s="20" t="e">
        <f>+(((#REF!+#REF!)-(#REF!+#REF!))/(#REF!+#REF!))</f>
        <v>#REF!</v>
      </c>
      <c r="BT41" s="20" t="e">
        <f>+(((B41+E41)-(#REF!+#REF!))/(#REF!+#REF!))</f>
        <v>#REF!</v>
      </c>
      <c r="BU41" s="20">
        <f>+(((G41+P41)-(B41+E41))/(B41+E41))</f>
        <v>0.13254108058601827</v>
      </c>
      <c r="BV41" s="20" t="e">
        <f>+((((G41+P41)/(#REF!+#REF!))^(1/19))-1)</f>
        <v>#REF!</v>
      </c>
      <c r="BW41" s="30">
        <v>11984.069602</v>
      </c>
      <c r="BX41" s="29"/>
      <c r="BY41" s="28">
        <f>+BW41+BX41</f>
        <v>11984.069602</v>
      </c>
      <c r="BZ41" s="27">
        <f>11984.069602+793.1+192.641986</f>
        <v>12969.811588</v>
      </c>
      <c r="CA41" s="27"/>
      <c r="CB41" s="27">
        <v>473.42208099999999</v>
      </c>
      <c r="CC41" s="27">
        <v>172.311971</v>
      </c>
      <c r="CD41" s="27">
        <f>+SUM(BZ41:CC41)</f>
        <v>13615.54564</v>
      </c>
      <c r="CE41" s="27"/>
      <c r="CF41" s="27">
        <v>269.69906099999997</v>
      </c>
      <c r="CG41" s="27">
        <f>+CE41+CF41</f>
        <v>269.69906099999997</v>
      </c>
      <c r="CH41" s="27">
        <f>+CD41+CG41</f>
        <v>13885.244701</v>
      </c>
      <c r="CI41" s="27">
        <v>16041.220192999999</v>
      </c>
      <c r="CJ41" s="27"/>
      <c r="CK41" s="27">
        <f>(747387252+94399276)/1000000</f>
        <v>841.78652799999998</v>
      </c>
      <c r="CL41" s="27">
        <f>(290248099+47692388+1203361604)/1000000</f>
        <v>1541.302091</v>
      </c>
      <c r="CM41" s="27">
        <f>145099269/1000000</f>
        <v>145.09926899999999</v>
      </c>
      <c r="CN41" s="27">
        <f>+SUM(CI41:CM41)</f>
        <v>18569.408080999998</v>
      </c>
      <c r="CO41" s="27"/>
      <c r="CP41" s="27">
        <f>(297126451/1000000)+36.425818</f>
        <v>333.55226899999997</v>
      </c>
      <c r="CQ41" s="27">
        <f>+CO41+CP41</f>
        <v>333.55226899999997</v>
      </c>
      <c r="CR41" s="27">
        <f>+CN41+CQ41</f>
        <v>18902.960349999998</v>
      </c>
    </row>
    <row r="42" spans="1:96" ht="15" customHeight="1" x14ac:dyDescent="0.2">
      <c r="A42" s="33" t="s">
        <v>6</v>
      </c>
      <c r="B42" s="27">
        <v>10257.251176</v>
      </c>
      <c r="C42" s="27">
        <v>894.26399800000002</v>
      </c>
      <c r="D42" s="27"/>
      <c r="E42" s="27">
        <v>0</v>
      </c>
      <c r="F42" s="27">
        <f>+SUM(B42:E42)</f>
        <v>11151.515174</v>
      </c>
      <c r="G42" s="27">
        <f>11248.579438+197.754184</f>
        <v>11446.333622</v>
      </c>
      <c r="H42" s="27"/>
      <c r="I42" s="27">
        <f>262.385618</f>
        <v>262.38561800000002</v>
      </c>
      <c r="J42" s="27">
        <v>143.13438199999999</v>
      </c>
      <c r="K42" s="27">
        <v>0</v>
      </c>
      <c r="L42" s="27"/>
      <c r="M42" s="27">
        <v>371.96813800000001</v>
      </c>
      <c r="N42" s="27">
        <f>+SUM(G42:M42)</f>
        <v>12223.821760000001</v>
      </c>
      <c r="O42" s="27"/>
      <c r="P42" s="27">
        <v>0</v>
      </c>
      <c r="Q42" s="27">
        <f>+N42+P42</f>
        <v>12223.821760000001</v>
      </c>
      <c r="R42" s="27">
        <v>12040.316583</v>
      </c>
      <c r="S42" s="27"/>
      <c r="T42" s="27">
        <v>610.20447100000001</v>
      </c>
      <c r="U42" s="27"/>
      <c r="V42" s="27"/>
      <c r="W42" s="27">
        <f>+R42+S42+T42+U42+V42</f>
        <v>12650.521054000001</v>
      </c>
      <c r="X42" s="27"/>
      <c r="Y42" s="27">
        <f>+W42+X42</f>
        <v>12650.521054000001</v>
      </c>
      <c r="Z42" s="27">
        <f>(12040316583-11924544308)/1000000</f>
        <v>115.77227499999999</v>
      </c>
      <c r="AA42" s="27"/>
      <c r="AB42" s="27">
        <f>115772274/1000000</f>
        <v>115.772274</v>
      </c>
      <c r="AC42" s="27"/>
      <c r="AD42" s="27">
        <f>+Z42+AA42+AB42+AC42</f>
        <v>231.54454899999999</v>
      </c>
      <c r="AE42" s="32">
        <f>11808.772034+203.68681+610.277422</f>
        <v>12622.736265999998</v>
      </c>
      <c r="AF42" s="32">
        <f>+S42-AA42</f>
        <v>0</v>
      </c>
      <c r="AG42" s="32">
        <f>+T42</f>
        <v>610.20447100000001</v>
      </c>
      <c r="AH42" s="32">
        <v>64.659693000000004</v>
      </c>
      <c r="AI42" s="32"/>
      <c r="AJ42" s="27">
        <f>+SUM(AE42:AI42)</f>
        <v>13297.600429999997</v>
      </c>
      <c r="AK42" s="27"/>
      <c r="AL42" s="27">
        <v>910</v>
      </c>
      <c r="AM42" s="27">
        <v>248.37952999999999</v>
      </c>
      <c r="AN42" s="27">
        <f>+SUM(AK42:AM42)</f>
        <v>1158.3795299999999</v>
      </c>
      <c r="AO42" s="27">
        <f>+AJ42+AN42</f>
        <v>14455.979959999997</v>
      </c>
      <c r="AP42" s="31" t="e">
        <f>+((#REF!-#REF!)*100)/#REF!</f>
        <v>#REF!</v>
      </c>
      <c r="AQ42" s="29" t="e">
        <f>+((#REF!-#REF!)*100)/#REF!</f>
        <v>#REF!</v>
      </c>
      <c r="AR42" s="29" t="e">
        <f>+((#REF!-#REF!)*100)/#REF!</f>
        <v>#REF!</v>
      </c>
      <c r="AS42" s="29" t="e">
        <f>+((#REF!-#REF!)*100)/#REF!</f>
        <v>#REF!</v>
      </c>
      <c r="AT42" s="29" t="e">
        <f>+((#REF!-#REF!)*100)/#REF!</f>
        <v>#REF!</v>
      </c>
      <c r="AU42" s="29" t="e">
        <f>+((F42-#REF!)*100)/#REF!</f>
        <v>#REF!</v>
      </c>
      <c r="AV42" s="29">
        <f>+((Q42-F42)*100)/F42</f>
        <v>9.6157927355029447</v>
      </c>
      <c r="AW42" s="29">
        <f>+((Y42-Q42)*100)/Q42</f>
        <v>3.4907192069528343</v>
      </c>
      <c r="AX42" s="28" t="e">
        <f>+(((Y42/#REF!)^(0.125))-1)*100</f>
        <v>#REF!</v>
      </c>
      <c r="AY42" s="29" t="e">
        <f>+((#REF!-#REF!)*100)/#REF!</f>
        <v>#REF!</v>
      </c>
      <c r="AZ42" s="29" t="e">
        <f>+((#REF!-#REF!)*100)/#REF!</f>
        <v>#REF!</v>
      </c>
      <c r="BA42" s="29" t="e">
        <f>+((#REF!-#REF!)*100)/#REF!</f>
        <v>#REF!</v>
      </c>
      <c r="BB42" s="29" t="e">
        <f>+((#REF!-#REF!)*100)/#REF!</f>
        <v>#REF!</v>
      </c>
      <c r="BC42" s="20" t="e">
        <f>+(((#REF!+#REF!)-(#REF!+#REF!))/(#REF!+#REF!))</f>
        <v>#REF!</v>
      </c>
      <c r="BD42" s="20" t="e">
        <f>+(((#REF!+#REF!)-(#REF!+#REF!))/(#REF!+#REF!))</f>
        <v>#REF!</v>
      </c>
      <c r="BE42" s="20" t="e">
        <f>+(((#REF!+#REF!)-(#REF!+#REF!))/(#REF!+#REF!))</f>
        <v>#REF!</v>
      </c>
      <c r="BF42" s="20" t="e">
        <f>+(((#REF!+#REF!)-(#REF!+#REF!))/(#REF!+#REF!))</f>
        <v>#REF!</v>
      </c>
      <c r="BG42" s="20" t="e">
        <f>+(((#REF!+#REF!)-(#REF!+#REF!))/(#REF!+#REF!))</f>
        <v>#REF!</v>
      </c>
      <c r="BH42" s="20" t="e">
        <f>+(((#REF!+#REF!)-(#REF!+#REF!))/(#REF!+#REF!))</f>
        <v>#REF!</v>
      </c>
      <c r="BI42" s="20" t="e">
        <f>+(((#REF!+#REF!)-(#REF!+#REF!))/(#REF!+#REF!))</f>
        <v>#REF!</v>
      </c>
      <c r="BJ42" s="20" t="e">
        <f>+(((#REF!+#REF!)-(#REF!+#REF!))/(#REF!+#REF!))</f>
        <v>#REF!</v>
      </c>
      <c r="BK42" s="20" t="e">
        <f>+(((#REF!+#REF!)-(#REF!+#REF!))/(#REF!+#REF!))</f>
        <v>#REF!</v>
      </c>
      <c r="BL42" s="20" t="e">
        <f>+(((#REF!+#REF!)-(#REF!+#REF!))/(#REF!+#REF!))</f>
        <v>#REF!</v>
      </c>
      <c r="BM42" s="20" t="e">
        <f>+(((#REF!+#REF!)-(#REF!+#REF!))/(#REF!+#REF!))</f>
        <v>#REF!</v>
      </c>
      <c r="BN42" s="20" t="e">
        <f>+(((#REF!+#REF!)-(#REF!+#REF!))/(#REF!+#REF!))</f>
        <v>#REF!</v>
      </c>
      <c r="BO42" s="20" t="e">
        <f>+(((#REF!+#REF!)-(#REF!+#REF!))/(#REF!+#REF!))</f>
        <v>#REF!</v>
      </c>
      <c r="BP42" s="20" t="e">
        <f>+(((#REF!+#REF!)-(#REF!+#REF!))/(#REF!+#REF!))</f>
        <v>#REF!</v>
      </c>
      <c r="BQ42" s="20" t="e">
        <f>+(((#REF!+#REF!)-(#REF!+#REF!))/(#REF!+#REF!))</f>
        <v>#REF!</v>
      </c>
      <c r="BR42" s="20" t="e">
        <f>+(((#REF!+#REF!)-(#REF!+#REF!))/(#REF!+#REF!))</f>
        <v>#REF!</v>
      </c>
      <c r="BS42" s="20" t="e">
        <f>+(((#REF!+#REF!)-(#REF!+#REF!))/(#REF!+#REF!))</f>
        <v>#REF!</v>
      </c>
      <c r="BT42" s="20" t="e">
        <f>+(((B42+E42)-(#REF!+#REF!))/(#REF!+#REF!))</f>
        <v>#REF!</v>
      </c>
      <c r="BU42" s="20">
        <f>+(((G42+P42)-(B42+E42))/(B42+E42))</f>
        <v>0.11592603374890781</v>
      </c>
      <c r="BV42" s="20" t="e">
        <f>+((((G42+P42)/(#REF!+#REF!))^(1/19))-1)</f>
        <v>#REF!</v>
      </c>
      <c r="BW42" s="30">
        <v>12372.832608999999</v>
      </c>
      <c r="BX42" s="29"/>
      <c r="BY42" s="28">
        <f>+BW42+BX42</f>
        <v>12372.832608999999</v>
      </c>
      <c r="BZ42" s="27">
        <f>12372.832609+937.3+167.899092</f>
        <v>13478.031700999998</v>
      </c>
      <c r="CA42" s="27"/>
      <c r="CB42" s="27">
        <v>412.61585400000001</v>
      </c>
      <c r="CC42" s="27"/>
      <c r="CD42" s="27">
        <f>+SUM(BZ42:CC42)</f>
        <v>13890.647554999998</v>
      </c>
      <c r="CE42" s="27"/>
      <c r="CF42" s="27">
        <v>277.282692</v>
      </c>
      <c r="CG42" s="27">
        <f>+CE42+CF42</f>
        <v>277.282692</v>
      </c>
      <c r="CH42" s="27">
        <f>+CD42+CG42</f>
        <v>14167.930246999998</v>
      </c>
      <c r="CI42" s="27">
        <f>17079.426656+400</f>
        <v>17479.426656</v>
      </c>
      <c r="CJ42" s="27"/>
      <c r="CK42" s="27">
        <f>(670380313+97386707)/1000000</f>
        <v>767.76702</v>
      </c>
      <c r="CL42" s="27">
        <f>(252968697+41566789+1190516670)/1000000</f>
        <v>1485.052156</v>
      </c>
      <c r="CM42" s="27"/>
      <c r="CN42" s="27">
        <f>+SUM(CI42:CM42)</f>
        <v>19732.245832000001</v>
      </c>
      <c r="CO42" s="27"/>
      <c r="CP42" s="27">
        <f>(317456470/1000000)+32.130887</f>
        <v>349.587357</v>
      </c>
      <c r="CQ42" s="27">
        <f>+CO42+CP42</f>
        <v>349.587357</v>
      </c>
      <c r="CR42" s="32">
        <f>+CN42+CQ42</f>
        <v>20081.833189000001</v>
      </c>
    </row>
    <row r="43" spans="1:96" ht="15" customHeight="1" x14ac:dyDescent="0.2">
      <c r="A43" s="33" t="s">
        <v>5</v>
      </c>
      <c r="B43" s="27">
        <v>5918.8476199999996</v>
      </c>
      <c r="C43" s="27">
        <v>659.63525700000002</v>
      </c>
      <c r="D43" s="27"/>
      <c r="E43" s="27">
        <v>0</v>
      </c>
      <c r="F43" s="27">
        <f>+SUM(B43:E43)</f>
        <v>6578.4828769999995</v>
      </c>
      <c r="G43" s="27">
        <f>6646.769587+198.518589</f>
        <v>6845.288176</v>
      </c>
      <c r="H43" s="27"/>
      <c r="I43" s="27">
        <f>148.373079</f>
        <v>148.37307899999999</v>
      </c>
      <c r="J43" s="27">
        <v>82.281464999999997</v>
      </c>
      <c r="K43" s="27">
        <v>241.08725999999999</v>
      </c>
      <c r="L43" s="27"/>
      <c r="M43" s="27">
        <v>373.405957</v>
      </c>
      <c r="N43" s="27">
        <f>+SUM(G43:M43)</f>
        <v>7690.4359370000002</v>
      </c>
      <c r="O43" s="27"/>
      <c r="P43" s="27">
        <v>0</v>
      </c>
      <c r="Q43" s="27">
        <f>+N43+P43</f>
        <v>7690.4359370000002</v>
      </c>
      <c r="R43" s="27">
        <v>7109.8181619999996</v>
      </c>
      <c r="S43" s="27"/>
      <c r="T43" s="27">
        <v>350.77887500000003</v>
      </c>
      <c r="U43" s="27"/>
      <c r="V43" s="27"/>
      <c r="W43" s="27">
        <f>+R43+S43+T43+U43+V43</f>
        <v>7460.5970369999995</v>
      </c>
      <c r="X43" s="27"/>
      <c r="Y43" s="27">
        <f>+W43+X43</f>
        <v>7460.5970369999995</v>
      </c>
      <c r="Z43" s="27">
        <f>(7109818162-7041454526)/1000000</f>
        <v>68.363636</v>
      </c>
      <c r="AA43" s="27"/>
      <c r="AB43" s="27">
        <f>68363636/1000000</f>
        <v>68.363636</v>
      </c>
      <c r="AC43" s="27"/>
      <c r="AD43" s="27">
        <f>+Z43+AA43+AB43+AC43</f>
        <v>136.727272</v>
      </c>
      <c r="AE43" s="32">
        <f>6973.09089+204.474147+532.284362</f>
        <v>7709.8493990000006</v>
      </c>
      <c r="AF43" s="32">
        <f>+S43-AA43</f>
        <v>0</v>
      </c>
      <c r="AG43" s="32">
        <f>+T43</f>
        <v>350.77887500000003</v>
      </c>
      <c r="AH43" s="32">
        <v>56.396225999999999</v>
      </c>
      <c r="AI43" s="32">
        <v>401.55756700000001</v>
      </c>
      <c r="AJ43" s="27">
        <f>+SUM(AE43:AI43)</f>
        <v>8518.5820670000012</v>
      </c>
      <c r="AK43" s="27"/>
      <c r="AL43" s="27">
        <v>998</v>
      </c>
      <c r="AM43" s="27">
        <v>146.477395</v>
      </c>
      <c r="AN43" s="27">
        <f>+SUM(AK43:AM43)</f>
        <v>1144.4773949999999</v>
      </c>
      <c r="AO43" s="27">
        <f>+AJ43+AN43</f>
        <v>9663.0594620000011</v>
      </c>
      <c r="AP43" s="31" t="e">
        <f>+((#REF!-#REF!)*100)/#REF!</f>
        <v>#REF!</v>
      </c>
      <c r="AQ43" s="29" t="e">
        <f>+((#REF!-#REF!)*100)/#REF!</f>
        <v>#REF!</v>
      </c>
      <c r="AR43" s="29" t="e">
        <f>+((#REF!-#REF!)*100)/#REF!</f>
        <v>#REF!</v>
      </c>
      <c r="AS43" s="29" t="e">
        <f>+((#REF!-#REF!)*100)/#REF!</f>
        <v>#REF!</v>
      </c>
      <c r="AT43" s="29" t="e">
        <f>+((#REF!-#REF!)*100)/#REF!</f>
        <v>#REF!</v>
      </c>
      <c r="AU43" s="29" t="e">
        <f>+((F43-#REF!)*100)/#REF!</f>
        <v>#REF!</v>
      </c>
      <c r="AV43" s="29">
        <f>+((Q43-F43)*100)/F43</f>
        <v>16.902879900891179</v>
      </c>
      <c r="AW43" s="29">
        <f>+((Y43-Q43)*100)/Q43</f>
        <v>-2.9886329186386753</v>
      </c>
      <c r="AX43" s="28" t="e">
        <f>+(((Y43/#REF!)^(0.125))-1)*100</f>
        <v>#REF!</v>
      </c>
      <c r="AY43" s="29" t="e">
        <f>+((#REF!-#REF!)*100)/#REF!</f>
        <v>#REF!</v>
      </c>
      <c r="AZ43" s="29" t="e">
        <f>+((#REF!-#REF!)*100)/#REF!</f>
        <v>#REF!</v>
      </c>
      <c r="BA43" s="29" t="e">
        <f>+((#REF!-#REF!)*100)/#REF!</f>
        <v>#REF!</v>
      </c>
      <c r="BB43" s="29" t="e">
        <f>+((#REF!-#REF!)*100)/#REF!</f>
        <v>#REF!</v>
      </c>
      <c r="BC43" s="20" t="e">
        <f>+(((#REF!+#REF!)-(#REF!+#REF!))/(#REF!+#REF!))</f>
        <v>#REF!</v>
      </c>
      <c r="BD43" s="20" t="e">
        <f>+(((#REF!+#REF!)-(#REF!+#REF!))/(#REF!+#REF!))</f>
        <v>#REF!</v>
      </c>
      <c r="BE43" s="20" t="e">
        <f>+(((#REF!+#REF!)-(#REF!+#REF!))/(#REF!+#REF!))</f>
        <v>#REF!</v>
      </c>
      <c r="BF43" s="20" t="e">
        <f>+(((#REF!+#REF!)-(#REF!+#REF!))/(#REF!+#REF!))</f>
        <v>#REF!</v>
      </c>
      <c r="BG43" s="20" t="e">
        <f>+(((#REF!+#REF!)-(#REF!+#REF!))/(#REF!+#REF!))</f>
        <v>#REF!</v>
      </c>
      <c r="BH43" s="20" t="e">
        <f>+(((#REF!+#REF!)-(#REF!+#REF!))/(#REF!+#REF!))</f>
        <v>#REF!</v>
      </c>
      <c r="BI43" s="20" t="e">
        <f>+(((#REF!+#REF!)-(#REF!+#REF!))/(#REF!+#REF!))</f>
        <v>#REF!</v>
      </c>
      <c r="BJ43" s="20" t="e">
        <f>+(((#REF!+#REF!)-(#REF!+#REF!))/(#REF!+#REF!))</f>
        <v>#REF!</v>
      </c>
      <c r="BK43" s="20" t="e">
        <f>+(((#REF!+#REF!)-(#REF!+#REF!))/(#REF!+#REF!))</f>
        <v>#REF!</v>
      </c>
      <c r="BL43" s="20" t="e">
        <f>+(((#REF!+#REF!)-(#REF!+#REF!))/(#REF!+#REF!))</f>
        <v>#REF!</v>
      </c>
      <c r="BM43" s="20" t="e">
        <f>+(((#REF!+#REF!)-(#REF!+#REF!))/(#REF!+#REF!))</f>
        <v>#REF!</v>
      </c>
      <c r="BN43" s="20" t="e">
        <f>+(((#REF!+#REF!)-(#REF!+#REF!))/(#REF!+#REF!))</f>
        <v>#REF!</v>
      </c>
      <c r="BO43" s="20" t="e">
        <f>+(((#REF!+#REF!)-(#REF!+#REF!))/(#REF!+#REF!))</f>
        <v>#REF!</v>
      </c>
      <c r="BP43" s="20" t="e">
        <f>+(((#REF!+#REF!)-(#REF!+#REF!))/(#REF!+#REF!))</f>
        <v>#REF!</v>
      </c>
      <c r="BQ43" s="20" t="e">
        <f>+(((#REF!+#REF!)-(#REF!+#REF!))/(#REF!+#REF!))</f>
        <v>#REF!</v>
      </c>
      <c r="BR43" s="20" t="e">
        <f>+(((#REF!+#REF!)-(#REF!+#REF!))/(#REF!+#REF!))</f>
        <v>#REF!</v>
      </c>
      <c r="BS43" s="20" t="e">
        <f>+(((#REF!+#REF!)-(#REF!+#REF!))/(#REF!+#REF!))</f>
        <v>#REF!</v>
      </c>
      <c r="BT43" s="20" t="e">
        <f>+(((B43+E43)-(#REF!+#REF!))/(#REF!+#REF!))</f>
        <v>#REF!</v>
      </c>
      <c r="BU43" s="20">
        <f>+(((G43+P43)-(B43+E43))/(B43+E43))</f>
        <v>0.15652380589585116</v>
      </c>
      <c r="BV43" s="20" t="e">
        <f>+((((G43+P43)/(#REF!+#REF!))^(1/19))-1)</f>
        <v>#REF!</v>
      </c>
      <c r="BW43" s="30">
        <v>7392.8919880000003</v>
      </c>
      <c r="BX43" s="29"/>
      <c r="BY43" s="28">
        <f>+BW43+BX43</f>
        <v>7392.8919880000003</v>
      </c>
      <c r="BZ43" s="27">
        <f>7392.891988+1027.94+179.533485</f>
        <v>8600.3654729999998</v>
      </c>
      <c r="CA43" s="27"/>
      <c r="CB43" s="27">
        <v>441.20764100000002</v>
      </c>
      <c r="CC43" s="27">
        <v>504.69060000000002</v>
      </c>
      <c r="CD43" s="27">
        <f>+SUM(BZ43:CC43)</f>
        <v>9546.2637140000006</v>
      </c>
      <c r="CE43" s="27"/>
      <c r="CF43" s="27">
        <v>185.73436100000001</v>
      </c>
      <c r="CG43" s="27">
        <f>+CE43+CF43</f>
        <v>185.73436100000001</v>
      </c>
      <c r="CH43" s="27">
        <f>+CD43+CG43</f>
        <v>9731.9980750000013</v>
      </c>
      <c r="CI43" s="27">
        <v>11311.732058</v>
      </c>
      <c r="CJ43" s="27"/>
      <c r="CK43" s="27">
        <f>(573997820+61957180)/1000000</f>
        <v>635.95500000000004</v>
      </c>
      <c r="CL43" s="27">
        <f>(270497900+44447116+1024646575)/1000000</f>
        <v>1339.5915910000001</v>
      </c>
      <c r="CM43" s="27">
        <f>721723233/1000000</f>
        <v>721.72323300000005</v>
      </c>
      <c r="CN43" s="27">
        <f>+SUM(CI43:CM43)</f>
        <v>14009.001882</v>
      </c>
      <c r="CO43" s="27"/>
      <c r="CP43" s="27">
        <f>(200227803/1000000)+46.581841</f>
        <v>246.80964399999999</v>
      </c>
      <c r="CQ43" s="27">
        <f>+CO43+CP43</f>
        <v>246.80964399999999</v>
      </c>
      <c r="CR43" s="27">
        <f>+CN43+CQ43</f>
        <v>14255.811526000001</v>
      </c>
    </row>
    <row r="44" spans="1:96" ht="15" hidden="1" customHeight="1" thickBot="1" x14ac:dyDescent="0.25">
      <c r="A44" s="26" t="s">
        <v>2</v>
      </c>
      <c r="B44" s="25"/>
      <c r="C44" s="25">
        <v>0</v>
      </c>
      <c r="D44" s="25"/>
      <c r="E44" s="25"/>
      <c r="F44" s="18">
        <f>SUM(B44:E44)</f>
        <v>0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18">
        <f>SUM(G44:P44)</f>
        <v>0</v>
      </c>
      <c r="R44" s="25"/>
      <c r="S44" s="25"/>
      <c r="T44" s="25"/>
      <c r="U44" s="18"/>
      <c r="V44" s="18"/>
      <c r="W44" s="18">
        <f>+R44+S44+T44+U44+V44</f>
        <v>0</v>
      </c>
      <c r="X44" s="25"/>
      <c r="Y44" s="18">
        <f>+R44+S44+T44+V44+X44</f>
        <v>0</v>
      </c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4" t="e">
        <f>+((#REF!-#REF!)*100)/#REF!</f>
        <v>#REF!</v>
      </c>
      <c r="AQ44" s="22" t="e">
        <f>+((#REF!-#REF!)*100)/#REF!</f>
        <v>#REF!</v>
      </c>
      <c r="AR44" s="22" t="e">
        <f>+((#REF!-#REF!)*100)/#REF!</f>
        <v>#REF!</v>
      </c>
      <c r="AS44" s="22" t="e">
        <f>+((#REF!-#REF!)*100)/#REF!</f>
        <v>#REF!</v>
      </c>
      <c r="AT44" s="22" t="e">
        <f>+((#REF!-#REF!)*100)/#REF!</f>
        <v>#REF!</v>
      </c>
      <c r="AU44" s="22" t="e">
        <f>+((F44-#REF!)*100)/#REF!</f>
        <v>#REF!</v>
      </c>
      <c r="AV44" s="22" t="e">
        <f>+((Q44-F44)*100)/F44</f>
        <v>#DIV/0!</v>
      </c>
      <c r="AW44" s="22" t="e">
        <f>+((Y44-Q44)*100)/Q44</f>
        <v>#DIV/0!</v>
      </c>
      <c r="AX44" s="23" t="e">
        <f>+(((Y44/#REF!)^(0.125))-1)*100</f>
        <v>#REF!</v>
      </c>
      <c r="AY44" s="22" t="e">
        <f>+((#REF!-#REF!)*100)/#REF!</f>
        <v>#REF!</v>
      </c>
      <c r="AZ44" s="22" t="e">
        <f>+((#REF!-#REF!)*100)/#REF!</f>
        <v>#REF!</v>
      </c>
      <c r="BA44" s="22" t="e">
        <f>+((#REF!-#REF!)*100)/#REF!</f>
        <v>#REF!</v>
      </c>
      <c r="BB44" s="22" t="e">
        <f>+((#REF!-#REF!)*100)/#REF!</f>
        <v>#REF!</v>
      </c>
      <c r="BC44" s="20" t="e">
        <f>+(((#REF!+#REF!)-(#REF!+#REF!))/(#REF!+#REF!))</f>
        <v>#REF!</v>
      </c>
      <c r="BD44" s="20" t="e">
        <f>+(((#REF!+#REF!)-(#REF!+#REF!))/(#REF!+#REF!))</f>
        <v>#REF!</v>
      </c>
      <c r="BE44" s="20" t="e">
        <f>+(((#REF!+#REF!)-(#REF!+#REF!))/(#REF!+#REF!))</f>
        <v>#REF!</v>
      </c>
      <c r="BF44" s="20" t="e">
        <f>+(((#REF!+#REF!)-(#REF!+#REF!))/(#REF!+#REF!))</f>
        <v>#REF!</v>
      </c>
      <c r="BG44" s="20" t="e">
        <f>+(((#REF!+#REF!)-(#REF!+#REF!))/(#REF!+#REF!))</f>
        <v>#REF!</v>
      </c>
      <c r="BH44" s="20" t="e">
        <f>+(((#REF!+#REF!)-(#REF!+#REF!))/(#REF!+#REF!))</f>
        <v>#REF!</v>
      </c>
      <c r="BI44" s="20" t="e">
        <f>+(((#REF!+#REF!)-(#REF!+#REF!))/(#REF!+#REF!))</f>
        <v>#REF!</v>
      </c>
      <c r="BJ44" s="20" t="e">
        <f>+(((#REF!+#REF!)-(#REF!+#REF!))/(#REF!+#REF!))</f>
        <v>#REF!</v>
      </c>
      <c r="BK44" s="20" t="e">
        <f>+(((#REF!+#REF!)-(#REF!+#REF!))/(#REF!+#REF!))</f>
        <v>#REF!</v>
      </c>
      <c r="BL44" s="20" t="e">
        <f>+(((#REF!+#REF!)-(#REF!+#REF!))/(#REF!+#REF!))</f>
        <v>#REF!</v>
      </c>
      <c r="BM44" s="20" t="e">
        <f>+(((#REF!+#REF!)-(#REF!+#REF!))/(#REF!+#REF!))</f>
        <v>#REF!</v>
      </c>
      <c r="BN44" s="20" t="e">
        <f>+(((#REF!+#REF!)-(#REF!+#REF!))/(#REF!+#REF!))</f>
        <v>#REF!</v>
      </c>
      <c r="BO44" s="20" t="e">
        <f>+(((#REF!+#REF!)-(#REF!+#REF!))/(#REF!+#REF!))</f>
        <v>#REF!</v>
      </c>
      <c r="BP44" s="20" t="e">
        <f>+(((#REF!+#REF!)-(#REF!+#REF!))/(#REF!+#REF!))</f>
        <v>#REF!</v>
      </c>
      <c r="BQ44" s="20" t="e">
        <f>+(((#REF!+#REF!)-(#REF!+#REF!))/(#REF!+#REF!))</f>
        <v>#REF!</v>
      </c>
      <c r="BR44" s="20" t="e">
        <f>+(((#REF!+#REF!)-(#REF!+#REF!))/(#REF!+#REF!))</f>
        <v>#REF!</v>
      </c>
      <c r="BS44" s="20" t="e">
        <f>+(((#REF!+#REF!)-(#REF!+#REF!))/(#REF!+#REF!))</f>
        <v>#REF!</v>
      </c>
      <c r="BT44" s="20" t="e">
        <f>+(((B44+E44)-(#REF!+#REF!))/(#REF!+#REF!))</f>
        <v>#REF!</v>
      </c>
      <c r="BU44" s="20" t="e">
        <f>+(((G44+P44)-(B44+E44))/(B44+E44))</f>
        <v>#DIV/0!</v>
      </c>
      <c r="BV44" s="20" t="e">
        <f>+((((G44+P44)/(#REF!+#REF!))^(1/19))-1)</f>
        <v>#REF!</v>
      </c>
      <c r="BW44" s="21"/>
      <c r="BX44" s="20"/>
      <c r="BY44" s="19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</row>
    <row r="45" spans="1:96" ht="15" customHeight="1" x14ac:dyDescent="0.2">
      <c r="A45" s="17" t="s">
        <v>1</v>
      </c>
      <c r="B45" s="15">
        <f>B10+B27</f>
        <v>1761494.9399962998</v>
      </c>
      <c r="C45" s="15">
        <f t="shared" ref="C45:BN45" si="0">C10+C27</f>
        <v>29686.619437999998</v>
      </c>
      <c r="D45" s="15">
        <f t="shared" si="0"/>
        <v>74.607748999999998</v>
      </c>
      <c r="E45" s="15">
        <f t="shared" si="0"/>
        <v>50743.791518999999</v>
      </c>
      <c r="F45" s="15">
        <f t="shared" si="0"/>
        <v>1841999.9587023</v>
      </c>
      <c r="G45" s="15">
        <f t="shared" si="0"/>
        <v>1675233.4034059998</v>
      </c>
      <c r="H45" s="15">
        <f t="shared" si="0"/>
        <v>193639.85490600005</v>
      </c>
      <c r="I45" s="15">
        <f t="shared" si="0"/>
        <v>34698.793586</v>
      </c>
      <c r="J45" s="15">
        <f t="shared" si="0"/>
        <v>17983.015737000002</v>
      </c>
      <c r="K45" s="15">
        <f t="shared" si="0"/>
        <v>13621.499159999999</v>
      </c>
      <c r="L45" s="15">
        <f t="shared" si="0"/>
        <v>0</v>
      </c>
      <c r="M45" s="15">
        <f t="shared" si="0"/>
        <v>13592.28916</v>
      </c>
      <c r="N45" s="15">
        <f t="shared" si="0"/>
        <v>1948768.8559549998</v>
      </c>
      <c r="O45" s="15">
        <f t="shared" si="0"/>
        <v>0</v>
      </c>
      <c r="P45" s="15">
        <f t="shared" si="0"/>
        <v>54085.206752999999</v>
      </c>
      <c r="Q45" s="15">
        <f t="shared" si="0"/>
        <v>2002854.0627079997</v>
      </c>
      <c r="R45" s="15">
        <f t="shared" si="0"/>
        <v>1784720.6476870002</v>
      </c>
      <c r="S45" s="15">
        <f t="shared" si="0"/>
        <v>214721.42526500003</v>
      </c>
      <c r="T45" s="15">
        <f t="shared" si="0"/>
        <v>76928.545558000013</v>
      </c>
      <c r="U45" s="15">
        <f t="shared" si="0"/>
        <v>0</v>
      </c>
      <c r="V45" s="15">
        <f t="shared" si="0"/>
        <v>0</v>
      </c>
      <c r="W45" s="15">
        <f t="shared" si="0"/>
        <v>2076370.6185099999</v>
      </c>
      <c r="X45" s="15">
        <f t="shared" si="0"/>
        <v>56789.467091999992</v>
      </c>
      <c r="Y45" s="15">
        <f t="shared" si="0"/>
        <v>2133160.0856019994</v>
      </c>
      <c r="Z45" s="15">
        <f t="shared" si="0"/>
        <v>21451.775359000003</v>
      </c>
      <c r="AA45" s="15">
        <f t="shared" si="0"/>
        <v>2838.2286400000003</v>
      </c>
      <c r="AB45" s="15">
        <f t="shared" si="0"/>
        <v>17119.115266000001</v>
      </c>
      <c r="AC45" s="15">
        <f t="shared" si="0"/>
        <v>0</v>
      </c>
      <c r="AD45" s="15">
        <f t="shared" si="0"/>
        <v>41409.119264999994</v>
      </c>
      <c r="AE45" s="15">
        <f t="shared" si="0"/>
        <v>1761330.7389159999</v>
      </c>
      <c r="AF45" s="15">
        <f t="shared" si="0"/>
        <v>211883.19662500001</v>
      </c>
      <c r="AG45" s="15">
        <f t="shared" si="0"/>
        <v>76928.545558000013</v>
      </c>
      <c r="AH45" s="15">
        <f t="shared" si="0"/>
        <v>2148.4027150000002</v>
      </c>
      <c r="AI45" s="15">
        <f t="shared" si="0"/>
        <v>18000</v>
      </c>
      <c r="AJ45" s="15">
        <f t="shared" si="0"/>
        <v>2070290.8838140001</v>
      </c>
      <c r="AK45" s="15">
        <f t="shared" si="0"/>
        <v>56789.467091999992</v>
      </c>
      <c r="AL45" s="15">
        <f t="shared" si="0"/>
        <v>70000</v>
      </c>
      <c r="AM45" s="15">
        <f t="shared" si="0"/>
        <v>41835.019327999995</v>
      </c>
      <c r="AN45" s="15">
        <f t="shared" si="0"/>
        <v>168624.48642000003</v>
      </c>
      <c r="AO45" s="15">
        <f t="shared" si="0"/>
        <v>2238915.370234</v>
      </c>
      <c r="AP45" s="15" t="e">
        <f t="shared" si="0"/>
        <v>#REF!</v>
      </c>
      <c r="AQ45" s="15" t="e">
        <f t="shared" si="0"/>
        <v>#REF!</v>
      </c>
      <c r="AR45" s="15" t="e">
        <f t="shared" si="0"/>
        <v>#REF!</v>
      </c>
      <c r="AS45" s="15" t="e">
        <f t="shared" si="0"/>
        <v>#REF!</v>
      </c>
      <c r="AT45" s="15" t="e">
        <f t="shared" si="0"/>
        <v>#REF!</v>
      </c>
      <c r="AU45" s="15" t="e">
        <f t="shared" si="0"/>
        <v>#REF!</v>
      </c>
      <c r="AV45" s="15">
        <f t="shared" si="0"/>
        <v>18.00570450655988</v>
      </c>
      <c r="AW45" s="15">
        <f t="shared" si="0"/>
        <v>13.013684512675859</v>
      </c>
      <c r="AX45" s="15" t="e">
        <f t="shared" si="0"/>
        <v>#REF!</v>
      </c>
      <c r="AY45" s="15" t="e">
        <f t="shared" si="0"/>
        <v>#REF!</v>
      </c>
      <c r="AZ45" s="15" t="e">
        <f t="shared" si="0"/>
        <v>#REF!</v>
      </c>
      <c r="BA45" s="15" t="e">
        <f t="shared" si="0"/>
        <v>#REF!</v>
      </c>
      <c r="BB45" s="15" t="e">
        <f t="shared" si="0"/>
        <v>#REF!</v>
      </c>
      <c r="BC45" s="15" t="e">
        <f t="shared" si="0"/>
        <v>#REF!</v>
      </c>
      <c r="BD45" s="15" t="e">
        <f t="shared" si="0"/>
        <v>#REF!</v>
      </c>
      <c r="BE45" s="15" t="e">
        <f t="shared" si="0"/>
        <v>#REF!</v>
      </c>
      <c r="BF45" s="15" t="e">
        <f t="shared" si="0"/>
        <v>#REF!</v>
      </c>
      <c r="BG45" s="15" t="e">
        <f t="shared" si="0"/>
        <v>#REF!</v>
      </c>
      <c r="BH45" s="15" t="e">
        <f t="shared" si="0"/>
        <v>#REF!</v>
      </c>
      <c r="BI45" s="15" t="e">
        <f t="shared" si="0"/>
        <v>#REF!</v>
      </c>
      <c r="BJ45" s="15" t="e">
        <f t="shared" si="0"/>
        <v>#REF!</v>
      </c>
      <c r="BK45" s="15" t="e">
        <f t="shared" si="0"/>
        <v>#REF!</v>
      </c>
      <c r="BL45" s="15" t="e">
        <f t="shared" si="0"/>
        <v>#REF!</v>
      </c>
      <c r="BM45" s="15" t="e">
        <f t="shared" si="0"/>
        <v>#REF!</v>
      </c>
      <c r="BN45" s="15" t="e">
        <f t="shared" si="0"/>
        <v>#REF!</v>
      </c>
      <c r="BO45" s="15" t="e">
        <f t="shared" ref="BO45:CQ45" si="1">BO10+BO27</f>
        <v>#REF!</v>
      </c>
      <c r="BP45" s="15" t="e">
        <f t="shared" si="1"/>
        <v>#REF!</v>
      </c>
      <c r="BQ45" s="15" t="e">
        <f t="shared" si="1"/>
        <v>#REF!</v>
      </c>
      <c r="BR45" s="15" t="e">
        <f t="shared" si="1"/>
        <v>#REF!</v>
      </c>
      <c r="BS45" s="15" t="e">
        <f t="shared" si="1"/>
        <v>#REF!</v>
      </c>
      <c r="BT45" s="15" t="e">
        <f t="shared" si="1"/>
        <v>#REF!</v>
      </c>
      <c r="BU45" s="15">
        <f t="shared" si="1"/>
        <v>-5.0540479027091315E-2</v>
      </c>
      <c r="BV45" s="15" t="e">
        <f t="shared" si="1"/>
        <v>#REF!</v>
      </c>
      <c r="BW45" s="15">
        <f t="shared" si="1"/>
        <v>2022317.1447980003</v>
      </c>
      <c r="BX45" s="15">
        <f t="shared" si="1"/>
        <v>58993.15110499999</v>
      </c>
      <c r="BY45" s="15">
        <f t="shared" si="1"/>
        <v>2081310.295903</v>
      </c>
      <c r="BZ45" s="15">
        <f t="shared" si="1"/>
        <v>1878526.3074420004</v>
      </c>
      <c r="CA45" s="15">
        <f t="shared" si="1"/>
        <v>218239.69252299995</v>
      </c>
      <c r="CB45" s="15">
        <f t="shared" si="1"/>
        <v>16849.340112999998</v>
      </c>
      <c r="CC45" s="15">
        <f t="shared" si="1"/>
        <v>26819.053202000003</v>
      </c>
      <c r="CD45" s="15">
        <f t="shared" si="1"/>
        <v>2140434.3932799995</v>
      </c>
      <c r="CE45" s="15">
        <f t="shared" si="1"/>
        <v>58993.15110499999</v>
      </c>
      <c r="CF45" s="15">
        <f t="shared" si="1"/>
        <v>45408.567147999987</v>
      </c>
      <c r="CG45" s="15">
        <f t="shared" si="1"/>
        <v>104401.71825299997</v>
      </c>
      <c r="CH45" s="15">
        <f t="shared" si="1"/>
        <v>2244836.1115330001</v>
      </c>
      <c r="CI45" s="15">
        <f t="shared" si="1"/>
        <v>2040439.5752129999</v>
      </c>
      <c r="CJ45" s="15">
        <f t="shared" si="1"/>
        <v>240989.852311</v>
      </c>
      <c r="CK45" s="15">
        <f t="shared" si="1"/>
        <v>29351.507414999996</v>
      </c>
      <c r="CL45" s="15">
        <f t="shared" si="1"/>
        <v>51490.314985000005</v>
      </c>
      <c r="CM45" s="15">
        <f t="shared" si="1"/>
        <v>27623.624798000001</v>
      </c>
      <c r="CN45" s="15">
        <f t="shared" si="1"/>
        <v>2389894.8747220002</v>
      </c>
      <c r="CO45" s="15">
        <f t="shared" si="1"/>
        <v>60762.945638999998</v>
      </c>
      <c r="CP45" s="15">
        <f t="shared" si="1"/>
        <v>46745.276687999998</v>
      </c>
      <c r="CQ45" s="15">
        <f t="shared" si="1"/>
        <v>107508.22232700001</v>
      </c>
      <c r="CR45" s="15">
        <f>CR10+CR27</f>
        <v>2497403.0970490002</v>
      </c>
    </row>
    <row r="46" spans="1:96" ht="15" customHeight="1" x14ac:dyDescent="0.25">
      <c r="A46" s="14" t="s">
        <v>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3"/>
      <c r="BB46" s="3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0"/>
      <c r="CA46" s="5"/>
      <c r="CB46" s="5"/>
      <c r="CC46" s="5"/>
      <c r="CD46" s="5"/>
      <c r="CE46" s="5"/>
      <c r="CF46" s="5"/>
      <c r="CG46" s="5"/>
      <c r="CH46" s="5"/>
    </row>
    <row r="47" spans="1:96" ht="15" customHeight="1" x14ac:dyDescent="0.25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3"/>
      <c r="BB47" s="3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0"/>
      <c r="CA47" s="5"/>
      <c r="CB47" s="5"/>
      <c r="CC47" s="5"/>
      <c r="CD47" s="5"/>
      <c r="CE47" s="5"/>
      <c r="CF47" s="5"/>
      <c r="CG47" s="5"/>
      <c r="CH47" s="5"/>
    </row>
    <row r="48" spans="1:96" ht="15" customHeight="1" x14ac:dyDescent="0.25">
      <c r="A48" s="1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3"/>
      <c r="BB48" s="3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0"/>
      <c r="CA48" s="5"/>
      <c r="CB48" s="5"/>
      <c r="CC48" s="5"/>
      <c r="CD48" s="5"/>
      <c r="CE48" s="5"/>
      <c r="CF48" s="5"/>
      <c r="CG48" s="5"/>
      <c r="CH48" s="5"/>
    </row>
    <row r="49" spans="1:86" ht="15" customHeight="1" x14ac:dyDescent="0.25">
      <c r="A49" s="1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3"/>
      <c r="BB49" s="3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0"/>
      <c r="CA49" s="5"/>
      <c r="CB49" s="5"/>
      <c r="CC49" s="5"/>
      <c r="CD49" s="5"/>
      <c r="CE49" s="5"/>
      <c r="CF49" s="5"/>
      <c r="CG49" s="5"/>
      <c r="CH49" s="5"/>
    </row>
    <row r="50" spans="1:86" ht="15" customHeight="1" x14ac:dyDescent="0.25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3"/>
      <c r="BB50" s="3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0"/>
      <c r="CA50" s="5"/>
      <c r="CB50" s="5"/>
      <c r="CC50" s="5"/>
      <c r="CD50" s="5"/>
      <c r="CE50" s="5"/>
      <c r="CF50" s="5"/>
      <c r="CG50" s="5"/>
      <c r="CH50" s="5"/>
    </row>
    <row r="51" spans="1:86" ht="15" customHeight="1" x14ac:dyDescent="0.25">
      <c r="A51" s="1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3"/>
      <c r="BB51" s="3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0"/>
      <c r="CA51" s="5"/>
      <c r="CB51" s="5"/>
      <c r="CC51" s="5"/>
      <c r="CD51" s="5"/>
      <c r="CE51" s="5"/>
      <c r="CF51" s="5"/>
      <c r="CG51" s="5"/>
      <c r="CH51" s="5"/>
    </row>
    <row r="52" spans="1:86" ht="15" customHeight="1" x14ac:dyDescent="0.25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3"/>
      <c r="BB52" s="3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0"/>
      <c r="CA52" s="5"/>
      <c r="CB52" s="5"/>
      <c r="CC52" s="5"/>
      <c r="CD52" s="5"/>
      <c r="CE52" s="5"/>
      <c r="CF52" s="5"/>
      <c r="CG52" s="5"/>
      <c r="CH52" s="5"/>
    </row>
    <row r="53" spans="1:86" ht="15" customHeight="1" x14ac:dyDescent="0.25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3"/>
      <c r="BB53" s="3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0"/>
      <c r="CA53" s="5"/>
      <c r="CB53" s="5"/>
      <c r="CC53" s="5"/>
      <c r="CD53" s="5"/>
      <c r="CE53" s="5"/>
      <c r="CF53" s="5"/>
      <c r="CG53" s="5"/>
      <c r="CH53" s="5"/>
    </row>
    <row r="54" spans="1:86" ht="15" customHeight="1" x14ac:dyDescent="0.25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3"/>
      <c r="BB54" s="3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0"/>
      <c r="CA54" s="5"/>
      <c r="CB54" s="5"/>
      <c r="CC54" s="5"/>
      <c r="CD54" s="5"/>
      <c r="CE54" s="5"/>
      <c r="CF54" s="5"/>
      <c r="CG54" s="5"/>
      <c r="CH54" s="5"/>
    </row>
    <row r="55" spans="1:86" ht="15" customHeight="1" x14ac:dyDescent="0.2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3"/>
      <c r="BB55" s="3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0"/>
      <c r="CA55" s="5"/>
      <c r="CB55" s="5"/>
      <c r="CC55" s="5"/>
      <c r="CD55" s="5"/>
      <c r="CE55" s="5"/>
      <c r="CF55" s="5"/>
      <c r="CG55" s="5"/>
      <c r="CH55" s="5"/>
    </row>
    <row r="56" spans="1:86" ht="15" customHeight="1" x14ac:dyDescent="0.25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3"/>
      <c r="BB56" s="3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0"/>
      <c r="CA56" s="5"/>
      <c r="CB56" s="5"/>
      <c r="CC56" s="5"/>
      <c r="CD56" s="5"/>
      <c r="CE56" s="5"/>
      <c r="CF56" s="5"/>
      <c r="CG56" s="5"/>
      <c r="CH56" s="5"/>
    </row>
    <row r="57" spans="1:86" ht="15" customHeight="1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3"/>
      <c r="BB57" s="3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0"/>
      <c r="CA57" s="5"/>
      <c r="CB57" s="5"/>
      <c r="CC57" s="5"/>
      <c r="CD57" s="5"/>
      <c r="CE57" s="5"/>
      <c r="CF57" s="5"/>
      <c r="CG57" s="5"/>
      <c r="CH57" s="5"/>
    </row>
    <row r="58" spans="1:86" ht="15" customHeight="1" x14ac:dyDescent="0.25">
      <c r="A58" s="1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3"/>
      <c r="BB58" s="3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0"/>
      <c r="CA58" s="5"/>
      <c r="CB58" s="5"/>
      <c r="CC58" s="5"/>
      <c r="CD58" s="5"/>
      <c r="CE58" s="5"/>
      <c r="CF58" s="5"/>
      <c r="CG58" s="5"/>
      <c r="CH58" s="5"/>
    </row>
    <row r="59" spans="1:86" ht="15" customHeight="1" x14ac:dyDescent="0.25">
      <c r="A59" s="1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3"/>
      <c r="BB59" s="3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0"/>
      <c r="CA59" s="5"/>
      <c r="CB59" s="5"/>
      <c r="CC59" s="5"/>
      <c r="CD59" s="5"/>
      <c r="CE59" s="5"/>
      <c r="CF59" s="5"/>
      <c r="CG59" s="5"/>
      <c r="CH59" s="5"/>
    </row>
    <row r="60" spans="1:86" ht="15" customHeight="1" x14ac:dyDescent="0.25">
      <c r="A60" s="1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3"/>
      <c r="BB60" s="3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0"/>
      <c r="CA60" s="5"/>
      <c r="CB60" s="5"/>
      <c r="CC60" s="5"/>
      <c r="CD60" s="5"/>
      <c r="CE60" s="5"/>
      <c r="CF60" s="5"/>
      <c r="CG60" s="5"/>
      <c r="CH60" s="5"/>
    </row>
    <row r="61" spans="1:86" ht="15" customHeight="1" x14ac:dyDescent="0.25">
      <c r="A61" s="1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2"/>
      <c r="BB61" s="12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0"/>
      <c r="CA61" s="5"/>
      <c r="CB61" s="5"/>
      <c r="CC61" s="5"/>
      <c r="CD61" s="5"/>
      <c r="CE61" s="5"/>
      <c r="CF61" s="5"/>
      <c r="CG61" s="5"/>
      <c r="CH61" s="5"/>
    </row>
    <row r="62" spans="1:86" ht="15" customHeight="1" x14ac:dyDescent="0.25">
      <c r="A62" s="1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2"/>
      <c r="BB62" s="12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0"/>
      <c r="CA62" s="5"/>
      <c r="CB62" s="5"/>
      <c r="CC62" s="5"/>
      <c r="CD62" s="5"/>
      <c r="CE62" s="5"/>
      <c r="CF62" s="5"/>
      <c r="CG62" s="5"/>
      <c r="CH62" s="5"/>
    </row>
    <row r="63" spans="1:86" ht="15.75" x14ac:dyDescent="0.25">
      <c r="A63" s="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6"/>
      <c r="CA63" s="5"/>
      <c r="CB63" s="5"/>
      <c r="CC63" s="5"/>
      <c r="CD63" s="5"/>
      <c r="CE63" s="5"/>
      <c r="CF63" s="5"/>
      <c r="CG63" s="5"/>
      <c r="CH63" s="5"/>
    </row>
    <row r="64" spans="1:86" ht="15.75" x14ac:dyDescent="0.25">
      <c r="A64" s="2"/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4"/>
      <c r="BB64" s="4"/>
      <c r="BC64" s="4"/>
      <c r="BD64" s="4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6"/>
      <c r="CA64" s="5"/>
      <c r="CB64" s="5"/>
      <c r="CC64" s="5"/>
      <c r="CD64" s="5"/>
      <c r="CE64" s="5"/>
      <c r="CF64" s="5"/>
      <c r="CG64" s="5"/>
      <c r="CH64" s="5"/>
    </row>
    <row r="65" spans="1:86" ht="15.75" x14ac:dyDescent="0.25">
      <c r="A65" s="2"/>
      <c r="B65" s="4"/>
      <c r="C65" s="8"/>
      <c r="D65" s="4"/>
      <c r="E65" s="4"/>
      <c r="F65" s="4"/>
      <c r="G65" s="4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6"/>
      <c r="CA65" s="5"/>
      <c r="CB65" s="5"/>
      <c r="CC65" s="5"/>
      <c r="CD65" s="5"/>
      <c r="CE65" s="5"/>
      <c r="CF65" s="5"/>
      <c r="CG65" s="5"/>
      <c r="CH65" s="5"/>
    </row>
    <row r="66" spans="1:86" ht="15.75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86" ht="15.75" x14ac:dyDescent="0.25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86" ht="15.75" x14ac:dyDescent="0.25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86" ht="15.75" x14ac:dyDescent="0.25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6" ht="15.75" x14ac:dyDescent="0.2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1:86" ht="15.75" x14ac:dyDescent="0.25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8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8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8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8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8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8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8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8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8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1:5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1:5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1:5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1:5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1:5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1:5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1:5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1:5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1:5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1:5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1:5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1:5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1:5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1:5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1:5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1:5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1:5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1:5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1:5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1:5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1:5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1:5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1:5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1:5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1:5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1:5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1:5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1:5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1:5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1:5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1:5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1:5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1:5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1:5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1:5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1:5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1:5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1:5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1:5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1:5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1:5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1:5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1:5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spans="1:5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spans="1:5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spans="1:5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spans="1:5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spans="1:5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spans="1:5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spans="1:5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spans="1:5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spans="1:5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spans="1:5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  <row r="191" spans="1:5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</row>
    <row r="192" spans="1:5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</row>
    <row r="193" spans="1:5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</row>
  </sheetData>
  <mergeCells count="34">
    <mergeCell ref="BZ7:CD7"/>
    <mergeCell ref="CE7:CG7"/>
    <mergeCell ref="CH7:CH8"/>
    <mergeCell ref="BX7:BX8"/>
    <mergeCell ref="R6:Y6"/>
    <mergeCell ref="X7:X8"/>
    <mergeCell ref="Y7:Y8"/>
    <mergeCell ref="CI6:CR6"/>
    <mergeCell ref="CI7:CN7"/>
    <mergeCell ref="CO7:CQ7"/>
    <mergeCell ref="CR7:CR8"/>
    <mergeCell ref="AE6:AO6"/>
    <mergeCell ref="BZ6:CH6"/>
    <mergeCell ref="BY7:BY8"/>
    <mergeCell ref="AK7:AN7"/>
    <mergeCell ref="R7:W7"/>
    <mergeCell ref="Q7:Q8"/>
    <mergeCell ref="O7:O8"/>
    <mergeCell ref="G7:N7"/>
    <mergeCell ref="G6:Q6"/>
    <mergeCell ref="B7:C7"/>
    <mergeCell ref="D7:D8"/>
    <mergeCell ref="A6:A8"/>
    <mergeCell ref="Z6:AD6"/>
    <mergeCell ref="BW6:BY6"/>
    <mergeCell ref="BW7:BW8"/>
    <mergeCell ref="AE7:AJ7"/>
    <mergeCell ref="E7:E8"/>
    <mergeCell ref="F7:F8"/>
    <mergeCell ref="P7:P8"/>
    <mergeCell ref="B6:F6"/>
    <mergeCell ref="Z8:AA8"/>
    <mergeCell ref="Z7:AB7"/>
    <mergeCell ref="AO7:AO8"/>
  </mergeCells>
  <printOptions horizontalCentered="1" verticalCentered="1"/>
  <pageMargins left="1.0236220472440944" right="0.70866141732283472" top="0.98425196850393704" bottom="1.1811023622047245" header="0" footer="0.19685039370078741"/>
  <pageSetup paperSize="5" scale="45" fitToWidth="7" fitToHeight="2" orientation="landscape" blackAndWhite="1" horizontalDpi="1200" verticalDpi="1200" r:id="rId1"/>
  <headerFooter alignWithMargins="0"/>
  <ignoredErrors>
    <ignoredError sqref="F27 N27" formula="1"/>
    <ignoredError sqref="C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2002-2013</vt:lpstr>
      <vt:lpstr>'2002-2013'!Área_de_impresión</vt:lpstr>
      <vt:lpstr>'2002-2013'!AREA1</vt:lpstr>
      <vt:lpstr>'2002-2013'!Títulos_a_imprimir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Naranjo Aristizabal</dc:creator>
  <cp:lastModifiedBy>Carolina Naranjo Aristizabal</cp:lastModifiedBy>
  <dcterms:created xsi:type="dcterms:W3CDTF">2013-10-16T17:24:06Z</dcterms:created>
  <dcterms:modified xsi:type="dcterms:W3CDTF">2013-10-16T17:58:13Z</dcterms:modified>
</cp:coreProperties>
</file>